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25BA84D7-7FC0-4D73-865A-385D64CCADAC}"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13" l="1"/>
  <c r="C141" i="12" l="1"/>
  <c r="CZ141" i="12" s="1"/>
  <c r="C140" i="12"/>
  <c r="CT140" i="12" s="1"/>
  <c r="C139" i="12"/>
  <c r="CV139" i="12" s="1"/>
  <c r="C138" i="12"/>
  <c r="CW138" i="12" s="1"/>
  <c r="C137" i="12"/>
  <c r="CW137" i="12" s="1"/>
  <c r="C136" i="12"/>
  <c r="CW136" i="12" s="1"/>
  <c r="C135" i="12"/>
  <c r="CQ135" i="12" s="1"/>
  <c r="C134" i="12"/>
  <c r="CT134" i="12" s="1"/>
  <c r="C133" i="12"/>
  <c r="CV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CE134" i="12" l="1"/>
  <c r="M135" i="12"/>
  <c r="S139" i="12"/>
  <c r="AI139" i="12"/>
  <c r="BA135" i="12"/>
  <c r="BI139" i="12"/>
  <c r="BY135" i="12"/>
  <c r="BY139" i="12"/>
  <c r="BY133" i="12"/>
  <c r="AU138" i="12"/>
  <c r="K134" i="12"/>
  <c r="CU136" i="12"/>
  <c r="AQ139" i="12"/>
  <c r="CG139" i="12"/>
  <c r="BG140" i="12"/>
  <c r="P133" i="12"/>
  <c r="Q133" i="12"/>
  <c r="S134" i="12"/>
  <c r="M139" i="12"/>
  <c r="BE139" i="12"/>
  <c r="CU139" i="12"/>
  <c r="BM140" i="12"/>
  <c r="U133" i="12"/>
  <c r="BW134" i="12"/>
  <c r="CG135" i="12"/>
  <c r="BE137" i="12"/>
  <c r="Q139" i="12"/>
  <c r="BG139" i="12"/>
  <c r="CW139" i="12"/>
  <c r="BU140" i="12"/>
  <c r="CM140" i="12"/>
  <c r="AW133" i="12"/>
  <c r="K136" i="12"/>
  <c r="AE138" i="12"/>
  <c r="U139" i="12"/>
  <c r="BM139" i="12"/>
  <c r="I140" i="12"/>
  <c r="CS140" i="12"/>
  <c r="S136" i="12"/>
  <c r="AA140" i="12"/>
  <c r="CC133" i="12"/>
  <c r="U135" i="12"/>
  <c r="BE136" i="12"/>
  <c r="BK138" i="12"/>
  <c r="AK139" i="12"/>
  <c r="CC139" i="12"/>
  <c r="AG140" i="12"/>
  <c r="AO141" i="12"/>
  <c r="AS133" i="12"/>
  <c r="AS135" i="12"/>
  <c r="BG136" i="12"/>
  <c r="CA138" i="12"/>
  <c r="AO139" i="12"/>
  <c r="CE139" i="12"/>
  <c r="AO140" i="12"/>
  <c r="AW141" i="12"/>
  <c r="X133" i="12"/>
  <c r="BA133" i="12"/>
  <c r="CG133" i="12"/>
  <c r="AA134" i="12"/>
  <c r="CM134" i="12"/>
  <c r="Y135" i="12"/>
  <c r="BE135" i="12"/>
  <c r="CK135" i="12"/>
  <c r="Y136" i="12"/>
  <c r="BO136" i="12"/>
  <c r="I137" i="12"/>
  <c r="BU137" i="12"/>
  <c r="AI140" i="12"/>
  <c r="BO140" i="12"/>
  <c r="CU140" i="12"/>
  <c r="BE141" i="12"/>
  <c r="Y133" i="12"/>
  <c r="BE133" i="12"/>
  <c r="CK133" i="12"/>
  <c r="AI134" i="12"/>
  <c r="CU134" i="12"/>
  <c r="AA135" i="12"/>
  <c r="BG135" i="12"/>
  <c r="CM135" i="12"/>
  <c r="AA136" i="12"/>
  <c r="BU136" i="12"/>
  <c r="Q137" i="12"/>
  <c r="CC137" i="12"/>
  <c r="BM141" i="12"/>
  <c r="AC135" i="12"/>
  <c r="BI135" i="12"/>
  <c r="CO135" i="12"/>
  <c r="AI136" i="12"/>
  <c r="BW136" i="12"/>
  <c r="Y137" i="12"/>
  <c r="CK137" i="12"/>
  <c r="CQ138" i="12"/>
  <c r="Y139" i="12"/>
  <c r="AS139" i="12"/>
  <c r="BO139" i="12"/>
  <c r="CK139" i="12"/>
  <c r="K140" i="12"/>
  <c r="AQ140" i="12"/>
  <c r="BW140" i="12"/>
  <c r="I141" i="12"/>
  <c r="BU141" i="12"/>
  <c r="AC133" i="12"/>
  <c r="BI133" i="12"/>
  <c r="AQ134" i="12"/>
  <c r="I133" i="12"/>
  <c r="AG133" i="12"/>
  <c r="BM133" i="12"/>
  <c r="CS133" i="12"/>
  <c r="AY134" i="12"/>
  <c r="I135" i="12"/>
  <c r="AK135" i="12"/>
  <c r="BQ135" i="12"/>
  <c r="CW135" i="12"/>
  <c r="AO136" i="12"/>
  <c r="CE136" i="12"/>
  <c r="AG137" i="12"/>
  <c r="CS137" i="12"/>
  <c r="AA139" i="12"/>
  <c r="AW139" i="12"/>
  <c r="BQ139" i="12"/>
  <c r="CM139" i="12"/>
  <c r="Q140" i="12"/>
  <c r="AW140" i="12"/>
  <c r="CC140" i="12"/>
  <c r="Q141" i="12"/>
  <c r="CC141" i="12"/>
  <c r="BM137" i="12"/>
  <c r="H133" i="12"/>
  <c r="CO133" i="12"/>
  <c r="M133" i="12"/>
  <c r="AK133" i="12"/>
  <c r="BQ133" i="12"/>
  <c r="CW133" i="12"/>
  <c r="BG134" i="12"/>
  <c r="K135" i="12"/>
  <c r="AO135" i="12"/>
  <c r="BU135" i="12"/>
  <c r="AQ136" i="12"/>
  <c r="CK136" i="12"/>
  <c r="AO137" i="12"/>
  <c r="I139" i="12"/>
  <c r="AC139" i="12"/>
  <c r="AY139" i="12"/>
  <c r="BU139" i="12"/>
  <c r="CO139" i="12"/>
  <c r="S140" i="12"/>
  <c r="AY140" i="12"/>
  <c r="CE140" i="12"/>
  <c r="Y141" i="12"/>
  <c r="CK141" i="12"/>
  <c r="AO133" i="12"/>
  <c r="BU133" i="12"/>
  <c r="BO134" i="12"/>
  <c r="L135" i="12"/>
  <c r="AQ135" i="12"/>
  <c r="BW135" i="12"/>
  <c r="I136" i="12"/>
  <c r="AY136" i="12"/>
  <c r="CM136" i="12"/>
  <c r="AW137" i="12"/>
  <c r="O138" i="12"/>
  <c r="K139" i="12"/>
  <c r="AG139" i="12"/>
  <c r="BA139" i="12"/>
  <c r="BW139" i="12"/>
  <c r="CS139" i="12"/>
  <c r="Y140" i="12"/>
  <c r="BE140" i="12"/>
  <c r="CK140" i="12"/>
  <c r="AG141" i="12"/>
  <c r="CS141" i="12"/>
  <c r="N133" i="12"/>
  <c r="V133" i="12"/>
  <c r="AD133" i="12"/>
  <c r="AL133" i="12"/>
  <c r="AT133" i="12"/>
  <c r="BB133" i="12"/>
  <c r="BJ133" i="12"/>
  <c r="BR133" i="12"/>
  <c r="BZ133" i="12"/>
  <c r="CH133" i="12"/>
  <c r="CP133" i="12"/>
  <c r="CX133" i="12"/>
  <c r="L134" i="12"/>
  <c r="T134" i="12"/>
  <c r="AB134" i="12"/>
  <c r="AJ134" i="12"/>
  <c r="AR134" i="12"/>
  <c r="AZ134" i="12"/>
  <c r="BH134" i="12"/>
  <c r="BP134" i="12"/>
  <c r="BX134" i="12"/>
  <c r="CF134" i="12"/>
  <c r="CN134" i="12"/>
  <c r="CV134" i="12"/>
  <c r="J135" i="12"/>
  <c r="W135" i="12"/>
  <c r="AM135" i="12"/>
  <c r="BC135" i="12"/>
  <c r="BS135" i="12"/>
  <c r="CI135" i="12"/>
  <c r="CY135" i="12"/>
  <c r="U136" i="12"/>
  <c r="AK136" i="12"/>
  <c r="BA136" i="12"/>
  <c r="BQ136" i="12"/>
  <c r="CG136" i="12"/>
  <c r="S137" i="12"/>
  <c r="AI137" i="12"/>
  <c r="AY137" i="12"/>
  <c r="BO137" i="12"/>
  <c r="CE137" i="12"/>
  <c r="CU137" i="12"/>
  <c r="Q138" i="12"/>
  <c r="AG138" i="12"/>
  <c r="AW138" i="12"/>
  <c r="BM138" i="12"/>
  <c r="CC138" i="12"/>
  <c r="CS138" i="12"/>
  <c r="O133" i="12"/>
  <c r="W133" i="12"/>
  <c r="AE133" i="12"/>
  <c r="AM133" i="12"/>
  <c r="AU133" i="12"/>
  <c r="BC133" i="12"/>
  <c r="BK133" i="12"/>
  <c r="BS133" i="12"/>
  <c r="CA133" i="12"/>
  <c r="CI133" i="12"/>
  <c r="CQ133" i="12"/>
  <c r="CY133" i="12"/>
  <c r="M134" i="12"/>
  <c r="U134" i="12"/>
  <c r="AC134" i="12"/>
  <c r="AK134" i="12"/>
  <c r="AS134" i="12"/>
  <c r="BA134" i="12"/>
  <c r="BI134" i="12"/>
  <c r="BQ134" i="12"/>
  <c r="BY134" i="12"/>
  <c r="CG134" i="12"/>
  <c r="CO134" i="12"/>
  <c r="CW134"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CV136" i="12"/>
  <c r="CN136" i="12"/>
  <c r="CF136" i="12"/>
  <c r="BX136" i="12"/>
  <c r="BP136" i="12"/>
  <c r="BH136" i="12"/>
  <c r="AZ136" i="12"/>
  <c r="AR136" i="12"/>
  <c r="AJ136" i="12"/>
  <c r="AB136" i="12"/>
  <c r="T136" i="12"/>
  <c r="L136" i="12"/>
  <c r="W136" i="12"/>
  <c r="AM136" i="12"/>
  <c r="BC136" i="12"/>
  <c r="BS136" i="12"/>
  <c r="CI136" i="12"/>
  <c r="CY136" i="12"/>
  <c r="U137" i="12"/>
  <c r="AK137" i="12"/>
  <c r="BA137" i="12"/>
  <c r="BQ137" i="12"/>
  <c r="CG137" i="12"/>
  <c r="S138" i="12"/>
  <c r="AI138" i="12"/>
  <c r="AY138" i="12"/>
  <c r="BO138" i="12"/>
  <c r="CE138" i="12"/>
  <c r="CU138" i="12"/>
  <c r="AF133" i="12"/>
  <c r="AN133" i="12"/>
  <c r="AV133" i="12"/>
  <c r="BD133" i="12"/>
  <c r="BL133" i="12"/>
  <c r="BT133" i="12"/>
  <c r="CB133" i="12"/>
  <c r="CJ133" i="12"/>
  <c r="CR133" i="12"/>
  <c r="CZ133" i="12"/>
  <c r="N134" i="12"/>
  <c r="V134" i="12"/>
  <c r="AD134" i="12"/>
  <c r="AL134" i="12"/>
  <c r="AT134" i="12"/>
  <c r="BB134" i="12"/>
  <c r="BJ134" i="12"/>
  <c r="BR134" i="12"/>
  <c r="BZ134" i="12"/>
  <c r="CH134" i="12"/>
  <c r="CP134" i="12"/>
  <c r="CX134"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O134" i="12"/>
  <c r="W134" i="12"/>
  <c r="AE134" i="12"/>
  <c r="AM134" i="12"/>
  <c r="AU134" i="12"/>
  <c r="BC134" i="12"/>
  <c r="BK134" i="12"/>
  <c r="BS134" i="12"/>
  <c r="CA134" i="12"/>
  <c r="CI134" i="12"/>
  <c r="CQ134" i="12"/>
  <c r="CY134"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J133" i="12"/>
  <c r="R133" i="12"/>
  <c r="Z133" i="12"/>
  <c r="AH133" i="12"/>
  <c r="AP133" i="12"/>
  <c r="AX133" i="12"/>
  <c r="BF133" i="12"/>
  <c r="BN133" i="12"/>
  <c r="BV133" i="12"/>
  <c r="CD133" i="12"/>
  <c r="CL133" i="12"/>
  <c r="CT133" i="12"/>
  <c r="H134" i="12"/>
  <c r="P134" i="12"/>
  <c r="X134" i="12"/>
  <c r="AF134" i="12"/>
  <c r="AN134" i="12"/>
  <c r="AV134" i="12"/>
  <c r="BD134" i="12"/>
  <c r="BL134" i="12"/>
  <c r="BT134" i="12"/>
  <c r="CB134" i="12"/>
  <c r="CJ134" i="12"/>
  <c r="CR134" i="12"/>
  <c r="CZ134" i="12"/>
  <c r="O135" i="12"/>
  <c r="AE135" i="12"/>
  <c r="AU135" i="12"/>
  <c r="BK135" i="12"/>
  <c r="CA135" i="12"/>
  <c r="M136" i="12"/>
  <c r="AC136" i="12"/>
  <c r="AS136" i="12"/>
  <c r="BI136" i="12"/>
  <c r="BY136" i="12"/>
  <c r="CO136" i="12"/>
  <c r="K137" i="12"/>
  <c r="AA137" i="12"/>
  <c r="AQ137" i="12"/>
  <c r="BG137" i="12"/>
  <c r="BW137" i="12"/>
  <c r="CM137" i="12"/>
  <c r="I138" i="12"/>
  <c r="Y138" i="12"/>
  <c r="AO138" i="12"/>
  <c r="BE138" i="12"/>
  <c r="BU138" i="12"/>
  <c r="CK138" i="12"/>
  <c r="K133" i="12"/>
  <c r="S133" i="12"/>
  <c r="AA133" i="12"/>
  <c r="AI133" i="12"/>
  <c r="AQ133" i="12"/>
  <c r="AY133" i="12"/>
  <c r="BG133" i="12"/>
  <c r="BO133" i="12"/>
  <c r="BW133" i="12"/>
  <c r="CE133" i="12"/>
  <c r="CM133" i="12"/>
  <c r="CU133" i="12"/>
  <c r="I134" i="12"/>
  <c r="Q134" i="12"/>
  <c r="Y134" i="12"/>
  <c r="AG134" i="12"/>
  <c r="AO134" i="12"/>
  <c r="AW134" i="12"/>
  <c r="BE134" i="12"/>
  <c r="BM134" i="12"/>
  <c r="BU134" i="12"/>
  <c r="CC134" i="12"/>
  <c r="CK134" i="12"/>
  <c r="CS134"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CZ135" i="12"/>
  <c r="CR135" i="12"/>
  <c r="CJ135" i="12"/>
  <c r="CB135" i="12"/>
  <c r="BT135" i="12"/>
  <c r="BL135" i="12"/>
  <c r="BD135" i="12"/>
  <c r="AV135" i="12"/>
  <c r="AN135" i="12"/>
  <c r="AF135" i="12"/>
  <c r="X135" i="12"/>
  <c r="P135" i="12"/>
  <c r="CX135" i="12"/>
  <c r="CP135" i="12"/>
  <c r="CH135" i="12"/>
  <c r="BZ135" i="12"/>
  <c r="BR135" i="12"/>
  <c r="BJ135" i="12"/>
  <c r="BB135" i="12"/>
  <c r="AT135" i="12"/>
  <c r="AL135" i="12"/>
  <c r="AD135" i="12"/>
  <c r="V135" i="12"/>
  <c r="N135" i="12"/>
  <c r="Q135" i="12"/>
  <c r="AG135" i="12"/>
  <c r="AW135" i="12"/>
  <c r="BM135" i="12"/>
  <c r="CC135" i="12"/>
  <c r="CS135" i="12"/>
  <c r="O136" i="12"/>
  <c r="AE136" i="12"/>
  <c r="AU136" i="12"/>
  <c r="BK136" i="12"/>
  <c r="CA136" i="12"/>
  <c r="CQ136" i="12"/>
  <c r="M137" i="12"/>
  <c r="AC137" i="12"/>
  <c r="AS137" i="12"/>
  <c r="BI137" i="12"/>
  <c r="BY137" i="12"/>
  <c r="CO137" i="12"/>
  <c r="K138" i="12"/>
  <c r="AA138" i="12"/>
  <c r="AQ138" i="12"/>
  <c r="BG138" i="12"/>
  <c r="BW138" i="12"/>
  <c r="CM138" i="12"/>
  <c r="L133" i="12"/>
  <c r="T133" i="12"/>
  <c r="AB133" i="12"/>
  <c r="AJ133" i="12"/>
  <c r="AR133" i="12"/>
  <c r="AZ133" i="12"/>
  <c r="BH133" i="12"/>
  <c r="BP133" i="12"/>
  <c r="BX133" i="12"/>
  <c r="CF133" i="12"/>
  <c r="CN133" i="12"/>
  <c r="J134" i="12"/>
  <c r="R134" i="12"/>
  <c r="Z134" i="12"/>
  <c r="AH134" i="12"/>
  <c r="AP134" i="12"/>
  <c r="AX134" i="12"/>
  <c r="BF134" i="12"/>
  <c r="BN134" i="12"/>
  <c r="BV134" i="12"/>
  <c r="CD134" i="12"/>
  <c r="CL134" i="12"/>
  <c r="H135" i="12"/>
  <c r="S135" i="12"/>
  <c r="AI135" i="12"/>
  <c r="AY135" i="12"/>
  <c r="BO135" i="12"/>
  <c r="CE135" i="12"/>
  <c r="CU135" i="12"/>
  <c r="Q136" i="12"/>
  <c r="AG136" i="12"/>
  <c r="AW136" i="12"/>
  <c r="BM136" i="12"/>
  <c r="CC136" i="12"/>
  <c r="CS136" i="12"/>
  <c r="O137" i="12"/>
  <c r="AE137" i="12"/>
  <c r="AU137" i="12"/>
  <c r="BK137" i="12"/>
  <c r="CA137" i="12"/>
  <c r="CQ137" i="12"/>
  <c r="M138" i="12"/>
  <c r="AC138" i="12"/>
  <c r="AS138" i="12"/>
  <c r="BI138" i="12"/>
  <c r="BY138" i="12"/>
  <c r="CO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B26" i="35"/>
  <c r="B25" i="35"/>
  <c r="B24" i="35"/>
  <c r="B23" i="35"/>
  <c r="B22" i="35"/>
  <c r="B21" i="35"/>
  <c r="B20" i="35"/>
  <c r="B19" i="35"/>
  <c r="B18" i="35"/>
  <c r="B135" i="15"/>
  <c r="B134" i="15"/>
  <c r="B132" i="15"/>
  <c r="B131" i="15"/>
  <c r="G21" i="113"/>
  <c r="G19" i="113"/>
  <c r="G18" i="113"/>
  <c r="G20" i="113" s="1"/>
  <c r="G10" i="113"/>
  <c r="G11" i="113" s="1"/>
  <c r="G14" i="113" s="1"/>
  <c r="G24" i="113" l="1"/>
  <c r="G17" i="113"/>
  <c r="G22" i="113" s="1"/>
  <c r="G25" i="113" s="1"/>
  <c r="G26" i="113" l="1"/>
  <c r="J41" i="33" l="1"/>
  <c r="C55" i="6" l="1"/>
  <c r="P134" i="15"/>
  <c r="P133" i="15"/>
  <c r="P132" i="15"/>
  <c r="P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191" i="119"/>
  <c r="H6" i="119"/>
  <c r="F189" i="119"/>
  <c r="F191" i="119"/>
  <c r="I64" i="119"/>
  <c r="I189" i="119"/>
  <c r="I191" i="119"/>
  <c r="H62" i="119"/>
  <c r="H189" i="119"/>
  <c r="H191" i="119"/>
  <c r="C52" i="119"/>
  <c r="C189" i="119"/>
  <c r="C191" i="119"/>
  <c r="AI276" i="11"/>
  <c r="AX276" i="11" s="1"/>
  <c r="BM276" i="11" s="1"/>
  <c r="BR276" i="11" s="1"/>
  <c r="M17" i="12"/>
  <c r="AI494" i="11"/>
  <c r="AX494" i="11" s="1"/>
  <c r="AI380" i="11"/>
  <c r="AI277" i="11"/>
  <c r="AX277" i="11" s="1"/>
  <c r="BM277" i="11" s="1"/>
  <c r="BR277" i="11" s="1"/>
  <c r="G94" i="12"/>
  <c r="Z664" i="11"/>
  <c r="AA494" i="11" s="1"/>
  <c r="AB494" i="11" s="1"/>
  <c r="AC494" i="11" s="1"/>
  <c r="AD494" i="11" s="1"/>
  <c r="AE494" i="11" s="1"/>
  <c r="AF494" i="11" s="1"/>
  <c r="AG494" i="11" s="1"/>
  <c r="AH494" i="11" s="1"/>
  <c r="T15" i="18"/>
  <c r="AX480" i="11"/>
  <c r="BM480" i="11" s="1"/>
  <c r="BR480" i="11" s="1"/>
  <c r="Z650" i="11"/>
  <c r="AA480" i="11" s="1"/>
  <c r="AB480" i="11" s="1"/>
  <c r="AC480" i="11" s="1"/>
  <c r="AD480" i="11" s="1"/>
  <c r="AE480" i="11" s="1"/>
  <c r="AF480" i="11" s="1"/>
  <c r="AG480" i="11" s="1"/>
  <c r="AH480" i="11" s="1"/>
  <c r="G25" i="12"/>
  <c r="G91" i="12"/>
  <c r="G29" i="12"/>
  <c r="G92" i="12"/>
  <c r="G9" i="12"/>
  <c r="T9" i="12" s="1"/>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BM494" i="11"/>
  <c r="BR494" i="11" s="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J254" i="11"/>
  <c r="AK254" i="11" s="1"/>
  <c r="AL254" i="11" s="1"/>
  <c r="AM254" i="11" s="1"/>
  <c r="AN254" i="11" s="1"/>
  <c r="AO254" i="11" s="1"/>
  <c r="AP254" i="11" s="1"/>
  <c r="AQ254" i="11" s="1"/>
  <c r="AR254" i="11" s="1"/>
  <c r="AS254" i="11" s="1"/>
  <c r="AT254" i="11" s="1"/>
  <c r="AU254" i="11" s="1"/>
  <c r="AV254" i="11" s="1"/>
  <c r="AW254" i="11" s="1"/>
  <c r="AE254" i="11"/>
  <c r="AF254" i="11" s="1"/>
  <c r="AG254" i="11" s="1"/>
  <c r="AH254" i="11" s="1"/>
  <c r="AX254" i="1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R7" i="12" l="1"/>
  <c r="AF9" i="12"/>
  <c r="B16" i="13"/>
  <c r="AG97" i="12"/>
  <c r="E249" i="119"/>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25" i="33"/>
  <c r="C67" i="6"/>
  <c r="C282" i="15"/>
  <c r="D281" i="15"/>
  <c r="B17" i="13" l="1"/>
  <c r="AS17" i="12"/>
  <c r="AT17" i="12" s="1"/>
  <c r="AU17" i="12" s="1"/>
  <c r="AV17" i="12" s="1"/>
  <c r="AW17" i="12" s="1"/>
  <c r="AX17" i="12" s="1"/>
  <c r="AY17" i="12" s="1"/>
  <c r="AZ17" i="12" s="1"/>
  <c r="BA17" i="12" s="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B76"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D74" i="15" l="1"/>
  <c r="M74" i="15" s="1"/>
  <c r="A58" i="14"/>
  <c r="A106" i="14"/>
  <c r="C106" i="14" s="1"/>
  <c r="L74" i="15"/>
  <c r="W74" i="15"/>
  <c r="B77" i="15"/>
  <c r="A26" i="13" s="1"/>
  <c r="A25" i="13"/>
  <c r="AF74" i="15"/>
  <c r="K74" i="15"/>
  <c r="C75" i="15"/>
  <c r="B24" i="13"/>
  <c r="C76" i="15"/>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E147" i="15"/>
  <c r="D147" i="15"/>
  <c r="B78" i="15" l="1"/>
  <c r="A27" i="13" s="1"/>
  <c r="B25" i="13"/>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B26"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E149" i="15"/>
  <c r="B27"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B28"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E151" i="15"/>
  <c r="D151" i="15"/>
  <c r="B83" i="15" l="1"/>
  <c r="A32" i="13" s="1"/>
  <c r="A31" i="13"/>
  <c r="B29"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E152" i="15"/>
  <c r="D152" i="15"/>
  <c r="B30" i="13" l="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D153" i="15"/>
  <c r="E153" i="15"/>
  <c r="B31" i="13" l="1"/>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E154" i="15"/>
  <c r="B32" i="13" l="1"/>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B88" i="15" l="1"/>
  <c r="A37" i="13" s="1"/>
  <c r="A36" i="13"/>
  <c r="B33" i="13"/>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D156" i="15"/>
  <c r="E156" i="15"/>
  <c r="B90" i="15" l="1"/>
  <c r="A39" i="13" s="1"/>
  <c r="A38" i="13"/>
  <c r="H86" i="15"/>
  <c r="A70" i="14"/>
  <c r="B34" i="13"/>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B35"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B93" i="15" l="1"/>
  <c r="A42" i="13" s="1"/>
  <c r="A41" i="13"/>
  <c r="B36"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B37"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B38"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B39"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B98" i="15" l="1"/>
  <c r="A47" i="13" s="1"/>
  <c r="A46" i="13"/>
  <c r="B40"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B41"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D164" i="15"/>
  <c r="B42"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B43"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E166" i="15"/>
  <c r="B44"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B45"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B46"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B47"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B48"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B49" i="13" l="1"/>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E172" i="15"/>
  <c r="B50" i="13" l="1"/>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B51" i="13" l="1"/>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B52"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E175" i="15"/>
  <c r="D175" i="15"/>
  <c r="B53" i="13" l="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E176" i="15"/>
  <c r="C108" i="15" l="1"/>
  <c r="Q108" i="15" s="1"/>
  <c r="Q107" i="15"/>
  <c r="B54" i="13"/>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B55" i="13" l="1"/>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E178" i="15"/>
  <c r="C55" i="13" l="1"/>
  <c r="F55" i="13"/>
  <c r="B56" i="13"/>
  <c r="E55" i="13"/>
  <c r="D55" i="13" s="1"/>
  <c r="G55" i="13"/>
  <c r="AF110" i="15"/>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D179" i="15"/>
  <c r="E179" i="15"/>
  <c r="G56" i="13" l="1"/>
  <c r="B57" i="13"/>
  <c r="C56" i="13"/>
  <c r="F56" i="13"/>
  <c r="E56" i="13"/>
  <c r="D56" i="13" s="1"/>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C57" i="13" l="1"/>
  <c r="F57" i="13"/>
  <c r="E57" i="13"/>
  <c r="G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D57" i="13" l="1"/>
  <c r="F229" i="15"/>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D233" i="15"/>
  <c r="I34" i="34" s="1"/>
  <c r="L87" i="15"/>
  <c r="M87" i="15"/>
  <c r="I48" i="119"/>
  <c r="H48" i="119"/>
  <c r="G48" i="119"/>
  <c r="E48" i="119"/>
  <c r="C52" i="6" s="1"/>
  <c r="D48" i="119"/>
  <c r="C26" i="6" s="1"/>
  <c r="C48" i="119"/>
  <c r="C25" i="6" s="1"/>
  <c r="F48" i="119"/>
  <c r="E75" i="6" s="1"/>
  <c r="B133" i="15" l="1"/>
  <c r="C40" i="35"/>
  <c r="C41" i="35" s="1"/>
  <c r="B22" i="15"/>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C178" i="15"/>
  <c r="C170" i="15"/>
  <c r="C162" i="15"/>
  <c r="C154" i="15"/>
  <c r="C146" i="15"/>
  <c r="C167" i="15"/>
  <c r="C151" i="15"/>
  <c r="C163" i="15"/>
  <c r="C177" i="15"/>
  <c r="C169" i="15"/>
  <c r="C161" i="15"/>
  <c r="C153" i="15"/>
  <c r="C145" i="15"/>
  <c r="C143" i="15"/>
  <c r="C155" i="15"/>
  <c r="C176" i="15"/>
  <c r="C168" i="15"/>
  <c r="C160" i="15"/>
  <c r="C152" i="15"/>
  <c r="C144" i="15"/>
  <c r="C175" i="15"/>
  <c r="C159" i="15"/>
  <c r="C171" i="15"/>
  <c r="C174" i="15"/>
  <c r="C166" i="15"/>
  <c r="C158" i="15"/>
  <c r="C150" i="15"/>
  <c r="C142" i="15"/>
  <c r="C148" i="15"/>
  <c r="C147" i="15"/>
  <c r="C173" i="15"/>
  <c r="C165" i="15"/>
  <c r="C157" i="15"/>
  <c r="C149" i="15"/>
  <c r="C141" i="15"/>
  <c r="C172" i="15"/>
  <c r="C164" i="15"/>
  <c r="C156" i="15"/>
  <c r="C140" i="15"/>
  <c r="C179" i="15"/>
  <c r="C139" i="15"/>
  <c r="B169" i="15"/>
  <c r="B161" i="15"/>
  <c r="B166" i="15"/>
  <c r="B153" i="15"/>
  <c r="B139" i="15"/>
  <c r="B154" i="15"/>
  <c r="B148" i="15"/>
  <c r="B162" i="15"/>
  <c r="B167" i="15"/>
  <c r="B156" i="15"/>
  <c r="B142" i="15"/>
  <c r="B175" i="15"/>
  <c r="B160" i="15"/>
  <c r="B151" i="15"/>
  <c r="B179" i="15"/>
  <c r="B170" i="15"/>
  <c r="B149" i="15"/>
  <c r="B163" i="15"/>
  <c r="B152" i="15"/>
  <c r="B147" i="15"/>
  <c r="B158" i="15"/>
  <c r="B150" i="15"/>
  <c r="B143" i="15"/>
  <c r="B178" i="15"/>
  <c r="B146" i="15"/>
  <c r="B173" i="15"/>
  <c r="B174" i="15"/>
  <c r="B171" i="15"/>
  <c r="B172" i="15"/>
  <c r="B165" i="15"/>
  <c r="B141" i="15"/>
  <c r="B168" i="15"/>
  <c r="B164" i="15"/>
  <c r="B140" i="15"/>
  <c r="B145" i="15"/>
  <c r="B144" i="15"/>
  <c r="B176" i="15"/>
  <c r="B177" i="15"/>
  <c r="B155" i="15"/>
  <c r="B159" i="15"/>
  <c r="B157" i="15"/>
  <c r="C16" i="35" l="1"/>
  <c r="D16" i="35" s="1"/>
  <c r="C24" i="35"/>
  <c r="D24" i="35" s="1"/>
  <c r="F24" i="35" s="1"/>
  <c r="C20" i="35"/>
  <c r="D20" i="35" s="1"/>
  <c r="F20" i="35" s="1"/>
  <c r="C26" i="35"/>
  <c r="D26" i="35" s="1"/>
  <c r="C23" i="24" s="1"/>
  <c r="C23" i="35"/>
  <c r="D23" i="35" s="1"/>
  <c r="C20" i="24" s="1"/>
  <c r="H20" i="24" s="1"/>
  <c r="C22" i="35"/>
  <c r="D22" i="35" s="1"/>
  <c r="C19" i="24" s="1"/>
  <c r="H19" i="24" s="1"/>
  <c r="C19" i="35"/>
  <c r="D19" i="35" s="1"/>
  <c r="F19" i="35" s="1"/>
  <c r="C18" i="35"/>
  <c r="D18" i="35" s="1"/>
  <c r="C15" i="24" s="1"/>
  <c r="C25" i="35"/>
  <c r="D25" i="35" s="1"/>
  <c r="F25" i="35" s="1"/>
  <c r="C21" i="35"/>
  <c r="D21" i="35" s="1"/>
  <c r="F21" i="35" s="1"/>
  <c r="F33" i="34"/>
  <c r="C136" i="15"/>
  <c r="E36" i="14"/>
  <c r="C69" i="6"/>
  <c r="C132" i="6"/>
  <c r="C3" i="119"/>
  <c r="C199" i="119" s="1"/>
  <c r="C27" i="6"/>
  <c r="C28" i="6" s="1"/>
  <c r="C5" i="119"/>
  <c r="E199" i="119" s="1"/>
  <c r="H36" i="14"/>
  <c r="C47" i="33" s="1"/>
  <c r="C46" i="33"/>
  <c r="E22" i="15"/>
  <c r="F36" i="14"/>
  <c r="D36" i="14"/>
  <c r="G36" i="14"/>
  <c r="B26" i="15"/>
  <c r="B27" i="15" s="1"/>
  <c r="C36" i="14"/>
  <c r="AF116" i="15"/>
  <c r="AB55" i="15" s="1"/>
  <c r="AB57" i="15" s="1"/>
  <c r="W116" i="1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F75" i="6" l="1"/>
  <c r="F80" i="6" s="1"/>
  <c r="C142" i="6" s="1"/>
  <c r="G188" i="15"/>
  <c r="E96" i="34"/>
  <c r="C96" i="34"/>
  <c r="D96" i="34"/>
  <c r="C33" i="34"/>
  <c r="C53" i="34" s="1"/>
  <c r="I3" i="119"/>
  <c r="C79" i="119" s="1"/>
  <c r="D79" i="119" s="1"/>
  <c r="H3" i="119"/>
  <c r="C78" i="119"/>
  <c r="D78" i="119" s="1"/>
  <c r="O69" i="15"/>
  <c r="B189" i="15"/>
  <c r="O70" i="15"/>
  <c r="E207" i="15"/>
  <c r="B211" i="15"/>
  <c r="H223" i="15"/>
  <c r="C196" i="15"/>
  <c r="B198" i="15"/>
  <c r="C199" i="15"/>
  <c r="L203" i="15"/>
  <c r="B226" i="15"/>
  <c r="O85" i="15"/>
  <c r="N208" i="15"/>
  <c r="N190" i="15"/>
  <c r="M205" i="15"/>
  <c r="H214" i="15"/>
  <c r="M203" i="15"/>
  <c r="L218" i="15"/>
  <c r="L220" i="15"/>
  <c r="C220" i="15"/>
  <c r="D219" i="15"/>
  <c r="I218" i="15"/>
  <c r="B205" i="15"/>
  <c r="L200" i="15"/>
  <c r="C191" i="15"/>
  <c r="H199" i="15"/>
  <c r="O89" i="15"/>
  <c r="M198" i="15"/>
  <c r="I216" i="15"/>
  <c r="O91" i="15"/>
  <c r="H193" i="15"/>
  <c r="N206" i="15"/>
  <c r="G196" i="15"/>
  <c r="M200" i="15"/>
  <c r="G213" i="15"/>
  <c r="B203" i="15"/>
  <c r="B223" i="15"/>
  <c r="O99" i="15"/>
  <c r="F202" i="15"/>
  <c r="M218" i="15"/>
  <c r="I202" i="15"/>
  <c r="C215" i="15"/>
  <c r="I196" i="15"/>
  <c r="N194" i="15"/>
  <c r="N189" i="15"/>
  <c r="N224" i="15"/>
  <c r="D206" i="15"/>
  <c r="F215" i="15"/>
  <c r="N216" i="15"/>
  <c r="B194" i="15"/>
  <c r="O77" i="15"/>
  <c r="B219" i="15"/>
  <c r="B195" i="15"/>
  <c r="O76" i="15"/>
  <c r="N199" i="15"/>
  <c r="M225" i="15"/>
  <c r="I204" i="15"/>
  <c r="AE91" i="15"/>
  <c r="AE104" i="15"/>
  <c r="G217" i="15"/>
  <c r="D226" i="15"/>
  <c r="H217" i="15"/>
  <c r="F194" i="15"/>
  <c r="L224" i="15"/>
  <c r="B206" i="15"/>
  <c r="O101" i="15"/>
  <c r="B220" i="15"/>
  <c r="O92" i="15"/>
  <c r="G215" i="15"/>
  <c r="C210" i="15"/>
  <c r="C214" i="15"/>
  <c r="E206" i="15"/>
  <c r="G206" i="15"/>
  <c r="H189" i="15"/>
  <c r="G203" i="15"/>
  <c r="C213" i="15"/>
  <c r="N220" i="15"/>
  <c r="E213" i="15"/>
  <c r="H216" i="15"/>
  <c r="B214" i="15"/>
  <c r="O78" i="15"/>
  <c r="O83" i="15"/>
  <c r="G199" i="15"/>
  <c r="N219" i="15"/>
  <c r="E226" i="15"/>
  <c r="AE72" i="15"/>
  <c r="M202" i="15"/>
  <c r="F218" i="15"/>
  <c r="H224" i="15"/>
  <c r="N198" i="15"/>
  <c r="E204" i="15"/>
  <c r="C197" i="15"/>
  <c r="B218" i="15"/>
  <c r="O86" i="15"/>
  <c r="B212" i="15"/>
  <c r="E221" i="15"/>
  <c r="L192" i="15"/>
  <c r="H204" i="15"/>
  <c r="L207" i="15"/>
  <c r="N202" i="15"/>
  <c r="E210" i="15"/>
  <c r="M199" i="15"/>
  <c r="F199" i="15"/>
  <c r="C205" i="15"/>
  <c r="E200" i="15"/>
  <c r="I198" i="15"/>
  <c r="N214" i="15"/>
  <c r="M197" i="15"/>
  <c r="G200" i="15"/>
  <c r="O96" i="15"/>
  <c r="E24" i="15"/>
  <c r="N211" i="15"/>
  <c r="B225" i="15"/>
  <c r="D188" i="15"/>
  <c r="AE76" i="15"/>
  <c r="H212" i="15"/>
  <c r="G208" i="15"/>
  <c r="D201" i="15"/>
  <c r="F220" i="15"/>
  <c r="I220" i="15"/>
  <c r="D209" i="15"/>
  <c r="F191" i="15"/>
  <c r="N203" i="15"/>
  <c r="F198" i="15"/>
  <c r="N225" i="15"/>
  <c r="F193" i="15"/>
  <c r="C190" i="15"/>
  <c r="G226" i="15"/>
  <c r="L202" i="15"/>
  <c r="D187" i="15"/>
  <c r="AE70" i="15"/>
  <c r="D223" i="15"/>
  <c r="H200" i="15"/>
  <c r="N223" i="15"/>
  <c r="D212" i="15"/>
  <c r="F195" i="15"/>
  <c r="F188" i="15"/>
  <c r="F192" i="15"/>
  <c r="AE102" i="15"/>
  <c r="G223" i="15"/>
  <c r="I212" i="15"/>
  <c r="F219" i="15"/>
  <c r="D204" i="15"/>
  <c r="G190" i="15"/>
  <c r="D211" i="15"/>
  <c r="AE89" i="15"/>
  <c r="N221" i="15"/>
  <c r="I205" i="15"/>
  <c r="D205" i="15"/>
  <c r="E208" i="15"/>
  <c r="G216" i="15"/>
  <c r="L219" i="15"/>
  <c r="C48" i="33"/>
  <c r="H5" i="119"/>
  <c r="B210" i="15"/>
  <c r="B191" i="15"/>
  <c r="O102" i="15"/>
  <c r="O90" i="15"/>
  <c r="O79" i="15"/>
  <c r="O71" i="15"/>
  <c r="B224" i="15"/>
  <c r="B217" i="15"/>
  <c r="L215" i="15"/>
  <c r="AE98" i="15"/>
  <c r="H201" i="15"/>
  <c r="N217" i="15"/>
  <c r="I209" i="15"/>
  <c r="D222" i="15"/>
  <c r="L225" i="15"/>
  <c r="I215" i="15"/>
  <c r="D189" i="15"/>
  <c r="L212" i="15"/>
  <c r="I210" i="15"/>
  <c r="C204" i="15"/>
  <c r="M226" i="15"/>
  <c r="H219" i="15"/>
  <c r="D191" i="15"/>
  <c r="AE97" i="15"/>
  <c r="E198" i="15"/>
  <c r="G207" i="15"/>
  <c r="I189" i="15"/>
  <c r="L210" i="15"/>
  <c r="N192" i="15"/>
  <c r="M224" i="15"/>
  <c r="I226" i="15"/>
  <c r="E202" i="15"/>
  <c r="G193" i="15"/>
  <c r="H208" i="15"/>
  <c r="G205" i="15"/>
  <c r="AE73" i="15"/>
  <c r="F200" i="15"/>
  <c r="D225" i="15"/>
  <c r="E218" i="15"/>
  <c r="D196" i="15"/>
  <c r="N196" i="15"/>
  <c r="I200" i="15"/>
  <c r="G198" i="15"/>
  <c r="E203" i="15"/>
  <c r="H220" i="15"/>
  <c r="H190" i="15"/>
  <c r="L193" i="15"/>
  <c r="I199" i="15"/>
  <c r="D202" i="15"/>
  <c r="M219" i="15"/>
  <c r="M209" i="15"/>
  <c r="M212" i="15"/>
  <c r="N205" i="15"/>
  <c r="D200" i="15"/>
  <c r="N204" i="15"/>
  <c r="D194" i="15"/>
  <c r="C193" i="15"/>
  <c r="N209" i="15"/>
  <c r="O84" i="15"/>
  <c r="L188" i="15"/>
  <c r="H187" i="15"/>
  <c r="AE66" i="15"/>
  <c r="B190" i="15"/>
  <c r="B222" i="15"/>
  <c r="O93" i="15"/>
  <c r="B196" i="15"/>
  <c r="O94" i="15"/>
  <c r="B204" i="15"/>
  <c r="O74" i="15"/>
  <c r="B221" i="15"/>
  <c r="F205" i="15"/>
  <c r="H218" i="15"/>
  <c r="M190"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H207" i="15"/>
  <c r="L198" i="15"/>
  <c r="L214" i="15"/>
  <c r="L194" i="15"/>
  <c r="AE95" i="15"/>
  <c r="F207" i="15"/>
  <c r="H213" i="15"/>
  <c r="L222" i="15"/>
  <c r="C202" i="15"/>
  <c r="M221" i="15"/>
  <c r="G214" i="15"/>
  <c r="I208" i="15"/>
  <c r="H195" i="15"/>
  <c r="N222" i="15"/>
  <c r="C225" i="15"/>
  <c r="AE94" i="15"/>
  <c r="I192" i="15"/>
  <c r="E223" i="15"/>
  <c r="C203" i="15"/>
  <c r="N191" i="15"/>
  <c r="F212" i="15"/>
  <c r="C216" i="15"/>
  <c r="L199" i="15"/>
  <c r="B209" i="15"/>
  <c r="H188" i="15"/>
  <c r="L187" i="15"/>
  <c r="O67" i="15"/>
  <c r="O97" i="15"/>
  <c r="B199" i="15"/>
  <c r="O98" i="15"/>
  <c r="B208" i="15"/>
  <c r="B200" i="15"/>
  <c r="O72" i="15"/>
  <c r="O104" i="15"/>
  <c r="G194" i="15"/>
  <c r="I194" i="15"/>
  <c r="AE82" i="15"/>
  <c r="AE101" i="15"/>
  <c r="AE103" i="15"/>
  <c r="F216" i="15"/>
  <c r="C198" i="15"/>
  <c r="L213" i="15"/>
  <c r="N195" i="15"/>
  <c r="E190" i="15"/>
  <c r="F221" i="15"/>
  <c r="G212" i="15"/>
  <c r="D193" i="15"/>
  <c r="L205" i="15"/>
  <c r="M208" i="15"/>
  <c r="I195" i="15"/>
  <c r="AE99" i="15"/>
  <c r="G202" i="15"/>
  <c r="AE86" i="15"/>
  <c r="I190" i="15"/>
  <c r="L221" i="15"/>
  <c r="C207" i="15"/>
  <c r="M196" i="15"/>
  <c r="AE71" i="15"/>
  <c r="E211" i="15"/>
  <c r="E224" i="15"/>
  <c r="L196" i="15"/>
  <c r="C221" i="15"/>
  <c r="C219" i="15"/>
  <c r="F201" i="15"/>
  <c r="D208" i="15"/>
  <c r="G192" i="15"/>
  <c r="D220" i="15"/>
  <c r="L211" i="15"/>
  <c r="E212" i="15"/>
  <c r="N200" i="15"/>
  <c r="AE75" i="15"/>
  <c r="I222" i="15"/>
  <c r="E219" i="15"/>
  <c r="E196" i="15"/>
  <c r="I211" i="15"/>
  <c r="D213" i="15"/>
  <c r="M193" i="15"/>
  <c r="E191" i="15"/>
  <c r="AE105" i="15"/>
  <c r="G220" i="15"/>
  <c r="F214" i="15"/>
  <c r="AE69" i="15"/>
  <c r="C217" i="15"/>
  <c r="C224" i="15"/>
  <c r="F226" i="15"/>
  <c r="C223" i="15"/>
  <c r="G222" i="15"/>
  <c r="F209" i="15"/>
  <c r="F208" i="15"/>
  <c r="B213" i="15"/>
  <c r="C188" i="15"/>
  <c r="I187" i="15"/>
  <c r="B188" i="15"/>
  <c r="B202" i="15"/>
  <c r="O73" i="15"/>
  <c r="O105" i="15"/>
  <c r="B207" i="15"/>
  <c r="O75" i="15"/>
  <c r="B216" i="15"/>
  <c r="O87" i="15"/>
  <c r="B201" i="15"/>
  <c r="B17" i="15"/>
  <c r="B19" i="15" s="1"/>
  <c r="AE87" i="15"/>
  <c r="M211" i="15"/>
  <c r="I225"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0" i="15"/>
  <c r="I213" i="15"/>
  <c r="AE74" i="15"/>
  <c r="D218" i="15"/>
  <c r="C209" i="15"/>
  <c r="C189" i="15"/>
  <c r="I201" i="15"/>
  <c r="E193" i="15"/>
  <c r="G210" i="15"/>
  <c r="H221" i="15"/>
  <c r="AE90" i="15"/>
  <c r="C211" i="15"/>
  <c r="M222" i="15"/>
  <c r="G197" i="15"/>
  <c r="N210" i="15"/>
  <c r="AE88" i="15"/>
  <c r="G225" i="15"/>
  <c r="H226" i="15"/>
  <c r="D217" i="15"/>
  <c r="I223" i="15"/>
  <c r="AE80" i="15"/>
  <c r="F204" i="15"/>
  <c r="M189" i="15"/>
  <c r="H206" i="15"/>
  <c r="O100" i="15"/>
  <c r="E188" i="15"/>
  <c r="C187" i="15"/>
  <c r="B187" i="15"/>
  <c r="N188" i="15"/>
  <c r="E187" i="15"/>
  <c r="O66" i="15"/>
  <c r="O81" i="15"/>
  <c r="B215" i="15"/>
  <c r="O82" i="15"/>
  <c r="B192" i="15"/>
  <c r="O103" i="15"/>
  <c r="O95" i="15"/>
  <c r="O88" i="15"/>
  <c r="N218" i="15"/>
  <c r="G219" i="15"/>
  <c r="E197" i="15"/>
  <c r="N193" i="15"/>
  <c r="I224" i="15"/>
  <c r="M20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197" i="15"/>
  <c r="E192" i="15"/>
  <c r="G189" i="15"/>
  <c r="I207" i="15"/>
  <c r="C212" i="15"/>
  <c r="L216" i="15"/>
  <c r="C208" i="15"/>
  <c r="AE85" i="15"/>
  <c r="F225" i="15"/>
  <c r="M195" i="15"/>
  <c r="L208" i="15"/>
  <c r="C201" i="15"/>
  <c r="AE96" i="15"/>
  <c r="L204" i="15"/>
  <c r="D216" i="15"/>
  <c r="D224" i="15"/>
  <c r="I214" i="15"/>
  <c r="M223" i="15"/>
  <c r="E189" i="15"/>
  <c r="I191" i="15"/>
  <c r="F224" i="15"/>
  <c r="H196" i="15"/>
  <c r="G204" i="15"/>
  <c r="B197" i="15"/>
  <c r="O68" i="15"/>
  <c r="B193" i="15"/>
  <c r="I188" i="15"/>
  <c r="N187" i="15"/>
  <c r="L190" i="15"/>
  <c r="M201" i="15"/>
  <c r="H211" i="15"/>
  <c r="N212" i="15"/>
  <c r="C218" i="15"/>
  <c r="D207" i="15"/>
  <c r="L197" i="15"/>
  <c r="F190" i="15"/>
  <c r="F213" i="15"/>
  <c r="C222" i="15"/>
  <c r="AE84" i="15"/>
  <c r="AE83" i="15"/>
  <c r="E214" i="15"/>
  <c r="M216" i="15"/>
  <c r="M214" i="15"/>
  <c r="I217" i="15"/>
  <c r="I221" i="15"/>
  <c r="AE81" i="15"/>
  <c r="C194" i="15"/>
  <c r="L201" i="15"/>
  <c r="N226" i="15"/>
  <c r="M215" i="15"/>
  <c r="L226" i="15"/>
  <c r="M210" i="15"/>
  <c r="M217" i="15"/>
  <c r="L217" i="15"/>
  <c r="H225" i="15"/>
  <c r="D215" i="15"/>
  <c r="E217" i="15"/>
  <c r="AE79" i="15"/>
  <c r="E222" i="15"/>
  <c r="H222" i="15"/>
  <c r="F211" i="15"/>
  <c r="E205" i="15"/>
  <c r="O80" i="15"/>
  <c r="M188" i="15"/>
  <c r="M187" i="15"/>
  <c r="AE67" i="15"/>
  <c r="F187" i="15"/>
  <c r="G187" i="15"/>
  <c r="I5" i="119"/>
  <c r="C85" i="119" s="1"/>
  <c r="D85" i="119" s="1"/>
  <c r="C84" i="119"/>
  <c r="D84" i="119" s="1"/>
  <c r="G37" i="14"/>
  <c r="D37" i="14"/>
  <c r="I4" i="119"/>
  <c r="C82" i="119" s="1"/>
  <c r="D82" i="119" s="1"/>
  <c r="F37" i="14"/>
  <c r="C81" i="119"/>
  <c r="D81" i="119" s="1"/>
  <c r="E37" i="14"/>
  <c r="H4" i="119"/>
  <c r="C80" i="119" s="1"/>
  <c r="D80" i="119" s="1"/>
  <c r="E23" i="15"/>
  <c r="W115" i="15"/>
  <c r="H37" i="14"/>
  <c r="C37" i="14"/>
  <c r="C22" i="24"/>
  <c r="C21" i="24"/>
  <c r="H21" i="24" s="1"/>
  <c r="C17" i="24"/>
  <c r="H17" i="24" s="1"/>
  <c r="C18" i="24"/>
  <c r="H18" i="24" s="1"/>
  <c r="F22" i="35"/>
  <c r="F23" i="35"/>
  <c r="H15" i="24"/>
  <c r="E15" i="24"/>
  <c r="G15" i="24" s="1"/>
  <c r="F18" i="35"/>
  <c r="E19" i="24"/>
  <c r="G19" i="24" s="1"/>
  <c r="C16" i="24"/>
  <c r="H23" i="24"/>
  <c r="E23" i="24"/>
  <c r="G23" i="24" s="1"/>
  <c r="C36" i="35"/>
  <c r="F26" i="35"/>
  <c r="E20" i="24"/>
  <c r="G20" i="24" s="1"/>
  <c r="C13" i="24"/>
  <c r="F16" i="35"/>
  <c r="D36" i="35"/>
  <c r="E100" i="34"/>
  <c r="C100" i="34"/>
  <c r="C37" i="34"/>
  <c r="D100" i="34"/>
  <c r="C38" i="34"/>
  <c r="E101" i="34"/>
  <c r="D101" i="34"/>
  <c r="C101" i="34"/>
  <c r="C95" i="34"/>
  <c r="E95" i="34"/>
  <c r="D95" i="34"/>
  <c r="B203" i="119"/>
  <c r="E113" i="6"/>
  <c r="B57" i="15"/>
  <c r="D61" i="34"/>
  <c r="C61" i="34"/>
  <c r="D32" i="34"/>
  <c r="E61" i="34"/>
  <c r="E110" i="34"/>
  <c r="D110" i="34"/>
  <c r="C110" i="34"/>
  <c r="F85" i="34" l="1"/>
  <c r="F86" i="34" s="1"/>
  <c r="D85" i="34"/>
  <c r="D86" i="34" s="1"/>
  <c r="C111" i="34"/>
  <c r="D62" i="34"/>
  <c r="E62" i="34"/>
  <c r="C62" i="34"/>
  <c r="D33" i="34"/>
  <c r="E111" i="34"/>
  <c r="D111" i="34"/>
  <c r="F96" i="34"/>
  <c r="L101" i="119"/>
  <c r="B18" i="15"/>
  <c r="C77" i="119"/>
  <c r="D77" i="119" s="1"/>
  <c r="L103" i="119"/>
  <c r="C83" i="119"/>
  <c r="D83" i="119" s="1"/>
  <c r="L102" i="119"/>
  <c r="L231" i="15"/>
  <c r="D231" i="15"/>
  <c r="O115" i="15"/>
  <c r="B122" i="15" s="1"/>
  <c r="M231" i="15"/>
  <c r="AE116" i="15"/>
  <c r="AC55" i="15" s="1"/>
  <c r="AC57" i="15" s="1"/>
  <c r="B231" i="15"/>
  <c r="O116" i="15"/>
  <c r="E231" i="15"/>
  <c r="C231" i="15"/>
  <c r="G231" i="15"/>
  <c r="F231" i="15"/>
  <c r="N231" i="15"/>
  <c r="I231" i="15"/>
  <c r="H231" i="15"/>
  <c r="O114" i="15"/>
  <c r="E25" i="15"/>
  <c r="E21" i="24"/>
  <c r="G21" i="24" s="1"/>
  <c r="E17" i="24"/>
  <c r="G17" i="24" s="1"/>
  <c r="H22" i="24"/>
  <c r="E22" i="24"/>
  <c r="G22" i="24" s="1"/>
  <c r="P66" i="15"/>
  <c r="P67" i="15"/>
  <c r="E18" i="24"/>
  <c r="G18" i="24" s="1"/>
  <c r="F36" i="35"/>
  <c r="H16" i="24"/>
  <c r="E16" i="24"/>
  <c r="G16" i="24" s="1"/>
  <c r="H13" i="24"/>
  <c r="C27" i="24"/>
  <c r="E13" i="24"/>
  <c r="F100" i="34"/>
  <c r="F101" i="34"/>
  <c r="D38" i="34"/>
  <c r="D116" i="34"/>
  <c r="D67" i="34"/>
  <c r="C116" i="34"/>
  <c r="C67" i="34"/>
  <c r="E67" i="34"/>
  <c r="E116" i="34"/>
  <c r="E66" i="34"/>
  <c r="D66" i="34"/>
  <c r="E115" i="34"/>
  <c r="C115" i="34"/>
  <c r="D37" i="34"/>
  <c r="D115" i="34"/>
  <c r="C66" i="34"/>
  <c r="C54" i="34"/>
  <c r="F95" i="34"/>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l="1"/>
  <c r="G85" i="34"/>
  <c r="G86" i="34" s="1"/>
  <c r="F111" i="34"/>
  <c r="E232" i="15"/>
  <c r="F232" i="15"/>
  <c r="F233" i="15" s="1"/>
  <c r="I37" i="34" s="1"/>
  <c r="N232" i="15"/>
  <c r="C232" i="15"/>
  <c r="C233" i="15" s="1"/>
  <c r="I33" i="34" s="1"/>
  <c r="L232" i="15"/>
  <c r="O117" i="15"/>
  <c r="T48" i="119" s="1"/>
  <c r="E165" i="119" s="1"/>
  <c r="H232" i="15"/>
  <c r="B232" i="15"/>
  <c r="B233" i="15" s="1"/>
  <c r="I32" i="34" s="1"/>
  <c r="I232" i="15"/>
  <c r="D232" i="15"/>
  <c r="M232" i="15"/>
  <c r="G232" i="15"/>
  <c r="G233" i="15" s="1"/>
  <c r="I38" i="34" s="1"/>
  <c r="H27" i="24"/>
  <c r="E27" i="24"/>
  <c r="G13" i="24"/>
  <c r="G27" i="24" s="1"/>
  <c r="F116" i="34"/>
  <c r="F115" i="34"/>
  <c r="B204" i="119"/>
  <c r="C204" i="119" s="1"/>
  <c r="B205" i="119" s="1"/>
  <c r="J36" i="33"/>
  <c r="C21" i="33"/>
  <c r="C23" i="33"/>
  <c r="P114" i="15"/>
  <c r="P116" i="15"/>
  <c r="P117" i="15" s="1"/>
  <c r="U48" i="119" s="1"/>
  <c r="E166" i="119" s="1"/>
  <c r="P115" i="15"/>
  <c r="B123" i="15" s="1"/>
  <c r="C38" i="33"/>
  <c r="C5" i="24" l="1"/>
  <c r="C86" i="6"/>
  <c r="D48" i="17" s="1"/>
  <c r="D204" i="119"/>
  <c r="C205" i="119"/>
  <c r="D205" i="119" s="1"/>
  <c r="C53" i="33"/>
  <c r="C55" i="33" s="1"/>
  <c r="C68" i="33"/>
  <c r="C26" i="33" s="1"/>
  <c r="C24" i="33"/>
  <c r="D28" i="17" l="1"/>
  <c r="D38" i="17"/>
  <c r="C119" i="6"/>
  <c r="D117" i="6"/>
  <c r="E117" i="6" s="1"/>
  <c r="D118" i="6"/>
  <c r="E118" i="6" s="1"/>
  <c r="D101" i="6"/>
  <c r="E101" i="6" s="1"/>
  <c r="E102" i="6" s="1"/>
  <c r="E104" i="6" s="1"/>
  <c r="B52" i="15" s="1"/>
  <c r="K65" i="15" s="1"/>
  <c r="D119" i="6"/>
  <c r="D114" i="6"/>
  <c r="E114" i="6" s="1"/>
  <c r="D121" i="6"/>
  <c r="E121" i="6" s="1"/>
  <c r="J133" i="15"/>
  <c r="F42" i="34" s="1"/>
  <c r="B206" i="119"/>
  <c r="C54" i="33"/>
  <c r="C107" i="33"/>
  <c r="C99" i="33"/>
  <c r="C95" i="33"/>
  <c r="C83" i="33"/>
  <c r="C106" i="33"/>
  <c r="C82" i="33"/>
  <c r="C94" i="33"/>
  <c r="C98" i="33"/>
  <c r="C56" i="33"/>
  <c r="C57" i="33"/>
  <c r="C75" i="33"/>
  <c r="C70" i="33"/>
  <c r="C71" i="33" s="1"/>
  <c r="C74" i="33"/>
  <c r="J31" i="33" s="1"/>
  <c r="J34" i="33" s="1"/>
  <c r="E119" i="6" l="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J43" i="33"/>
  <c r="K46" i="33" s="1"/>
  <c r="G19" i="34"/>
  <c r="G22" i="34" s="1"/>
  <c r="K47" i="33"/>
  <c r="H19" i="34" s="1"/>
  <c r="J175" i="15"/>
  <c r="J147" i="15"/>
  <c r="J162" i="15"/>
  <c r="J156" i="15"/>
  <c r="J165" i="15"/>
  <c r="J163" i="15"/>
  <c r="J149" i="15"/>
  <c r="J179" i="15"/>
  <c r="J143" i="15"/>
  <c r="J157" i="15"/>
  <c r="J146" i="15"/>
  <c r="J153" i="15"/>
  <c r="J167" i="15"/>
  <c r="J152" i="15"/>
  <c r="J150" i="15"/>
  <c r="C91" i="6" l="1"/>
  <c r="E91" i="6" s="1"/>
  <c r="C93" i="6"/>
  <c r="E93" i="6" s="1"/>
  <c r="E92" i="6"/>
  <c r="D58" i="15"/>
  <c r="E57" i="15"/>
  <c r="B58" i="15"/>
  <c r="R75" i="15" s="1"/>
  <c r="J214" i="15"/>
  <c r="J200" i="15"/>
  <c r="J204" i="15"/>
  <c r="J226" i="15"/>
  <c r="J193" i="15"/>
  <c r="J190" i="15"/>
  <c r="J212" i="15"/>
  <c r="J209" i="15"/>
  <c r="J222" i="15"/>
  <c r="J197" i="15"/>
  <c r="C96" i="6"/>
  <c r="E96" i="6" s="1"/>
  <c r="C90" i="6"/>
  <c r="E90"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C15" i="34" s="1"/>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I94" i="15" l="1"/>
  <c r="B78" i="14" s="1"/>
  <c r="P78" i="14" s="1"/>
  <c r="I102" i="15"/>
  <c r="B86" i="14" s="1"/>
  <c r="D86" i="14" s="1"/>
  <c r="I71" i="15"/>
  <c r="B55" i="14" s="1"/>
  <c r="H55" i="14" s="1"/>
  <c r="I78" i="15"/>
  <c r="B62" i="14" s="1"/>
  <c r="J62" i="14" s="1"/>
  <c r="I85" i="15"/>
  <c r="B69" i="14" s="1"/>
  <c r="D69" i="14" s="1"/>
  <c r="I72" i="15"/>
  <c r="B56" i="14" s="1"/>
  <c r="D56" i="14" s="1"/>
  <c r="I88" i="15"/>
  <c r="B72" i="14" s="1"/>
  <c r="P72" i="14" s="1"/>
  <c r="I95" i="15"/>
  <c r="B79" i="14" s="1"/>
  <c r="S79" i="14" s="1"/>
  <c r="I98" i="15"/>
  <c r="B82" i="14" s="1"/>
  <c r="S82" i="14" s="1"/>
  <c r="I101" i="15"/>
  <c r="B85" i="14" s="1"/>
  <c r="J85" i="14" s="1"/>
  <c r="I97" i="15"/>
  <c r="B81" i="14" s="1"/>
  <c r="J81" i="14" s="1"/>
  <c r="I87" i="15"/>
  <c r="B71" i="14" s="1"/>
  <c r="T71" i="14" s="1"/>
  <c r="I82" i="15"/>
  <c r="B66" i="14" s="1"/>
  <c r="H66" i="14" s="1"/>
  <c r="I83" i="15"/>
  <c r="B67" i="14" s="1"/>
  <c r="K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J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E78" i="14" l="1"/>
  <c r="F78" i="14"/>
  <c r="O78" i="14"/>
  <c r="I78" i="14"/>
  <c r="K78" i="14"/>
  <c r="J78" i="14"/>
  <c r="N78" i="14"/>
  <c r="W78" i="14"/>
  <c r="Q78" i="14"/>
  <c r="H78" i="14"/>
  <c r="L78" i="14"/>
  <c r="U78" i="14"/>
  <c r="C78" i="14"/>
  <c r="D78" i="14"/>
  <c r="R78" i="14"/>
  <c r="S78" i="14"/>
  <c r="G78" i="14"/>
  <c r="T78" i="14"/>
  <c r="M78" i="14"/>
  <c r="V78" i="14"/>
  <c r="P62" i="14"/>
  <c r="H86" i="14"/>
  <c r="N62" i="14"/>
  <c r="L62" i="14"/>
  <c r="U62" i="14"/>
  <c r="G62" i="14"/>
  <c r="P81" i="14"/>
  <c r="D81" i="14"/>
  <c r="C81" i="14"/>
  <c r="K81" i="14"/>
  <c r="W81" i="14"/>
  <c r="Q81" i="14"/>
  <c r="T62" i="14"/>
  <c r="V62" i="14"/>
  <c r="W62" i="14"/>
  <c r="H62" i="14"/>
  <c r="E62" i="14"/>
  <c r="C62" i="14"/>
  <c r="M62" i="14"/>
  <c r="I62" i="14"/>
  <c r="Q62" i="14"/>
  <c r="O62" i="14"/>
  <c r="R62" i="14"/>
  <c r="K62" i="14"/>
  <c r="F62" i="14"/>
  <c r="D62" i="14"/>
  <c r="S62" i="14"/>
  <c r="N81" i="14"/>
  <c r="I81" i="14"/>
  <c r="F81" i="14"/>
  <c r="O81" i="14"/>
  <c r="S81" i="14"/>
  <c r="T81" i="14"/>
  <c r="V81" i="14"/>
  <c r="M81" i="14"/>
  <c r="G81" i="14"/>
  <c r="E81" i="14"/>
  <c r="L81" i="14"/>
  <c r="H81" i="14"/>
  <c r="R81" i="14"/>
  <c r="U81" i="14"/>
  <c r="W86" i="14"/>
  <c r="L86" i="14"/>
  <c r="E76" i="14"/>
  <c r="P55" i="14"/>
  <c r="Q55" i="14"/>
  <c r="T55" i="14"/>
  <c r="O55" i="14"/>
  <c r="I55" i="14"/>
  <c r="M55" i="14"/>
  <c r="U55" i="14"/>
  <c r="C69" i="14"/>
  <c r="F55" i="14"/>
  <c r="C55" i="14"/>
  <c r="R55" i="14"/>
  <c r="K55" i="14"/>
  <c r="L69" i="14"/>
  <c r="S55" i="14"/>
  <c r="N55" i="14"/>
  <c r="D55" i="14"/>
  <c r="G55" i="14"/>
  <c r="U69" i="14"/>
  <c r="W55" i="14"/>
  <c r="L55" i="14"/>
  <c r="E55" i="14"/>
  <c r="J55" i="14"/>
  <c r="V55" i="14"/>
  <c r="P69" i="14"/>
  <c r="P86" i="14"/>
  <c r="M67" i="14"/>
  <c r="J69" i="14"/>
  <c r="O86" i="14"/>
  <c r="I86" i="14"/>
  <c r="S69" i="14"/>
  <c r="C86" i="14"/>
  <c r="D67" i="14"/>
  <c r="F67" i="14"/>
  <c r="U67" i="14"/>
  <c r="V67" i="14"/>
  <c r="O67" i="14"/>
  <c r="N86" i="14"/>
  <c r="M86" i="14"/>
  <c r="U86" i="14"/>
  <c r="V86" i="14"/>
  <c r="T86" i="14"/>
  <c r="E86" i="14"/>
  <c r="F86" i="14"/>
  <c r="H69" i="14"/>
  <c r="Q69" i="14"/>
  <c r="V69" i="14"/>
  <c r="E69" i="14"/>
  <c r="R69" i="14"/>
  <c r="O69" i="14"/>
  <c r="M69" i="14"/>
  <c r="K69" i="14"/>
  <c r="W69" i="14"/>
  <c r="I69" i="14"/>
  <c r="S86" i="14"/>
  <c r="R86" i="14"/>
  <c r="C67" i="14"/>
  <c r="N72" i="14"/>
  <c r="M88" i="14"/>
  <c r="G54" i="14"/>
  <c r="I54" i="14"/>
  <c r="V87" i="14"/>
  <c r="T69" i="14"/>
  <c r="F69" i="14"/>
  <c r="G86" i="14"/>
  <c r="K86" i="14"/>
  <c r="J86" i="14"/>
  <c r="N69" i="14"/>
  <c r="G69" i="14"/>
  <c r="Q86" i="14"/>
  <c r="W71" i="14"/>
  <c r="C71" i="14"/>
  <c r="M71" i="14"/>
  <c r="Q71" i="14"/>
  <c r="C82" i="14"/>
  <c r="Q82" i="14"/>
  <c r="F82" i="14"/>
  <c r="C89" i="14"/>
  <c r="L89" i="14"/>
  <c r="V89" i="14"/>
  <c r="V71" i="14"/>
  <c r="I68" i="14"/>
  <c r="E72" i="14"/>
  <c r="W72" i="14"/>
  <c r="T67" i="14"/>
  <c r="L67" i="14"/>
  <c r="T54" i="14"/>
  <c r="C72" i="14"/>
  <c r="Q88" i="14"/>
  <c r="E88" i="14"/>
  <c r="H67" i="14"/>
  <c r="S67" i="14"/>
  <c r="Q72" i="14"/>
  <c r="D72" i="14"/>
  <c r="E77" i="14"/>
  <c r="J67" i="14"/>
  <c r="N67" i="14"/>
  <c r="T72" i="14"/>
  <c r="E67" i="14"/>
  <c r="P67" i="14"/>
  <c r="O72" i="14"/>
  <c r="D53" i="14"/>
  <c r="J89" i="14"/>
  <c r="K89" i="14"/>
  <c r="R89" i="14"/>
  <c r="H82" i="14"/>
  <c r="M82" i="14"/>
  <c r="U82" i="14"/>
  <c r="T53" i="14"/>
  <c r="G53" i="14"/>
  <c r="I89" i="14"/>
  <c r="H89" i="14"/>
  <c r="T89" i="14"/>
  <c r="N82" i="14"/>
  <c r="J82" i="14"/>
  <c r="P82" i="14"/>
  <c r="W53" i="14"/>
  <c r="U53" i="14"/>
  <c r="Q53" i="14"/>
  <c r="Q89" i="14"/>
  <c r="N89" i="14"/>
  <c r="F89" i="14"/>
  <c r="K82" i="14"/>
  <c r="V82" i="14"/>
  <c r="E82" i="14"/>
  <c r="C53" i="14"/>
  <c r="S53" i="14"/>
  <c r="F53" i="14"/>
  <c r="W89" i="14"/>
  <c r="B162" i="14" s="1"/>
  <c r="P89" i="14"/>
  <c r="M89" i="14"/>
  <c r="T82" i="14"/>
  <c r="R82" i="14"/>
  <c r="D82" i="14"/>
  <c r="N53" i="14"/>
  <c r="O53" i="14"/>
  <c r="E53" i="14"/>
  <c r="R53" i="14"/>
  <c r="E89" i="14"/>
  <c r="S89" i="14"/>
  <c r="L82" i="14"/>
  <c r="O82" i="14"/>
  <c r="H53" i="14"/>
  <c r="I53" i="14"/>
  <c r="V53" i="14"/>
  <c r="O89" i="14"/>
  <c r="G89" i="14"/>
  <c r="I82" i="14"/>
  <c r="G82" i="14"/>
  <c r="M53" i="14"/>
  <c r="K53" i="14"/>
  <c r="L53" i="14"/>
  <c r="D89" i="14"/>
  <c r="W82" i="14"/>
  <c r="P53" i="14"/>
  <c r="P56" i="14"/>
  <c r="H56" i="14"/>
  <c r="W67" i="14"/>
  <c r="R67" i="14"/>
  <c r="G67" i="14"/>
  <c r="O87" i="14"/>
  <c r="R71" i="14"/>
  <c r="Q56" i="14"/>
  <c r="T56" i="14"/>
  <c r="L87" i="14"/>
  <c r="F56" i="14"/>
  <c r="R56" i="14"/>
  <c r="Q67" i="14"/>
  <c r="I67" i="14"/>
  <c r="N54" i="14"/>
  <c r="G77" i="14"/>
  <c r="S56" i="14"/>
  <c r="U56" i="14"/>
  <c r="L56" i="14"/>
  <c r="H77" i="14"/>
  <c r="W56" i="14"/>
  <c r="J56" i="14"/>
  <c r="K54" i="14"/>
  <c r="F77" i="14"/>
  <c r="U87" i="14"/>
  <c r="C56" i="14"/>
  <c r="K56" i="14"/>
  <c r="N56" i="14"/>
  <c r="S77" i="14"/>
  <c r="F87" i="14"/>
  <c r="V56" i="14"/>
  <c r="I56" i="14"/>
  <c r="M63" i="14"/>
  <c r="H75" i="14"/>
  <c r="E64" i="14"/>
  <c r="L75" i="14"/>
  <c r="C64" i="14"/>
  <c r="L64" i="14"/>
  <c r="D75" i="14"/>
  <c r="C79" i="14"/>
  <c r="V64" i="14"/>
  <c r="S75" i="14"/>
  <c r="K79" i="14"/>
  <c r="H64" i="14"/>
  <c r="G75" i="14"/>
  <c r="T64" i="14"/>
  <c r="N75" i="14"/>
  <c r="P85" i="14"/>
  <c r="K85" i="14"/>
  <c r="W85"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78" i="14"/>
  <c r="X62" i="14"/>
  <c r="X81" i="14"/>
  <c r="X55" i="14"/>
  <c r="B161" i="14"/>
  <c r="X69" i="14"/>
  <c r="X86" i="14"/>
  <c r="B158" i="14"/>
  <c r="X67" i="14"/>
  <c r="X89" i="14"/>
  <c r="X53" i="14"/>
  <c r="B159" i="14"/>
  <c r="X82" i="14"/>
  <c r="X56"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4" i="15" l="1"/>
  <c r="L116" i="15"/>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3" i="14" l="1"/>
  <c r="U81" i="15" s="1"/>
  <c r="B114" i="14"/>
  <c r="U82"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E14" i="13" l="1"/>
  <c r="S65" i="15" l="1"/>
  <c r="T65" i="15" s="1"/>
  <c r="F14" i="13"/>
  <c r="D14" i="13" s="1"/>
  <c r="Z65" i="15" l="1"/>
  <c r="G14" i="13"/>
  <c r="V65" i="15"/>
  <c r="AC65" i="15"/>
  <c r="X65" i="15" l="1"/>
  <c r="C15" i="13"/>
  <c r="E15" i="13" s="1"/>
  <c r="AA65" i="15" l="1"/>
  <c r="Y65" i="15"/>
  <c r="F15" i="13"/>
  <c r="D15" i="13" s="1"/>
  <c r="S66" i="15"/>
  <c r="G15" i="13" l="1"/>
  <c r="Z66" i="15"/>
  <c r="AB65" i="15"/>
  <c r="C16" i="13" l="1"/>
  <c r="E16" i="13" s="1"/>
  <c r="F16" i="13" l="1"/>
  <c r="D16" i="13" s="1"/>
  <c r="S67" i="15"/>
  <c r="G16" i="13" l="1"/>
  <c r="Z67" i="15"/>
  <c r="C17" i="13" l="1"/>
  <c r="E17" i="13" s="1"/>
  <c r="S68" i="15" s="1"/>
  <c r="F17" i="13" l="1"/>
  <c r="G17" i="13" l="1"/>
  <c r="C18" i="13" s="1"/>
  <c r="E18" i="13" s="1"/>
  <c r="D17" i="13"/>
  <c r="Z68" i="15"/>
  <c r="F18" i="13" l="1"/>
  <c r="D18" i="13" s="1"/>
  <c r="S69" i="15"/>
  <c r="G18" i="13" l="1"/>
  <c r="Z69" i="15"/>
  <c r="C19" i="13" l="1"/>
  <c r="E19" i="13" s="1"/>
  <c r="F19" i="13" l="1"/>
  <c r="D19" i="13" s="1"/>
  <c r="S70" i="15"/>
  <c r="G19" i="13" l="1"/>
  <c r="Z70" i="15"/>
  <c r="C20" i="13" l="1"/>
  <c r="E20" i="13" l="1"/>
  <c r="S71" i="15" l="1"/>
  <c r="F20" i="13"/>
  <c r="D20" i="13" s="1"/>
  <c r="Z71" i="15" l="1"/>
  <c r="G20" i="13"/>
  <c r="C21" i="13" l="1"/>
  <c r="E21" i="13" s="1"/>
  <c r="F21" i="13" l="1"/>
  <c r="D21" i="13" s="1"/>
  <c r="S72" i="15"/>
  <c r="G21" i="13" l="1"/>
  <c r="Z72" i="15"/>
  <c r="C22" i="13" l="1"/>
  <c r="E22" i="13" s="1"/>
  <c r="F22" i="13" l="1"/>
  <c r="D22" i="13" s="1"/>
  <c r="S73" i="15"/>
  <c r="G22" i="13" l="1"/>
  <c r="Z73" i="15"/>
  <c r="C23" i="13" l="1"/>
  <c r="E23" i="13" s="1"/>
  <c r="F23" i="13" l="1"/>
  <c r="D23" i="13" s="1"/>
  <c r="S74" i="15"/>
  <c r="G23" i="13" l="1"/>
  <c r="Z74" i="15"/>
  <c r="C24" i="13" l="1"/>
  <c r="E24" i="13" s="1"/>
  <c r="S75" i="15" s="1"/>
  <c r="F24" i="13" l="1"/>
  <c r="D24" i="13" s="1"/>
  <c r="G24" i="13" l="1"/>
  <c r="Z75" i="15"/>
  <c r="C25" i="13" l="1"/>
  <c r="E25" i="13" s="1"/>
  <c r="F25" i="13" l="1"/>
  <c r="D25" i="13" s="1"/>
  <c r="S76" i="15"/>
  <c r="G25" i="13" l="1"/>
  <c r="Z76" i="15"/>
  <c r="C26" i="13" l="1"/>
  <c r="E26" i="13" s="1"/>
  <c r="S77" i="15" s="1"/>
  <c r="F27" i="13" l="1"/>
  <c r="Z78" i="15" l="1"/>
  <c r="F28" i="13" l="1"/>
  <c r="Z79" i="15" l="1"/>
  <c r="F29" i="13" l="1"/>
  <c r="Z80" i="15" l="1"/>
  <c r="F30" i="13" l="1"/>
  <c r="Z81" i="15" l="1"/>
  <c r="F31" i="13" l="1"/>
  <c r="Z82" i="15" l="1"/>
  <c r="F32" i="13" l="1"/>
  <c r="Z83" i="15" s="1"/>
  <c r="F33" i="13" l="1"/>
  <c r="Z84" i="15" l="1"/>
  <c r="F34" i="13" l="1"/>
  <c r="Z85" i="15" l="1"/>
  <c r="F35" i="13" l="1"/>
  <c r="Z86" i="15" l="1"/>
  <c r="F36" i="13" l="1"/>
  <c r="Z87" i="15" l="1"/>
  <c r="F37" i="13" l="1"/>
  <c r="Z88" i="15" l="1"/>
  <c r="F38" i="13" l="1"/>
  <c r="Z89" i="15" l="1"/>
  <c r="F39" i="13" l="1"/>
  <c r="Z90" i="15" l="1"/>
  <c r="F40" i="13" l="1"/>
  <c r="Z91" i="15" l="1"/>
  <c r="F41" i="13" l="1"/>
  <c r="Z92" i="15" l="1"/>
  <c r="F42" i="13" l="1"/>
  <c r="Z93" i="15" l="1"/>
  <c r="F43" i="13" l="1"/>
  <c r="Z94" i="15" l="1"/>
  <c r="F44" i="13" l="1"/>
  <c r="Z95" i="15" l="1"/>
  <c r="F45" i="13" l="1"/>
  <c r="Z96" i="15" l="1"/>
  <c r="F46" i="13" l="1"/>
  <c r="Z97" i="15" l="1"/>
  <c r="F47" i="13" l="1"/>
  <c r="Z98" i="15" s="1"/>
  <c r="F48" i="13" l="1"/>
  <c r="Z99" i="15" l="1"/>
  <c r="F49" i="13" l="1"/>
  <c r="Z100" i="15" l="1"/>
  <c r="F50" i="13" l="1"/>
  <c r="Z101" i="15" l="1"/>
  <c r="F51" i="13" l="1"/>
  <c r="Z102" i="15" s="1"/>
  <c r="F52" i="13" l="1"/>
  <c r="Z103" i="15" l="1"/>
  <c r="F53" i="13" l="1"/>
  <c r="Z104" i="15" l="1"/>
  <c r="F26" i="13" l="1"/>
  <c r="G26" i="13"/>
  <c r="C27" i="13" s="1"/>
  <c r="Z77" i="15"/>
  <c r="AB106" i="15"/>
  <c r="AB107" i="15"/>
  <c r="D26" i="13"/>
  <c r="E27" i="13" l="1"/>
  <c r="G27" i="13"/>
  <c r="C28" i="13" s="1"/>
  <c r="E28" i="13" l="1"/>
  <c r="G28" i="13"/>
  <c r="C29" i="13" s="1"/>
  <c r="S78" i="15"/>
  <c r="D27" i="13"/>
  <c r="E29" i="13" l="1"/>
  <c r="G29" i="13"/>
  <c r="C30" i="13" s="1"/>
  <c r="D28" i="13"/>
  <c r="S79" i="15"/>
  <c r="E30" i="13" l="1"/>
  <c r="G30" i="13"/>
  <c r="C31" i="13" s="1"/>
  <c r="S80" i="15"/>
  <c r="D29" i="13"/>
  <c r="E31" i="13" l="1"/>
  <c r="G31" i="13"/>
  <c r="C32" i="13" s="1"/>
  <c r="S81" i="15"/>
  <c r="D30" i="13"/>
  <c r="S82" i="15" l="1"/>
  <c r="D31" i="13"/>
  <c r="E32" i="13"/>
  <c r="G32" i="13"/>
  <c r="C33" i="13" s="1"/>
  <c r="E33" i="13" l="1"/>
  <c r="G33" i="13"/>
  <c r="C34" i="13" s="1"/>
  <c r="D32" i="13"/>
  <c r="S83" i="15"/>
  <c r="E34" i="13" l="1"/>
  <c r="G34" i="13"/>
  <c r="C35" i="13" s="1"/>
  <c r="S84" i="15"/>
  <c r="D33" i="13"/>
  <c r="E35" i="13" l="1"/>
  <c r="G35" i="13"/>
  <c r="C36" i="13" s="1"/>
  <c r="D34" i="13"/>
  <c r="S85" i="15"/>
  <c r="E36" i="13" l="1"/>
  <c r="G36" i="13"/>
  <c r="C37" i="13" s="1"/>
  <c r="S86" i="15"/>
  <c r="D35" i="13"/>
  <c r="E37" i="13" l="1"/>
  <c r="G37" i="13"/>
  <c r="C38" i="13" s="1"/>
  <c r="D36" i="13"/>
  <c r="S87" i="15"/>
  <c r="E38" i="13" l="1"/>
  <c r="G38" i="13"/>
  <c r="C39" i="13" s="1"/>
  <c r="S88" i="15"/>
  <c r="D37" i="13"/>
  <c r="E39" i="13" l="1"/>
  <c r="G39" i="13"/>
  <c r="C40" i="13" s="1"/>
  <c r="S89" i="15"/>
  <c r="D38" i="13"/>
  <c r="E40" i="13" l="1"/>
  <c r="G40" i="13"/>
  <c r="C41" i="13" s="1"/>
  <c r="S90" i="15"/>
  <c r="D39" i="13"/>
  <c r="E41" i="13" l="1"/>
  <c r="G41" i="13"/>
  <c r="C42" i="13" s="1"/>
  <c r="D40" i="13"/>
  <c r="S91" i="15"/>
  <c r="E42" i="13" l="1"/>
  <c r="G42" i="13"/>
  <c r="C43" i="13" s="1"/>
  <c r="S92" i="15"/>
  <c r="D41" i="13"/>
  <c r="E43" i="13" l="1"/>
  <c r="G43" i="13"/>
  <c r="C44" i="13" s="1"/>
  <c r="D42" i="13"/>
  <c r="S93" i="15"/>
  <c r="E44" i="13" l="1"/>
  <c r="G44" i="13"/>
  <c r="C45" i="13" s="1"/>
  <c r="S94" i="15"/>
  <c r="D43" i="13"/>
  <c r="E45" i="13" l="1"/>
  <c r="G45" i="13"/>
  <c r="C46" i="13" s="1"/>
  <c r="D44" i="13"/>
  <c r="S95" i="15"/>
  <c r="E46" i="13" l="1"/>
  <c r="G46" i="13"/>
  <c r="C47" i="13" s="1"/>
  <c r="S96" i="15"/>
  <c r="D45" i="13"/>
  <c r="S97" i="15" l="1"/>
  <c r="D46" i="13"/>
  <c r="E47" i="13"/>
  <c r="G47" i="13"/>
  <c r="C48" i="13" s="1"/>
  <c r="S98" i="15" l="1"/>
  <c r="D47" i="13"/>
  <c r="E48" i="13"/>
  <c r="G48" i="13"/>
  <c r="C49" i="13" s="1"/>
  <c r="D48" i="13" l="1"/>
  <c r="S99" i="15"/>
  <c r="E49" i="13"/>
  <c r="G49" i="13"/>
  <c r="C50" i="13" s="1"/>
  <c r="E50" i="13" l="1"/>
  <c r="G50" i="13"/>
  <c r="C51" i="13" s="1"/>
  <c r="S100" i="15"/>
  <c r="D49" i="13"/>
  <c r="E51" i="13" l="1"/>
  <c r="G51" i="13"/>
  <c r="C52" i="13" s="1"/>
  <c r="D50" i="13"/>
  <c r="S101" i="15"/>
  <c r="E52" i="13" l="1"/>
  <c r="G52" i="13"/>
  <c r="C53" i="13" s="1"/>
  <c r="S102" i="15"/>
  <c r="D51" i="13"/>
  <c r="E53" i="13" l="1"/>
  <c r="G53" i="13"/>
  <c r="C54" i="13" s="1"/>
  <c r="D52" i="13"/>
  <c r="S103" i="15"/>
  <c r="S104" i="15" l="1"/>
  <c r="D53" i="13"/>
  <c r="F54" i="13"/>
  <c r="Z105" i="15" s="1"/>
  <c r="E54" i="13"/>
  <c r="G54" i="13" l="1"/>
  <c r="S105" i="15"/>
  <c r="D54" i="13"/>
  <c r="Z116" i="15"/>
  <c r="Z114" i="15"/>
  <c r="Z115" i="15"/>
  <c r="Z117" i="15" l="1"/>
  <c r="Y48" i="119" s="1"/>
  <c r="E170" i="119" s="1"/>
  <c r="Z55" i="15"/>
  <c r="Z57" i="15" s="1"/>
  <c r="S115" i="15"/>
  <c r="B119" i="15" s="1"/>
  <c r="S116" i="15"/>
  <c r="S114" i="15"/>
  <c r="C119" i="15" l="1"/>
  <c r="D19" i="34" s="1"/>
  <c r="C122" i="15"/>
  <c r="D22" i="34" s="1"/>
  <c r="C125" i="15"/>
  <c r="D25" i="34" s="1"/>
  <c r="C123" i="15"/>
  <c r="D23" i="34" s="1"/>
  <c r="C121" i="15"/>
  <c r="D21" i="34" s="1"/>
  <c r="C120" i="15"/>
  <c r="D20" i="34" s="1"/>
  <c r="C124" i="15"/>
  <c r="D24" i="34" s="1"/>
  <c r="S117" i="15"/>
  <c r="AA55" i="15"/>
  <c r="AA57" i="15" s="1"/>
  <c r="E17" i="15" s="1"/>
  <c r="F67" i="15" l="1"/>
  <c r="T67" i="15" s="1"/>
  <c r="F69" i="15"/>
  <c r="T69" i="15" s="1"/>
  <c r="F71" i="15"/>
  <c r="T71" i="15" s="1"/>
  <c r="F73" i="15"/>
  <c r="T73" i="15" s="1"/>
  <c r="F75" i="15"/>
  <c r="T75" i="15" s="1"/>
  <c r="F77" i="15"/>
  <c r="T77" i="15" s="1"/>
  <c r="F79" i="15"/>
  <c r="T79" i="15" s="1"/>
  <c r="F81" i="15"/>
  <c r="T81" i="15" s="1"/>
  <c r="F83" i="15"/>
  <c r="T83" i="15" s="1"/>
  <c r="F85" i="15"/>
  <c r="T85" i="15" s="1"/>
  <c r="F87" i="15"/>
  <c r="T87" i="15" s="1"/>
  <c r="F89" i="15"/>
  <c r="T89" i="15" s="1"/>
  <c r="F91" i="15"/>
  <c r="T91" i="15" s="1"/>
  <c r="F93" i="15"/>
  <c r="T93" i="15" s="1"/>
  <c r="F95" i="15"/>
  <c r="T95" i="15" s="1"/>
  <c r="F97" i="15"/>
  <c r="T97" i="15" s="1"/>
  <c r="F99" i="15"/>
  <c r="T99" i="15" s="1"/>
  <c r="F101" i="15"/>
  <c r="T101" i="15" s="1"/>
  <c r="F103" i="15"/>
  <c r="T103" i="15" s="1"/>
  <c r="F105" i="15"/>
  <c r="T105" i="15" s="1"/>
  <c r="F66" i="15"/>
  <c r="F68" i="15"/>
  <c r="T68" i="15" s="1"/>
  <c r="F70" i="15"/>
  <c r="T70" i="15" s="1"/>
  <c r="F72" i="15"/>
  <c r="T72" i="15" s="1"/>
  <c r="F74" i="15"/>
  <c r="T74" i="15" s="1"/>
  <c r="F76" i="15"/>
  <c r="T76" i="15" s="1"/>
  <c r="F78" i="15"/>
  <c r="T78" i="15" s="1"/>
  <c r="F80" i="15"/>
  <c r="T80" i="15" s="1"/>
  <c r="F82" i="15"/>
  <c r="T82" i="15" s="1"/>
  <c r="F84" i="15"/>
  <c r="T84" i="15" s="1"/>
  <c r="F86" i="15"/>
  <c r="T86" i="15" s="1"/>
  <c r="F88" i="15"/>
  <c r="T88" i="15" s="1"/>
  <c r="F90" i="15"/>
  <c r="T90" i="15" s="1"/>
  <c r="F92" i="15"/>
  <c r="T92" i="15" s="1"/>
  <c r="F94" i="15"/>
  <c r="T94" i="15" s="1"/>
  <c r="F96" i="15"/>
  <c r="T96" i="15" s="1"/>
  <c r="F98" i="15"/>
  <c r="T98" i="15" s="1"/>
  <c r="F100" i="15"/>
  <c r="T100" i="15" s="1"/>
  <c r="F102" i="15"/>
  <c r="T102" i="15" s="1"/>
  <c r="F104" i="15"/>
  <c r="T104" i="15" s="1"/>
  <c r="E16" i="15"/>
  <c r="W48" i="119"/>
  <c r="E168" i="119" s="1"/>
  <c r="X60" i="15"/>
  <c r="V104" i="15" l="1"/>
  <c r="X104" i="15" s="1"/>
  <c r="AA104" i="15" s="1"/>
  <c r="AC104" i="15"/>
  <c r="V88" i="15"/>
  <c r="X88" i="15" s="1"/>
  <c r="AA88" i="15" s="1"/>
  <c r="AC88" i="15"/>
  <c r="V72" i="15"/>
  <c r="X72" i="15" s="1"/>
  <c r="AA72" i="15" s="1"/>
  <c r="AC72" i="15"/>
  <c r="V97" i="15"/>
  <c r="X97" i="15" s="1"/>
  <c r="AA97" i="15" s="1"/>
  <c r="AC97" i="15"/>
  <c r="V81" i="15"/>
  <c r="X81" i="15" s="1"/>
  <c r="AA81" i="15" s="1"/>
  <c r="AC81" i="15"/>
  <c r="AC70" i="15"/>
  <c r="V70" i="15"/>
  <c r="X70" i="15" s="1"/>
  <c r="Y70" i="15" s="1"/>
  <c r="AC100" i="15"/>
  <c r="V100" i="15"/>
  <c r="X100" i="15" s="1"/>
  <c r="Y100" i="15" s="1"/>
  <c r="AC84" i="15"/>
  <c r="V84" i="15"/>
  <c r="X84" i="15" s="1"/>
  <c r="Y84" i="15" s="1"/>
  <c r="AC68" i="15"/>
  <c r="V68" i="15"/>
  <c r="X68" i="15" s="1"/>
  <c r="Y68" i="15" s="1"/>
  <c r="V93" i="15"/>
  <c r="X93" i="15" s="1"/>
  <c r="Y93" i="15" s="1"/>
  <c r="AC93" i="15"/>
  <c r="V77" i="15"/>
  <c r="X77" i="15" s="1"/>
  <c r="Y77" i="15" s="1"/>
  <c r="AC77" i="15"/>
  <c r="V95" i="15"/>
  <c r="X95" i="15" s="1"/>
  <c r="Y95" i="15" s="1"/>
  <c r="AC95" i="15"/>
  <c r="V98" i="15"/>
  <c r="X98" i="15" s="1"/>
  <c r="AA98" i="15" s="1"/>
  <c r="AC98" i="15"/>
  <c r="V82" i="15"/>
  <c r="X82" i="15" s="1"/>
  <c r="AA82" i="15" s="1"/>
  <c r="AC82" i="15"/>
  <c r="F114" i="15"/>
  <c r="F116" i="15"/>
  <c r="F118" i="15" s="1"/>
  <c r="T66" i="15"/>
  <c r="F115" i="15"/>
  <c r="AC91" i="15"/>
  <c r="V91" i="15"/>
  <c r="X91" i="15" s="1"/>
  <c r="AA91" i="15" s="1"/>
  <c r="AC75" i="15"/>
  <c r="V75" i="15"/>
  <c r="X75" i="15" s="1"/>
  <c r="AA75" i="15" s="1"/>
  <c r="V96" i="15"/>
  <c r="X96" i="15" s="1"/>
  <c r="AA96" i="15" s="1"/>
  <c r="AC96" i="15"/>
  <c r="V80" i="15"/>
  <c r="X80" i="15" s="1"/>
  <c r="AA80" i="15" s="1"/>
  <c r="AC80" i="15"/>
  <c r="V105" i="15"/>
  <c r="X105" i="15" s="1"/>
  <c r="Y105" i="15" s="1"/>
  <c r="AC105" i="15"/>
  <c r="V89" i="15"/>
  <c r="X89" i="15" s="1"/>
  <c r="AA89" i="15" s="1"/>
  <c r="AC89" i="15"/>
  <c r="V73" i="15"/>
  <c r="X73" i="15" s="1"/>
  <c r="AA73" i="15" s="1"/>
  <c r="AC73" i="15"/>
  <c r="V86" i="15"/>
  <c r="X86" i="15" s="1"/>
  <c r="Y86" i="15" s="1"/>
  <c r="AC86" i="15"/>
  <c r="V94" i="15"/>
  <c r="X94" i="15" s="1"/>
  <c r="Y94" i="15" s="1"/>
  <c r="AC94" i="15"/>
  <c r="V78" i="15"/>
  <c r="X78" i="15" s="1"/>
  <c r="Y78" i="15" s="1"/>
  <c r="AC78" i="15"/>
  <c r="V103" i="15"/>
  <c r="X103" i="15" s="1"/>
  <c r="Y103" i="15" s="1"/>
  <c r="AC103" i="15"/>
  <c r="V87" i="15"/>
  <c r="X87" i="15" s="1"/>
  <c r="Y87" i="15" s="1"/>
  <c r="AC87" i="15"/>
  <c r="V71" i="15"/>
  <c r="X71" i="15" s="1"/>
  <c r="Y71" i="15" s="1"/>
  <c r="AC71" i="15"/>
  <c r="V79" i="15"/>
  <c r="X79" i="15" s="1"/>
  <c r="AA79" i="15" s="1"/>
  <c r="AC79" i="15"/>
  <c r="AC92" i="15"/>
  <c r="V92" i="15"/>
  <c r="X92" i="15" s="1"/>
  <c r="Y92" i="15" s="1"/>
  <c r="AC76" i="15"/>
  <c r="V76" i="15"/>
  <c r="X76" i="15" s="1"/>
  <c r="Y76" i="15" s="1"/>
  <c r="V101" i="15"/>
  <c r="X101" i="15" s="1"/>
  <c r="Y101" i="15" s="1"/>
  <c r="AC101" i="15"/>
  <c r="V85" i="15"/>
  <c r="X85" i="15" s="1"/>
  <c r="Y85" i="15" s="1"/>
  <c r="AC85" i="15"/>
  <c r="V69" i="15"/>
  <c r="X69" i="15" s="1"/>
  <c r="Y69" i="15" s="1"/>
  <c r="AC69" i="15"/>
  <c r="V102" i="15"/>
  <c r="X102" i="15" s="1"/>
  <c r="Y102" i="15" s="1"/>
  <c r="AC102" i="15"/>
  <c r="D124" i="15"/>
  <c r="C24" i="34" s="1"/>
  <c r="D119" i="15"/>
  <c r="C19" i="34" s="1"/>
  <c r="D122" i="15"/>
  <c r="C22" i="34" s="1"/>
  <c r="D120" i="15"/>
  <c r="C20" i="34" s="1"/>
  <c r="D123" i="15"/>
  <c r="C23" i="34" s="1"/>
  <c r="D125" i="15"/>
  <c r="C25" i="34" s="1"/>
  <c r="D121" i="15"/>
  <c r="C21" i="34" s="1"/>
  <c r="AC90" i="15"/>
  <c r="V90" i="15"/>
  <c r="X90" i="15" s="1"/>
  <c r="AA90" i="15" s="1"/>
  <c r="AC74" i="15"/>
  <c r="V74" i="15"/>
  <c r="X74" i="15" s="1"/>
  <c r="Y74" i="15" s="1"/>
  <c r="AC99" i="15"/>
  <c r="V99" i="15"/>
  <c r="X99" i="15" s="1"/>
  <c r="AA99" i="15" s="1"/>
  <c r="AC83" i="15"/>
  <c r="V83" i="15"/>
  <c r="X83" i="15" s="1"/>
  <c r="AA83" i="15" s="1"/>
  <c r="AC67" i="15"/>
  <c r="V67" i="15"/>
  <c r="X67" i="15" s="1"/>
  <c r="AA67" i="15" s="1"/>
  <c r="Y90" i="15" l="1"/>
  <c r="Y79" i="15"/>
  <c r="AA105" i="15"/>
  <c r="AA74" i="15"/>
  <c r="AA86" i="15"/>
  <c r="Y73" i="15"/>
  <c r="AA95" i="15"/>
  <c r="AA87" i="15"/>
  <c r="Y89" i="15"/>
  <c r="Y80" i="15"/>
  <c r="Y81" i="15"/>
  <c r="AA69" i="15"/>
  <c r="AA71" i="15"/>
  <c r="Y98" i="15"/>
  <c r="Y97" i="15"/>
  <c r="Y75" i="15"/>
  <c r="AA93" i="15"/>
  <c r="AA101" i="15"/>
  <c r="Y91" i="15"/>
  <c r="Y82" i="15"/>
  <c r="AA103" i="15"/>
  <c r="AA77" i="15"/>
  <c r="AA70" i="15"/>
  <c r="Y83" i="15"/>
  <c r="AA92" i="15"/>
  <c r="AA94" i="15"/>
  <c r="Y96" i="15"/>
  <c r="AA84" i="15"/>
  <c r="Y88" i="15"/>
  <c r="AA85" i="15"/>
  <c r="T116" i="15"/>
  <c r="T115" i="15"/>
  <c r="V66" i="15"/>
  <c r="AC66" i="15"/>
  <c r="T114" i="15"/>
  <c r="Y99" i="15"/>
  <c r="AA102" i="15"/>
  <c r="AA76" i="15"/>
  <c r="AA78" i="15"/>
  <c r="K48" i="119"/>
  <c r="E155" i="119" s="1"/>
  <c r="AG118" i="15"/>
  <c r="AA68" i="15"/>
  <c r="AA100" i="15"/>
  <c r="Y72" i="15"/>
  <c r="Y104" i="15"/>
  <c r="Y67" i="15"/>
  <c r="C26" i="34"/>
  <c r="AC114" i="15" l="1"/>
  <c r="E21" i="15"/>
  <c r="E19" i="15" s="1"/>
  <c r="AC116" i="15"/>
  <c r="AC115" i="15"/>
  <c r="F157" i="119"/>
  <c r="F155" i="119"/>
  <c r="F156" i="119"/>
  <c r="V116" i="15"/>
  <c r="V114" i="15"/>
  <c r="X66" i="15"/>
  <c r="V115" i="15"/>
  <c r="I155" i="119" l="1"/>
  <c r="L155" i="119" s="1"/>
  <c r="I156" i="119"/>
  <c r="L156" i="119" s="1"/>
  <c r="I157" i="119"/>
  <c r="L157" i="119" s="1"/>
  <c r="N157" i="119" s="1"/>
  <c r="H157" i="119"/>
  <c r="K157" i="119" s="1"/>
  <c r="H156" i="119"/>
  <c r="K156" i="119" s="1"/>
  <c r="H155" i="119"/>
  <c r="K155" i="119" s="1"/>
  <c r="X115" i="15"/>
  <c r="X116" i="15"/>
  <c r="X117" i="15" s="1"/>
  <c r="X114" i="15"/>
  <c r="AA66" i="15"/>
  <c r="Y66" i="15"/>
  <c r="X48" i="119" l="1"/>
  <c r="E169" i="119" s="1"/>
  <c r="AG117" i="15"/>
  <c r="Y116" i="15"/>
  <c r="Y115" i="15"/>
  <c r="Y114" i="15"/>
  <c r="N156" i="119"/>
  <c r="AA114" i="15"/>
  <c r="AA116" i="15"/>
  <c r="E26" i="15"/>
  <c r="H17" i="6" s="1"/>
  <c r="AA115" i="15"/>
  <c r="AB66" i="15"/>
  <c r="E20" i="15"/>
  <c r="E18" i="15" s="1"/>
  <c r="L171" i="119"/>
  <c r="N155" i="119"/>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F169" i="119"/>
  <c r="F167" i="119"/>
  <c r="F160" i="119"/>
  <c r="F168" i="119"/>
  <c r="F161" i="119"/>
  <c r="F164" i="119"/>
  <c r="F162" i="119"/>
  <c r="F165" i="119"/>
  <c r="F163" i="119"/>
  <c r="F166" i="119"/>
  <c r="F170" i="119"/>
  <c r="F159" i="119"/>
  <c r="H160" i="119" l="1"/>
  <c r="K160" i="119" s="1"/>
  <c r="I160" i="119"/>
  <c r="M160" i="119" s="1"/>
  <c r="I164" i="119"/>
  <c r="M164" i="119" s="1"/>
  <c r="I168" i="119"/>
  <c r="M168" i="119" s="1"/>
  <c r="H159" i="119"/>
  <c r="K159" i="119" s="1"/>
  <c r="H167" i="119"/>
  <c r="K167" i="119" s="1"/>
  <c r="H168" i="119"/>
  <c r="K168" i="119" s="1"/>
  <c r="H170" i="119"/>
  <c r="K170" i="119" s="1"/>
  <c r="I161" i="119"/>
  <c r="M161" i="119" s="1"/>
  <c r="I165" i="119"/>
  <c r="M165" i="119" s="1"/>
  <c r="I169" i="119"/>
  <c r="M169" i="119" s="1"/>
  <c r="H163" i="119"/>
  <c r="K163" i="119" s="1"/>
  <c r="H161" i="119"/>
  <c r="K161" i="119" s="1"/>
  <c r="H162" i="119"/>
  <c r="K162" i="119" s="1"/>
  <c r="I162" i="119"/>
  <c r="M162" i="119" s="1"/>
  <c r="I166" i="119"/>
  <c r="M166" i="119" s="1"/>
  <c r="I170" i="119"/>
  <c r="M170" i="119" s="1"/>
  <c r="N170" i="119" s="1"/>
  <c r="H169" i="119"/>
  <c r="K169" i="119" s="1"/>
  <c r="H165" i="119"/>
  <c r="K165" i="119" s="1"/>
  <c r="I159" i="119"/>
  <c r="M159" i="119" s="1"/>
  <c r="I163" i="119"/>
  <c r="M163" i="119" s="1"/>
  <c r="I167" i="119"/>
  <c r="M167" i="119" s="1"/>
  <c r="H166" i="119"/>
  <c r="K166" i="119" s="1"/>
  <c r="H164" i="119"/>
  <c r="K164" i="119" s="1"/>
  <c r="AB114" i="15"/>
  <c r="AB115" i="15"/>
  <c r="AB116" i="15"/>
  <c r="N163" i="119" l="1"/>
  <c r="N167" i="119"/>
  <c r="N162" i="119"/>
  <c r="N160" i="119"/>
  <c r="N166" i="119"/>
  <c r="N159" i="119"/>
  <c r="M171" i="119"/>
  <c r="N171" i="119" s="1"/>
  <c r="N168" i="119"/>
  <c r="N169" i="119"/>
  <c r="N164" i="119"/>
  <c r="N165" i="119"/>
  <c r="N161"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<sst xmlns="http://schemas.openxmlformats.org/spreadsheetml/2006/main" count="3970" uniqueCount="1436">
  <si>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</si>
  <si>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</si>
  <si>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</si>
  <si>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</si>
  <si>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</si>
  <si>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</si>
  <si>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</si>
  <si>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</si>
  <si>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</si>
  <si>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</si>
  <si>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</si>
  <si>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</si>
  <si>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</si>
  <si>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</si>
  <si>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</si>
  <si>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</si>
  <si>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</si>
  <si>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</si>
  <si>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</si>
  <si>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</si>
  <si>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</si>
  <si>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</si>
  <si>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</si>
  <si>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</si>
  <si>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</si>
  <si>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</si>
  <si>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</si>
  <si>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</si>
  <si>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</si>
  <si>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</si>
  <si>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</si>
  <si>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</si>
  <si>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</si>
  <si>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</si>
  <si>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</si>
  <si>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</si>
  <si>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</si>
  <si>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</si>
  <si>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</si>
  <si>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</si>
  <si>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</si>
  <si>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</si>
  <si>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</si>
  <si>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</si>
  <si>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</si>
  <si>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</si>
  <si>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</si>
  <si>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</si>
  <si>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</si>
  <si>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</si>
  <si>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</si>
  <si>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</si>
  <si>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</si>
  <si>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</si>
  <si>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</si>
  <si>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</si>
  <si>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</si>
  <si>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</si>
  <si>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</si>
  <si>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</si>
  <si>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</si>
  <si>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</si>
  <si>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</si>
  <si>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</si>
  <si>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</si>
  <si>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</si>
  <si>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</si>
  <si>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</si>
  <si>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</si>
  <si>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</si>
  <si>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</si>
  <si>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</si>
  <si>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</si>
  <si>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</si>
  <si>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</si>
  <si>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</si>
  <si>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</si>
  <si>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</si>
  <si>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</si>
  <si>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</si>
  <si>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</si>
  <si>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</si>
  <si>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</si>
  <si>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</si>
  <si>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</si>
  <si>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</si>
  <si>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</si>
  <si>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</si>
  <si>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</si>
  <si>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</si>
  <si>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</si>
  <si>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</si>
  <si>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</si>
  <si>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</si>
  <si>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</si>
  <si>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</si>
  <si>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</si>
  <si>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</si>
  <si>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</si>
  <si>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</si>
  <si>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</si>
  <si>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</si>
  <si>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</si>
  <si>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</si>
  <si>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</si>
  <si>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</si>
  <si>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</si>
  <si>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</si>
  <si>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</si>
  <si>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</si>
  <si>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</si>
  <si>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</si>
  <si>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</si>
  <si>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</si>
  <si>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</si>
  <si>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</si>
  <si>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</si>
  <si>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</si>
  <si>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</si>
  <si>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</si>
  <si>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</si>
  <si>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</si>
  <si>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</si>
  <si>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</si>
  <si>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</si>
  <si>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</si>
  <si>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</si>
  <si>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</si>
  <si>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</si>
  <si>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</si>
  <si>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</si>
  <si>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</si>
  <si>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</si>
  <si>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</si>
  <si>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</si>
  <si>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</si>
  <si>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</si>
  <si>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</si>
  <si>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</si>
  <si>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</si>
  <si>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</si>
  <si>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</si>
  <si>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</si>
  <si>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</si>
  <si>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</si>
  <si>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</si>
  <si>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</si>
  <si>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</si>
  <si>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</si>
  <si>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</si>
  <si>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</si>
  <si>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</si>
  <si>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</si>
  <si>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</si>
  <si>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</si>
  <si>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</si>
  <si>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</si>
  <si>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</si>
  <si>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</si>
  <si>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</si>
  <si>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</si>
  <si>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</si>
  <si>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</si>
  <si>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</si>
  <si>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</si>
  <si>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</si>
  <si>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</si>
  <si>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</si>
  <si>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</si>
  <si>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</si>
  <si>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</si>
  <si>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</si>
  <si>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</si>
  <si>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</si>
  <si>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</si>
  <si>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</si>
  <si>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</si>
  <si>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</si>
  <si>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</si>
  <si>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</si>
  <si>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</si>
  <si>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</si>
  <si>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</si>
  <si>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</si>
  <si>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</si>
  <si>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</si>
  <si>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</si>
  <si>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</si>
  <si>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</si>
  <si>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</si>
  <si>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</si>
  <si>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</si>
  <si>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</si>
  <si>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</si>
  <si>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</si>
  <si>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</si>
  <si>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</si>
  <si>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</si>
  <si>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</si>
  <si>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</si>
  <si>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</si>
  <si>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</si>
  <si>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</si>
  <si>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</si>
  <si>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</si>
  <si>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</si>
  <si>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</si>
  <si>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</si>
  <si>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</si>
  <si>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</si>
  <si>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</si>
  <si>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</si>
  <si>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</si>
  <si>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</si>
  <si>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</si>
  <si>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</si>
  <si>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</si>
  <si>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</si>
  <si>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</si>
  <si>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</si>
  <si>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</si>
  <si>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</si>
  <si>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</si>
  <si>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</si>
  <si>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</si>
  <si>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</si>
  <si>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</si>
  <si>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</si>
  <si>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</si>
  <si>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</si>
  <si>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</si>
  <si>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</si>
  <si>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</si>
  <si>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</si>
  <si>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</si>
  <si>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</si>
  <si>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</si>
  <si>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</si>
  <si>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</si>
  <si>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</si>
  <si>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</si>
  <si>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</si>
  <si>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</si>
  <si>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</si>
  <si>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</si>
  <si>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</si>
  <si>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</si>
  <si>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</si>
  <si>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</si>
  <si>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</si>
  <si>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</si>
  <si>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</si>
  <si>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</si>
  <si>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</si>
  <si>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</si>
  <si>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</si>
  <si>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</si>
  <si>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</si>
  <si>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</si>
  <si>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</si>
  <si>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</si>
  <si>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</si>
  <si>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</si>
  <si>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</si>
  <si>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</si>
  <si>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</si>
  <si>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</si>
  <si>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</si>
  <si>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</si>
  <si>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</si>
  <si>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</si>
  <si>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</si>
  <si>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</si>
  <si>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</si>
  <si>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</si>
  <si>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</si>
  <si>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</si>
  <si>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</si>
  <si>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</si>
  <si>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</si>
  <si>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</si>
  <si>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</si>
  <si>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</si>
  <si>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</si>
  <si>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</si>
  <si>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</si>
  <si>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</si>
  <si>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</si>
  <si>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</si>
  <si>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</si>
  <si>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</si>
  <si>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</si>
  <si>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</si>
  <si>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</si>
  <si>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</si>
  <si>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</si>
  <si>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</si>
  <si>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</si>
  <si>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</si>
  <si>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</si>
  <si>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</si>
  <si>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</si>
  <si>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</si>
  <si>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</si>
  <si>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</si>
  <si>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</si>
  <si>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</si>
  <si>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</si>
  <si>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</si>
  <si>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</si>
  <si>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</si>
  <si>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</si>
  <si>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</si>
  <si>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</si>
  <si>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</si>
  <si>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</si>
  <si>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</si>
  <si>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</si>
  <si>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</si>
  <si>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</si>
  <si>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</si>
  <si>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</si>
  <si>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</si>
  <si>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</si>
  <si>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</si>
  <si>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</si>
  <si>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</si>
  <si>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</si>
  <si>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</si>
  <si>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</si>
  <si>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</si>
  <si>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</si>
  <si>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</si>
  <si>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</si>
  <si>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</si>
  <si>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</si>
  <si>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</si>
  <si>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</si>
  <si>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</si>
  <si>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</si>
  <si>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</si>
  <si>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</si>
  <si>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</si>
  <si>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</si>
  <si>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</si>
  <si>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</si>
  <si>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</si>
  <si>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</si>
  <si>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</si>
  <si>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</si>
  <si>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</si>
  <si>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</si>
  <si>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</si>
  <si>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</si>
  <si>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</si>
  <si>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</si>
  <si>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</si>
  <si>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</si>
  <si>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</si>
  <si>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</si>
  <si>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</si>
  <si>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</si>
  <si>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</si>
  <si>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</si>
  <si>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</si>
  <si>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</si>
  <si>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</si>
  <si>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</si>
  <si>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</si>
  <si>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</si>
  <si>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</si>
  <si>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</si>
  <si>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</si>
  <si>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</si>
  <si>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</si>
  <si>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</si>
  <si>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</si>
  <si>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</si>
  <si>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</si>
  <si>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</si>
  <si>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</si>
  <si>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</si>
  <si>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</si>
  <si>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</si>
  <si>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</si>
  <si>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</si>
  <si>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</si>
  <si>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</si>
  <si>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</si>
  <si>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</si>
  <si>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</si>
  <si>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</si>
  <si>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</si>
  <si>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</si>
  <si>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</si>
  <si>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</si>
  <si>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</si>
  <si>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</si>
  <si>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</si>
  <si>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</si>
  <si>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</si>
  <si>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</si>
  <si>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</si>
  <si>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</si>
  <si>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</si>
  <si>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</si>
  <si>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</si>
  <si>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</si>
  <si>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</si>
  <si>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</si>
  <si>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</si>
  <si>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</si>
  <si>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</si>
  <si>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</si>
  <si>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</si>
  <si>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</si>
  <si>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</si>
  <si>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</si>
  <si>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</si>
  <si>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</si>
  <si>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</si>
  <si>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</si>
  <si>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</si>
  <si>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</si>
  <si>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</si>
  <si>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</si>
  <si>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</si>
  <si>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</si>
  <si>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</si>
  <si>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</si>
  <si>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</si>
  <si>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</si>
  <si>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</si>
  <si>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</si>
  <si>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</si>
  <si>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</si>
  <si>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</si>
  <si>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</si>
  <si>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</si>
  <si>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</si>
  <si>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</si>
  <si>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</si>
  <si>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</si>
  <si>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</si>
  <si>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</si>
  <si>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</si>
  <si>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</si>
  <si>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</si>
  <si>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</si>
  <si>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</si>
  <si>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</si>
  <si>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</si>
  <si>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</si>
  <si>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</si>
  <si>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</si>
  <si>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</si>
  <si>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</si>
  <si>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</si>
  <si>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</si>
  <si>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</si>
  <si>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</si>
  <si>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</si>
  <si>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</si>
  <si>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</si>
  <si>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</si>
  <si>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</si>
  <si>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</si>
  <si>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</si>
  <si>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</si>
  <si>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</si>
  <si>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</si>
  <si>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</si>
  <si>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</si>
  <si>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</si>
  <si>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</si>
  <si>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</si>
  <si>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</si>
  <si>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</si>
  <si>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</si>
  <si>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</si>
  <si>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</si>
  <si>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</si>
  <si>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</si>
  <si>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</si>
  <si>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</si>
  <si>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</si>
  <si>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</si>
  <si>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</si>
  <si>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</si>
  <si>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</si>
  <si>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</si>
  <si>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</si>
  <si>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</si>
  <si>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</si>
  <si>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</si>
  <si>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</si>
  <si>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</si>
  <si>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</si>
  <si>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</si>
  <si>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</si>
  <si>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</si>
  <si>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</si>
  <si>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</si>
  <si>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</si>
  <si>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</si>
  <si>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</si>
  <si>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</si>
  <si>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</si>
  <si>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</si>
  <si>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</si>
  <si>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</si>
  <si>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</si>
  <si>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</si>
  <si>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</si>
  <si>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</si>
  <si>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</si>
  <si>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</si>
  <si>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</si>
  <si>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</si>
  <si>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</si>
  <si>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</si>
  <si>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</si>
  <si>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</si>
  <si>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</si>
  <si>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</si>
  <si>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</si>
  <si>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</si>
  <si>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</si>
  <si>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</si>
  <si>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</si>
  <si>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</si>
  <si>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</si>
  <si>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</si>
  <si>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</si>
  <si>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</si>
  <si>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</si>
  <si>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</si>
  <si>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</si>
  <si>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</si>
  <si>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</si>
  <si>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</si>
  <si>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</si>
  <si>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</si>
  <si>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</si>
  <si>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</si>
  <si>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</si>
  <si>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</si>
  <si>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</si>
  <si>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</si>
  <si>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</si>
  <si>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</si>
  <si>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</si>
  <si>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</si>
  <si>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</si>
  <si>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</si>
  <si>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</si>
  <si>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</si>
  <si>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</si>
  <si>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</si>
  <si>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</si>
  <si>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</si>
  <si>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</si>
  <si>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</si>
  <si>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</si>
  <si>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</si>
  <si>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</si>
  <si>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</si>
  <si>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</si>
  <si>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</si>
  <si>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</si>
  <si>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</si>
  <si>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</si>
  <si>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</si>
  <si>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</si>
  <si>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</si>
  <si>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</si>
  <si>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</si>
  <si>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</si>
  <si>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</si>
  <si>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</si>
  <si>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</si>
  <si>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</si>
  <si>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</si>
  <si>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</si>
  <si>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</si>
  <si>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</si>
  <si>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</si>
  <si>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</si>
  <si>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</si>
  <si>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</si>
  <si>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</si>
  <si>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</si>
  <si>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</si>
  <si>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</si>
  <si>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</si>
  <si>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</si>
  <si>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</si>
  <si>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</si>
  <si>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</si>
  <si>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</si>
  <si>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</si>
  <si>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</si>
  <si>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</si>
  <si>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</si>
  <si>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</si>
  <si>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</si>
  <si>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</si>
  <si>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</si>
  <si>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</si>
  <si>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</si>
  <si>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</si>
  <si>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</si>
  <si>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</si>
  <si>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</si>
  <si>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</si>
  <si>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</si>
  <si>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</si>
  <si>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</si>
  <si>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</si>
  <si>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</si>
  <si>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</si>
  <si>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</si>
  <si>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</si>
  <si>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</si>
  <si>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</si>
  <si>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</si>
  <si>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</si>
  <si>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</si>
  <si>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</si>
  <si>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</si>
  <si>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</si>
  <si>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</si>
  <si>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</si>
  <si>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</si>
  <si>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</si>
  <si>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</si>
  <si>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</si>
  <si>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</si>
  <si>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</si>
  <si>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</si>
  <si>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</si>
  <si>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</si>
  <si>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</si>
  <si>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</si>
  <si>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</si>
  <si>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</si>
  <si>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</si>
  <si>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</si>
  <si>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</si>
  <si>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</si>
  <si>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</si>
  <si>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</si>
  <si>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</si>
  <si>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</si>
  <si>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</si>
  <si>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</si>
  <si>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</si>
  <si>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</si>
  <si>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</si>
  <si>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</si>
  <si>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</si>
  <si>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</si>
  <si>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</si>
  <si>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</si>
  <si>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</si>
  <si>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</si>
  <si>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</si>
  <si>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</si>
  <si>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</si>
  <si>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</si>
  <si>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</si>
  <si>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</si>
  <si>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</si>
  <si>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</si>
  <si>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</si>
  <si>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</si>
  <si>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</si>
  <si>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</si>
  <si>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</si>
  <si>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</si>
  <si>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</si>
  <si>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</si>
  <si>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</si>
  <si>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</si>
  <si>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</si>
  <si>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</si>
  <si>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</si>
  <si>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</si>
  <si>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</si>
  <si>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</si>
  <si>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</si>
  <si>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</si>
  <si>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</si>
  <si>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</si>
  <si>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</si>
  <si>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</si>
  <si>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</si>
  <si>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</si>
  <si>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</si>
  <si>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</si>
  <si>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</si>
  <si>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</si>
  <si>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</si>
  <si>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</si>
  <si>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</si>
  <si>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</si>
  <si>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</si>
  <si>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</si>
  <si>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</si>
  <si>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</si>
  <si>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</si>
  <si>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</si>
  <si>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</si>
  <si>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</si>
  <si>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</si>
  <si>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</si>
  <si>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</si>
  <si>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</si>
  <si>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</si>
  <si>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</si>
  <si>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</si>
  <si>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</si>
  <si>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</si>
  <si>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</si>
  <si>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</si>
  <si>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</si>
  <si>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</si>
  <si>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</si>
  <si>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</si>
  <si>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</si>
  <si>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</si>
  <si>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</si>
  <si>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</si>
  <si>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</si>
  <si>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</si>
  <si>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</si>
  <si>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</si>
  <si>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</si>
  <si>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</si>
  <si>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</si>
  <si>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</si>
  <si>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</si>
  <si>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</si>
  <si>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</si>
  <si>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</si>
  <si>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</si>
  <si>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</si>
  <si>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</si>
  <si>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</si>
  <si>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</si>
  <si>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</si>
  <si>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</si>
  <si>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</si>
  <si>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</si>
  <si>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</si>
  <si>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</si>
  <si>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</si>
  <si>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</si>
  <si>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</si>
  <si>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</si>
  <si>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</si>
  <si>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</si>
  <si>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</si>
  <si>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</si>
  <si>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</si>
  <si>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</si>
  <si>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</si>
  <si>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</si>
  <si>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</si>
  <si>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</si>
  <si>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</si>
  <si>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</si>
  <si>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</si>
  <si>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</si>
  <si>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</si>
  <si>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</si>
  <si>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</si>
  <si>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</si>
  <si>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</si>
  <si>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</si>
  <si>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</si>
  <si>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</si>
  <si>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</si>
  <si>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</si>
  <si>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</si>
  <si>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</si>
  <si>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</si>
  <si>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</si>
  <si>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</si>
  <si>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</si>
  <si>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</si>
  <si>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</si>
  <si>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</si>
  <si>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</si>
  <si>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</si>
  <si>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</si>
  <si>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</si>
  <si>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</si>
  <si>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</si>
  <si>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</si>
  <si>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</si>
  <si>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</si>
  <si>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</si>
  <si>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</si>
  <si>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</si>
  <si>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</si>
  <si>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</si>
  <si>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</si>
  <si>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</si>
  <si>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</si>
  <si>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</si>
  <si>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</si>
  <si>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</si>
  <si>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</si>
  <si>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</si>
  <si>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</si>
  <si>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</si>
  <si>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</si>
  <si>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</si>
  <si>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</si>
  <si>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</si>
  <si>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</si>
  <si>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</si>
  <si>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</si>
  <si>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</si>
  <si>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</si>
  <si>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</si>
  <si>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</si>
  <si>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</si>
  <si>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</si>
  <si>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</si>
  <si>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</si>
  <si>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</si>
  <si>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</si>
  <si>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</si>
  <si>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</si>
  <si>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</si>
  <si>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</si>
  <si>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</si>
  <si>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</si>
  <si>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</si>
  <si>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</si>
  <si>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</si>
  <si>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</si>
  <si>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</si>
  <si>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</si>
  <si>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</si>
  <si>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</si>
  <si>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</si>
  <si>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</si>
  <si>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</si>
  <si>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</si>
  <si>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</si>
  <si>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</si>
  <si>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</si>
  <si>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</si>
  <si>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</si>
  <si>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</si>
  <si>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</si>
  <si>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</si>
  <si>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</si>
  <si>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</si>
  <si>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</si>
  <si>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</si>
  <si>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</si>
  <si>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</si>
  <si>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</si>
  <si>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</si>
  <si>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</si>
  <si>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</si>
  <si>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</si>
  <si>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</si>
  <si>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</si>
  <si>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</si>
  <si>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</si>
  <si>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</si>
  <si>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</si>
  <si>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</si>
  <si>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</si>
  <si>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</si>
  <si>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</si>
  <si>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</si>
  <si>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</si>
  <si>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</si>
  <si>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</si>
  <si>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</si>
  <si>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</si>
  <si>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</si>
  <si>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</si>
  <si>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</si>
  <si>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</si>
  <si>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</si>
  <si>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</si>
  <si>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</si>
  <si>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</si>
  <si>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</si>
  <si>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</si>
  <si>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</si>
  <si>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</si>
  <si>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</si>
  <si>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</si>
  <si>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</si>
  <si>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</si>
  <si>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</si>
  <si>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</si>
  <si>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</si>
  <si>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</si>
  <si>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</si>
  <si>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</si>
  <si>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</si>
  <si>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</si>
  <si>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</si>
  <si>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</si>
  <si>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</si>
  <si>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</si>
  <si>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</si>
  <si>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</si>
  <si>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</si>
  <si>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</si>
  <si>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</si>
  <si>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</si>
  <si>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</si>
  <si>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</si>
  <si>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</si>
  <si>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</si>
  <si>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</si>
  <si>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</si>
  <si>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</si>
  <si>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</si>
  <si>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</si>
  <si>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</si>
  <si>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</si>
  <si>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</si>
  <si>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</si>
  <si>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</si>
  <si>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</si>
  <si>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</si>
  <si>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</si>
  <si>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</si>
  <si>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</si>
  <si>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</si>
  <si>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</si>
  <si>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</si>
  <si>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</si>
  <si>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</si>
  <si>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</si>
  <si>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</si>
  <si>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</si>
  <si>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</si>
  <si>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</si>
  <si>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</si>
  <si>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</si>
  <si>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</si>
  <si>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</si>
  <si>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</si>
  <si>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</si>
  <si>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</si>
  <si>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</si>
  <si>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</si>
  <si>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</si>
  <si>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</si>
  <si>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</si>
  <si>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</si>
  <si>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</si>
  <si>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</si>
  <si>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</si>
  <si>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</si>
  <si>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</si>
  <si>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</si>
  <si>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</si>
  <si>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</si>
  <si>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</si>
  <si>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</si>
  <si>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</si>
  <si>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</si>
  <si>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</si>
  <si>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</si>
  <si>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</si>
  <si>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</si>
  <si>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</si>
  <si>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</si>
  <si>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</si>
  <si>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</si>
  <si>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</si>
  <si>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</si>
  <si>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</si>
  <si>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</si>
  <si>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</si>
  <si>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</si>
  <si>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</si>
  <si>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</si>
  <si>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</si>
  <si>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</si>
  <si>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</si>
  <si>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</si>
  <si>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</si>
  <si>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</si>
  <si>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</si>
  <si>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</si>
  <si>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</si>
  <si>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</si>
  <si>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</si>
  <si>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</si>
  <si>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</si>
  <si>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</si>
  <si>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</si>
  <si>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</si>
  <si>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</si>
  <si>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</si>
  <si>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</si>
  <si>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</si>
  <si>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</si>
  <si>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</si>
  <si>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</si>
  <si>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</si>
  <si>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</si>
  <si>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</si>
  <si>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</si>
  <si>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</si>
  <si>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</si>
  <si>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</si>
  <si>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</si>
  <si>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</si>
  <si>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</si>
  <si>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</si>
  <si>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</si>
  <si>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</si>
  <si>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</si>
  <si>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</si>
  <si>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</si>
  <si>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</si>
  <si>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</si>
  <si>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</si>
  <si>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</si>
  <si>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</si>
  <si>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</si>
  <si>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</si>
  <si>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</si>
  <si>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</si>
  <si>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</si>
  <si>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</si>
  <si>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</si>
  <si>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</si>
  <si>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</si>
  <si>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</si>
  <si>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</si>
  <si>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</si>
  <si>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</si>
  <si>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</si>
  <si>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</si>
  <si>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</si>
  <si>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</si>
  <si>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</si>
  <si>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</si>
  <si>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</si>
  <si>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</si>
  <si>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</si>
  <si>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</si>
  <si>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</si>
  <si>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</si>
  <si>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</si>
  <si>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</si>
  <si>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</si>
  <si>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</si>
  <si>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</si>
  <si>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</si>
  <si>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</si>
  <si>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</si>
  <si>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</si>
  <si>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</si>
  <si>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</si>
  <si>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</si>
  <si>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</si>
  <si>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</si>
  <si>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</si>
  <si>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</si>
  <si>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</si>
  <si>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</si>
  <si>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</si>
  <si>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</si>
  <si>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</si>
  <si>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</si>
  <si>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</si>
  <si>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</si>
  <si>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</si>
  <si>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</si>
  <si>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</si>
  <si>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</si>
  <si>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</si>
  <si>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</si>
  <si>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</si>
  <si>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</si>
  <si>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</si>
  <si>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</si>
  <si>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</si>
  <si>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</si>
  <si>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</si>
  <si>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</si>
  <si>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</si>
  <si>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</si>
  <si>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</si>
  <si>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</si>
  <si>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</si>
  <si>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</si>
  <si>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</si>
  <si>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</si>
  <si>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</si>
  <si>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</si>
  <si>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</si>
  <si>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</si>
  <si>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</si>
  <si>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</si>
  <si>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</si>
  <si>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</si>
  <si>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</si>
  <si>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</si>
  <si>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</si>
  <si>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</si>
  <si>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</si>
  <si>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</si>
  <si>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</si>
  <si>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</si>
  <si>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</si>
  <si>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</si>
  <si>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</si>
  <si>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</si>
  <si>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</si>
  <si>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</si>
  <si>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</si>
  <si>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</si>
  <si>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</si>
  <si>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</si>
  <si>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</si>
  <si>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</si>
  <si>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</si>
  <si>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</si>
  <si>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</si>
  <si>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</si>
  <si>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</si>
  <si>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</si>
  <si>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</si>
  <si>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</si>
  <si>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</si>
  <si>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</si>
  <si>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</si>
  <si>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</si>
  <si>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</si>
  <si>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</si>
  <si>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</si>
  <si>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</si>
  <si>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</si>
  <si>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</si>
  <si>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</si>
  <si>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</si>
  <si>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</si>
  <si>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</si>
  <si>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</si>
  <si>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</si>
  <si>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</si>
  <si>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</si>
  <si>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</si>
  <si>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</si>
  <si>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</si>
  <si>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</si>
  <si>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</si>
  <si>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</si>
  <si>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</si>
  <si>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</si>
  <si>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</si>
  <si>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</si>
  <si>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</si>
  <si>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</si>
  <si>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</si>
  <si>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</si>
  <si>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</si>
  <si>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</si>
  <si>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</si>
  <si>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</si>
  <si>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</si>
  <si>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</si>
  <si>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</si>
  <si>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</si>
  <si>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</si>
  <si>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</si>
  <si>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</si>
  <si>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</si>
  <si>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</si>
  <si>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</si>
  <si>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</si>
  <si>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</si>
  <si>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</si>
  <si>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</si>
  <si>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</si>
  <si>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</si>
  <si>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</si>
  <si>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</si>
  <si>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</si>
  <si>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</si>
  <si>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</si>
  <si>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</si>
  <si>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</si>
  <si>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</si>
  <si>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</si>
  <si>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</si>
  <si>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</si>
  <si>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</si>
  <si>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</si>
  <si>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</si>
  <si>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</si>
  <si>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</si>
  <si>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</si>
  <si>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</si>
  <si>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</si>
  <si>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</si>
  <si>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</si>
  <si>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</si>
  <si>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</si>
  <si>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</si>
  <si>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</si>
  <si>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</si>
  <si>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</si>
  <si>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</si>
  <si>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</si>
  <si>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</si>
  <si>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</si>
  <si>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</si>
  <si>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</si>
  <si>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</si>
  <si>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</si>
  <si>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</si>
  <si>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</si>
  <si>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</si>
  <si>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</si>
  <si>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</si>
  <si>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</si>
  <si>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</si>
  <si>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</si>
  <si>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</si>
  <si>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</si>
  <si>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</si>
  <si>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</si>
  <si>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</si>
  <si>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</si>
  <si>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</si>
  <si>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</si>
  <si>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</si>
  <si>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</si>
  <si>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</si>
  <si>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</si>
  <si>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</si>
  <si>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</si>
  <si>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</si>
  <si>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</si>
  <si>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</si>
  <si>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</si>
  <si>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</si>
  <si>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</si>
  <si>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</si>
  <si>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</si>
  <si>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</si>
  <si>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</si>
  <si>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</si>
  <si>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</si>
  <si>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</si>
  <si>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</si>
  <si>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</si>
  <si>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</si>
  <si>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</si>
  <si>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</si>
  <si>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</si>
  <si>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</si>
  <si>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</si>
  <si>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</si>
  <si>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</si>
  <si>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</si>
  <si>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</si>
  <si>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</si>
  <si>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</si>
  <si>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</si>
  <si>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</si>
  <si>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</si>
  <si>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</si>
  <si>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</si>
  <si>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</si>
  <si>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</si>
  <si>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</si>
  <si>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</si>
  <si>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</si>
  <si>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</si>
  <si>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</si>
  <si>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</si>
  <si>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</si>
  <si>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</si>
  <si>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</si>
  <si>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</si>
  <si>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</si>
  <si>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</si>
  <si>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</si>
  <si>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</si>
  <si>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</si>
  <si>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</si>
  <si>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</si>
  <si>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</si>
  <si>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</si>
  <si>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</si>
  <si>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</si>
  <si>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</si>
  <si>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</si>
  <si>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</si>
  <si>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</si>
  <si>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</si>
  <si>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</si>
  <si>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</si>
  <si>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</si>
  <si>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</si>
  <si>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</si>
  <si>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</si>
  <si>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</si>
  <si>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</si>
  <si>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</si>
  <si>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</si>
  <si>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</si>
  <si>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</si>
  <si>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</si>
  <si>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</si>
  <si>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</si>
  <si>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</si>
  <si>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</si>
  <si>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</si>
  <si>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</si>
  <si>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</si>
  <si>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</si>
  <si>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</si>
  <si>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</si>
  <si>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</si>
  <si>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</si>
  <si>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</si>
  <si>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</si>
  <si>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</si>
  <si>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</si>
  <si>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</si>
  <si>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</si>
  <si>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</si>
  <si>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</si>
  <si>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</si>
  <si>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</si>
  <si>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</si>
  <si>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</si>
  <si>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</si>
  <si>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none</t>
  </si>
  <si>
    <t>USA</t>
  </si>
  <si>
    <t>Corporate ownership, 100% equity financed.</t>
  </si>
  <si>
    <t>feedstock Industrial Electricity Usage</t>
  </si>
  <si>
    <t>feedstockIndustrial_Electricity_Usage</t>
  </si>
  <si>
    <t>G. Saur, T. Ramsden, B. James, W. Colella</t>
  </si>
  <si>
    <t>PEM electrolysis case study</t>
  </si>
  <si>
    <t>Grid Electricity (industrial)</t>
  </si>
  <si>
    <t>PEM electrolysis</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</si>
  <si>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</si>
  <si>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</si>
  <si>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</si>
  <si>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</si>
  <si>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</si>
  <si>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</si>
  <si>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</si>
  <si>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</si>
  <si>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</si>
  <si>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</si>
  <si>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</si>
  <si>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Future</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</si>
  <si>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</si>
  <si>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</si>
  <si>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</si>
  <si>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</si>
  <si>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</si>
  <si>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5% improvement for Future Cases compared to Current Cases  (Current Cases 1.75 volts/cell)  (assuming  1.6A/cm</t>
    </r>
    <r>
      <rPr>
        <vertAlign val="superscript"/>
        <sz val="11"/>
        <rFont val="Calibri"/>
        <family val="2"/>
      </rPr>
      <t>2</t>
    </r>
    <r>
      <rPr>
        <sz val="11"/>
        <rFont val="Calibri"/>
        <family val="2"/>
      </rPr>
      <t xml:space="preserve"> current density).</t>
    </r>
  </si>
  <si>
    <t>Voltage Efficiency</t>
  </si>
  <si>
    <t>% LHV</t>
  </si>
  <si>
    <t>Equation: 1.23/cell voltage</t>
  </si>
  <si>
    <t>Dryer Loss</t>
  </si>
  <si>
    <r>
      <t>% of gross H</t>
    </r>
    <r>
      <rPr>
        <vertAlign val="subscript"/>
        <sz val="11"/>
        <color indexed="8"/>
        <rFont val="Calibri"/>
        <family val="2"/>
      </rPr>
      <t>2</t>
    </r>
  </si>
  <si>
    <t>The 3% Dryer loss comes from industry ("3-4%")for Current Cases. The reductions (1.5%) are  estimates based on a lower flow of water required for full saturation at higher outlet pressures in Future Cases.</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</si>
  <si>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</si>
  <si>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color indexed="8"/>
        <rFont val="Calibri"/>
        <family val="2"/>
      </rPr>
      <t>µm thick</t>
    </r>
    <r>
      <rPr>
        <sz val="11"/>
        <rFont val="Arial"/>
        <family val="2"/>
      </rPr>
      <t xml:space="preserve"> membrane,</t>
    </r>
    <r>
      <rPr>
        <sz val="11"/>
        <rFont val="Calibri"/>
        <family val="2"/>
      </rPr>
      <t xml:space="preserve"> 2.02% at 1,000psi for a 2µm thick 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</si>
  <si>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</si>
  <si>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</si>
  <si>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t>BOP Loads</t>
  </si>
  <si>
    <t>Power Inverter Efficiency</t>
  </si>
  <si>
    <t>%</t>
  </si>
  <si>
    <t>Based on industry input (97% for future performance).</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</si>
  <si>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</si>
  <si>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</si>
  <si>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</si>
  <si>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</si>
  <si>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</si>
  <si>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</si>
  <si>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</si>
  <si>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Based on industry input for the ratio of net electrical energy for the chiller. 10% improvement for Future Central  (3.67kWhelec/kWhtherm for Current Case) .</t>
  </si>
  <si>
    <t xml:space="preserve">Dryer Electrical Load </t>
  </si>
  <si>
    <t xml:space="preserve">Misc Electrical Load </t>
  </si>
  <si>
    <r>
      <t>Based on industry input for current.  10% improvement for Future Central Case Compared to Current Forecourt Case (1.2 kWh</t>
    </r>
    <r>
      <rPr>
        <vertAlign val="subscript"/>
        <sz val="11"/>
        <rFont val="Calibri"/>
        <family val="2"/>
      </rPr>
      <t>elec</t>
    </r>
    <r>
      <rPr>
        <sz val="11"/>
        <rFont val="Calibri"/>
        <family val="2"/>
      </rPr>
      <t>/kg</t>
    </r>
    <r>
      <rPr>
        <vertAlign val="subscript"/>
        <sz val="11"/>
        <rFont val="Calibri"/>
        <family val="2"/>
      </rPr>
      <t>Net H2</t>
    </r>
    <r>
      <rPr>
        <sz val="11"/>
        <rFont val="Calibri"/>
        <family val="2"/>
      </rPr>
      <t xml:space="preserve"> for Current Case).</t>
    </r>
  </si>
  <si>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</si>
  <si>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</si>
  <si>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</si>
  <si>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</si>
  <si>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</si>
  <si>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</si>
  <si>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</si>
  <si>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</si>
  <si>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Uninstalled Cost - ($/kW)  (with suggested subsystem breakdown, further breakdown desirable if available )</t>
  </si>
  <si>
    <t>Electricity Usage (kWh/kg)</t>
  </si>
  <si>
    <t>System Power (kW)</t>
  </si>
  <si>
    <t>Stacks</t>
  </si>
  <si>
    <t>BoP Total</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</si>
  <si>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</si>
  <si>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</si>
  <si>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</si>
  <si>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</si>
  <si>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</si>
  <si>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</si>
  <si>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</si>
  <si>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</si>
  <si>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</si>
  <si>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BoP Breakdown</t>
  </si>
  <si>
    <t>12% of direct capital cost based on industry input.  12% is less than the full replacement cost of stack or stack refurbishment.  Lower replacement cost given a ten year design advancement.</t>
  </si>
  <si>
    <t>Based on 2009 electrolysis independent panel review where the H2A Default of 15% was thought to be too high.</t>
  </si>
  <si>
    <t>Central Proton Exchange Membrane (PEM) Electrolysis - Future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</si>
  <si>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</si>
  <si>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</si>
  <si>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</si>
  <si>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</si>
  <si>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</si>
  <si>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</si>
  <si>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</si>
  <si>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</si>
  <si>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Future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</si>
</sst>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sz val="11"/>
      <color indexed="8"/>
      <name val="Calibri"/>
      <family val="2"/>
    </font>
    <font>
      <vertAlign val="subscript"/>
      <sz val="11"/>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6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172" fontId="1" fillId="5" borderId="100" xfId="0" applyNumberFormat="1" applyFont="1" applyFill="1" applyBorder="1" applyAlignment="1" applyProtection="1">
      <alignment wrapText="1"/>
      <protection locked="0"/>
    </xf>
    <xf numFmtId="0" fontId="1" fillId="5" borderId="138" xfId="0" applyFont="1" applyFill="1" applyBorder="1" applyAlignment="1" applyProtection="1">
      <alignment horizontal="left" wrapText="1" indent="1"/>
      <protection locked="0"/>
    </xf>
    <xf numFmtId="0" fontId="1" fillId="5" borderId="141" xfId="0" applyFont="1" applyFill="1" applyBorder="1" applyAlignment="1" applyProtection="1">
      <alignment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1" fillId="6" borderId="16" xfId="0" applyFont="1" applyFill="1" applyBorder="1" applyAlignment="1" applyProtection="1">
      <alignment horizontal="left" wrapText="1"/>
      <protection locked="0"/>
    </xf>
    <xf numFmtId="0" fontId="1" fillId="6" borderId="8" xfId="0" applyFont="1" applyFill="1" applyBorder="1" applyProtection="1">
      <protection locked="0"/>
    </xf>
    <xf numFmtId="0" fontId="0" fillId="6" borderId="8" xfId="0" applyFill="1" applyBorder="1"/>
    <xf numFmtId="15" fontId="1" fillId="6" borderId="138" xfId="0" applyNumberFormat="1" applyFont="1" applyFill="1" applyBorder="1" applyAlignment="1" applyProtection="1">
      <alignment wrapText="1"/>
      <protection locked="0"/>
    </xf>
    <xf numFmtId="0" fontId="3" fillId="6" borderId="138" xfId="0" applyFont="1" applyFill="1" applyBorder="1" applyAlignment="1" applyProtection="1">
      <alignment wrapText="1"/>
      <protection locked="0"/>
    </xf>
    <xf numFmtId="0" fontId="3" fillId="6" borderId="100" xfId="0" applyFont="1" applyFill="1" applyBorder="1" applyAlignment="1" applyProtection="1">
      <alignment wrapText="1"/>
      <protection locked="0"/>
    </xf>
    <xf numFmtId="14" fontId="1" fillId="6" borderId="138" xfId="0" applyNumberFormat="1" applyFont="1" applyFill="1" applyBorder="1" applyProtection="1">
      <protection locked="0"/>
    </xf>
    <xf numFmtId="14" fontId="0" fillId="6" borderId="138" xfId="0" applyNumberFormat="1" applyFill="1" applyBorder="1"/>
    <xf numFmtId="0" fontId="0" fillId="6" borderId="100" xfId="0" applyFill="1" applyBorder="1"/>
    <xf numFmtId="15" fontId="1" fillId="6" borderId="138" xfId="0" applyNumberFormat="1" applyFont="1" applyFill="1" applyBorder="1" applyProtection="1">
      <protection locked="0"/>
    </xf>
    <xf numFmtId="15" fontId="1" fillId="6" borderId="145" xfId="0" applyNumberFormat="1" applyFont="1" applyFill="1" applyBorder="1" applyAlignment="1" applyProtection="1">
      <alignment horizontal="right" wrapText="1"/>
      <protection locked="0"/>
    </xf>
    <xf numFmtId="0" fontId="1" fillId="6" borderId="101" xfId="0" applyFont="1" applyFill="1" applyBorder="1" applyAlignment="1" applyProtection="1">
      <alignment wrapText="1"/>
      <protection locked="0"/>
    </xf>
    <xf numFmtId="0" fontId="34" fillId="15" borderId="0" xfId="0" applyFont="1" applyFill="1" applyBorder="1" applyAlignment="1">
      <alignment vertical="top" wrapText="1"/>
    </xf>
    <xf numFmtId="0" fontId="3" fillId="3" borderId="1" xfId="0" applyFont="1" applyFill="1" applyBorder="1" applyAlignment="1">
      <alignment horizontal="center" vertical="top" wrapText="1"/>
    </xf>
    <xf numFmtId="0" fontId="3" fillId="3" borderId="2" xfId="0" applyFont="1" applyFill="1" applyBorder="1" applyAlignment="1">
      <alignment horizontal="center" vertical="top" wrapText="1"/>
    </xf>
    <xf numFmtId="170" fontId="3" fillId="3" borderId="2" xfId="0" applyNumberFormat="1" applyFont="1" applyFill="1" applyBorder="1" applyAlignment="1">
      <alignment horizontal="center" vertical="top" wrapText="1"/>
    </xf>
    <xf numFmtId="0" fontId="3" fillId="3" borderId="3" xfId="0" applyFont="1" applyFill="1" applyBorder="1" applyAlignment="1">
      <alignment vertical="top"/>
    </xf>
    <xf numFmtId="0" fontId="3" fillId="3" borderId="58" xfId="0" applyFont="1" applyFill="1" applyBorder="1" applyAlignment="1">
      <alignment horizontal="center" vertical="top" wrapText="1"/>
    </xf>
    <xf numFmtId="0" fontId="3" fillId="3" borderId="59" xfId="0" applyFont="1" applyFill="1" applyBorder="1" applyAlignment="1">
      <alignment horizontal="center" vertical="top" wrapText="1"/>
    </xf>
    <xf numFmtId="170" fontId="3" fillId="3" borderId="59" xfId="0" applyNumberFormat="1" applyFont="1" applyFill="1" applyBorder="1" applyAlignment="1">
      <alignment horizontal="center" vertical="top" wrapText="1"/>
    </xf>
    <xf numFmtId="0" fontId="3" fillId="3" borderId="87" xfId="0" applyFont="1" applyFill="1" applyBorder="1" applyAlignment="1">
      <alignment vertical="top"/>
    </xf>
    <xf numFmtId="15" fontId="1" fillId="6" borderId="17"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1" fillId="6" borderId="37" xfId="0" applyFont="1"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0" fillId="6" borderId="84" xfId="0" applyFill="1" applyBorder="1" applyAlignment="1" applyProtection="1">
      <alignment vertical="top" wrapText="1"/>
      <protection locked="0"/>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vertical="top"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0" fontId="86" fillId="0" borderId="0" xfId="0" applyFont="1" applyFill="1" applyBorder="1" applyAlignment="1">
      <alignment wrapText="1"/>
    </xf>
    <xf numFmtId="0" fontId="0" fillId="6" borderId="30" xfId="0" applyFill="1" applyBorder="1" applyAlignment="1" applyProtection="1">
      <alignment vertical="top" wrapText="1"/>
      <protection locked="0"/>
    </xf>
    <xf numFmtId="164" fontId="86" fillId="19" borderId="180" xfId="0" applyNumberFormat="1" applyFont="1" applyFill="1" applyBorder="1" applyAlignment="1">
      <alignment horizontal="center" vertical="center"/>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3" fontId="0" fillId="20" borderId="8" xfId="0" applyNumberFormat="1" applyFill="1" applyBorder="1"/>
    <xf numFmtId="0" fontId="18" fillId="20" borderId="8" xfId="0" applyFont="1" applyFill="1" applyBorder="1"/>
    <xf numFmtId="0" fontId="3" fillId="5" borderId="138" xfId="0" applyFont="1" applyFill="1" applyBorder="1" applyAlignment="1" applyProtection="1">
      <alignment horizontal="lef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3" fontId="1" fillId="2" borderId="8" xfId="0" applyNumberFormat="1" applyFont="1" applyFill="1" applyBorder="1" applyAlignment="1" applyProtection="1">
      <alignment horizontal="left" vertical="top" wrapText="1"/>
      <protection locked="0"/>
    </xf>
    <xf numFmtId="3" fontId="1" fillId="2" borderId="22" xfId="0" applyNumberFormat="1" applyFont="1" applyFill="1" applyBorder="1" applyAlignment="1" applyProtection="1">
      <alignment horizontal="right" vertical="center"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Cash for Working Capital Reserve</c:v>
                </c:pt>
                <c:pt idx="10">
                  <c:v>Taxes</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4.4824477404691674</c:v>
                </c:pt>
                <c:pt idx="1">
                  <c:v>1.4628936520036421E-3</c:v>
                </c:pt>
                <c:pt idx="2">
                  <c:v>0</c:v>
                </c:pt>
                <c:pt idx="4">
                  <c:v>3.9660070019776885</c:v>
                </c:pt>
                <c:pt idx="5">
                  <c:v>0.23132576245804806</c:v>
                </c:pt>
                <c:pt idx="6">
                  <c:v>0.12660122405571292</c:v>
                </c:pt>
                <c:pt idx="7">
                  <c:v>7.5411049199456293E-2</c:v>
                </c:pt>
                <c:pt idx="8">
                  <c:v>3.8391561664007375E-2</c:v>
                </c:pt>
                <c:pt idx="9">
                  <c:v>1.9136315463353638E-2</c:v>
                </c:pt>
                <c:pt idx="10">
                  <c:v>1.0707643856206782E-2</c:v>
                </c:pt>
                <c:pt idx="11">
                  <c:v>9.4523053561131991E-3</c:v>
                </c:pt>
                <c:pt idx="12">
                  <c:v>4.1172911999507716E-3</c:v>
                </c:pt>
                <c:pt idx="13">
                  <c:v>1.45689312506103E-3</c:v>
                </c:pt>
                <c:pt idx="14">
                  <c:v>1.3035857655690258E-3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4.4824477404691674</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1.4628936520036421E-3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3.9660070019776885</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0.23132576245804806</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0.12660122405571292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7.5411049199456293E-2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3.8391561664007375E-2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1.9136315463353638E-2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1.0707643856206782E-2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9.4523053561131991E-3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4.1172911999507716E-3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1.45689312506103E-3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1.3035857655690258E-3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4.4839106341211714</c:v>
                </c:pt>
                <c:pt idx="1">
                  <c:v>4.4839106341211679</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0.21978809078530137</c:v>
                </c:pt>
                <c:pt idx="1">
                  <c:v>2.2982677718256461E-2</c:v>
                </c:pt>
                <c:pt idx="2">
                  <c:v>1.4008001356944355E-2</c:v>
                </c:pt>
                <c:pt idx="3">
                  <c:v>1.1637145311304664E-2</c:v>
                </c:pt>
                <c:pt idx="4">
                  <c:v>8.2045092101381556E-3</c:v>
                </c:pt>
                <c:pt idx="5">
                  <c:v>5.3795646356018523E-3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0.21978809078530137</c:v>
                </c:pt>
                <c:pt idx="1">
                  <c:v>2.540190695175859E-2</c:v>
                </c:pt>
                <c:pt idx="2">
                  <c:v>1.4008001356944355E-2</c:v>
                </c:pt>
                <c:pt idx="3">
                  <c:v>1.1637145311305552E-2</c:v>
                </c:pt>
                <c:pt idx="4">
                  <c:v>8.8763142420660301E-3</c:v>
                </c:pt>
                <c:pt idx="5">
                  <c:v>5.5636377045873431E-3</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4.7022358312544688</c:v>
                </c:pt>
                <c:pt idx="1">
                  <c:v>4.507849647420926</c:v>
                </c:pt>
                <c:pt idx="2">
                  <c:v>4.4964557418261117</c:v>
                </c:pt>
                <c:pt idx="3">
                  <c:v>4.4940848857804729</c:v>
                </c:pt>
                <c:pt idx="4">
                  <c:v>4.4913240547112334</c:v>
                </c:pt>
                <c:pt idx="5">
                  <c:v>4.4880113781737547</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4.4824477404691674</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4.4824477404691674</c:v>
                </c:pt>
                <c:pt idx="1">
                  <c:v>4.262659649683866</c:v>
                </c:pt>
                <c:pt idx="2">
                  <c:v>4.240642354154228</c:v>
                </c:pt>
                <c:pt idx="3">
                  <c:v>4.2279657120548553</c:v>
                </c:pt>
                <c:pt idx="4">
                  <c:v>4.2174298072045477</c:v>
                </c:pt>
                <c:pt idx="5">
                  <c:v>4.2174298072045477</c:v>
                </c:pt>
                <c:pt idx="6">
                  <c:v>4.2174298072045477</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0.21978809078530137</c:v>
                </c:pt>
                <c:pt idx="2">
                  <c:v>2.2017295529638048E-2</c:v>
                </c:pt>
                <c:pt idx="3">
                  <c:v>1.2676642099372692E-2</c:v>
                </c:pt>
                <c:pt idx="4">
                  <c:v>1.0535904850307531E-2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Analysis'!$I$202:$I$221</c:f>
              <c:numCache>
                <c:formatCode>General</c:formatCode>
                <c:ptCount val="20"/>
                <c:pt idx="0">
                  <c:v>4.4999999999999997E-3</c:v>
                </c:pt>
                <c:pt idx="1">
                  <c:v>1.7000000000000001E-2</c:v>
                </c:pt>
                <c:pt idx="2">
                  <c:v>4.5499999999999999E-2</c:v>
                </c:pt>
                <c:pt idx="3">
                  <c:v>7.4499999999999997E-2</c:v>
                </c:pt>
                <c:pt idx="4">
                  <c:v>0.11699999999999999</c:v>
                </c:pt>
                <c:pt idx="5">
                  <c:v>0.16949999999999998</c:v>
                </c:pt>
                <c:pt idx="6">
                  <c:v>0.23449999999999999</c:v>
                </c:pt>
                <c:pt idx="7">
                  <c:v>0.29199999999999998</c:v>
                </c:pt>
                <c:pt idx="8">
                  <c:v>0.38300000000000001</c:v>
                </c:pt>
                <c:pt idx="9">
                  <c:v>0.47299999999999998</c:v>
                </c:pt>
                <c:pt idx="10">
                  <c:v>0.5655</c:v>
                </c:pt>
                <c:pt idx="11">
                  <c:v>0.65300000000000002</c:v>
                </c:pt>
                <c:pt idx="12">
                  <c:v>0.73699999999999999</c:v>
                </c:pt>
                <c:pt idx="13">
                  <c:v>0.79800000000000004</c:v>
                </c:pt>
                <c:pt idx="14">
                  <c:v>0.85950000000000004</c:v>
                </c:pt>
                <c:pt idx="15">
                  <c:v>0.90650000000000008</c:v>
                </c:pt>
                <c:pt idx="16">
                  <c:v>0.94150000000000011</c:v>
                </c:pt>
                <c:pt idx="17">
                  <c:v>0.97000000000000008</c:v>
                </c:pt>
                <c:pt idx="18">
                  <c:v>0.99400000000000011</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Analysis'!$H$202:$H$221</c:f>
              <c:numCache>
                <c:formatCode>General</c:formatCode>
                <c:ptCount val="20"/>
                <c:pt idx="0">
                  <c:v>4.4999999999999997E-3</c:v>
                </c:pt>
                <c:pt idx="1">
                  <c:v>1.2500000000000001E-2</c:v>
                </c:pt>
                <c:pt idx="2">
                  <c:v>2.8500000000000001E-2</c:v>
                </c:pt>
                <c:pt idx="3">
                  <c:v>2.9000000000000001E-2</c:v>
                </c:pt>
                <c:pt idx="4">
                  <c:v>4.2500000000000003E-2</c:v>
                </c:pt>
                <c:pt idx="5">
                  <c:v>5.2499999999999998E-2</c:v>
                </c:pt>
                <c:pt idx="6">
                  <c:v>6.5000000000000002E-2</c:v>
                </c:pt>
                <c:pt idx="7">
                  <c:v>5.7500000000000002E-2</c:v>
                </c:pt>
                <c:pt idx="8">
                  <c:v>9.0999999999999998E-2</c:v>
                </c:pt>
                <c:pt idx="9">
                  <c:v>0.09</c:v>
                </c:pt>
                <c:pt idx="10">
                  <c:v>9.2499999999999999E-2</c:v>
                </c:pt>
                <c:pt idx="11">
                  <c:v>8.7499999999999994E-2</c:v>
                </c:pt>
                <c:pt idx="12">
                  <c:v>8.4000000000000005E-2</c:v>
                </c:pt>
                <c:pt idx="13">
                  <c:v>6.0999999999999999E-2</c:v>
                </c:pt>
                <c:pt idx="14">
                  <c:v>6.1499999999999999E-2</c:v>
                </c:pt>
                <c:pt idx="15">
                  <c:v>4.7E-2</c:v>
                </c:pt>
                <c:pt idx="16">
                  <c:v>3.5000000000000003E-2</c:v>
                </c:pt>
                <c:pt idx="17">
                  <c:v>2.8500000000000001E-2</c:v>
                </c:pt>
                <c:pt idx="18">
                  <c:v>2.4E-2</c:v>
                </c:pt>
                <c:pt idx="19">
                  <c:v>6.0000000000000001E-3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61856</xdr:colOff>
      <xdr:row>6</xdr:row>
      <xdr:rowOff>103095</xdr:rowOff>
    </xdr:from>
    <xdr:to>
      <xdr:col>1</xdr:col>
      <xdr:colOff>7507941</xdr:colOff>
      <xdr:row>13</xdr:row>
      <xdr:rowOff>212912</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974" y="1290919"/>
          <a:ext cx="7446085" cy="2687169"/>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184150</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129</xdr:row>
          <xdr:rowOff>38100</xdr:rowOff>
        </xdr:from>
        <xdr:to>
          <xdr:col>1</xdr:col>
          <xdr:colOff>3613150</xdr:colOff>
          <xdr:row>129</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129</xdr:row>
          <xdr:rowOff>50800</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55</xdr:row>
          <xdr:rowOff>222250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12700</xdr:rowOff>
        </xdr:from>
        <xdr:to>
          <xdr:col>3</xdr:col>
          <xdr:colOff>1162050</xdr:colOff>
          <xdr:row>112</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150</xdr:row>
          <xdr:rowOff>12700</xdr:rowOff>
        </xdr:from>
        <xdr:to>
          <xdr:col>5</xdr:col>
          <xdr:colOff>1212850</xdr:colOff>
          <xdr:row>151</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151</xdr:row>
          <xdr:rowOff>12700</xdr:rowOff>
        </xdr:from>
        <xdr:to>
          <xdr:col>5</xdr:col>
          <xdr:colOff>1212850</xdr:colOff>
          <xdr:row>152</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152</xdr:row>
          <xdr:rowOff>0</xdr:rowOff>
        </xdr:from>
        <xdr:to>
          <xdr:col>5</xdr:col>
          <xdr:colOff>1212850</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0</xdr:rowOff>
        </xdr:from>
        <xdr:to>
          <xdr:col>5</xdr:col>
          <xdr:colOff>1212850</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0.35461</cdr:x>
      <cdr:y>0.63687</cdr:y>
    </cdr:to>
    <cdr:sp macro="" textlink="'Tornado Charts &amp; Risk Analysis'!$H$164">
      <cdr:nvSpPr>
        <cdr:cNvPr id="11" name="TextBox 1"/>
        <cdr:cNvSpPr txBox="1"/>
      </cdr:nvSpPr>
      <cdr:spPr>
        <a:xfrm xmlns:a="http://schemas.openxmlformats.org/drawingml/2006/main">
          <a:off x="0" y="256698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0.08917</cdr:x>
      <cdr:y>0.68772</cdr:y>
    </cdr:to>
    <cdr:sp macro="" textlink="'Tornado Charts &amp; Risk Analysis'!$H$165">
      <cdr:nvSpPr>
        <cdr:cNvPr id="12" name="TextBox 1"/>
        <cdr:cNvSpPr txBox="1"/>
      </cdr:nvSpPr>
      <cdr:spPr>
        <a:xfrm xmlns:a="http://schemas.openxmlformats.org/drawingml/2006/main">
          <a:off x="0" y="279109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($63,733K, $67,088K, $70,442K)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($3,890K, $4,095K, $4,300K)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52"/>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79" t="s">
        <v>407</v>
      </c>
    </row>
    <row r="4" spans="2:4" ht="13" thickBot="1" x14ac:dyDescent="0.3"/>
    <row r="5" spans="2:4" ht="26" thickTop="1" x14ac:dyDescent="0.3">
      <c r="B5" s="785" t="s">
        <v>211</v>
      </c>
      <c r="C5" s="1467" t="s">
        <v>1435</v>
      </c>
      <c r="D5" s="1258"/>
    </row>
    <row r="6" spans="2:4" ht="13" x14ac:dyDescent="0.3">
      <c r="B6" s="788" t="s">
        <v>212</v>
      </c>
      <c r="C6" s="1199" t="s">
        <v>1354</v>
      </c>
      <c r="D6" s="1258"/>
    </row>
    <row r="7" spans="2:4" ht="13" x14ac:dyDescent="0.3">
      <c r="B7" s="788" t="s">
        <v>213</v>
      </c>
      <c r="C7" s="1256" t="s">
        <v>1427</v>
      </c>
      <c r="D7" s="1258"/>
    </row>
    <row r="8" spans="2:4" ht="13" x14ac:dyDescent="0.3">
      <c r="B8" s="788" t="s">
        <v>214</v>
      </c>
      <c r="C8" s="1256" t="s">
        <v>1428</v>
      </c>
      <c r="D8" s="1258"/>
    </row>
    <row r="9" spans="2:4" ht="13" x14ac:dyDescent="0.3">
      <c r="B9" s="788" t="s">
        <v>215</v>
      </c>
      <c r="C9" s="986" t="s">
        <v>1429</v>
      </c>
      <c r="D9" s="790"/>
    </row>
    <row r="10" spans="2:4" ht="13" x14ac:dyDescent="0.3">
      <c r="B10" s="788" t="s">
        <v>216</v>
      </c>
      <c r="C10" s="1256" t="s">
        <v>830</v>
      </c>
      <c r="D10" s="1258"/>
    </row>
    <row r="11" spans="2:4" ht="13" x14ac:dyDescent="0.3">
      <c r="B11" s="788" t="s">
        <v>217</v>
      </c>
      <c r="C11" s="1257">
        <v>43152</v>
      </c>
      <c r="D11" s="1436"/>
    </row>
    <row r="12" spans="2:4" ht="13.5" thickBot="1" x14ac:dyDescent="0.35">
      <c r="B12" s="793" t="s">
        <v>218</v>
      </c>
      <c r="C12" s="987" t="s">
        <v>1430</v>
      </c>
      <c r="D12" s="1258"/>
    </row>
    <row r="13" spans="2:4" ht="14" thickTop="1" thickBot="1" x14ac:dyDescent="0.35">
      <c r="B13" s="794"/>
      <c r="C13" s="1258"/>
      <c r="D13" s="1437"/>
    </row>
    <row r="14" spans="2:4" ht="13.5" thickTop="1" x14ac:dyDescent="0.3">
      <c r="B14" s="785" t="s">
        <v>219</v>
      </c>
      <c r="C14" s="1438">
        <v>50000</v>
      </c>
      <c r="D14" s="1439"/>
    </row>
    <row r="15" spans="2:4" ht="13" x14ac:dyDescent="0.3">
      <c r="B15" s="788" t="s">
        <v>220</v>
      </c>
      <c r="C15" s="1259">
        <v>2040</v>
      </c>
      <c r="D15" s="799"/>
    </row>
    <row r="16" spans="2:4" ht="13" x14ac:dyDescent="0.3">
      <c r="B16" s="788" t="s">
        <v>221</v>
      </c>
      <c r="C16" s="1199" t="s">
        <v>1046</v>
      </c>
      <c r="D16" s="1439"/>
    </row>
    <row r="17" spans="2:4" ht="13" x14ac:dyDescent="0.3">
      <c r="B17" s="788" t="s">
        <v>222</v>
      </c>
      <c r="C17" s="1199"/>
      <c r="D17" s="1439"/>
    </row>
    <row r="18" spans="2:4" ht="13" x14ac:dyDescent="0.3">
      <c r="B18" s="788" t="s">
        <v>223</v>
      </c>
      <c r="C18" s="1199" t="s">
        <v>1356</v>
      </c>
      <c r="D18" s="800"/>
    </row>
    <row r="19" spans="2:4" ht="13" x14ac:dyDescent="0.3">
      <c r="B19" s="788" t="s">
        <v>224</v>
      </c>
      <c r="C19" s="1199" t="s">
        <v>1357</v>
      </c>
      <c r="D19" s="1439"/>
    </row>
    <row r="20" spans="2:4" ht="13" x14ac:dyDescent="0.3">
      <c r="B20" s="788" t="s">
        <v>225</v>
      </c>
      <c r="C20" s="1199" t="s">
        <v>1349</v>
      </c>
      <c r="D20" s="1439"/>
    </row>
    <row r="21" spans="2:4" ht="13" x14ac:dyDescent="0.3">
      <c r="B21" s="788" t="s">
        <v>226</v>
      </c>
      <c r="C21" s="1199" t="s">
        <v>1349</v>
      </c>
      <c r="D21" s="1439"/>
    </row>
    <row r="22" spans="2:4" ht="26" x14ac:dyDescent="0.3">
      <c r="B22" s="801" t="s">
        <v>227</v>
      </c>
      <c r="C22" s="1259"/>
      <c r="D22" s="1439"/>
    </row>
    <row r="23" spans="2:4" ht="13" x14ac:dyDescent="0.3">
      <c r="B23" s="801" t="s">
        <v>228</v>
      </c>
      <c r="C23" s="1199" t="s">
        <v>1349</v>
      </c>
      <c r="D23" s="1439"/>
    </row>
    <row r="24" spans="2:4" ht="13.5" thickBot="1" x14ac:dyDescent="0.35">
      <c r="B24" s="793" t="s">
        <v>229</v>
      </c>
      <c r="C24" s="1260" t="s">
        <v>1350</v>
      </c>
      <c r="D24" s="1439"/>
    </row>
    <row r="25" spans="2:4" ht="14" thickTop="1" thickBot="1" x14ac:dyDescent="0.35">
      <c r="B25" s="803"/>
      <c r="C25" s="1439"/>
      <c r="D25" s="1439"/>
    </row>
    <row r="26" spans="2:4" ht="13" x14ac:dyDescent="0.3">
      <c r="B26" s="1569" t="s">
        <v>230</v>
      </c>
      <c r="C26" s="1570"/>
      <c r="D26" s="1571"/>
    </row>
    <row r="27" spans="2:4" ht="13" x14ac:dyDescent="0.3">
      <c r="B27" s="1440" t="s">
        <v>231</v>
      </c>
      <c r="C27" s="805" t="s">
        <v>232</v>
      </c>
      <c r="D27" s="1441" t="s">
        <v>1029</v>
      </c>
    </row>
    <row r="28" spans="2:4" ht="13" x14ac:dyDescent="0.3">
      <c r="B28" s="1460" t="s">
        <v>1297</v>
      </c>
      <c r="C28" s="1198"/>
      <c r="D28" s="1457"/>
    </row>
    <row r="29" spans="2:4" x14ac:dyDescent="0.25">
      <c r="B29" s="1458">
        <v>43137</v>
      </c>
      <c r="C29" s="1198" t="s">
        <v>1298</v>
      </c>
      <c r="D29" s="1457" t="s">
        <v>1299</v>
      </c>
    </row>
    <row r="30" spans="2:4" x14ac:dyDescent="0.25">
      <c r="B30" s="1458"/>
      <c r="C30" s="1198"/>
      <c r="D30" s="1457"/>
    </row>
    <row r="31" spans="2:4" x14ac:dyDescent="0.25">
      <c r="B31" s="1488">
        <v>41547</v>
      </c>
      <c r="C31" s="1198" t="s">
        <v>1348</v>
      </c>
      <c r="D31" s="1199" t="s">
        <v>1355</v>
      </c>
    </row>
    <row r="32" spans="2:4" x14ac:dyDescent="0.25">
      <c r="B32" s="1470"/>
      <c r="C32" s="1198"/>
      <c r="D32" s="1256"/>
    </row>
    <row r="33" spans="2:4" x14ac:dyDescent="0.25">
      <c r="B33" s="1470"/>
      <c r="C33" s="1198"/>
      <c r="D33" s="1256"/>
    </row>
    <row r="34" spans="2:4" x14ac:dyDescent="0.25">
      <c r="B34" s="1470"/>
      <c r="C34" s="1198"/>
      <c r="D34" s="1256"/>
    </row>
    <row r="35" spans="2:4" x14ac:dyDescent="0.25">
      <c r="B35" s="1470"/>
      <c r="C35" s="1198"/>
      <c r="D35" s="1256"/>
    </row>
    <row r="36" spans="2:4" x14ac:dyDescent="0.25">
      <c r="B36" s="1470"/>
      <c r="C36" s="1198"/>
      <c r="D36" s="1256"/>
    </row>
    <row r="37" spans="2:4" x14ac:dyDescent="0.25">
      <c r="B37" s="1470"/>
      <c r="C37" s="1198"/>
      <c r="D37" s="1256"/>
    </row>
    <row r="38" spans="2:4" x14ac:dyDescent="0.25">
      <c r="B38" s="1470"/>
      <c r="C38" s="1198"/>
      <c r="D38" s="1256"/>
    </row>
    <row r="39" spans="2:4" x14ac:dyDescent="0.25">
      <c r="B39" s="1470"/>
      <c r="C39" s="1198"/>
      <c r="D39" s="1256"/>
    </row>
    <row r="40" spans="2:4" ht="13" x14ac:dyDescent="0.3">
      <c r="B40" s="1471"/>
      <c r="C40" s="1198"/>
      <c r="D40" s="1472"/>
    </row>
    <row r="41" spans="2:4" x14ac:dyDescent="0.25">
      <c r="B41" s="1470"/>
      <c r="C41" s="1198"/>
      <c r="D41" s="1256"/>
    </row>
    <row r="42" spans="2:4" ht="13" x14ac:dyDescent="0.3">
      <c r="B42" s="1471"/>
      <c r="C42" s="1468"/>
      <c r="D42" s="1472"/>
    </row>
    <row r="43" spans="2:4" x14ac:dyDescent="0.25">
      <c r="B43" s="1473"/>
      <c r="C43" s="1469"/>
      <c r="D43" s="1256"/>
    </row>
    <row r="44" spans="2:4" x14ac:dyDescent="0.25">
      <c r="B44" s="1474"/>
      <c r="C44" s="1469"/>
      <c r="D44" s="1475"/>
    </row>
    <row r="45" spans="2:4" x14ac:dyDescent="0.25">
      <c r="B45" s="1473"/>
      <c r="C45" s="1261"/>
      <c r="D45" s="1256"/>
    </row>
    <row r="46" spans="2:4" ht="13" x14ac:dyDescent="0.3">
      <c r="B46" s="1471"/>
      <c r="C46" s="1261"/>
      <c r="D46" s="1472"/>
    </row>
    <row r="47" spans="2:4" x14ac:dyDescent="0.25">
      <c r="B47" s="1476"/>
      <c r="C47" s="1198"/>
      <c r="D47" s="1256"/>
    </row>
    <row r="48" spans="2:4" x14ac:dyDescent="0.25">
      <c r="B48" s="1470"/>
      <c r="C48" s="1198"/>
      <c r="D48" s="1256"/>
    </row>
    <row r="49" spans="2:4" x14ac:dyDescent="0.25">
      <c r="B49" s="1470"/>
      <c r="C49" s="1198"/>
      <c r="D49" s="1256"/>
    </row>
    <row r="50" spans="2:4" x14ac:dyDescent="0.25">
      <c r="B50" s="1470"/>
      <c r="C50" s="1198"/>
      <c r="D50" s="1256"/>
    </row>
    <row r="51" spans="2:4" x14ac:dyDescent="0.25">
      <c r="B51" s="1470"/>
      <c r="C51" s="1198"/>
      <c r="D51" s="1256"/>
    </row>
    <row r="52" spans="2:4" ht="13" thickBot="1" x14ac:dyDescent="0.3">
      <c r="B52" s="1477"/>
      <c r="C52" s="1456"/>
      <c r="D52" s="1478"/>
    </row>
  </sheetData>
  <mergeCells count="1">
    <mergeCell ref="B26:D26"/>
  </mergeCells>
  <phoneticPr fontId="0" type="noConversion"/>
  <hyperlinks>
    <hyperlink ref="C9" r:id="rId1" xr:uid="{30AF495B-BC87-404B-8449-224DFCF27D93}"/>
    <hyperlink ref="C12" r:id="rId2" xr:uid="{FC0ABB8B-0084-436F-84E2-FFF38886E5B8}"/>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B6" sqref="B6"/>
    </sheetView>
  </sheetViews>
  <sheetFormatPr defaultRowHeight="12.5" x14ac:dyDescent="0.25"/>
  <cols>
    <col min="2" max="2" width="122" customWidth="1"/>
    <col min="3" max="3" width="12" customWidth="1"/>
    <col min="4" max="4" width="47.453125" customWidth="1"/>
    <col min="5" max="5" width="17.26953125" customWidth="1"/>
  </cols>
  <sheetData>
    <row r="2" spans="2:4" ht="22" x14ac:dyDescent="0.65">
      <c r="B2" s="779" t="s">
        <v>408</v>
      </c>
    </row>
    <row r="6" spans="2:4" ht="13" x14ac:dyDescent="0.3">
      <c r="B6" s="780" t="s">
        <v>206</v>
      </c>
    </row>
    <row r="7" spans="2:4" ht="25" x14ac:dyDescent="0.25">
      <c r="B7" s="1261" t="s">
        <v>1358</v>
      </c>
    </row>
    <row r="8" spans="2:4" x14ac:dyDescent="0.25">
      <c r="B8" s="781"/>
    </row>
    <row r="9" spans="2:4" x14ac:dyDescent="0.25">
      <c r="B9" s="781"/>
    </row>
    <row r="10" spans="2:4" ht="13" x14ac:dyDescent="0.3">
      <c r="B10" s="782" t="s">
        <v>207</v>
      </c>
    </row>
    <row r="11" spans="2:4" ht="37.5" x14ac:dyDescent="0.25">
      <c r="B11" s="1261" t="s">
        <v>1359</v>
      </c>
    </row>
    <row r="12" spans="2:4" x14ac:dyDescent="0.25">
      <c r="B12" s="209"/>
      <c r="D12" t="s">
        <v>1347</v>
      </c>
    </row>
    <row r="13" spans="2:4" x14ac:dyDescent="0.25">
      <c r="B13" s="781"/>
    </row>
    <row r="14" spans="2:4" ht="13" x14ac:dyDescent="0.3">
      <c r="B14" s="782" t="s">
        <v>208</v>
      </c>
    </row>
    <row r="15" spans="2:4" ht="25" x14ac:dyDescent="0.25">
      <c r="B15" s="1261" t="s">
        <v>1360</v>
      </c>
    </row>
    <row r="16" spans="2:4" x14ac:dyDescent="0.25">
      <c r="B16" s="781"/>
    </row>
    <row r="17" spans="2:2" x14ac:dyDescent="0.25">
      <c r="B17" s="781"/>
    </row>
    <row r="18" spans="2:2" ht="13" x14ac:dyDescent="0.3">
      <c r="B18" s="782" t="s">
        <v>209</v>
      </c>
    </row>
    <row r="19" spans="2:2" x14ac:dyDescent="0.25">
      <c r="B19" s="1261" t="s">
        <v>1351</v>
      </c>
    </row>
    <row r="20" spans="2:2" x14ac:dyDescent="0.25">
      <c r="B20" s="781"/>
    </row>
    <row r="21" spans="2:2" ht="13" x14ac:dyDescent="0.25">
      <c r="B21" s="783" t="s">
        <v>210</v>
      </c>
    </row>
    <row r="22" spans="2:2" x14ac:dyDescent="0.25">
      <c r="B22" s="1489" t="s">
        <v>1361</v>
      </c>
    </row>
    <row r="23" spans="2:2" x14ac:dyDescent="0.25">
      <c r="B23" s="1489" t="s">
        <v>1362</v>
      </c>
    </row>
    <row r="24" spans="2:2" x14ac:dyDescent="0.25">
      <c r="B24" s="1489" t="s">
        <v>1363</v>
      </c>
    </row>
    <row r="25" spans="2:2" ht="25" x14ac:dyDescent="0.25">
      <c r="B25" s="1489" t="s">
        <v>1364</v>
      </c>
    </row>
    <row r="26" spans="2:2" x14ac:dyDescent="0.25">
      <c r="B26" s="1489" t="s">
        <v>1362</v>
      </c>
    </row>
    <row r="27" spans="2:2" x14ac:dyDescent="0.25">
      <c r="B27" s="1489" t="s">
        <v>1365</v>
      </c>
    </row>
    <row r="28" spans="2:2" x14ac:dyDescent="0.25">
      <c r="B28" s="988"/>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zoomScale="85" zoomScaleNormal="85" workbookViewId="0">
      <selection activeCell="D46" sqref="D46"/>
    </sheetView>
  </sheetViews>
  <sheetFormatPr defaultRowHeight="12.5" x14ac:dyDescent="0.25"/>
  <cols>
    <col min="2" max="2" width="114" customWidth="1"/>
    <col min="3" max="3" width="18.54296875" customWidth="1"/>
    <col min="4" max="5" width="25" customWidth="1"/>
    <col min="6" max="6" width="15" customWidth="1"/>
    <col min="7" max="7" width="38.81640625" customWidth="1"/>
    <col min="8" max="8" width="73.453125" customWidth="1"/>
    <col min="9" max="9" width="22.54296875" customWidth="1"/>
    <col min="10" max="10" width="44.453125" customWidth="1"/>
    <col min="248" max="248" width="10.1796875" customWidth="1"/>
    <col min="249" max="249" width="12" customWidth="1"/>
    <col min="250" max="250" width="17.81640625" customWidth="1"/>
    <col min="251" max="251" width="17.26953125" customWidth="1"/>
    <col min="252" max="253" width="31" customWidth="1"/>
    <col min="254" max="257" width="25.1796875" customWidth="1"/>
    <col min="504" max="504" width="10.1796875" customWidth="1"/>
    <col min="505" max="505" width="12" customWidth="1"/>
    <col min="506" max="506" width="17.81640625" customWidth="1"/>
    <col min="507" max="507" width="17.26953125" customWidth="1"/>
    <col min="508" max="509" width="31" customWidth="1"/>
    <col min="510" max="513" width="25.1796875" customWidth="1"/>
    <col min="760" max="760" width="10.1796875" customWidth="1"/>
    <col min="761" max="761" width="12" customWidth="1"/>
    <col min="762" max="762" width="17.81640625" customWidth="1"/>
    <col min="763" max="763" width="17.26953125" customWidth="1"/>
    <col min="764" max="765" width="31" customWidth="1"/>
    <col min="766" max="769" width="25.1796875" customWidth="1"/>
    <col min="1016" max="1016" width="10.1796875" customWidth="1"/>
    <col min="1017" max="1017" width="12" customWidth="1"/>
    <col min="1018" max="1018" width="17.81640625" customWidth="1"/>
    <col min="1019" max="1019" width="17.26953125" customWidth="1"/>
    <col min="1020" max="1021" width="31" customWidth="1"/>
    <col min="1022" max="1025" width="25.1796875" customWidth="1"/>
    <col min="1272" max="1272" width="10.1796875" customWidth="1"/>
    <col min="1273" max="1273" width="12" customWidth="1"/>
    <col min="1274" max="1274" width="17.81640625" customWidth="1"/>
    <col min="1275" max="1275" width="17.26953125" customWidth="1"/>
    <col min="1276" max="1277" width="31" customWidth="1"/>
    <col min="1278" max="1281" width="25.1796875" customWidth="1"/>
    <col min="1528" max="1528" width="10.1796875" customWidth="1"/>
    <col min="1529" max="1529" width="12" customWidth="1"/>
    <col min="1530" max="1530" width="17.81640625" customWidth="1"/>
    <col min="1531" max="1531" width="17.26953125" customWidth="1"/>
    <col min="1532" max="1533" width="31" customWidth="1"/>
    <col min="1534" max="1537" width="25.1796875" customWidth="1"/>
    <col min="1784" max="1784" width="10.1796875" customWidth="1"/>
    <col min="1785" max="1785" width="12" customWidth="1"/>
    <col min="1786" max="1786" width="17.81640625" customWidth="1"/>
    <col min="1787" max="1787" width="17.26953125" customWidth="1"/>
    <col min="1788" max="1789" width="31" customWidth="1"/>
    <col min="1790" max="1793" width="25.1796875" customWidth="1"/>
    <col min="2040" max="2040" width="10.1796875" customWidth="1"/>
    <col min="2041" max="2041" width="12" customWidth="1"/>
    <col min="2042" max="2042" width="17.81640625" customWidth="1"/>
    <col min="2043" max="2043" width="17.26953125" customWidth="1"/>
    <col min="2044" max="2045" width="31" customWidth="1"/>
    <col min="2046" max="2049" width="25.1796875" customWidth="1"/>
    <col min="2296" max="2296" width="10.1796875" customWidth="1"/>
    <col min="2297" max="2297" width="12" customWidth="1"/>
    <col min="2298" max="2298" width="17.81640625" customWidth="1"/>
    <col min="2299" max="2299" width="17.26953125" customWidth="1"/>
    <col min="2300" max="2301" width="31" customWidth="1"/>
    <col min="2302" max="2305" width="25.1796875" customWidth="1"/>
    <col min="2552" max="2552" width="10.1796875" customWidth="1"/>
    <col min="2553" max="2553" width="12" customWidth="1"/>
    <col min="2554" max="2554" width="17.81640625" customWidth="1"/>
    <col min="2555" max="2555" width="17.26953125" customWidth="1"/>
    <col min="2556" max="2557" width="31" customWidth="1"/>
    <col min="2558" max="2561" width="25.1796875" customWidth="1"/>
    <col min="2808" max="2808" width="10.1796875" customWidth="1"/>
    <col min="2809" max="2809" width="12" customWidth="1"/>
    <col min="2810" max="2810" width="17.81640625" customWidth="1"/>
    <col min="2811" max="2811" width="17.26953125" customWidth="1"/>
    <col min="2812" max="2813" width="31" customWidth="1"/>
    <col min="2814" max="2817" width="25.1796875" customWidth="1"/>
    <col min="3064" max="3064" width="10.1796875" customWidth="1"/>
    <col min="3065" max="3065" width="12" customWidth="1"/>
    <col min="3066" max="3066" width="17.81640625" customWidth="1"/>
    <col min="3067" max="3067" width="17.26953125" customWidth="1"/>
    <col min="3068" max="3069" width="31" customWidth="1"/>
    <col min="3070" max="3073" width="25.1796875" customWidth="1"/>
    <col min="3320" max="3320" width="10.1796875" customWidth="1"/>
    <col min="3321" max="3321" width="12" customWidth="1"/>
    <col min="3322" max="3322" width="17.81640625" customWidth="1"/>
    <col min="3323" max="3323" width="17.26953125" customWidth="1"/>
    <col min="3324" max="3325" width="31" customWidth="1"/>
    <col min="3326" max="3329" width="25.1796875" customWidth="1"/>
    <col min="3576" max="3576" width="10.1796875" customWidth="1"/>
    <col min="3577" max="3577" width="12" customWidth="1"/>
    <col min="3578" max="3578" width="17.81640625" customWidth="1"/>
    <col min="3579" max="3579" width="17.26953125" customWidth="1"/>
    <col min="3580" max="3581" width="31" customWidth="1"/>
    <col min="3582" max="3585" width="25.1796875" customWidth="1"/>
    <col min="3832" max="3832" width="10.1796875" customWidth="1"/>
    <col min="3833" max="3833" width="12" customWidth="1"/>
    <col min="3834" max="3834" width="17.81640625" customWidth="1"/>
    <col min="3835" max="3835" width="17.26953125" customWidth="1"/>
    <col min="3836" max="3837" width="31" customWidth="1"/>
    <col min="3838" max="3841" width="25.1796875" customWidth="1"/>
    <col min="4088" max="4088" width="10.1796875" customWidth="1"/>
    <col min="4089" max="4089" width="12" customWidth="1"/>
    <col min="4090" max="4090" width="17.81640625" customWidth="1"/>
    <col min="4091" max="4091" width="17.26953125" customWidth="1"/>
    <col min="4092" max="4093" width="31" customWidth="1"/>
    <col min="4094" max="4097" width="25.1796875" customWidth="1"/>
    <col min="4344" max="4344" width="10.1796875" customWidth="1"/>
    <col min="4345" max="4345" width="12" customWidth="1"/>
    <col min="4346" max="4346" width="17.81640625" customWidth="1"/>
    <col min="4347" max="4347" width="17.26953125" customWidth="1"/>
    <col min="4348" max="4349" width="31" customWidth="1"/>
    <col min="4350" max="4353" width="25.1796875" customWidth="1"/>
    <col min="4600" max="4600" width="10.1796875" customWidth="1"/>
    <col min="4601" max="4601" width="12" customWidth="1"/>
    <col min="4602" max="4602" width="17.81640625" customWidth="1"/>
    <col min="4603" max="4603" width="17.26953125" customWidth="1"/>
    <col min="4604" max="4605" width="31" customWidth="1"/>
    <col min="4606" max="4609" width="25.1796875" customWidth="1"/>
    <col min="4856" max="4856" width="10.1796875" customWidth="1"/>
    <col min="4857" max="4857" width="12" customWidth="1"/>
    <col min="4858" max="4858" width="17.81640625" customWidth="1"/>
    <col min="4859" max="4859" width="17.26953125" customWidth="1"/>
    <col min="4860" max="4861" width="31" customWidth="1"/>
    <col min="4862" max="4865" width="25.1796875" customWidth="1"/>
    <col min="5112" max="5112" width="10.1796875" customWidth="1"/>
    <col min="5113" max="5113" width="12" customWidth="1"/>
    <col min="5114" max="5114" width="17.81640625" customWidth="1"/>
    <col min="5115" max="5115" width="17.26953125" customWidth="1"/>
    <col min="5116" max="5117" width="31" customWidth="1"/>
    <col min="5118" max="5121" width="25.1796875" customWidth="1"/>
    <col min="5368" max="5368" width="10.1796875" customWidth="1"/>
    <col min="5369" max="5369" width="12" customWidth="1"/>
    <col min="5370" max="5370" width="17.81640625" customWidth="1"/>
    <col min="5371" max="5371" width="17.26953125" customWidth="1"/>
    <col min="5372" max="5373" width="31" customWidth="1"/>
    <col min="5374" max="5377" width="25.1796875" customWidth="1"/>
    <col min="5624" max="5624" width="10.1796875" customWidth="1"/>
    <col min="5625" max="5625" width="12" customWidth="1"/>
    <col min="5626" max="5626" width="17.81640625" customWidth="1"/>
    <col min="5627" max="5627" width="17.26953125" customWidth="1"/>
    <col min="5628" max="5629" width="31" customWidth="1"/>
    <col min="5630" max="5633" width="25.1796875" customWidth="1"/>
    <col min="5880" max="5880" width="10.1796875" customWidth="1"/>
    <col min="5881" max="5881" width="12" customWidth="1"/>
    <col min="5882" max="5882" width="17.81640625" customWidth="1"/>
    <col min="5883" max="5883" width="17.26953125" customWidth="1"/>
    <col min="5884" max="5885" width="31" customWidth="1"/>
    <col min="5886" max="5889" width="25.1796875" customWidth="1"/>
    <col min="6136" max="6136" width="10.1796875" customWidth="1"/>
    <col min="6137" max="6137" width="12" customWidth="1"/>
    <col min="6138" max="6138" width="17.81640625" customWidth="1"/>
    <col min="6139" max="6139" width="17.26953125" customWidth="1"/>
    <col min="6140" max="6141" width="31" customWidth="1"/>
    <col min="6142" max="6145" width="25.1796875" customWidth="1"/>
    <col min="6392" max="6392" width="10.1796875" customWidth="1"/>
    <col min="6393" max="6393" width="12" customWidth="1"/>
    <col min="6394" max="6394" width="17.81640625" customWidth="1"/>
    <col min="6395" max="6395" width="17.26953125" customWidth="1"/>
    <col min="6396" max="6397" width="31" customWidth="1"/>
    <col min="6398" max="6401" width="25.1796875" customWidth="1"/>
    <col min="6648" max="6648" width="10.1796875" customWidth="1"/>
    <col min="6649" max="6649" width="12" customWidth="1"/>
    <col min="6650" max="6650" width="17.81640625" customWidth="1"/>
    <col min="6651" max="6651" width="17.26953125" customWidth="1"/>
    <col min="6652" max="6653" width="31" customWidth="1"/>
    <col min="6654" max="6657" width="25.1796875" customWidth="1"/>
    <col min="6904" max="6904" width="10.1796875" customWidth="1"/>
    <col min="6905" max="6905" width="12" customWidth="1"/>
    <col min="6906" max="6906" width="17.81640625" customWidth="1"/>
    <col min="6907" max="6907" width="17.26953125" customWidth="1"/>
    <col min="6908" max="6909" width="31" customWidth="1"/>
    <col min="6910" max="6913" width="25.1796875" customWidth="1"/>
    <col min="7160" max="7160" width="10.1796875" customWidth="1"/>
    <col min="7161" max="7161" width="12" customWidth="1"/>
    <col min="7162" max="7162" width="17.81640625" customWidth="1"/>
    <col min="7163" max="7163" width="17.26953125" customWidth="1"/>
    <col min="7164" max="7165" width="31" customWidth="1"/>
    <col min="7166" max="7169" width="25.1796875" customWidth="1"/>
    <col min="7416" max="7416" width="10.1796875" customWidth="1"/>
    <col min="7417" max="7417" width="12" customWidth="1"/>
    <col min="7418" max="7418" width="17.81640625" customWidth="1"/>
    <col min="7419" max="7419" width="17.26953125" customWidth="1"/>
    <col min="7420" max="7421" width="31" customWidth="1"/>
    <col min="7422" max="7425" width="25.1796875" customWidth="1"/>
    <col min="7672" max="7672" width="10.1796875" customWidth="1"/>
    <col min="7673" max="7673" width="12" customWidth="1"/>
    <col min="7674" max="7674" width="17.81640625" customWidth="1"/>
    <col min="7675" max="7675" width="17.26953125" customWidth="1"/>
    <col min="7676" max="7677" width="31" customWidth="1"/>
    <col min="7678" max="7681" width="25.1796875" customWidth="1"/>
    <col min="7928" max="7928" width="10.1796875" customWidth="1"/>
    <col min="7929" max="7929" width="12" customWidth="1"/>
    <col min="7930" max="7930" width="17.81640625" customWidth="1"/>
    <col min="7931" max="7931" width="17.26953125" customWidth="1"/>
    <col min="7932" max="7933" width="31" customWidth="1"/>
    <col min="7934" max="7937" width="25.1796875" customWidth="1"/>
    <col min="8184" max="8184" width="10.1796875" customWidth="1"/>
    <col min="8185" max="8185" width="12" customWidth="1"/>
    <col min="8186" max="8186" width="17.81640625" customWidth="1"/>
    <col min="8187" max="8187" width="17.26953125" customWidth="1"/>
    <col min="8188" max="8189" width="31" customWidth="1"/>
    <col min="8190" max="8193" width="25.1796875" customWidth="1"/>
    <col min="8440" max="8440" width="10.1796875" customWidth="1"/>
    <col min="8441" max="8441" width="12" customWidth="1"/>
    <col min="8442" max="8442" width="17.81640625" customWidth="1"/>
    <col min="8443" max="8443" width="17.26953125" customWidth="1"/>
    <col min="8444" max="8445" width="31" customWidth="1"/>
    <col min="8446" max="8449" width="25.1796875" customWidth="1"/>
    <col min="8696" max="8696" width="10.1796875" customWidth="1"/>
    <col min="8697" max="8697" width="12" customWidth="1"/>
    <col min="8698" max="8698" width="17.81640625" customWidth="1"/>
    <col min="8699" max="8699" width="17.26953125" customWidth="1"/>
    <col min="8700" max="8701" width="31" customWidth="1"/>
    <col min="8702" max="8705" width="25.1796875" customWidth="1"/>
    <col min="8952" max="8952" width="10.1796875" customWidth="1"/>
    <col min="8953" max="8953" width="12" customWidth="1"/>
    <col min="8954" max="8954" width="17.81640625" customWidth="1"/>
    <col min="8955" max="8955" width="17.26953125" customWidth="1"/>
    <col min="8956" max="8957" width="31" customWidth="1"/>
    <col min="8958" max="8961" width="25.1796875" customWidth="1"/>
    <col min="9208" max="9208" width="10.1796875" customWidth="1"/>
    <col min="9209" max="9209" width="12" customWidth="1"/>
    <col min="9210" max="9210" width="17.81640625" customWidth="1"/>
    <col min="9211" max="9211" width="17.26953125" customWidth="1"/>
    <col min="9212" max="9213" width="31" customWidth="1"/>
    <col min="9214" max="9217" width="25.1796875" customWidth="1"/>
    <col min="9464" max="9464" width="10.1796875" customWidth="1"/>
    <col min="9465" max="9465" width="12" customWidth="1"/>
    <col min="9466" max="9466" width="17.81640625" customWidth="1"/>
    <col min="9467" max="9467" width="17.26953125" customWidth="1"/>
    <col min="9468" max="9469" width="31" customWidth="1"/>
    <col min="9470" max="9473" width="25.1796875" customWidth="1"/>
    <col min="9720" max="9720" width="10.1796875" customWidth="1"/>
    <col min="9721" max="9721" width="12" customWidth="1"/>
    <col min="9722" max="9722" width="17.81640625" customWidth="1"/>
    <col min="9723" max="9723" width="17.26953125" customWidth="1"/>
    <col min="9724" max="9725" width="31" customWidth="1"/>
    <col min="9726" max="9729" width="25.1796875" customWidth="1"/>
    <col min="9976" max="9976" width="10.1796875" customWidth="1"/>
    <col min="9977" max="9977" width="12" customWidth="1"/>
    <col min="9978" max="9978" width="17.81640625" customWidth="1"/>
    <col min="9979" max="9979" width="17.26953125" customWidth="1"/>
    <col min="9980" max="9981" width="31" customWidth="1"/>
    <col min="9982" max="9985" width="25.1796875" customWidth="1"/>
    <col min="10232" max="10232" width="10.1796875" customWidth="1"/>
    <col min="10233" max="10233" width="12" customWidth="1"/>
    <col min="10234" max="10234" width="17.81640625" customWidth="1"/>
    <col min="10235" max="10235" width="17.26953125" customWidth="1"/>
    <col min="10236" max="10237" width="31" customWidth="1"/>
    <col min="10238" max="10241" width="25.1796875" customWidth="1"/>
    <col min="10488" max="10488" width="10.1796875" customWidth="1"/>
    <col min="10489" max="10489" width="12" customWidth="1"/>
    <col min="10490" max="10490" width="17.81640625" customWidth="1"/>
    <col min="10491" max="10491" width="17.26953125" customWidth="1"/>
    <col min="10492" max="10493" width="31" customWidth="1"/>
    <col min="10494" max="10497" width="25.1796875" customWidth="1"/>
    <col min="10744" max="10744" width="10.1796875" customWidth="1"/>
    <col min="10745" max="10745" width="12" customWidth="1"/>
    <col min="10746" max="10746" width="17.81640625" customWidth="1"/>
    <col min="10747" max="10747" width="17.26953125" customWidth="1"/>
    <col min="10748" max="10749" width="31" customWidth="1"/>
    <col min="10750" max="10753" width="25.1796875" customWidth="1"/>
    <col min="11000" max="11000" width="10.1796875" customWidth="1"/>
    <col min="11001" max="11001" width="12" customWidth="1"/>
    <col min="11002" max="11002" width="17.81640625" customWidth="1"/>
    <col min="11003" max="11003" width="17.26953125" customWidth="1"/>
    <col min="11004" max="11005" width="31" customWidth="1"/>
    <col min="11006" max="11009" width="25.1796875" customWidth="1"/>
    <col min="11256" max="11256" width="10.1796875" customWidth="1"/>
    <col min="11257" max="11257" width="12" customWidth="1"/>
    <col min="11258" max="11258" width="17.81640625" customWidth="1"/>
    <col min="11259" max="11259" width="17.26953125" customWidth="1"/>
    <col min="11260" max="11261" width="31" customWidth="1"/>
    <col min="11262" max="11265" width="25.1796875" customWidth="1"/>
    <col min="11512" max="11512" width="10.1796875" customWidth="1"/>
    <col min="11513" max="11513" width="12" customWidth="1"/>
    <col min="11514" max="11514" width="17.81640625" customWidth="1"/>
    <col min="11515" max="11515" width="17.26953125" customWidth="1"/>
    <col min="11516" max="11517" width="31" customWidth="1"/>
    <col min="11518" max="11521" width="25.1796875" customWidth="1"/>
    <col min="11768" max="11768" width="10.1796875" customWidth="1"/>
    <col min="11769" max="11769" width="12" customWidth="1"/>
    <col min="11770" max="11770" width="17.81640625" customWidth="1"/>
    <col min="11771" max="11771" width="17.26953125" customWidth="1"/>
    <col min="11772" max="11773" width="31" customWidth="1"/>
    <col min="11774" max="11777" width="25.1796875" customWidth="1"/>
    <col min="12024" max="12024" width="10.1796875" customWidth="1"/>
    <col min="12025" max="12025" width="12" customWidth="1"/>
    <col min="12026" max="12026" width="17.81640625" customWidth="1"/>
    <col min="12027" max="12027" width="17.26953125" customWidth="1"/>
    <col min="12028" max="12029" width="31" customWidth="1"/>
    <col min="12030" max="12033" width="25.1796875" customWidth="1"/>
    <col min="12280" max="12280" width="10.1796875" customWidth="1"/>
    <col min="12281" max="12281" width="12" customWidth="1"/>
    <col min="12282" max="12282" width="17.81640625" customWidth="1"/>
    <col min="12283" max="12283" width="17.26953125" customWidth="1"/>
    <col min="12284" max="12285" width="31" customWidth="1"/>
    <col min="12286" max="12289" width="25.1796875" customWidth="1"/>
    <col min="12536" max="12536" width="10.1796875" customWidth="1"/>
    <col min="12537" max="12537" width="12" customWidth="1"/>
    <col min="12538" max="12538" width="17.81640625" customWidth="1"/>
    <col min="12539" max="12539" width="17.26953125" customWidth="1"/>
    <col min="12540" max="12541" width="31" customWidth="1"/>
    <col min="12542" max="12545" width="25.1796875" customWidth="1"/>
    <col min="12792" max="12792" width="10.1796875" customWidth="1"/>
    <col min="12793" max="12793" width="12" customWidth="1"/>
    <col min="12794" max="12794" width="17.81640625" customWidth="1"/>
    <col min="12795" max="12795" width="17.26953125" customWidth="1"/>
    <col min="12796" max="12797" width="31" customWidth="1"/>
    <col min="12798" max="12801" width="25.1796875" customWidth="1"/>
    <col min="13048" max="13048" width="10.1796875" customWidth="1"/>
    <col min="13049" max="13049" width="12" customWidth="1"/>
    <col min="13050" max="13050" width="17.81640625" customWidth="1"/>
    <col min="13051" max="13051" width="17.26953125" customWidth="1"/>
    <col min="13052" max="13053" width="31" customWidth="1"/>
    <col min="13054" max="13057" width="25.1796875" customWidth="1"/>
    <col min="13304" max="13304" width="10.1796875" customWidth="1"/>
    <col min="13305" max="13305" width="12" customWidth="1"/>
    <col min="13306" max="13306" width="17.81640625" customWidth="1"/>
    <col min="13307" max="13307" width="17.26953125" customWidth="1"/>
    <col min="13308" max="13309" width="31" customWidth="1"/>
    <col min="13310" max="13313" width="25.1796875" customWidth="1"/>
    <col min="13560" max="13560" width="10.1796875" customWidth="1"/>
    <col min="13561" max="13561" width="12" customWidth="1"/>
    <col min="13562" max="13562" width="17.81640625" customWidth="1"/>
    <col min="13563" max="13563" width="17.26953125" customWidth="1"/>
    <col min="13564" max="13565" width="31" customWidth="1"/>
    <col min="13566" max="13569" width="25.1796875" customWidth="1"/>
    <col min="13816" max="13816" width="10.1796875" customWidth="1"/>
    <col min="13817" max="13817" width="12" customWidth="1"/>
    <col min="13818" max="13818" width="17.81640625" customWidth="1"/>
    <col min="13819" max="13819" width="17.26953125" customWidth="1"/>
    <col min="13820" max="13821" width="31" customWidth="1"/>
    <col min="13822" max="13825" width="25.1796875" customWidth="1"/>
    <col min="14072" max="14072" width="10.1796875" customWidth="1"/>
    <col min="14073" max="14073" width="12" customWidth="1"/>
    <col min="14074" max="14074" width="17.81640625" customWidth="1"/>
    <col min="14075" max="14075" width="17.26953125" customWidth="1"/>
    <col min="14076" max="14077" width="31" customWidth="1"/>
    <col min="14078" max="14081" width="25.1796875" customWidth="1"/>
    <col min="14328" max="14328" width="10.1796875" customWidth="1"/>
    <col min="14329" max="14329" width="12" customWidth="1"/>
    <col min="14330" max="14330" width="17.81640625" customWidth="1"/>
    <col min="14331" max="14331" width="17.26953125" customWidth="1"/>
    <col min="14332" max="14333" width="31" customWidth="1"/>
    <col min="14334" max="14337" width="25.1796875" customWidth="1"/>
    <col min="14584" max="14584" width="10.1796875" customWidth="1"/>
    <col min="14585" max="14585" width="12" customWidth="1"/>
    <col min="14586" max="14586" width="17.81640625" customWidth="1"/>
    <col min="14587" max="14587" width="17.26953125" customWidth="1"/>
    <col min="14588" max="14589" width="31" customWidth="1"/>
    <col min="14590" max="14593" width="25.1796875" customWidth="1"/>
    <col min="14840" max="14840" width="10.1796875" customWidth="1"/>
    <col min="14841" max="14841" width="12" customWidth="1"/>
    <col min="14842" max="14842" width="17.81640625" customWidth="1"/>
    <col min="14843" max="14843" width="17.26953125" customWidth="1"/>
    <col min="14844" max="14845" width="31" customWidth="1"/>
    <col min="14846" max="14849" width="25.1796875" customWidth="1"/>
    <col min="15096" max="15096" width="10.1796875" customWidth="1"/>
    <col min="15097" max="15097" width="12" customWidth="1"/>
    <col min="15098" max="15098" width="17.81640625" customWidth="1"/>
    <col min="15099" max="15099" width="17.26953125" customWidth="1"/>
    <col min="15100" max="15101" width="31" customWidth="1"/>
    <col min="15102" max="15105" width="25.1796875" customWidth="1"/>
    <col min="15352" max="15352" width="10.1796875" customWidth="1"/>
    <col min="15353" max="15353" width="12" customWidth="1"/>
    <col min="15354" max="15354" width="17.81640625" customWidth="1"/>
    <col min="15355" max="15355" width="17.26953125" customWidth="1"/>
    <col min="15356" max="15357" width="31" customWidth="1"/>
    <col min="15358" max="15361" width="25.1796875" customWidth="1"/>
    <col min="15608" max="15608" width="10.1796875" customWidth="1"/>
    <col min="15609" max="15609" width="12" customWidth="1"/>
    <col min="15610" max="15610" width="17.81640625" customWidth="1"/>
    <col min="15611" max="15611" width="17.26953125" customWidth="1"/>
    <col min="15612" max="15613" width="31" customWidth="1"/>
    <col min="15614" max="15617" width="25.1796875" customWidth="1"/>
    <col min="15864" max="15864" width="10.1796875" customWidth="1"/>
    <col min="15865" max="15865" width="12" customWidth="1"/>
    <col min="15866" max="15866" width="17.81640625" customWidth="1"/>
    <col min="15867" max="15867" width="17.26953125" customWidth="1"/>
    <col min="15868" max="15869" width="31" customWidth="1"/>
    <col min="15870" max="15873" width="25.1796875" customWidth="1"/>
    <col min="16120" max="16120" width="10.1796875" customWidth="1"/>
    <col min="16121" max="16121" width="12" customWidth="1"/>
    <col min="16122" max="16122" width="17.81640625" customWidth="1"/>
    <col min="16123" max="16123" width="17.26953125" customWidth="1"/>
    <col min="16124" max="16125" width="31" customWidth="1"/>
    <col min="16126" max="16129" width="25.1796875" customWidth="1"/>
  </cols>
  <sheetData>
    <row r="2" spans="2:8" ht="22" x14ac:dyDescent="0.65">
      <c r="B2" s="779" t="s">
        <v>409</v>
      </c>
    </row>
    <row r="6" spans="2:8" ht="21" x14ac:dyDescent="0.3">
      <c r="B6" s="780" t="s">
        <v>204</v>
      </c>
      <c r="D6" s="1572" t="s">
        <v>1366</v>
      </c>
      <c r="E6" s="1572"/>
      <c r="F6" s="1490"/>
      <c r="G6" s="1491" t="s">
        <v>1367</v>
      </c>
      <c r="H6" s="1492" t="s">
        <v>1368</v>
      </c>
    </row>
    <row r="7" spans="2:8" ht="14.5" x14ac:dyDescent="0.3">
      <c r="B7" s="1493"/>
      <c r="D7" s="1490"/>
      <c r="E7" s="1494"/>
      <c r="F7" s="1490"/>
      <c r="G7" s="1495" t="s">
        <v>1369</v>
      </c>
      <c r="H7" s="1492"/>
    </row>
    <row r="8" spans="2:8" ht="16.5" x14ac:dyDescent="0.45">
      <c r="B8" s="1496"/>
      <c r="D8" s="1497"/>
      <c r="E8" s="1498" t="s">
        <v>1370</v>
      </c>
      <c r="F8" s="1499" t="s">
        <v>415</v>
      </c>
      <c r="G8" s="1499">
        <v>1000</v>
      </c>
      <c r="H8" s="1500" t="s">
        <v>1371</v>
      </c>
    </row>
    <row r="9" spans="2:8" ht="14.5" x14ac:dyDescent="0.35">
      <c r="B9" s="1496"/>
      <c r="D9" s="1501" t="s">
        <v>1372</v>
      </c>
      <c r="E9" s="1502"/>
      <c r="F9" s="1503"/>
      <c r="G9" s="1504"/>
      <c r="H9" s="1505"/>
    </row>
    <row r="10" spans="2:8" ht="45.5" x14ac:dyDescent="0.25">
      <c r="B10" s="1496"/>
      <c r="D10" s="1506"/>
      <c r="E10" s="1507" t="s">
        <v>1373</v>
      </c>
      <c r="F10" s="1499" t="s">
        <v>1374</v>
      </c>
      <c r="G10" s="1499">
        <f>1.75*0.95</f>
        <v>1.6624999999999999</v>
      </c>
      <c r="H10" s="1508" t="s">
        <v>1375</v>
      </c>
    </row>
    <row r="11" spans="2:8" ht="14.5" x14ac:dyDescent="0.35">
      <c r="B11" s="1496"/>
      <c r="D11" s="1509"/>
      <c r="E11" s="1510" t="s">
        <v>1376</v>
      </c>
      <c r="F11" s="1511" t="s">
        <v>1377</v>
      </c>
      <c r="G11" s="1512">
        <f>1.23/G10</f>
        <v>0.73984962406015042</v>
      </c>
      <c r="H11" s="1513" t="s">
        <v>1378</v>
      </c>
    </row>
    <row r="12" spans="2:8" ht="43.5" x14ac:dyDescent="0.35">
      <c r="B12" s="1496"/>
      <c r="D12" s="1506"/>
      <c r="E12" s="1507" t="s">
        <v>1379</v>
      </c>
      <c r="F12" s="1499" t="s">
        <v>1380</v>
      </c>
      <c r="G12" s="1514">
        <v>1.4999999999999999E-2</v>
      </c>
      <c r="H12" s="1515" t="s">
        <v>1381</v>
      </c>
    </row>
    <row r="13" spans="2:8" ht="45.5" x14ac:dyDescent="0.35">
      <c r="B13" s="1496"/>
      <c r="D13" s="1509"/>
      <c r="E13" s="1510" t="s">
        <v>1382</v>
      </c>
      <c r="F13" s="1511" t="s">
        <v>1380</v>
      </c>
      <c r="G13" s="1517">
        <v>0.02</v>
      </c>
      <c r="H13" s="1513" t="s">
        <v>1383</v>
      </c>
    </row>
    <row r="14" spans="2:8" ht="31" x14ac:dyDescent="0.25">
      <c r="B14" s="1496"/>
      <c r="D14" s="1506"/>
      <c r="E14" s="1507" t="s">
        <v>1384</v>
      </c>
      <c r="F14" s="1518" t="s">
        <v>1385</v>
      </c>
      <c r="G14" s="1519">
        <f>1/(1-G12)/(1-G13)/G11*33.33</f>
        <v>46.669113355382997</v>
      </c>
      <c r="H14" s="1520"/>
    </row>
    <row r="15" spans="2:8" ht="14.5" x14ac:dyDescent="0.35">
      <c r="B15" s="1496"/>
      <c r="D15" s="1521" t="s">
        <v>1386</v>
      </c>
      <c r="E15" s="1521"/>
      <c r="F15" s="1503"/>
      <c r="G15" s="1504"/>
      <c r="H15" s="1522"/>
    </row>
    <row r="16" spans="2:8" ht="14.5" x14ac:dyDescent="0.25">
      <c r="B16" s="1496"/>
      <c r="D16" s="1509"/>
      <c r="E16" s="1510" t="s">
        <v>1387</v>
      </c>
      <c r="F16" s="1511" t="s">
        <v>1388</v>
      </c>
      <c r="G16" s="1523">
        <v>0.97</v>
      </c>
      <c r="H16" s="1524" t="s">
        <v>1389</v>
      </c>
    </row>
    <row r="17" spans="2:8" ht="16.5" x14ac:dyDescent="0.25">
      <c r="B17" s="1496"/>
      <c r="D17" s="1506"/>
      <c r="E17" s="1507" t="s">
        <v>1390</v>
      </c>
      <c r="F17" s="1499" t="s">
        <v>1391</v>
      </c>
      <c r="G17" s="1525">
        <f>G14/G16-G14</f>
        <v>1.443374639857204</v>
      </c>
      <c r="H17" s="1520"/>
    </row>
    <row r="18" spans="2:8" ht="16.5" x14ac:dyDescent="0.25">
      <c r="B18" s="1516"/>
      <c r="D18" s="1509"/>
      <c r="E18" s="1510" t="s">
        <v>1392</v>
      </c>
      <c r="F18" s="1511" t="s">
        <v>1393</v>
      </c>
      <c r="G18" s="1526">
        <f>19.32/(1500/24)</f>
        <v>0.30912000000000001</v>
      </c>
      <c r="H18" s="1524" t="s">
        <v>1394</v>
      </c>
    </row>
    <row r="19" spans="2:8" ht="29" x14ac:dyDescent="0.25">
      <c r="D19" s="1506"/>
      <c r="E19" s="1507" t="s">
        <v>1395</v>
      </c>
      <c r="F19" s="1499" t="s">
        <v>1396</v>
      </c>
      <c r="G19" s="1525">
        <f>3.67*0.9</f>
        <v>3.3029999999999999</v>
      </c>
      <c r="H19" s="1527" t="s">
        <v>1397</v>
      </c>
    </row>
    <row r="20" spans="2:8" ht="16.5" x14ac:dyDescent="0.25">
      <c r="B20" s="781"/>
      <c r="D20" s="1509"/>
      <c r="E20" s="1510" t="s">
        <v>1398</v>
      </c>
      <c r="F20" s="1511" t="s">
        <v>1391</v>
      </c>
      <c r="G20" s="1526">
        <f>G18*G19</f>
        <v>1.02102336</v>
      </c>
      <c r="H20" s="1528"/>
    </row>
    <row r="21" spans="2:8" ht="31" x14ac:dyDescent="0.25">
      <c r="B21" s="781"/>
      <c r="D21" s="1506"/>
      <c r="E21" s="1507" t="s">
        <v>1399</v>
      </c>
      <c r="F21" s="1499" t="s">
        <v>1391</v>
      </c>
      <c r="G21" s="1499">
        <f>1.2*0.9</f>
        <v>1.08</v>
      </c>
      <c r="H21" s="1527" t="s">
        <v>1400</v>
      </c>
    </row>
    <row r="22" spans="2:8" ht="16.5" x14ac:dyDescent="0.3">
      <c r="B22" s="781"/>
      <c r="D22" s="1509"/>
      <c r="E22" s="1510" t="s">
        <v>1401</v>
      </c>
      <c r="F22" s="1529" t="s">
        <v>1402</v>
      </c>
      <c r="G22" s="1530">
        <f>G17+G20+G21</f>
        <v>3.5443979998572042</v>
      </c>
      <c r="H22" s="1531"/>
    </row>
    <row r="23" spans="2:8" ht="14.5" x14ac:dyDescent="0.35">
      <c r="B23" s="781"/>
      <c r="D23" s="1521" t="s">
        <v>1403</v>
      </c>
      <c r="E23" s="1521"/>
      <c r="F23" s="1503"/>
      <c r="G23" s="1504"/>
      <c r="H23" s="1522"/>
    </row>
    <row r="24" spans="2:8" ht="16.5" x14ac:dyDescent="0.25">
      <c r="B24" s="781"/>
      <c r="D24" s="1506"/>
      <c r="E24" s="1507" t="s">
        <v>1372</v>
      </c>
      <c r="F24" s="1518" t="s">
        <v>1404</v>
      </c>
      <c r="G24" s="1519">
        <f>G14</f>
        <v>46.669113355382997</v>
      </c>
      <c r="H24" s="1527"/>
    </row>
    <row r="25" spans="2:8" ht="16.5" x14ac:dyDescent="0.3">
      <c r="B25" s="781"/>
      <c r="D25" s="1509"/>
      <c r="E25" s="1510" t="s">
        <v>1405</v>
      </c>
      <c r="F25" s="1529" t="s">
        <v>1406</v>
      </c>
      <c r="G25" s="1530">
        <f>G22</f>
        <v>3.5443979998572042</v>
      </c>
      <c r="H25" s="1531"/>
    </row>
    <row r="26" spans="2:8" ht="16.5" x14ac:dyDescent="0.45">
      <c r="B26" s="781"/>
      <c r="D26" s="1501" t="s">
        <v>1407</v>
      </c>
      <c r="E26" s="1532"/>
      <c r="F26" s="1533" t="s">
        <v>1408</v>
      </c>
      <c r="G26" s="1534">
        <f>G14+G22</f>
        <v>50.2135113552402</v>
      </c>
      <c r="H26" s="1505"/>
    </row>
    <row r="27" spans="2:8" x14ac:dyDescent="0.25">
      <c r="B27" s="781"/>
    </row>
    <row r="28" spans="2:8" x14ac:dyDescent="0.25">
      <c r="B28" s="781"/>
    </row>
    <row r="29" spans="2:8" ht="13" x14ac:dyDescent="0.3">
      <c r="B29" s="782" t="s">
        <v>205</v>
      </c>
    </row>
    <row r="30" spans="2:8" x14ac:dyDescent="0.25">
      <c r="B30" s="1261"/>
    </row>
    <row r="31" spans="2:8" x14ac:dyDescent="0.25">
      <c r="B31" s="209"/>
    </row>
    <row r="32" spans="2:8" x14ac:dyDescent="0.25">
      <c r="B32" s="781"/>
    </row>
    <row r="41" spans="3:3" x14ac:dyDescent="0.25">
      <c r="C41" s="546"/>
    </row>
    <row r="42" spans="3:3" x14ac:dyDescent="0.25">
      <c r="C42" s="546"/>
    </row>
    <row r="43" spans="3:3" x14ac:dyDescent="0.25">
      <c r="C43" s="546"/>
    </row>
    <row r="44" spans="3:3" x14ac:dyDescent="0.25">
      <c r="C44" s="546"/>
    </row>
    <row r="45" spans="3:3" x14ac:dyDescent="0.25">
      <c r="C45" s="546"/>
    </row>
    <row r="46" spans="3:3" x14ac:dyDescent="0.25">
      <c r="C46" s="546"/>
    </row>
    <row r="47" spans="3:3" x14ac:dyDescent="0.25">
      <c r="C47" s="546"/>
    </row>
    <row r="48" spans="3:3" x14ac:dyDescent="0.25">
      <c r="C48" s="546"/>
    </row>
    <row r="49" spans="3:3" x14ac:dyDescent="0.25">
      <c r="C49" s="546"/>
    </row>
    <row r="50" spans="3:3" x14ac:dyDescent="0.25">
      <c r="C50" s="546"/>
    </row>
    <row r="51" spans="3:3" x14ac:dyDescent="0.25">
      <c r="C51" s="546"/>
    </row>
    <row r="52" spans="3:3" x14ac:dyDescent="0.25">
      <c r="C52" s="548"/>
    </row>
    <row r="53" spans="3:3" x14ac:dyDescent="0.25">
      <c r="C53" s="546"/>
    </row>
    <row r="54" spans="3:3" x14ac:dyDescent="0.25">
      <c r="C54" s="546"/>
    </row>
    <row r="55" spans="3:3" x14ac:dyDescent="0.25">
      <c r="C55" s="546"/>
    </row>
  </sheetData>
  <mergeCells count="1">
    <mergeCell ref="D6:E6"/>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zoomScaleNormal="100" workbookViewId="0">
      <pane ySplit="7" topLeftCell="A23" activePane="bottomLeft" state="frozen"/>
      <selection pane="bottomLeft" activeCell="C32" sqref="C32"/>
    </sheetView>
  </sheetViews>
  <sheetFormatPr defaultColWidth="9.1796875" defaultRowHeight="12.5" x14ac:dyDescent="0.25"/>
  <cols>
    <col min="1" max="1" width="4.453125" style="461"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79" t="s">
        <v>1287</v>
      </c>
    </row>
    <row r="2" spans="1:8" ht="27" customHeight="1" thickBot="1" x14ac:dyDescent="0.3">
      <c r="A2" s="462"/>
      <c r="B2" s="1590" t="s">
        <v>1434</v>
      </c>
      <c r="C2" s="1591"/>
      <c r="D2" s="1591"/>
      <c r="E2" s="1592"/>
      <c r="F2" s="1592"/>
      <c r="G2" s="1593"/>
    </row>
    <row r="3" spans="1:8" ht="19.899999999999999" customHeight="1" thickBot="1" x14ac:dyDescent="0.3">
      <c r="A3" s="462" t="s">
        <v>1041</v>
      </c>
      <c r="B3" s="1594" t="s">
        <v>1426</v>
      </c>
      <c r="C3" s="1595"/>
      <c r="D3" s="1596"/>
      <c r="E3" s="318"/>
      <c r="F3" s="319"/>
      <c r="G3" s="320"/>
    </row>
    <row r="4" spans="1:8" ht="6.65" customHeight="1" thickBot="1" x14ac:dyDescent="0.3">
      <c r="A4" s="462"/>
      <c r="B4" s="501"/>
      <c r="C4" s="502"/>
      <c r="D4" s="1597"/>
      <c r="E4" s="1597"/>
      <c r="F4" s="493"/>
      <c r="G4" s="494"/>
    </row>
    <row r="5" spans="1:8" ht="22.5" thickTop="1" x14ac:dyDescent="0.25">
      <c r="A5" s="462"/>
      <c r="B5" s="773" t="s">
        <v>1066</v>
      </c>
      <c r="C5" s="774"/>
      <c r="D5" s="775"/>
      <c r="E5" s="775"/>
      <c r="F5" s="496"/>
      <c r="G5" s="498"/>
    </row>
    <row r="6" spans="1:8" ht="21" customHeight="1" x14ac:dyDescent="0.25">
      <c r="A6" s="462"/>
      <c r="B6" s="1238" t="s">
        <v>203</v>
      </c>
      <c r="C6" s="502"/>
      <c r="D6" s="1194"/>
      <c r="E6" s="1194"/>
      <c r="F6" s="493"/>
      <c r="G6" s="494"/>
    </row>
    <row r="7" spans="1:8" ht="20" x14ac:dyDescent="0.25">
      <c r="A7" s="462"/>
      <c r="B7" s="1239"/>
      <c r="C7" s="502"/>
      <c r="D7" s="769"/>
      <c r="E7" s="769"/>
      <c r="F7" s="493"/>
      <c r="G7" s="494"/>
    </row>
    <row r="8" spans="1:8" ht="29.25" customHeight="1" x14ac:dyDescent="0.25">
      <c r="A8" s="462"/>
      <c r="B8" s="1238" t="s">
        <v>198</v>
      </c>
      <c r="C8" s="502"/>
      <c r="D8" s="1121"/>
      <c r="E8" s="1121"/>
      <c r="F8" s="493"/>
      <c r="G8" s="494"/>
    </row>
    <row r="9" spans="1:8" ht="20" x14ac:dyDescent="0.25">
      <c r="A9" s="462"/>
      <c r="B9" s="1239"/>
      <c r="C9" s="502"/>
      <c r="D9" s="502"/>
      <c r="E9" s="502"/>
      <c r="F9" s="493"/>
      <c r="G9" s="494"/>
      <c r="H9" s="1287"/>
    </row>
    <row r="10" spans="1:8" ht="20" x14ac:dyDescent="0.25">
      <c r="A10" s="462"/>
      <c r="B10" s="1238" t="s">
        <v>197</v>
      </c>
      <c r="C10" s="502"/>
      <c r="D10" s="502"/>
      <c r="E10" s="502"/>
      <c r="F10" s="493"/>
      <c r="G10" s="494"/>
    </row>
    <row r="11" spans="1:8" ht="20" x14ac:dyDescent="0.25">
      <c r="A11" s="462"/>
      <c r="B11" s="501"/>
      <c r="C11" s="502"/>
      <c r="D11" s="502"/>
      <c r="E11" s="502"/>
      <c r="F11" s="493"/>
      <c r="G11" s="494"/>
    </row>
    <row r="12" spans="1:8" ht="20" x14ac:dyDescent="0.25">
      <c r="A12" s="462"/>
      <c r="B12" s="501"/>
      <c r="C12" s="502"/>
      <c r="D12" s="502"/>
      <c r="E12" s="502"/>
      <c r="F12" s="493"/>
      <c r="G12" s="494"/>
    </row>
    <row r="13" spans="1:8" ht="20" x14ac:dyDescent="0.25">
      <c r="A13" s="462"/>
      <c r="B13" s="501"/>
      <c r="C13" s="502"/>
      <c r="D13" s="502"/>
      <c r="E13" s="502"/>
      <c r="F13" s="493"/>
      <c r="G13" s="494"/>
    </row>
    <row r="14" spans="1:8" ht="20" x14ac:dyDescent="0.25">
      <c r="A14" s="462"/>
      <c r="B14" s="828" t="s">
        <v>322</v>
      </c>
      <c r="C14" s="502"/>
      <c r="D14" s="502"/>
      <c r="E14" s="502"/>
      <c r="F14" s="502"/>
      <c r="G14" s="494"/>
    </row>
    <row r="15" spans="1:8" ht="20" x14ac:dyDescent="0.25">
      <c r="A15" s="462"/>
      <c r="B15" s="828" t="s">
        <v>372</v>
      </c>
      <c r="C15" s="502"/>
      <c r="D15" s="502"/>
      <c r="E15" s="502"/>
      <c r="F15" s="502"/>
      <c r="G15" s="494"/>
    </row>
    <row r="16" spans="1:8" ht="20" x14ac:dyDescent="0.25">
      <c r="A16" s="462"/>
      <c r="B16" s="828" t="s">
        <v>143</v>
      </c>
      <c r="C16" s="502"/>
      <c r="D16" s="502"/>
      <c r="E16" s="502"/>
      <c r="F16" s="502"/>
      <c r="G16" s="494"/>
      <c r="H16" s="1190" t="s">
        <v>1177</v>
      </c>
    </row>
    <row r="17" spans="1:8" ht="20" x14ac:dyDescent="0.25">
      <c r="A17" s="462"/>
      <c r="B17" s="828" t="s">
        <v>950</v>
      </c>
      <c r="C17" s="502"/>
      <c r="D17" s="502"/>
      <c r="E17" s="502"/>
      <c r="F17" s="502"/>
      <c r="G17" s="494"/>
      <c r="H17" s="1191">
        <f ca="1">+NPV</f>
        <v>7.7019950407254059E-7</v>
      </c>
    </row>
    <row r="18" spans="1:8" ht="20" x14ac:dyDescent="0.25">
      <c r="A18" s="462"/>
      <c r="B18" s="828" t="s">
        <v>354</v>
      </c>
      <c r="C18" s="502"/>
      <c r="D18" s="502"/>
      <c r="E18" s="502"/>
      <c r="F18" s="502"/>
      <c r="G18" s="494"/>
    </row>
    <row r="19" spans="1:8" ht="20" x14ac:dyDescent="0.25">
      <c r="A19" s="462"/>
      <c r="B19" s="828" t="s">
        <v>951</v>
      </c>
      <c r="C19" s="502"/>
      <c r="D19" s="502"/>
      <c r="E19" s="502"/>
      <c r="F19" s="502"/>
      <c r="G19" s="494"/>
    </row>
    <row r="20" spans="1:8" ht="20" x14ac:dyDescent="0.25">
      <c r="A20" s="462"/>
      <c r="B20" s="828" t="s">
        <v>952</v>
      </c>
      <c r="C20" s="502"/>
      <c r="D20" s="502"/>
      <c r="E20" s="502"/>
      <c r="F20" s="502"/>
      <c r="G20" s="494"/>
    </row>
    <row r="21" spans="1:8" ht="5.5" customHeight="1" x14ac:dyDescent="0.25">
      <c r="A21" s="462"/>
      <c r="B21" s="826"/>
      <c r="C21" s="502"/>
      <c r="D21" s="769"/>
      <c r="E21" s="769"/>
      <c r="F21" s="493"/>
      <c r="G21" s="494"/>
    </row>
    <row r="22" spans="1:8" ht="5.5" customHeight="1" x14ac:dyDescent="0.25">
      <c r="A22" s="462"/>
      <c r="E22" s="769"/>
      <c r="F22" s="493"/>
      <c r="G22" s="494"/>
    </row>
    <row r="23" spans="1:8" ht="5.5" customHeight="1" thickBot="1" x14ac:dyDescent="0.3">
      <c r="A23" s="462"/>
      <c r="B23" s="501"/>
      <c r="C23" s="502"/>
      <c r="D23" s="769"/>
      <c r="E23" s="769"/>
      <c r="F23" s="493"/>
      <c r="G23" s="494"/>
    </row>
    <row r="24" spans="1:8" ht="31.5" customHeight="1" thickTop="1" thickBot="1" x14ac:dyDescent="0.3">
      <c r="A24" s="462"/>
      <c r="B24" s="495" t="s">
        <v>322</v>
      </c>
      <c r="C24" s="497"/>
      <c r="D24" s="497"/>
      <c r="E24" s="1601" t="s">
        <v>441</v>
      </c>
      <c r="F24" s="1601"/>
      <c r="G24" s="1602"/>
    </row>
    <row r="25" spans="1:8" ht="38" thickBot="1" x14ac:dyDescent="0.3">
      <c r="A25" s="462" t="s">
        <v>8</v>
      </c>
      <c r="B25" s="321" t="s">
        <v>334</v>
      </c>
      <c r="C25" s="853">
        <f ca="1">0.97*sensitivity_01</f>
        <v>0.97</v>
      </c>
      <c r="D25" s="468"/>
      <c r="E25" s="1581"/>
      <c r="F25" s="1581"/>
      <c r="G25" s="1582"/>
    </row>
    <row r="26" spans="1:8" ht="17.149999999999999" customHeight="1" thickBot="1" x14ac:dyDescent="0.3">
      <c r="A26" s="462" t="s">
        <v>26</v>
      </c>
      <c r="B26" s="321" t="s">
        <v>335</v>
      </c>
      <c r="C26" s="553">
        <f ca="1">50000*sensitivity_02</f>
        <v>50000</v>
      </c>
      <c r="D26" s="468"/>
      <c r="E26" s="1603"/>
      <c r="F26" s="1603"/>
      <c r="G26" s="1604"/>
    </row>
    <row r="27" spans="1:8" ht="17.149999999999999" customHeight="1" thickBot="1" x14ac:dyDescent="0.3">
      <c r="A27" s="462"/>
      <c r="B27" s="321" t="s">
        <v>430</v>
      </c>
      <c r="C27" s="854">
        <f ca="1">design_cap*cap_factor</f>
        <v>48500</v>
      </c>
      <c r="D27" s="468"/>
      <c r="E27" s="242"/>
      <c r="F27" s="242"/>
      <c r="G27" s="550"/>
    </row>
    <row r="28" spans="1:8" ht="17.149999999999999" customHeight="1" thickBot="1" x14ac:dyDescent="0.3">
      <c r="A28" s="462" t="s">
        <v>1008</v>
      </c>
      <c r="B28" s="321" t="s">
        <v>20</v>
      </c>
      <c r="C28" s="499">
        <f ca="1">output_kgpday*365</f>
        <v>17702500</v>
      </c>
      <c r="D28" s="468"/>
      <c r="E28" s="1605"/>
      <c r="F28" s="1603"/>
      <c r="G28" s="1604"/>
    </row>
    <row r="29" spans="1:8" ht="20.149999999999999" customHeight="1" thickTop="1" thickBot="1" x14ac:dyDescent="0.3">
      <c r="A29" s="462"/>
      <c r="B29" s="495" t="s">
        <v>372</v>
      </c>
      <c r="C29" s="497"/>
      <c r="D29" s="500"/>
      <c r="E29" s="1601" t="s">
        <v>1098</v>
      </c>
      <c r="F29" s="1601"/>
      <c r="G29" s="1602"/>
    </row>
    <row r="30" spans="1:8" ht="17.149999999999999" customHeight="1" thickBot="1" x14ac:dyDescent="0.3">
      <c r="A30" s="462" t="s">
        <v>1024</v>
      </c>
      <c r="B30" s="322" t="s">
        <v>1025</v>
      </c>
      <c r="C30" s="1262">
        <v>2016</v>
      </c>
      <c r="D30" s="468"/>
      <c r="E30" s="1598"/>
      <c r="F30" s="1598"/>
      <c r="G30" s="1587"/>
    </row>
    <row r="31" spans="1:8" ht="17.149999999999999" customHeight="1" thickBot="1" x14ac:dyDescent="0.3">
      <c r="A31" s="462" t="s">
        <v>182</v>
      </c>
      <c r="B31" s="321" t="s">
        <v>373</v>
      </c>
      <c r="C31" s="1262">
        <v>2040</v>
      </c>
      <c r="D31" s="468"/>
      <c r="E31" s="1598"/>
      <c r="F31" s="1598"/>
      <c r="G31" s="1587"/>
    </row>
    <row r="32" spans="1:8" ht="17.149999999999999" customHeight="1" thickBot="1" x14ac:dyDescent="0.3">
      <c r="A32" s="462"/>
      <c r="B32" s="321" t="s">
        <v>840</v>
      </c>
      <c r="C32" s="855">
        <v>2012</v>
      </c>
      <c r="D32" s="1599" t="s">
        <v>1097</v>
      </c>
      <c r="E32" s="997"/>
      <c r="F32" s="997"/>
      <c r="G32" s="998"/>
    </row>
    <row r="33" spans="1:7" ht="17.149999999999999" customHeight="1" thickBot="1" x14ac:dyDescent="0.3">
      <c r="A33" s="462" t="s">
        <v>10</v>
      </c>
      <c r="B33" s="321" t="s">
        <v>374</v>
      </c>
      <c r="C33" s="855">
        <v>1</v>
      </c>
      <c r="D33" s="1599"/>
      <c r="E33" s="1606"/>
      <c r="F33" s="1606"/>
      <c r="G33" s="1607"/>
    </row>
    <row r="34" spans="1:7" ht="17.149999999999999" customHeight="1" thickBot="1" x14ac:dyDescent="0.3">
      <c r="A34" s="462" t="s">
        <v>161</v>
      </c>
      <c r="B34" s="321" t="s">
        <v>944</v>
      </c>
      <c r="C34" s="856">
        <v>1</v>
      </c>
      <c r="D34" s="981"/>
      <c r="E34" s="1598"/>
      <c r="F34" s="1598"/>
      <c r="G34" s="1587"/>
    </row>
    <row r="35" spans="1:7" ht="17.149999999999999" customHeight="1" thickBot="1" x14ac:dyDescent="0.3">
      <c r="A35" s="462" t="s">
        <v>162</v>
      </c>
      <c r="B35" s="321" t="s">
        <v>375</v>
      </c>
      <c r="C35" s="856">
        <v>0</v>
      </c>
      <c r="D35" s="981"/>
      <c r="E35" s="1598"/>
      <c r="F35" s="1598"/>
      <c r="G35" s="1587"/>
    </row>
    <row r="36" spans="1:7" ht="17.149999999999999" customHeight="1" thickBot="1" x14ac:dyDescent="0.3">
      <c r="A36" s="462" t="s">
        <v>163</v>
      </c>
      <c r="B36" s="323" t="s">
        <v>376</v>
      </c>
      <c r="C36" s="856">
        <v>0</v>
      </c>
      <c r="D36" s="981"/>
      <c r="E36" s="1598"/>
      <c r="F36" s="1598"/>
      <c r="G36" s="1587"/>
    </row>
    <row r="37" spans="1:7" ht="17.149999999999999" customHeight="1" thickBot="1" x14ac:dyDescent="0.3">
      <c r="A37" s="462" t="s">
        <v>164</v>
      </c>
      <c r="B37" s="323" t="s">
        <v>323</v>
      </c>
      <c r="C37" s="856"/>
      <c r="D37" s="468"/>
      <c r="E37" s="1598"/>
      <c r="F37" s="1598"/>
      <c r="G37" s="1587"/>
    </row>
    <row r="38" spans="1:7" ht="17.149999999999999" customHeight="1" thickBot="1" x14ac:dyDescent="0.3">
      <c r="A38" s="462" t="s">
        <v>181</v>
      </c>
      <c r="B38" s="321" t="s">
        <v>378</v>
      </c>
      <c r="C38" s="855">
        <v>0</v>
      </c>
      <c r="D38" s="468"/>
      <c r="E38" s="1598"/>
      <c r="F38" s="1598"/>
      <c r="G38" s="1587"/>
    </row>
    <row r="39" spans="1:7" ht="17.149999999999999" customHeight="1" thickBot="1" x14ac:dyDescent="0.3">
      <c r="A39" s="462" t="s">
        <v>170</v>
      </c>
      <c r="B39" s="321" t="s">
        <v>379</v>
      </c>
      <c r="C39" s="855">
        <v>40</v>
      </c>
      <c r="D39" s="468"/>
      <c r="E39" s="1598"/>
      <c r="F39" s="1598"/>
      <c r="G39" s="1587"/>
    </row>
    <row r="40" spans="1:7" ht="17.149999999999999" customHeight="1" thickBot="1" x14ac:dyDescent="0.3">
      <c r="A40" s="462" t="s">
        <v>7</v>
      </c>
      <c r="B40" s="321" t="s">
        <v>380</v>
      </c>
      <c r="C40" s="855">
        <v>40</v>
      </c>
      <c r="D40" s="468"/>
      <c r="E40" s="1598"/>
      <c r="F40" s="1598"/>
      <c r="G40" s="1587"/>
    </row>
    <row r="41" spans="1:7" ht="17.149999999999999" customHeight="1" thickBot="1" x14ac:dyDescent="0.3">
      <c r="A41" s="462" t="s">
        <v>24</v>
      </c>
      <c r="B41" s="321" t="s">
        <v>381</v>
      </c>
      <c r="C41" s="855">
        <v>20</v>
      </c>
      <c r="D41" s="468"/>
      <c r="E41" s="1598"/>
      <c r="F41" s="1598"/>
      <c r="G41" s="1587"/>
    </row>
    <row r="42" spans="1:7" ht="17.149999999999999" customHeight="1" thickBot="1" x14ac:dyDescent="0.3">
      <c r="A42" s="462" t="s">
        <v>25</v>
      </c>
      <c r="B42" s="321" t="s">
        <v>389</v>
      </c>
      <c r="C42" s="855" t="s">
        <v>438</v>
      </c>
      <c r="D42" s="468"/>
      <c r="E42" s="1598"/>
      <c r="F42" s="1598"/>
      <c r="G42" s="1587"/>
    </row>
    <row r="43" spans="1:7" ht="17.149999999999999" customHeight="1" thickBot="1" x14ac:dyDescent="0.3">
      <c r="A43" s="462" t="s">
        <v>247</v>
      </c>
      <c r="B43" s="321" t="s">
        <v>19</v>
      </c>
      <c r="C43" s="857">
        <v>0.4</v>
      </c>
      <c r="D43" s="468"/>
      <c r="E43" s="1598"/>
      <c r="F43" s="1598"/>
      <c r="G43" s="1587"/>
    </row>
    <row r="44" spans="1:7" ht="17.149999999999999" customHeight="1" thickBot="1" x14ac:dyDescent="0.3">
      <c r="A44" s="462" t="s">
        <v>13</v>
      </c>
      <c r="B44" s="321" t="s">
        <v>388</v>
      </c>
      <c r="C44" s="1435">
        <v>3.6999999999999998E-2</v>
      </c>
      <c r="D44" s="468"/>
      <c r="E44" s="1600"/>
      <c r="F44" s="1598"/>
      <c r="G44" s="1587"/>
    </row>
    <row r="45" spans="1:7" ht="17.149999999999999" customHeight="1" thickBot="1" x14ac:dyDescent="0.3">
      <c r="A45" s="462" t="s">
        <v>14</v>
      </c>
      <c r="B45" s="321" t="s">
        <v>382</v>
      </c>
      <c r="C45" s="1568">
        <v>0</v>
      </c>
      <c r="D45" s="468"/>
      <c r="E45" s="1600" t="s">
        <v>1433</v>
      </c>
      <c r="F45" s="1600"/>
      <c r="G45" s="1573"/>
    </row>
    <row r="46" spans="1:7" ht="17.149999999999999" customHeight="1" thickBot="1" x14ac:dyDescent="0.3">
      <c r="A46" s="462" t="s">
        <v>165</v>
      </c>
      <c r="B46" s="321" t="s">
        <v>383</v>
      </c>
      <c r="C46" s="856">
        <v>1</v>
      </c>
      <c r="D46" s="468"/>
      <c r="E46" s="1598"/>
      <c r="F46" s="1598"/>
      <c r="G46" s="1587"/>
    </row>
    <row r="47" spans="1:7" ht="17.149999999999999" customHeight="1" thickBot="1" x14ac:dyDescent="0.3">
      <c r="A47" s="462" t="s">
        <v>167</v>
      </c>
      <c r="B47" s="321" t="s">
        <v>384</v>
      </c>
      <c r="C47" s="856">
        <v>0.5</v>
      </c>
      <c r="D47" s="468"/>
      <c r="E47" s="1598"/>
      <c r="F47" s="1598"/>
      <c r="G47" s="1587"/>
    </row>
    <row r="48" spans="1:7" ht="17.149999999999999" customHeight="1" thickBot="1" x14ac:dyDescent="0.3">
      <c r="A48" s="462" t="s">
        <v>168</v>
      </c>
      <c r="B48" s="321" t="s">
        <v>385</v>
      </c>
      <c r="C48" s="856">
        <v>0.75</v>
      </c>
      <c r="D48" s="468"/>
      <c r="E48" s="1598"/>
      <c r="F48" s="1598"/>
      <c r="G48" s="1587"/>
    </row>
    <row r="49" spans="1:7" ht="17.149999999999999" customHeight="1" thickBot="1" x14ac:dyDescent="0.3">
      <c r="A49" s="462" t="s">
        <v>18</v>
      </c>
      <c r="B49" s="321" t="s">
        <v>386</v>
      </c>
      <c r="C49" s="856">
        <v>0.1</v>
      </c>
      <c r="D49" s="468"/>
      <c r="E49" s="1598"/>
      <c r="F49" s="1598"/>
      <c r="G49" s="1587"/>
    </row>
    <row r="50" spans="1:7" ht="17.149999999999999" customHeight="1" thickBot="1" x14ac:dyDescent="0.3">
      <c r="A50" s="462" t="s">
        <v>178</v>
      </c>
      <c r="B50" s="321" t="s">
        <v>387</v>
      </c>
      <c r="C50" s="856">
        <v>0.1</v>
      </c>
      <c r="D50" s="468"/>
      <c r="E50" s="1598"/>
      <c r="F50" s="1598"/>
      <c r="G50" s="1587"/>
    </row>
    <row r="51" spans="1:7" ht="17.149999999999999" customHeight="1" thickBot="1" x14ac:dyDescent="0.3">
      <c r="A51" s="462" t="s">
        <v>30</v>
      </c>
      <c r="B51" s="321" t="s">
        <v>977</v>
      </c>
      <c r="C51" s="853">
        <v>1.9E-2</v>
      </c>
      <c r="D51" s="468"/>
      <c r="E51" s="1598"/>
      <c r="F51" s="1598"/>
      <c r="G51" s="1587"/>
    </row>
    <row r="52" spans="1:7" ht="17.149999999999999" customHeight="1" thickBot="1" x14ac:dyDescent="0.3">
      <c r="A52" s="462" t="s">
        <v>174</v>
      </c>
      <c r="B52" s="321" t="s">
        <v>1019</v>
      </c>
      <c r="C52" s="853">
        <f ca="1">0.08*sensitivity_03</f>
        <v>0.08</v>
      </c>
      <c r="D52" s="468"/>
      <c r="E52" s="1600"/>
      <c r="F52" s="1598"/>
      <c r="G52" s="1587"/>
    </row>
    <row r="53" spans="1:7" ht="17.149999999999999" customHeight="1" thickBot="1" x14ac:dyDescent="0.3">
      <c r="A53" s="462" t="s">
        <v>184</v>
      </c>
      <c r="B53" s="321" t="s">
        <v>1020</v>
      </c>
      <c r="C53" s="853">
        <v>0.06</v>
      </c>
      <c r="D53" s="468"/>
      <c r="E53" s="1598"/>
      <c r="F53" s="1598"/>
      <c r="G53" s="1587"/>
    </row>
    <row r="54" spans="1:7" ht="17.149999999999999" customHeight="1" thickBot="1" x14ac:dyDescent="0.3">
      <c r="A54" s="462" t="s">
        <v>28</v>
      </c>
      <c r="B54" s="321" t="s">
        <v>976</v>
      </c>
      <c r="C54" s="467">
        <v>0.21</v>
      </c>
      <c r="D54" s="468"/>
      <c r="E54" s="1598"/>
      <c r="F54" s="1598"/>
      <c r="G54" s="1587"/>
    </row>
    <row r="55" spans="1:7" ht="17.149999999999999" customHeight="1" thickBot="1" x14ac:dyDescent="0.3">
      <c r="A55" s="462" t="s">
        <v>1016</v>
      </c>
      <c r="B55" s="321" t="s">
        <v>21</v>
      </c>
      <c r="C55" s="858">
        <f>fed_tax_rate+state_tax_rate*(1-fed_tax_rate)</f>
        <v>0.25739999999999996</v>
      </c>
      <c r="D55" s="469"/>
      <c r="E55" s="1609"/>
      <c r="F55" s="1598"/>
      <c r="G55" s="1587"/>
    </row>
    <row r="56" spans="1:7" ht="38" thickBot="1" x14ac:dyDescent="0.3">
      <c r="A56" s="462" t="s">
        <v>189</v>
      </c>
      <c r="B56" s="321" t="s">
        <v>371</v>
      </c>
      <c r="C56" s="470">
        <v>0.05</v>
      </c>
      <c r="D56" s="468"/>
      <c r="E56" s="1598" t="s">
        <v>1425</v>
      </c>
      <c r="F56" s="1598"/>
      <c r="G56" s="1587"/>
    </row>
    <row r="57" spans="1:7" ht="18.75" customHeight="1" thickTop="1" x14ac:dyDescent="0.3">
      <c r="A57" s="462"/>
      <c r="B57" s="503" t="s">
        <v>1042</v>
      </c>
      <c r="C57" s="830"/>
      <c r="D57" s="824"/>
      <c r="E57" s="824"/>
      <c r="F57" s="824"/>
      <c r="G57" s="825"/>
    </row>
    <row r="58" spans="1:7" ht="21" customHeight="1" thickBot="1" x14ac:dyDescent="0.3">
      <c r="A58" s="462"/>
      <c r="B58" s="429" t="s">
        <v>275</v>
      </c>
      <c r="C58" s="487"/>
      <c r="D58" s="431"/>
      <c r="E58" s="430"/>
      <c r="F58" s="430"/>
      <c r="G58" s="432"/>
    </row>
    <row r="59" spans="1:7" ht="23.25" customHeight="1" thickBot="1" x14ac:dyDescent="0.3">
      <c r="A59" s="462"/>
      <c r="B59" s="473" t="s">
        <v>1289</v>
      </c>
      <c r="C59" s="487"/>
      <c r="D59" s="431"/>
      <c r="E59" s="430"/>
      <c r="F59" s="1608" t="s">
        <v>714</v>
      </c>
      <c r="G59" s="432"/>
    </row>
    <row r="60" spans="1:7" ht="18.75" customHeight="1" thickBot="1" x14ac:dyDescent="0.3">
      <c r="A60" s="462"/>
      <c r="B60" s="429" t="s">
        <v>696</v>
      </c>
      <c r="C60" s="430"/>
      <c r="D60" s="431"/>
      <c r="E60" s="430"/>
      <c r="F60" s="1608"/>
      <c r="G60" s="432"/>
    </row>
    <row r="61" spans="1:7" ht="17.149999999999999" customHeight="1" thickBot="1" x14ac:dyDescent="0.3">
      <c r="A61" s="462"/>
      <c r="B61" s="473" t="s">
        <v>832</v>
      </c>
      <c r="C61" s="433" t="str">
        <f>IF(OR(TMP_FeedType="Feedstock",TMP_FeedType = "Utility")," Enter usage in","Enter production in")</f>
        <v xml:space="preserve"> Enter usage in</v>
      </c>
      <c r="D61" s="433" t="str">
        <f ca="1">VLOOKUP(TMP_FeedName,INDIRECT(TMP_PriceTable),4,FALSE)</f>
        <v>kWh</v>
      </c>
      <c r="E61" s="430"/>
      <c r="F61" s="1608"/>
      <c r="G61" s="432"/>
    </row>
    <row r="62" spans="1:7" ht="17.149999999999999" customHeight="1" thickBot="1" x14ac:dyDescent="0.3">
      <c r="A62" s="462"/>
      <c r="B62" s="429" t="s">
        <v>697</v>
      </c>
      <c r="C62" s="433"/>
      <c r="D62" s="433"/>
      <c r="E62" s="430"/>
      <c r="F62" s="1608"/>
      <c r="G62" s="432"/>
    </row>
    <row r="63" spans="1:7" ht="17.149999999999999" customHeight="1" thickBot="1" x14ac:dyDescent="0.3">
      <c r="A63" s="462"/>
      <c r="B63" s="1192" t="s">
        <v>698</v>
      </c>
      <c r="C63" s="431"/>
      <c r="D63" s="431"/>
      <c r="E63" s="430"/>
      <c r="F63" s="1608"/>
      <c r="G63" s="432"/>
    </row>
    <row r="64" spans="1:7" ht="17.149999999999999" customHeight="1" thickBot="1" x14ac:dyDescent="0.3">
      <c r="A64" s="462"/>
      <c r="B64" s="889"/>
      <c r="C64" s="431"/>
      <c r="D64" s="431"/>
      <c r="E64" s="430"/>
      <c r="F64" s="1608"/>
      <c r="G64" s="432"/>
    </row>
    <row r="65" spans="1:8" ht="37.5" customHeight="1" thickBot="1" x14ac:dyDescent="0.3">
      <c r="A65" s="462"/>
      <c r="B65" s="442" t="str">
        <f>SELECTED_FEED</f>
        <v>feedstock</v>
      </c>
      <c r="C65" s="544" t="str">
        <f>TMP_FeedName</f>
        <v>Industrial Electricity</v>
      </c>
      <c r="D65" s="545"/>
      <c r="E65" s="435"/>
      <c r="F65" s="1608"/>
      <c r="G65" s="432"/>
    </row>
    <row r="66" spans="1:8" ht="19" customHeight="1" thickBot="1" x14ac:dyDescent="0.3">
      <c r="A66" s="462"/>
      <c r="B66" s="443" t="str">
        <f ca="1">"Price Conversion Factor (GJ/"&amp;TMP_Units&amp;")"</f>
        <v>Price Conversion Factor (GJ/kWh)</v>
      </c>
      <c r="C66" s="454">
        <f ca="1">VLOOKUP(TMP_FeedName,MASTER_PROPERTY_TABLE,9,FALSE)</f>
        <v>3.5999999999999995E-3</v>
      </c>
      <c r="D66" s="436"/>
      <c r="E66" s="435"/>
      <c r="F66" s="1608"/>
      <c r="G66" s="432"/>
    </row>
    <row r="67" spans="1:8" ht="19" customHeight="1" thickBot="1" x14ac:dyDescent="0.3">
      <c r="A67" s="462"/>
      <c r="B67" s="834" t="str">
        <f ca="1">"Price in Startup Year ($" &amp; ref_year &amp; ")/" &amp; TMP_Units</f>
        <v>Price in Startup Year ($2016)/kWh</v>
      </c>
      <c r="C67" s="1263">
        <f ca="1">HLOOKUP(startup_year,INDIRECT(TMP_PriceTable),MATCH(TMP_FeedName,INDIRECT(Energy_Feed_List),0),FALSE)*TMP_Conversion</f>
        <v>7.7596976084681746E-2</v>
      </c>
      <c r="D67" s="437"/>
      <c r="E67" s="438"/>
      <c r="F67" s="1608"/>
      <c r="G67" s="432"/>
    </row>
    <row r="68" spans="1:8" ht="19" customHeight="1" thickBot="1" x14ac:dyDescent="0.35">
      <c r="A68" s="462"/>
      <c r="B68" s="443" t="str">
        <f ca="1">IF(OR(TMP_FeedType="Feedstock",TMP_FeedType = "Utility"),"Usage ("&amp;TMP_Units&amp;"/kg H2)","Production ("&amp;TMP_Units&amp;"/kg H2)")</f>
        <v>Usage (kWh/kg H2)</v>
      </c>
      <c r="C68" s="906">
        <v>50.2</v>
      </c>
      <c r="D68" s="438"/>
      <c r="E68" s="435"/>
      <c r="F68" s="1608"/>
      <c r="G68" s="432"/>
    </row>
    <row r="69" spans="1:8" ht="19" customHeight="1" thickBot="1" x14ac:dyDescent="0.3">
      <c r="A69" s="462"/>
      <c r="B69" s="444" t="str">
        <f>IF(OR(TMP_FeedType = "Feedstock",TMP_FeedType = "Utility"), "Cost in Startup Year","Income in Startup Year")</f>
        <v>Cost in Startup Year</v>
      </c>
      <c r="C69" s="459">
        <f ca="1">design_cap*365*cap_factor*TMP_Usage*TMP_StartPrice</f>
        <v>68957755.550781742</v>
      </c>
      <c r="D69" s="436"/>
      <c r="E69" s="435"/>
      <c r="F69" s="430"/>
      <c r="G69" s="432"/>
    </row>
    <row r="70" spans="1:8" ht="19" customHeight="1" thickBot="1" x14ac:dyDescent="0.3">
      <c r="A70" s="462"/>
      <c r="B70" s="443" t="s">
        <v>262</v>
      </c>
      <c r="C70" s="453" t="s">
        <v>711</v>
      </c>
      <c r="D70" s="436"/>
      <c r="E70" s="435"/>
      <c r="F70" s="430"/>
      <c r="G70" s="432"/>
    </row>
    <row r="71" spans="1:8" s="431" customFormat="1" ht="19" customHeight="1" x14ac:dyDescent="0.25">
      <c r="A71" s="462"/>
      <c r="B71" s="902"/>
      <c r="C71" s="903"/>
      <c r="D71" s="436"/>
      <c r="E71" s="435"/>
      <c r="F71" s="430"/>
      <c r="G71" s="432"/>
      <c r="H71" s="29"/>
    </row>
    <row r="72" spans="1:8" ht="27" customHeight="1" thickBot="1" x14ac:dyDescent="0.35">
      <c r="A72" s="462"/>
      <c r="B72" s="904" t="s">
        <v>715</v>
      </c>
      <c r="C72" s="440"/>
      <c r="D72" s="440"/>
      <c r="E72" s="440"/>
      <c r="F72" s="440"/>
      <c r="G72" s="441"/>
    </row>
    <row r="73" spans="1:8" ht="28" customHeight="1" x14ac:dyDescent="0.25">
      <c r="A73" s="463" t="s">
        <v>15</v>
      </c>
      <c r="B73" s="1480"/>
      <c r="C73" s="1481"/>
      <c r="D73" s="1481"/>
      <c r="E73" s="1481"/>
      <c r="F73" s="1482"/>
      <c r="G73" s="1483"/>
    </row>
    <row r="74" spans="1:8" ht="28" customHeight="1" x14ac:dyDescent="0.25">
      <c r="A74" s="463"/>
      <c r="B74" s="455" t="s">
        <v>832</v>
      </c>
      <c r="C74" s="456" t="s">
        <v>1344</v>
      </c>
      <c r="D74" s="456" t="s">
        <v>1345</v>
      </c>
      <c r="E74" s="456" t="s">
        <v>1346</v>
      </c>
      <c r="F74" s="457" t="s">
        <v>833</v>
      </c>
      <c r="G74" s="458" t="s">
        <v>262</v>
      </c>
    </row>
    <row r="75" spans="1:8" ht="28" customHeight="1" x14ac:dyDescent="0.25">
      <c r="A75" s="463"/>
      <c r="B75" s="455" t="s">
        <v>698</v>
      </c>
      <c r="C75" s="456">
        <v>3.5999999999999995E-3</v>
      </c>
      <c r="D75" s="456">
        <v>7.7596976084681746E-2</v>
      </c>
      <c r="E75" s="456">
        <f ca="1">50.2*sensitivity_04</f>
        <v>50.2</v>
      </c>
      <c r="F75" s="457">
        <f ca="1">+feedstockIndustrial_Electricity_Price*feedstockIndustrial_Electricity_Usage*output_kgyear*(1+inflation_rate)^(startup_year-ref_year)*IF(start_time,percnt_var,1)</f>
        <v>108333689.40617315</v>
      </c>
      <c r="G75" s="458" t="s">
        <v>711</v>
      </c>
    </row>
    <row r="76" spans="1:8" ht="28" customHeight="1" x14ac:dyDescent="0.25">
      <c r="A76" s="463" t="s">
        <v>15</v>
      </c>
      <c r="B76" s="455"/>
      <c r="C76" s="456"/>
      <c r="D76" s="456"/>
      <c r="E76" s="456"/>
      <c r="F76" s="457"/>
      <c r="G76" s="458"/>
    </row>
    <row r="77" spans="1:8" ht="28" customHeight="1" x14ac:dyDescent="0.25">
      <c r="A77" s="462" t="s">
        <v>273</v>
      </c>
      <c r="B77" s="455"/>
      <c r="C77" s="456"/>
      <c r="D77" s="456"/>
      <c r="E77" s="456"/>
      <c r="F77" s="457"/>
      <c r="G77" s="458"/>
    </row>
    <row r="78" spans="1:8" ht="28" customHeight="1" thickBot="1" x14ac:dyDescent="0.3">
      <c r="A78" s="1479" t="s">
        <v>274</v>
      </c>
      <c r="B78" s="1484"/>
      <c r="C78" s="1485"/>
      <c r="D78" s="1485"/>
      <c r="E78" s="1485"/>
      <c r="F78" s="1486"/>
      <c r="G78" s="1487"/>
    </row>
    <row r="79" spans="1:8" ht="17.149999999999999" customHeight="1" thickBot="1" x14ac:dyDescent="0.3">
      <c r="A79" s="464"/>
      <c r="B79" s="326"/>
      <c r="C79" s="326"/>
      <c r="D79" s="332"/>
      <c r="E79" s="332"/>
      <c r="F79" s="329" t="s">
        <v>58</v>
      </c>
      <c r="G79" s="331"/>
    </row>
    <row r="80" spans="1:8" ht="17.149999999999999" customHeight="1" thickBot="1" x14ac:dyDescent="0.3">
      <c r="A80" s="462" t="s">
        <v>251</v>
      </c>
      <c r="B80" s="333" t="s">
        <v>277</v>
      </c>
      <c r="C80" s="329"/>
      <c r="D80" s="332"/>
      <c r="E80" s="332"/>
      <c r="F80" s="245">
        <f ca="1">SUM(Dynamic_Feed_Total)</f>
        <v>108333689.40617315</v>
      </c>
      <c r="G80" s="331"/>
    </row>
    <row r="81" spans="1:8" ht="17.149999999999999" customHeight="1" thickBot="1" x14ac:dyDescent="0.3">
      <c r="A81" s="462" t="s">
        <v>252</v>
      </c>
      <c r="B81" s="333" t="s">
        <v>278</v>
      </c>
      <c r="C81" s="329"/>
      <c r="D81" s="332"/>
      <c r="E81" s="332"/>
      <c r="F81" s="245">
        <f>SUM(Dynamic_Utilities_Total)</f>
        <v>0</v>
      </c>
      <c r="G81" s="331"/>
    </row>
    <row r="82" spans="1:8" ht="17.149999999999999" customHeight="1" thickBot="1" x14ac:dyDescent="0.3">
      <c r="A82" s="462" t="s">
        <v>256</v>
      </c>
      <c r="B82" s="324" t="s">
        <v>276</v>
      </c>
      <c r="C82" s="329"/>
      <c r="D82" s="332"/>
      <c r="E82" s="332"/>
      <c r="F82" s="245">
        <f>SUM(Dynamic_Byproduct_Total)</f>
        <v>0</v>
      </c>
      <c r="G82" s="331"/>
    </row>
    <row r="83" spans="1:8" ht="38.25" customHeight="1" x14ac:dyDescent="0.25">
      <c r="A83" s="462"/>
      <c r="B83" s="324"/>
      <c r="C83" s="319"/>
      <c r="D83" s="831" t="s">
        <v>317</v>
      </c>
      <c r="E83" s="1603"/>
      <c r="F83" s="1603"/>
      <c r="G83" s="1604"/>
    </row>
    <row r="84" spans="1:8" ht="28.5" customHeight="1" thickBot="1" x14ac:dyDescent="0.3">
      <c r="A84" s="462"/>
      <c r="B84" s="324"/>
      <c r="C84" s="319"/>
      <c r="D84" s="431"/>
      <c r="E84" s="1610"/>
      <c r="F84" s="1610"/>
      <c r="G84" s="1611"/>
    </row>
    <row r="85" spans="1:8" ht="17.149999999999999" customHeight="1" thickTop="1" thickBot="1" x14ac:dyDescent="0.3">
      <c r="A85" s="462"/>
      <c r="B85" s="495" t="s">
        <v>83</v>
      </c>
      <c r="C85" s="496"/>
      <c r="D85" s="496"/>
      <c r="E85" s="1601" t="s">
        <v>441</v>
      </c>
      <c r="F85" s="1601"/>
      <c r="G85" s="1602"/>
    </row>
    <row r="86" spans="1:8" ht="20.149999999999999" customHeight="1" thickBot="1" x14ac:dyDescent="0.3">
      <c r="A86" s="462" t="s">
        <v>246</v>
      </c>
      <c r="B86" s="327" t="s">
        <v>336</v>
      </c>
      <c r="C86" s="243">
        <f ca="1">Det_scaled_cap</f>
        <v>47723115.327247426</v>
      </c>
      <c r="D86" s="468"/>
      <c r="E86" s="1581" t="s">
        <v>531</v>
      </c>
      <c r="F86" s="1581"/>
      <c r="G86" s="1582"/>
    </row>
    <row r="87" spans="1:8" ht="28.9" customHeight="1" thickBot="1" x14ac:dyDescent="0.3">
      <c r="A87" s="462"/>
      <c r="B87" s="327" t="s">
        <v>1002</v>
      </c>
      <c r="C87" s="1269">
        <f>Det_CO2_seq</f>
        <v>0</v>
      </c>
      <c r="D87" s="468"/>
      <c r="E87" s="1581" t="s">
        <v>842</v>
      </c>
      <c r="F87" s="1581"/>
      <c r="G87" s="1582"/>
    </row>
    <row r="88" spans="1:8" ht="21.75" customHeight="1" x14ac:dyDescent="0.25">
      <c r="A88" s="462"/>
      <c r="B88" s="327"/>
      <c r="C88"/>
      <c r="D88"/>
      <c r="E88"/>
      <c r="F88"/>
      <c r="G88" s="446"/>
    </row>
    <row r="89" spans="1:8" ht="45.75" customHeight="1" thickBot="1" x14ac:dyDescent="0.35">
      <c r="A89" s="462"/>
      <c r="B89" s="327" t="s">
        <v>337</v>
      </c>
      <c r="C89" s="982" t="str">
        <f>"Enter values in basis year (" &amp; BasisYear &amp; ") dollars"</f>
        <v>Enter values in basis year (2012) dollars</v>
      </c>
      <c r="D89" s="982" t="s">
        <v>843</v>
      </c>
      <c r="E89" s="982" t="str">
        <f xml:space="preserve"> "Reference Year ("&amp; ref_year &amp; ") Dollars"</f>
        <v>Reference Year (2016) Dollars</v>
      </c>
      <c r="F89"/>
      <c r="G89" s="446"/>
      <c r="H89" s="35"/>
    </row>
    <row r="90" spans="1:8" ht="17.149999999999999" customHeight="1" x14ac:dyDescent="0.25">
      <c r="A90" s="462" t="s">
        <v>179</v>
      </c>
      <c r="B90" s="322" t="s">
        <v>712</v>
      </c>
      <c r="C90" s="1008">
        <f ca="1">0.02*(direct_cap+CO2_seq)/(CEPCIinflator*CPIinflator)</f>
        <v>920333.33333333349</v>
      </c>
      <c r="D90" s="1030">
        <f t="shared" ref="D90:D96" si="0">CEPCIinflator*CPIinflator</f>
        <v>1.0370832740437685</v>
      </c>
      <c r="E90" s="1010">
        <f ca="1">C90*D90</f>
        <v>954462.30654494849</v>
      </c>
      <c r="F90" s="996"/>
      <c r="G90" s="999"/>
    </row>
    <row r="91" spans="1:8" ht="29.25" customHeight="1" x14ac:dyDescent="0.25">
      <c r="A91" s="462" t="s">
        <v>27</v>
      </c>
      <c r="B91" s="321" t="s">
        <v>338</v>
      </c>
      <c r="C91" s="1011">
        <f ca="1">0.08*(direct_cap+CO2_seq)/(CEPCIinflator*CPIinflator)</f>
        <v>3681333.333333334</v>
      </c>
      <c r="D91" s="1031">
        <f t="shared" si="0"/>
        <v>1.0370832740437685</v>
      </c>
      <c r="E91" s="1013">
        <f t="shared" ref="E91:E96" ca="1" si="1">C91*D91</f>
        <v>3817849.2261797939</v>
      </c>
      <c r="F91" s="996"/>
      <c r="G91" s="999"/>
      <c r="H91" s="34"/>
    </row>
    <row r="92" spans="1:8" ht="17.149999999999999" customHeight="1" x14ac:dyDescent="0.25">
      <c r="A92" s="462" t="s">
        <v>171</v>
      </c>
      <c r="B92" s="321" t="s">
        <v>347</v>
      </c>
      <c r="C92" s="1011"/>
      <c r="D92" s="1031">
        <f t="shared" si="0"/>
        <v>1.0370832740437685</v>
      </c>
      <c r="E92" s="1013">
        <f t="shared" si="1"/>
        <v>0</v>
      </c>
      <c r="F92" s="996"/>
      <c r="G92" s="999"/>
      <c r="H92" s="901"/>
    </row>
    <row r="93" spans="1:8" ht="17.149999999999999" customHeight="1" x14ac:dyDescent="0.25">
      <c r="A93" s="462" t="s">
        <v>173</v>
      </c>
      <c r="B93" s="321" t="s">
        <v>348</v>
      </c>
      <c r="C93" s="1011">
        <f ca="1">0.15*(direct_cap+CO2_seq)/(CEPCIinflator*CPIinflator)</f>
        <v>6902500.0000000009</v>
      </c>
      <c r="D93" s="1031">
        <f t="shared" si="0"/>
        <v>1.0370832740437685</v>
      </c>
      <c r="E93" s="1013">
        <f t="shared" ca="1" si="1"/>
        <v>7158467.2990871137</v>
      </c>
      <c r="F93" s="996"/>
      <c r="G93" s="999"/>
      <c r="H93" s="901"/>
    </row>
    <row r="94" spans="1:8" ht="31.5" customHeight="1" x14ac:dyDescent="0.25">
      <c r="A94" s="462" t="s">
        <v>159</v>
      </c>
      <c r="B94" s="321" t="s">
        <v>350</v>
      </c>
      <c r="C94" s="1011"/>
      <c r="D94" s="1031">
        <f t="shared" si="0"/>
        <v>1.0370832740437685</v>
      </c>
      <c r="E94" s="1013">
        <f t="shared" si="1"/>
        <v>0</v>
      </c>
      <c r="F94" s="996"/>
      <c r="G94" s="999"/>
      <c r="H94" s="34"/>
    </row>
    <row r="95" spans="1:8" ht="17.149999999999999" customHeight="1" x14ac:dyDescent="0.25">
      <c r="A95" s="462" t="s">
        <v>29</v>
      </c>
      <c r="B95" s="321" t="s">
        <v>349</v>
      </c>
      <c r="C95" s="1011"/>
      <c r="D95" s="1031">
        <f t="shared" si="0"/>
        <v>1.0370832740437685</v>
      </c>
      <c r="E95" s="1013">
        <f t="shared" si="1"/>
        <v>0</v>
      </c>
      <c r="F95" s="996"/>
      <c r="G95" s="999"/>
    </row>
    <row r="96" spans="1:8" ht="21.75" customHeight="1" thickBot="1" x14ac:dyDescent="0.3">
      <c r="A96" s="462" t="s">
        <v>169</v>
      </c>
      <c r="B96" s="322" t="s">
        <v>713</v>
      </c>
      <c r="C96" s="1014">
        <f ca="1">0.15*(direct_cap+CO2_seq)/(CEPCIinflator*CPIinflator)</f>
        <v>6902500.0000000009</v>
      </c>
      <c r="D96" s="1032">
        <f t="shared" si="0"/>
        <v>1.0370832740437685</v>
      </c>
      <c r="E96" s="1015">
        <f t="shared" ca="1" si="1"/>
        <v>7158467.2990871137</v>
      </c>
      <c r="F96" s="996"/>
      <c r="G96" s="999"/>
    </row>
    <row r="97" spans="1:7" ht="20.149999999999999" customHeight="1" thickBot="1" x14ac:dyDescent="0.3">
      <c r="A97" s="462" t="s">
        <v>1009</v>
      </c>
      <c r="B97" s="327" t="s">
        <v>978</v>
      </c>
      <c r="C97"/>
      <c r="E97" s="859">
        <f ca="1">direct_cap+CO2_seq+SUM($E$90:$E$96)</f>
        <v>66812361.458146393</v>
      </c>
      <c r="F97" s="1000"/>
      <c r="G97" s="1001"/>
    </row>
    <row r="98" spans="1:7" x14ac:dyDescent="0.25">
      <c r="A98" s="462"/>
      <c r="B98" s="321"/>
      <c r="C98" s="319"/>
      <c r="D98" s="1579" t="s">
        <v>843</v>
      </c>
      <c r="E98"/>
      <c r="F98" s="472"/>
      <c r="G98" s="471"/>
    </row>
    <row r="99" spans="1:7" ht="30.75" customHeight="1" thickBot="1" x14ac:dyDescent="0.35">
      <c r="A99" s="462"/>
      <c r="B99" s="327" t="s">
        <v>351</v>
      </c>
      <c r="C99" s="982" t="str">
        <f>"Enter values in basis year (" &amp; BasisYear &amp; ") dollars"</f>
        <v>Enter values in basis year (2012) dollars</v>
      </c>
      <c r="D99" s="1580"/>
      <c r="E99" s="982" t="str">
        <f xml:space="preserve"> "Reference Year ("&amp; ref_year &amp; ") Dollars"</f>
        <v>Reference Year (2016) Dollars</v>
      </c>
      <c r="F99" s="472"/>
      <c r="G99" s="471"/>
    </row>
    <row r="100" spans="1:7" ht="27.75" customHeight="1" thickBot="1" x14ac:dyDescent="0.3">
      <c r="A100" s="462" t="s">
        <v>1092</v>
      </c>
      <c r="B100" s="321" t="s">
        <v>352</v>
      </c>
      <c r="C100" s="1008">
        <v>50000</v>
      </c>
      <c r="D100" s="1030">
        <f>CPIinflator</f>
        <v>1.100724186648488</v>
      </c>
      <c r="E100" s="993">
        <f>C100*D100</f>
        <v>55036.209332424405</v>
      </c>
      <c r="F100" s="472"/>
      <c r="G100" s="471"/>
    </row>
    <row r="101" spans="1:7" ht="25.5" customHeight="1" thickBot="1" x14ac:dyDescent="0.3">
      <c r="A101" s="462" t="s">
        <v>1093</v>
      </c>
      <c r="B101" s="321" t="s">
        <v>353</v>
      </c>
      <c r="C101" s="1017">
        <v>5</v>
      </c>
      <c r="D101" s="1012">
        <f ca="1">Scale_Factor *1</f>
        <v>1</v>
      </c>
      <c r="E101" s="990">
        <f ca="1">C101*D101</f>
        <v>5</v>
      </c>
      <c r="F101" s="472"/>
      <c r="G101" s="471"/>
    </row>
    <row r="102" spans="1:7" ht="27" customHeight="1" thickBot="1" x14ac:dyDescent="0.3">
      <c r="A102" s="462" t="s">
        <v>1010</v>
      </c>
      <c r="B102" s="321" t="s">
        <v>979</v>
      </c>
      <c r="C102" s="1018"/>
      <c r="D102" s="1018"/>
      <c r="E102" s="859">
        <f ca="1">acre_cost*acres</f>
        <v>275181.04666212201</v>
      </c>
      <c r="F102" s="472"/>
      <c r="G102" s="471"/>
    </row>
    <row r="103" spans="1:7" ht="17.149999999999999" customHeight="1" thickBot="1" x14ac:dyDescent="0.3">
      <c r="A103" s="462"/>
      <c r="B103" s="321" t="s">
        <v>1011</v>
      </c>
      <c r="C103" s="1008"/>
      <c r="D103" s="1030">
        <f>CPIinflator</f>
        <v>1.100724186648488</v>
      </c>
      <c r="E103" s="859">
        <f>C103*D103</f>
        <v>0</v>
      </c>
      <c r="F103" s="1000"/>
      <c r="G103" s="1001"/>
    </row>
    <row r="104" spans="1:7" ht="20.149999999999999" customHeight="1" thickBot="1" x14ac:dyDescent="0.3">
      <c r="A104" s="462" t="s">
        <v>1017</v>
      </c>
      <c r="B104" s="327" t="s">
        <v>980</v>
      </c>
      <c r="C104" s="1018"/>
      <c r="D104" s="1018"/>
      <c r="E104" s="244">
        <f ca="1">land_cost+$E$103</f>
        <v>275181.04666212201</v>
      </c>
      <c r="F104" s="472"/>
      <c r="G104" s="471"/>
    </row>
    <row r="105" spans="1:7" ht="13" thickBot="1" x14ac:dyDescent="0.3">
      <c r="A105" s="462"/>
      <c r="B105" s="321"/>
      <c r="C105" s="319"/>
      <c r="D105" s="1018"/>
      <c r="E105" s="472"/>
      <c r="F105" s="472"/>
      <c r="G105" s="471"/>
    </row>
    <row r="106" spans="1:7" ht="20.149999999999999" customHeight="1" thickBot="1" x14ac:dyDescent="0.3">
      <c r="A106" s="462" t="s">
        <v>1018</v>
      </c>
      <c r="B106" s="327" t="s">
        <v>994</v>
      </c>
      <c r="C106" s="243">
        <f ca="1">(depr_cap+non_dep_cap)*sensitivity_06</f>
        <v>67087542.504808515</v>
      </c>
      <c r="D106" s="1018"/>
      <c r="E106" s="1016"/>
      <c r="F106" s="472"/>
      <c r="G106" s="471"/>
    </row>
    <row r="107" spans="1:7" ht="13" thickBot="1" x14ac:dyDescent="0.3">
      <c r="A107" s="462"/>
      <c r="B107" s="321"/>
      <c r="C107" s="319"/>
      <c r="D107" s="1018"/>
      <c r="E107" s="472"/>
      <c r="F107" s="472"/>
      <c r="G107" s="471"/>
    </row>
    <row r="108" spans="1:7" ht="44.25" customHeight="1" thickTop="1" thickBot="1" x14ac:dyDescent="0.35">
      <c r="A108" s="462"/>
      <c r="B108" s="495" t="s">
        <v>354</v>
      </c>
      <c r="C108" s="1025" t="str">
        <f>"Enter values in basis year (" &amp; BasisYear &amp; ") dollars"</f>
        <v>Enter values in basis year (2012) dollars</v>
      </c>
      <c r="D108" s="1025" t="s">
        <v>843</v>
      </c>
      <c r="E108" s="1025" t="str">
        <f xml:space="preserve"> "Reference Year ("&amp; ref_year &amp; ") Dollars"</f>
        <v>Reference Year (2016) Dollars</v>
      </c>
      <c r="F108" s="496"/>
      <c r="G108" s="498"/>
    </row>
    <row r="109" spans="1:7" s="35" customFormat="1" ht="29.25" customHeight="1" thickBot="1" x14ac:dyDescent="0.3">
      <c r="A109" s="462" t="s">
        <v>1021</v>
      </c>
      <c r="B109" s="322" t="s">
        <v>355</v>
      </c>
      <c r="C109" s="1022">
        <v>10</v>
      </c>
      <c r="D109" s="1009">
        <f ca="1">Scale_Ratio^0.25</f>
        <v>1</v>
      </c>
      <c r="E109" s="1023">
        <f ca="1">C109*D109</f>
        <v>10</v>
      </c>
      <c r="F109" s="1002"/>
      <c r="G109" s="1020"/>
    </row>
    <row r="110" spans="1:7" s="35" customFormat="1" ht="17.25" customHeight="1" thickBot="1" x14ac:dyDescent="0.3">
      <c r="A110" s="462" t="s">
        <v>1022</v>
      </c>
      <c r="B110" s="322" t="s">
        <v>356</v>
      </c>
      <c r="C110" s="1008">
        <v>50</v>
      </c>
      <c r="D110" s="1030">
        <f>VLOOKUP(ref_year,Tbl_labor_indexes,2,FALSE)/VLOOKUP(BasisYear,Tbl_labor_indexes,2,FALSE)</f>
        <v>1.0589743589743588</v>
      </c>
      <c r="E110" s="995">
        <f>C110*D110</f>
        <v>52.948717948717942</v>
      </c>
      <c r="F110" s="1002"/>
      <c r="G110" s="1020"/>
    </row>
    <row r="111" spans="1:7" s="35" customFormat="1" ht="17.149999999999999" customHeight="1" thickBot="1" x14ac:dyDescent="0.3">
      <c r="A111" s="462" t="s">
        <v>1012</v>
      </c>
      <c r="B111" s="322" t="s">
        <v>995</v>
      </c>
      <c r="C111" s="1018"/>
      <c r="D111" s="1018"/>
      <c r="E111" s="860">
        <f ca="1">FTEs*2080*FTE_cost</f>
        <v>1101333.3333333333</v>
      </c>
      <c r="F111" s="1002"/>
      <c r="G111" s="1020"/>
    </row>
    <row r="112" spans="1:7" s="35" customFormat="1" ht="17.149999999999999" customHeight="1" thickBot="1" x14ac:dyDescent="0.3">
      <c r="A112" s="462" t="s">
        <v>160</v>
      </c>
      <c r="B112" s="322" t="s">
        <v>357</v>
      </c>
      <c r="C112" s="474">
        <v>0.2</v>
      </c>
      <c r="D112" s="1018"/>
      <c r="F112" s="1002"/>
      <c r="G112" s="1020"/>
    </row>
    <row r="113" spans="1:8" s="35" customFormat="1" ht="17.149999999999999" customHeight="1" thickBot="1" x14ac:dyDescent="0.3">
      <c r="A113" s="462" t="s">
        <v>1015</v>
      </c>
      <c r="B113" s="322" t="s">
        <v>988</v>
      </c>
      <c r="C113" s="1018"/>
      <c r="D113" s="1018"/>
      <c r="E113" s="984">
        <f ca="1">labor_cost*overhead_rate</f>
        <v>220266.66666666666</v>
      </c>
      <c r="F113" s="1002"/>
      <c r="G113" s="1020"/>
    </row>
    <row r="114" spans="1:8" s="35" customFormat="1" ht="17.149999999999999" customHeight="1" thickBot="1" x14ac:dyDescent="0.3">
      <c r="A114" s="462" t="s">
        <v>31</v>
      </c>
      <c r="B114" s="322" t="s">
        <v>358</v>
      </c>
      <c r="C114" s="1008">
        <v>0</v>
      </c>
      <c r="D114" s="1030">
        <f ca="1">Scale_Factor *CEPCIinflator*CPIinflator</f>
        <v>1.0370832740437685</v>
      </c>
      <c r="E114" s="991">
        <f ca="1">C114*D114</f>
        <v>0</v>
      </c>
      <c r="F114" s="1002"/>
      <c r="G114" s="1020"/>
    </row>
    <row r="115" spans="1:8" s="35" customFormat="1" ht="26.25" customHeight="1" thickBot="1" x14ac:dyDescent="0.3">
      <c r="A115" s="462" t="s">
        <v>186</v>
      </c>
      <c r="B115" s="322" t="s">
        <v>1096</v>
      </c>
      <c r="C115" s="992">
        <v>0.02</v>
      </c>
      <c r="D115" s="1033"/>
      <c r="F115" s="1002"/>
      <c r="G115" s="1020"/>
    </row>
    <row r="116" spans="1:8" s="35" customFormat="1" ht="17.149999999999999" customHeight="1" thickBot="1" x14ac:dyDescent="0.3">
      <c r="A116" s="462" t="s">
        <v>1013</v>
      </c>
      <c r="B116" s="321" t="s">
        <v>993</v>
      </c>
      <c r="C116" s="1018"/>
      <c r="D116" s="1033"/>
      <c r="E116" s="897">
        <f ca="1">tax_ins_rate*total_cap</f>
        <v>1341750.8500961703</v>
      </c>
      <c r="F116" s="1002"/>
      <c r="G116" s="1020"/>
    </row>
    <row r="117" spans="1:8" s="35" customFormat="1" ht="17.149999999999999" customHeight="1" thickBot="1" x14ac:dyDescent="0.3">
      <c r="A117" s="462" t="s">
        <v>175</v>
      </c>
      <c r="B117" s="321" t="s">
        <v>359</v>
      </c>
      <c r="C117" s="1008"/>
      <c r="D117" s="1030">
        <f ca="1">Scale_Factor *CPIinflator</f>
        <v>1.100724186648488</v>
      </c>
      <c r="E117" s="993">
        <f ca="1">C117*D117</f>
        <v>0</v>
      </c>
      <c r="F117" s="1002"/>
      <c r="G117" s="1020"/>
    </row>
    <row r="118" spans="1:8" s="35" customFormat="1" ht="27" customHeight="1" thickBot="1" x14ac:dyDescent="0.3">
      <c r="A118" s="462" t="s">
        <v>1023</v>
      </c>
      <c r="B118" s="322" t="s">
        <v>360</v>
      </c>
      <c r="C118" s="1008"/>
      <c r="D118" s="1030">
        <f ca="1">Scale_Factor *CEPCIinflator*CPIinflator</f>
        <v>1.0370832740437685</v>
      </c>
      <c r="E118" s="994">
        <f ca="1">C118*D118</f>
        <v>0</v>
      </c>
      <c r="F118" s="1002"/>
      <c r="G118" s="1020"/>
      <c r="H118" s="832"/>
    </row>
    <row r="119" spans="1:8" s="35" customFormat="1" ht="17.149999999999999" customHeight="1" thickBot="1" x14ac:dyDescent="0.3">
      <c r="A119" s="462" t="s">
        <v>172</v>
      </c>
      <c r="B119" s="322" t="s">
        <v>361</v>
      </c>
      <c r="C119" s="1008">
        <f ca="1">0.03*direct_cap/(CEPCIinflator*CPIinflator)</f>
        <v>1380500.0000000002</v>
      </c>
      <c r="D119" s="1030">
        <f ca="1">Scale_Factor *CEPCIinflator*CPIinflator</f>
        <v>1.0370832740437685</v>
      </c>
      <c r="E119" s="985">
        <f ca="1">C119*D119</f>
        <v>1431693.4598174228</v>
      </c>
      <c r="F119" s="1002"/>
      <c r="G119" s="1020"/>
    </row>
    <row r="120" spans="1:8" s="35" customFormat="1" ht="17.149999999999999" customHeight="1" thickBot="1" x14ac:dyDescent="0.3">
      <c r="A120" s="462" t="s">
        <v>157</v>
      </c>
      <c r="B120" s="321" t="s">
        <v>362</v>
      </c>
      <c r="C120" s="1008">
        <v>0</v>
      </c>
      <c r="D120" s="1030">
        <f ca="1">Scale_Ratio * CEPCIinflator*CPIinflator</f>
        <v>1.0370832740437685</v>
      </c>
      <c r="E120" s="506">
        <f ca="1">C120*D120</f>
        <v>0</v>
      </c>
      <c r="F120" s="1002"/>
      <c r="G120" s="1020"/>
    </row>
    <row r="121" spans="1:8" s="35" customFormat="1" ht="17.149999999999999" customHeight="1" thickBot="1" x14ac:dyDescent="0.3">
      <c r="A121" s="462" t="s">
        <v>158</v>
      </c>
      <c r="B121" s="321" t="s">
        <v>363</v>
      </c>
      <c r="C121" s="1008">
        <v>0</v>
      </c>
      <c r="D121" s="1030">
        <f ca="1">Scale_Factor *CEPCIinflator*CPIinflator</f>
        <v>1.0370832740437685</v>
      </c>
      <c r="E121" s="244">
        <f ca="1">C121*D121</f>
        <v>0</v>
      </c>
      <c r="F121" s="1002"/>
      <c r="G121" s="1020"/>
    </row>
    <row r="122" spans="1:8" s="35" customFormat="1" ht="24" customHeight="1" thickBot="1" x14ac:dyDescent="0.3">
      <c r="A122" s="462" t="s">
        <v>1014</v>
      </c>
      <c r="B122" s="327" t="s">
        <v>996</v>
      </c>
      <c r="C122" s="1018"/>
      <c r="D122" s="1018"/>
      <c r="E122" s="859">
        <f ca="1">(labor_cost+overhead_GA+tax_insurance+licensing+SUM(E117:E121))*sensitivity_07</f>
        <v>4095044.3099135933</v>
      </c>
      <c r="F122" s="1019"/>
      <c r="G122" s="1021"/>
    </row>
    <row r="123" spans="1:8" s="35" customFormat="1" ht="13" thickBot="1" x14ac:dyDescent="0.3">
      <c r="A123" s="462"/>
      <c r="B123" s="322"/>
      <c r="C123" s="325"/>
      <c r="D123" s="509"/>
      <c r="E123" s="319"/>
      <c r="F123" s="319"/>
      <c r="G123" s="320"/>
    </row>
    <row r="124" spans="1:8" s="35" customFormat="1" ht="26.25" customHeight="1" thickTop="1" thickBot="1" x14ac:dyDescent="0.3">
      <c r="A124" s="462"/>
      <c r="B124" s="488" t="s">
        <v>947</v>
      </c>
      <c r="C124" s="489"/>
      <c r="D124" s="490"/>
      <c r="E124" s="491"/>
      <c r="F124" s="490"/>
      <c r="G124" s="492"/>
    </row>
    <row r="125" spans="1:8" customFormat="1" ht="15" customHeight="1" thickTop="1" x14ac:dyDescent="0.3">
      <c r="A125" s="462"/>
      <c r="B125" s="503" t="s">
        <v>1043</v>
      </c>
      <c r="C125" s="504"/>
      <c r="D125" s="504"/>
      <c r="E125" s="504"/>
      <c r="F125" s="504"/>
      <c r="G125" s="505"/>
    </row>
    <row r="126" spans="1:8" customFormat="1" ht="15" customHeight="1" x14ac:dyDescent="0.25">
      <c r="A126" s="462"/>
      <c r="B126" s="447"/>
      <c r="C126" s="445"/>
      <c r="D126" s="445"/>
      <c r="E126" s="445"/>
      <c r="F126" s="445"/>
      <c r="G126" s="446"/>
    </row>
    <row r="127" spans="1:8" customFormat="1" ht="24" customHeight="1" thickBot="1" x14ac:dyDescent="0.3">
      <c r="A127" s="462"/>
      <c r="B127" s="429" t="s">
        <v>1050</v>
      </c>
      <c r="C127" s="445"/>
      <c r="D127" s="445"/>
      <c r="E127" s="445"/>
      <c r="F127" s="445"/>
      <c r="G127" s="446"/>
    </row>
    <row r="128" spans="1:8" customFormat="1" ht="24" customHeight="1" thickBot="1" x14ac:dyDescent="0.3">
      <c r="A128" s="462"/>
      <c r="B128" s="473" t="s">
        <v>1046</v>
      </c>
      <c r="C128" s="445"/>
      <c r="D128" s="445"/>
      <c r="E128" s="445"/>
      <c r="F128" s="445"/>
      <c r="G128" s="446"/>
    </row>
    <row r="129" spans="1:7" customFormat="1" ht="24" customHeight="1" thickBot="1" x14ac:dyDescent="0.3">
      <c r="A129" s="462"/>
      <c r="B129" s="451" t="s">
        <v>1071</v>
      </c>
      <c r="C129" s="1575" t="str">
        <f>B128</f>
        <v>Process Water</v>
      </c>
      <c r="D129" s="1576"/>
      <c r="E129" s="445"/>
      <c r="F129" s="445"/>
      <c r="G129" s="446"/>
    </row>
    <row r="130" spans="1:7" customFormat="1" ht="18.75" customHeight="1" thickBot="1" x14ac:dyDescent="0.3">
      <c r="A130" s="462"/>
      <c r="B130" s="434" t="str">
        <f ca="1">"$(" &amp; ref_year &amp; ")/ " &amp; VLOOKUP(TMP_NonE_Feed,Tbl_Other_Inputs_and_Byproducts,2,FALSE)</f>
        <v>$(2016)/ gal</v>
      </c>
      <c r="C130" s="478">
        <f ca="1">HLOOKUP(startup_year,Tbl_Other_Inputs_and_Byproducts,MATCH(TMP_NonE_Feed,Other_Inputs_List,0),FALSE)</f>
        <v>2.374951094500801E-3</v>
      </c>
      <c r="D130" s="445"/>
      <c r="E130" s="445"/>
      <c r="F130" s="445"/>
      <c r="G130" s="446"/>
    </row>
    <row r="131" spans="1:7" customFormat="1" ht="18" customHeight="1" thickBot="1" x14ac:dyDescent="0.3">
      <c r="A131" s="462"/>
      <c r="B131" s="439" t="str">
        <f>IF(TMP_NonE_Type="Feed or utility","Usage per kg H2","Production per kg H2")</f>
        <v>Usage per kg H2</v>
      </c>
      <c r="C131" s="475"/>
      <c r="D131" s="445"/>
      <c r="E131" s="445"/>
      <c r="F131" s="445"/>
      <c r="G131" s="446"/>
    </row>
    <row r="132" spans="1:7" customFormat="1" ht="19.5" customHeight="1" thickBot="1" x14ac:dyDescent="0.3">
      <c r="A132" s="462"/>
      <c r="B132" s="439" t="str">
        <f>IF(TMP_NonE_Type = "Feed or utility", "Cost in Startup Year","Income in Startup Year")</f>
        <v>Cost in Startup Year</v>
      </c>
      <c r="C132" s="450">
        <f ca="1">design_cap*365*cap_factor*TMP_NonE_Usage*TMP_NonE_StartPrice</f>
        <v>0</v>
      </c>
      <c r="D132" s="445"/>
      <c r="E132" s="445"/>
      <c r="F132" s="445"/>
      <c r="G132" s="446"/>
    </row>
    <row r="133" spans="1:7" customFormat="1" ht="24" customHeight="1" thickBot="1" x14ac:dyDescent="0.3">
      <c r="A133" s="462"/>
      <c r="B133" s="448" t="s">
        <v>262</v>
      </c>
      <c r="C133" s="452" t="s">
        <v>23</v>
      </c>
      <c r="D133" s="449"/>
      <c r="E133" s="449"/>
      <c r="F133" s="449"/>
      <c r="G133" s="441"/>
    </row>
    <row r="134" spans="1:7" customFormat="1" ht="24" customHeight="1" x14ac:dyDescent="0.25">
      <c r="A134" s="465" t="s">
        <v>1052</v>
      </c>
      <c r="B134" s="328"/>
      <c r="C134" s="329"/>
      <c r="D134" s="329"/>
      <c r="E134" s="330"/>
      <c r="F134" s="329"/>
      <c r="G134" s="331"/>
    </row>
    <row r="135" spans="1:7" customFormat="1" ht="24" customHeight="1" x14ac:dyDescent="0.25">
      <c r="A135" s="465"/>
      <c r="B135" s="328" t="s">
        <v>1071</v>
      </c>
      <c r="C135" s="329" t="s">
        <v>1300</v>
      </c>
      <c r="D135" s="329" t="s">
        <v>836</v>
      </c>
      <c r="E135" s="330" t="s">
        <v>833</v>
      </c>
      <c r="F135" s="329" t="s">
        <v>262</v>
      </c>
      <c r="G135" s="331"/>
    </row>
    <row r="136" spans="1:7" customFormat="1" ht="24" customHeight="1" x14ac:dyDescent="0.25">
      <c r="A136" s="465"/>
      <c r="B136" s="328" t="s">
        <v>1046</v>
      </c>
      <c r="C136" s="329">
        <v>2.374951094500801E-3</v>
      </c>
      <c r="D136" s="329">
        <v>3.98</v>
      </c>
      <c r="E136" s="330">
        <v>200122.64153190603</v>
      </c>
      <c r="F136" s="329" t="s">
        <v>23</v>
      </c>
      <c r="G136" s="331"/>
    </row>
    <row r="137" spans="1:7" customFormat="1" ht="16" customHeight="1" x14ac:dyDescent="0.25">
      <c r="A137" s="462" t="s">
        <v>1053</v>
      </c>
      <c r="B137" s="328"/>
      <c r="C137" s="334"/>
      <c r="D137" s="334"/>
      <c r="E137" s="335"/>
      <c r="F137" s="334"/>
      <c r="G137" s="331"/>
    </row>
    <row r="138" spans="1:7" customFormat="1" ht="16" customHeight="1" thickBot="1" x14ac:dyDescent="0.3">
      <c r="A138" s="462" t="s">
        <v>1054</v>
      </c>
      <c r="B138" s="328"/>
      <c r="C138" s="329"/>
      <c r="D138" s="329"/>
      <c r="E138" s="335"/>
      <c r="F138" s="329"/>
      <c r="G138" s="331"/>
    </row>
    <row r="139" spans="1:7" customFormat="1" ht="17.149999999999999" customHeight="1" thickBot="1" x14ac:dyDescent="0.3">
      <c r="A139" s="462"/>
      <c r="B139" s="333" t="s">
        <v>861</v>
      </c>
      <c r="C139" s="245">
        <f>SUM(Dynamic_NonE_Feed_Total)</f>
        <v>200122.64153190603</v>
      </c>
      <c r="D139" s="469"/>
      <c r="E139" s="1583"/>
      <c r="F139" s="1583"/>
      <c r="G139" s="1573"/>
    </row>
    <row r="140" spans="1:7" customFormat="1" ht="17.149999999999999" customHeight="1" thickBot="1" x14ac:dyDescent="0.3">
      <c r="A140" s="462" t="s">
        <v>257</v>
      </c>
      <c r="B140" s="333" t="s">
        <v>279</v>
      </c>
      <c r="C140" s="245">
        <f>SUM(Dynamic_NonE_Byprod_Total)</f>
        <v>0</v>
      </c>
      <c r="D140" s="469"/>
      <c r="E140" s="1583"/>
      <c r="F140" s="1583"/>
      <c r="G140" s="1573"/>
    </row>
    <row r="141" spans="1:7" customFormat="1" ht="26.5" customHeight="1" thickBot="1" x14ac:dyDescent="0.3">
      <c r="A141" s="462"/>
      <c r="B141" s="333"/>
      <c r="C141" s="329"/>
      <c r="D141" s="476"/>
      <c r="E141" s="1583"/>
      <c r="F141" s="1583"/>
      <c r="G141" s="1573"/>
    </row>
    <row r="142" spans="1:7" customFormat="1" ht="17.149999999999999" customHeight="1" thickBot="1" x14ac:dyDescent="0.3">
      <c r="A142" s="462" t="s">
        <v>250</v>
      </c>
      <c r="B142" s="327" t="s">
        <v>253</v>
      </c>
      <c r="C142" s="243">
        <f ca="1">Total_Energy_Feed_Cost</f>
        <v>108333689.40617315</v>
      </c>
      <c r="D142" s="469"/>
      <c r="E142" s="1577"/>
      <c r="F142" s="1577"/>
      <c r="G142" s="1578"/>
    </row>
    <row r="143" spans="1:7" customFormat="1" ht="17.149999999999999" customHeight="1" thickBot="1" x14ac:dyDescent="0.3">
      <c r="A143" s="462" t="s">
        <v>664</v>
      </c>
      <c r="B143" s="327" t="s">
        <v>254</v>
      </c>
      <c r="C143" s="243">
        <f>Total_Energy_Utilities_Cost+Total_Non_Energy_Feed_Cost</f>
        <v>200122.64153190603</v>
      </c>
      <c r="D143" s="469"/>
      <c r="E143" s="1577"/>
      <c r="F143" s="1577"/>
      <c r="G143" s="1578"/>
    </row>
    <row r="144" spans="1:7" customFormat="1" ht="31.5" customHeight="1" thickBot="1" x14ac:dyDescent="0.3">
      <c r="A144" s="462" t="s">
        <v>665</v>
      </c>
      <c r="B144" s="327" t="s">
        <v>255</v>
      </c>
      <c r="C144" s="506">
        <f>Total_Energy_Byproduct_Credit+total_non_energy_byproduct_credit</f>
        <v>0</v>
      </c>
      <c r="D144" s="469"/>
      <c r="E144" s="1588"/>
      <c r="F144" s="1588"/>
      <c r="G144" s="1589"/>
    </row>
    <row r="145" spans="1:7" customFormat="1" ht="45.75" customHeight="1" thickTop="1" thickBot="1" x14ac:dyDescent="0.35">
      <c r="A145" s="462"/>
      <c r="B145" s="503" t="s">
        <v>816</v>
      </c>
      <c r="C145" s="1025" t="str">
        <f>"Enter values in basis year (" &amp; BasisYear &amp; ") dollars"</f>
        <v>Enter values in basis year (2012) dollars</v>
      </c>
      <c r="D145" s="1025" t="s">
        <v>843</v>
      </c>
      <c r="E145" s="1025" t="str">
        <f xml:space="preserve"> "Reference Year ("&amp; ref_year &amp; ") Dollars"</f>
        <v>Reference Year (2016) Dollars</v>
      </c>
      <c r="F145" s="507"/>
      <c r="G145" s="508"/>
    </row>
    <row r="146" spans="1:7" s="35" customFormat="1" ht="39" customHeight="1" thickBot="1" x14ac:dyDescent="0.3">
      <c r="A146" s="462" t="s">
        <v>187</v>
      </c>
      <c r="B146" s="321" t="s">
        <v>364</v>
      </c>
      <c r="C146" s="1008"/>
      <c r="D146" s="1030">
        <f ca="1">Scale_Ratio * VLOOKUP(ref_year,Chemical_price_indexes,2,FALSE)/VLOOKUP(BasisYear,Chemical_price_indexes,2,FALSE)</f>
        <v>1.0261237034191317</v>
      </c>
      <c r="E146" s="506">
        <f ca="1">C146*D146</f>
        <v>0</v>
      </c>
      <c r="F146" s="1586"/>
      <c r="G146" s="1587"/>
    </row>
    <row r="147" spans="1:7" s="35" customFormat="1" ht="38.25" customHeight="1" thickBot="1" x14ac:dyDescent="0.3">
      <c r="A147" s="462" t="s">
        <v>280</v>
      </c>
      <c r="B147" s="609" t="s">
        <v>928</v>
      </c>
      <c r="C147" s="1008">
        <v>0</v>
      </c>
      <c r="D147" s="1030">
        <f ca="1">Scale_Ratio * VLOOKUP(ref_year,Chemical_price_indexes,2,FALSE)/VLOOKUP(BasisYear,Chemical_price_indexes,2,FALSE)</f>
        <v>1.0261237034191317</v>
      </c>
      <c r="E147" s="506">
        <f ca="1">C147*D147</f>
        <v>0</v>
      </c>
      <c r="F147" s="1002"/>
      <c r="G147" s="1020"/>
    </row>
    <row r="148" spans="1:7" s="35" customFormat="1" ht="17.149999999999999" customHeight="1" thickBot="1" x14ac:dyDescent="0.3">
      <c r="A148" s="462" t="s">
        <v>188</v>
      </c>
      <c r="B148" s="322" t="s">
        <v>365</v>
      </c>
      <c r="C148" s="1008">
        <v>0</v>
      </c>
      <c r="D148" s="1030">
        <f ca="1">Scale_Ratio * VLOOKUP(ref_year,Chemical_price_indexes,2,FALSE)/VLOOKUP(BasisYear,Chemical_price_indexes,2,FALSE)</f>
        <v>1.0261237034191317</v>
      </c>
      <c r="E148" s="506">
        <f ca="1">C148*D148</f>
        <v>0</v>
      </c>
      <c r="F148" s="1002"/>
      <c r="G148" s="1020"/>
    </row>
    <row r="149" spans="1:7" s="35" customFormat="1" ht="17.149999999999999" customHeight="1" thickBot="1" x14ac:dyDescent="0.3">
      <c r="A149" s="462" t="s">
        <v>180</v>
      </c>
      <c r="B149" s="322" t="s">
        <v>366</v>
      </c>
      <c r="C149" s="1008">
        <v>0</v>
      </c>
      <c r="D149" s="1030">
        <f ca="1">Scale_Ratio * VLOOKUP(ref_year,Chemical_price_indexes,2,FALSE)/VLOOKUP(BasisYear,Chemical_price_indexes,2,FALSE)</f>
        <v>1.0261237034191317</v>
      </c>
      <c r="E149" s="506">
        <f ca="1">C149*D149</f>
        <v>0</v>
      </c>
      <c r="F149" s="1002"/>
      <c r="G149" s="1020"/>
    </row>
    <row r="150" spans="1:7" s="35" customFormat="1" ht="28.5" customHeight="1" thickBot="1" x14ac:dyDescent="0.3">
      <c r="A150" s="462" t="s">
        <v>176</v>
      </c>
      <c r="B150" s="322" t="s">
        <v>367</v>
      </c>
      <c r="C150" s="1264">
        <v>5.0000000000000001E-3</v>
      </c>
      <c r="D150"/>
      <c r="E150" s="1584" t="s">
        <v>1204</v>
      </c>
      <c r="F150" s="1584"/>
      <c r="G150" s="1585"/>
    </row>
    <row r="151" spans="1:7" s="35" customFormat="1" ht="17.149999999999999" customHeight="1" thickBot="1" x14ac:dyDescent="0.3">
      <c r="A151" s="462" t="s">
        <v>177</v>
      </c>
      <c r="B151" s="322" t="s">
        <v>368</v>
      </c>
      <c r="C151" s="1008">
        <v>0</v>
      </c>
      <c r="D151" s="1030">
        <f ca="1">Scale_Ratio * CPIinflator</f>
        <v>1.100724186648488</v>
      </c>
      <c r="E151" s="994">
        <v>0</v>
      </c>
      <c r="F151" s="1002"/>
      <c r="G151" s="1020"/>
    </row>
    <row r="152" spans="1:7" s="35" customFormat="1" ht="17.149999999999999" customHeight="1" thickBot="1" x14ac:dyDescent="0.3">
      <c r="A152" s="462" t="s">
        <v>156</v>
      </c>
      <c r="B152" s="322" t="s">
        <v>369</v>
      </c>
      <c r="C152" s="1008">
        <v>0</v>
      </c>
      <c r="D152" s="1030">
        <f ca="1">Scale_Ratio * CPIinflator</f>
        <v>1.100724186648488</v>
      </c>
      <c r="E152" s="994">
        <v>0</v>
      </c>
      <c r="F152" s="1002"/>
      <c r="G152" s="1020"/>
    </row>
    <row r="153" spans="1:7" s="35" customFormat="1" ht="17.149999999999999" customHeight="1" thickBot="1" x14ac:dyDescent="0.3">
      <c r="A153" s="462" t="s">
        <v>185</v>
      </c>
      <c r="B153" s="322" t="s">
        <v>370</v>
      </c>
      <c r="C153" s="1008">
        <v>0</v>
      </c>
      <c r="D153" s="1030">
        <f ca="1">Scale_Ratio * CPIinflator</f>
        <v>1.100724186648488</v>
      </c>
      <c r="E153" s="994">
        <v>0</v>
      </c>
      <c r="F153" s="1006"/>
      <c r="G153" s="1007"/>
    </row>
    <row r="154" spans="1:7" s="35" customFormat="1" ht="17.149999999999999" customHeight="1" thickBot="1" x14ac:dyDescent="0.3">
      <c r="A154" s="462" t="s">
        <v>9</v>
      </c>
      <c r="B154" s="322" t="s">
        <v>959</v>
      </c>
      <c r="C154"/>
      <c r="D154" s="1034"/>
      <c r="E154" s="994">
        <f>Det_CO2_OandMcost</f>
        <v>0</v>
      </c>
      <c r="F154" s="1006"/>
      <c r="G154" s="1573"/>
    </row>
    <row r="155" spans="1:7" s="35" customFormat="1" ht="17.149999999999999" customHeight="1" thickBot="1" x14ac:dyDescent="0.3">
      <c r="A155" s="462"/>
      <c r="B155" s="322" t="s">
        <v>956</v>
      </c>
      <c r="C155" s="1008">
        <v>0</v>
      </c>
      <c r="D155" s="1030">
        <f>CPIinflator</f>
        <v>1.100724186648488</v>
      </c>
      <c r="E155" s="994">
        <v>0</v>
      </c>
      <c r="F155" s="1006"/>
      <c r="G155" s="1573"/>
    </row>
    <row r="156" spans="1:7" s="35" customFormat="1" ht="17.149999999999999" customHeight="1" thickBot="1" x14ac:dyDescent="0.3">
      <c r="A156" s="462"/>
      <c r="B156" s="322" t="s">
        <v>955</v>
      </c>
      <c r="C156"/>
      <c r="D156" s="1034"/>
      <c r="E156" s="827">
        <f ca="1">ROUND(Proc_CO2_tax*12/44*Proc_CO2_MTpY,-2)</f>
        <v>0</v>
      </c>
      <c r="F156" s="1006"/>
      <c r="G156" s="1573"/>
    </row>
    <row r="157" spans="1:7" s="35" customFormat="1" ht="17.149999999999999" customHeight="1" thickBot="1" x14ac:dyDescent="0.3">
      <c r="A157" s="462"/>
      <c r="B157" s="322" t="s">
        <v>957</v>
      </c>
      <c r="C157" s="1008">
        <v>0</v>
      </c>
      <c r="D157" s="1030">
        <f>CPIinflator</f>
        <v>1.100724186648488</v>
      </c>
      <c r="E157" s="827">
        <v>0</v>
      </c>
      <c r="F157" s="1006"/>
      <c r="G157" s="1573"/>
    </row>
    <row r="158" spans="1:7" s="35" customFormat="1" ht="17.149999999999999" customHeight="1" thickBot="1" x14ac:dyDescent="0.3">
      <c r="A158" s="462"/>
      <c r="B158" s="322" t="s">
        <v>958</v>
      </c>
      <c r="C158" s="1028"/>
      <c r="D158" s="1029"/>
      <c r="E158" s="827">
        <f ca="1">ROUND(Upstream_CO2_tax/1000*Upstream_GHG_total*output_kgyear,2)</f>
        <v>0</v>
      </c>
      <c r="F158" s="823"/>
      <c r="G158" s="1573"/>
    </row>
    <row r="159" spans="1:7" s="35" customFormat="1" ht="23.25" customHeight="1" thickBot="1" x14ac:dyDescent="0.3">
      <c r="A159" s="462" t="s">
        <v>260</v>
      </c>
      <c r="B159" s="336" t="s">
        <v>258</v>
      </c>
      <c r="C159" s="1026"/>
      <c r="D159" s="1027"/>
      <c r="E159" s="829">
        <f ca="1">ROUND(total_feedstock+total_utilities+total_other_raw-total_byproducts+var_misc+waste_treat+solidwaste_treat+royalties+operator_profit-tax_credit+CO2_OandMcost+Proc_CO2_taxpYear + Upstream_CO2_taxpYear,-2)</f>
        <v>108533800</v>
      </c>
      <c r="F159" s="1024"/>
      <c r="G159" s="1574"/>
    </row>
    <row r="160" spans="1:7" s="35" customFormat="1" x14ac:dyDescent="0.25">
      <c r="A160" s="461"/>
    </row>
    <row r="161" spans="1:1" s="35" customFormat="1" x14ac:dyDescent="0.25">
      <c r="A161" s="461"/>
    </row>
    <row r="162" spans="1:1" s="35" customFormat="1" x14ac:dyDescent="0.25">
      <c r="A162" s="461"/>
    </row>
    <row r="163" spans="1:1" s="35" customFormat="1" x14ac:dyDescent="0.25">
      <c r="A163" s="461"/>
    </row>
    <row r="164" spans="1:1" s="35" customFormat="1" x14ac:dyDescent="0.25">
      <c r="A164" s="461"/>
    </row>
    <row r="165" spans="1:1" s="35" customFormat="1" x14ac:dyDescent="0.25">
      <c r="A165" s="461"/>
    </row>
    <row r="166" spans="1:1" s="35" customFormat="1" x14ac:dyDescent="0.25">
      <c r="A166" s="461"/>
    </row>
    <row r="167" spans="1:1" s="35" customFormat="1" x14ac:dyDescent="0.25">
      <c r="A167" s="461"/>
    </row>
    <row r="168" spans="1:1" s="35" customFormat="1" x14ac:dyDescent="0.25">
      <c r="A168" s="461"/>
    </row>
    <row r="169" spans="1:1" s="35" customFormat="1" x14ac:dyDescent="0.25">
      <c r="A169" s="461"/>
    </row>
    <row r="170" spans="1:1" s="35" customFormat="1" x14ac:dyDescent="0.25">
      <c r="A170" s="461"/>
    </row>
    <row r="171" spans="1:1" s="35" customFormat="1" x14ac:dyDescent="0.25">
      <c r="A171" s="461"/>
    </row>
    <row r="172" spans="1:1" s="35" customFormat="1" x14ac:dyDescent="0.25">
      <c r="A172" s="461"/>
    </row>
    <row r="173" spans="1:1" s="35" customFormat="1" x14ac:dyDescent="0.25">
      <c r="A173" s="461"/>
    </row>
    <row r="174" spans="1:1" s="35" customFormat="1" x14ac:dyDescent="0.25">
      <c r="A174" s="461"/>
    </row>
    <row r="175" spans="1:1" s="35" customFormat="1" x14ac:dyDescent="0.25">
      <c r="A175" s="461"/>
    </row>
    <row r="176" spans="1:1" s="35" customFormat="1" x14ac:dyDescent="0.25">
      <c r="A176" s="461"/>
    </row>
    <row r="177" spans="1:4" s="35" customFormat="1" x14ac:dyDescent="0.25">
      <c r="A177" s="461"/>
    </row>
    <row r="178" spans="1:4" s="35" customFormat="1" x14ac:dyDescent="0.25">
      <c r="A178" s="461"/>
    </row>
    <row r="179" spans="1:4" s="35" customFormat="1" x14ac:dyDescent="0.25">
      <c r="A179" s="461"/>
    </row>
    <row r="180" spans="1:4" s="35" customFormat="1" x14ac:dyDescent="0.25">
      <c r="A180" s="461"/>
    </row>
    <row r="181" spans="1:4" s="35" customFormat="1" x14ac:dyDescent="0.25">
      <c r="A181" s="461"/>
    </row>
    <row r="182" spans="1:4" s="35" customFormat="1" x14ac:dyDescent="0.25">
      <c r="A182" s="461"/>
    </row>
    <row r="183" spans="1:4" s="35" customFormat="1" x14ac:dyDescent="0.25">
      <c r="A183" s="461"/>
    </row>
    <row r="184" spans="1:4" s="35" customFormat="1" x14ac:dyDescent="0.25">
      <c r="A184" s="461"/>
    </row>
    <row r="185" spans="1:4" s="35" customFormat="1" x14ac:dyDescent="0.25">
      <c r="A185" s="461"/>
    </row>
    <row r="186" spans="1:4" s="35" customFormat="1" x14ac:dyDescent="0.25">
      <c r="A186" s="461"/>
      <c r="B186" s="29"/>
      <c r="C186" s="34"/>
      <c r="D186" s="29"/>
    </row>
    <row r="187" spans="1:4" s="35" customFormat="1" x14ac:dyDescent="0.25">
      <c r="A187" s="461"/>
      <c r="B187" s="29"/>
      <c r="C187" s="34"/>
      <c r="D187" s="29"/>
    </row>
    <row r="188" spans="1:4" s="35" customFormat="1" x14ac:dyDescent="0.25">
      <c r="A188" s="461"/>
      <c r="B188" s="29"/>
      <c r="C188" s="34"/>
      <c r="D188" s="29"/>
    </row>
    <row r="189" spans="1:4" s="35" customFormat="1" x14ac:dyDescent="0.25">
      <c r="A189" s="461"/>
      <c r="B189" s="29"/>
      <c r="C189" s="34"/>
      <c r="D189" s="29"/>
    </row>
    <row r="190" spans="1:4" s="35" customFormat="1" x14ac:dyDescent="0.25">
      <c r="A190" s="461"/>
      <c r="B190" s="29"/>
      <c r="C190" s="34"/>
      <c r="D190" s="29"/>
    </row>
    <row r="191" spans="1:4" s="35" customFormat="1" x14ac:dyDescent="0.25">
      <c r="A191" s="461"/>
      <c r="B191" s="29"/>
      <c r="C191" s="34"/>
      <c r="D191" s="29"/>
    </row>
    <row r="192" spans="1:4" s="35" customFormat="1" x14ac:dyDescent="0.25">
      <c r="A192" s="461"/>
      <c r="B192" s="29"/>
      <c r="C192" s="34"/>
      <c r="D192" s="29"/>
    </row>
    <row r="193" spans="1:4" s="35" customFormat="1" x14ac:dyDescent="0.25">
      <c r="A193" s="461"/>
      <c r="B193" s="29"/>
      <c r="C193" s="34"/>
      <c r="D193" s="29"/>
    </row>
    <row r="194" spans="1:4" s="35" customFormat="1" x14ac:dyDescent="0.25">
      <c r="A194" s="461"/>
      <c r="B194" s="29"/>
      <c r="C194" s="34"/>
      <c r="D194" s="29"/>
    </row>
    <row r="195" spans="1:4" s="35" customFormat="1" x14ac:dyDescent="0.25">
      <c r="A195" s="461"/>
      <c r="B195" s="29"/>
      <c r="C195" s="34"/>
      <c r="D195" s="29"/>
    </row>
    <row r="196" spans="1:4" s="35" customFormat="1" x14ac:dyDescent="0.25">
      <c r="A196" s="461"/>
      <c r="B196" s="29"/>
      <c r="C196" s="34"/>
      <c r="D196" s="29"/>
    </row>
    <row r="197" spans="1:4" s="35" customFormat="1" x14ac:dyDescent="0.25">
      <c r="A197" s="461"/>
      <c r="B197" s="29"/>
      <c r="C197" s="34"/>
      <c r="D197" s="29"/>
    </row>
    <row r="198" spans="1:4" s="35" customFormat="1" x14ac:dyDescent="0.25">
      <c r="A198" s="461"/>
      <c r="B198" s="29"/>
      <c r="C198" s="34"/>
      <c r="D198" s="29"/>
    </row>
    <row r="199" spans="1:4" s="35" customFormat="1" x14ac:dyDescent="0.25">
      <c r="A199" s="461"/>
      <c r="B199" s="29"/>
      <c r="C199" s="34"/>
      <c r="D199" s="29"/>
    </row>
    <row r="200" spans="1:4" s="35" customFormat="1" x14ac:dyDescent="0.25">
      <c r="A200" s="461"/>
      <c r="B200" s="29"/>
      <c r="C200" s="34"/>
      <c r="D200" s="29"/>
    </row>
    <row r="201" spans="1:4" s="35" customFormat="1" x14ac:dyDescent="0.25">
      <c r="A201" s="461"/>
      <c r="B201" s="29"/>
      <c r="C201" s="34"/>
      <c r="D201" s="29"/>
    </row>
    <row r="202" spans="1:4" s="35" customFormat="1" x14ac:dyDescent="0.25">
      <c r="A202" s="461"/>
      <c r="B202" s="29"/>
      <c r="C202" s="34"/>
      <c r="D202" s="29"/>
    </row>
    <row r="203" spans="1:4" s="35" customFormat="1" x14ac:dyDescent="0.25">
      <c r="A203" s="461"/>
      <c r="B203" s="29"/>
      <c r="C203" s="34"/>
      <c r="D203" s="29"/>
    </row>
    <row r="204" spans="1:4" s="35" customFormat="1" x14ac:dyDescent="0.25">
      <c r="A204" s="461"/>
      <c r="B204" s="29"/>
      <c r="C204" s="34"/>
      <c r="D204" s="29"/>
    </row>
    <row r="205" spans="1:4" s="35" customFormat="1" x14ac:dyDescent="0.25">
      <c r="A205" s="461"/>
      <c r="B205" s="29"/>
      <c r="C205" s="34"/>
      <c r="D205" s="29"/>
    </row>
    <row r="206" spans="1:4" s="35" customFormat="1" x14ac:dyDescent="0.25">
      <c r="A206" s="461"/>
      <c r="B206" s="29"/>
      <c r="C206" s="34"/>
      <c r="D206" s="29"/>
    </row>
    <row r="207" spans="1:4" s="35" customFormat="1" x14ac:dyDescent="0.25">
      <c r="A207" s="461"/>
      <c r="B207" s="29"/>
      <c r="C207" s="34"/>
      <c r="D207" s="29"/>
    </row>
    <row r="208" spans="1:4" s="35" customFormat="1" x14ac:dyDescent="0.25">
      <c r="A208" s="461"/>
      <c r="B208" s="29"/>
      <c r="C208" s="34"/>
      <c r="D208" s="29"/>
    </row>
    <row r="209" spans="1:4" s="35" customFormat="1" x14ac:dyDescent="0.25">
      <c r="A209" s="461"/>
      <c r="B209" s="29"/>
      <c r="C209" s="34"/>
      <c r="D209" s="29"/>
    </row>
    <row r="210" spans="1:4" s="35" customFormat="1" x14ac:dyDescent="0.25">
      <c r="A210" s="461"/>
      <c r="B210" s="29"/>
      <c r="C210" s="34"/>
      <c r="D210" s="29"/>
    </row>
    <row r="211" spans="1:4" s="35" customFormat="1" x14ac:dyDescent="0.25">
      <c r="A211" s="461"/>
      <c r="B211" s="29"/>
      <c r="C211" s="34"/>
      <c r="D211" s="29"/>
    </row>
    <row r="212" spans="1:4" s="35" customFormat="1" x14ac:dyDescent="0.25">
      <c r="A212" s="461"/>
      <c r="B212" s="29"/>
      <c r="C212" s="34"/>
      <c r="D212" s="29"/>
    </row>
    <row r="213" spans="1:4" s="35" customFormat="1" x14ac:dyDescent="0.25">
      <c r="A213" s="461"/>
      <c r="B213" s="29"/>
      <c r="C213" s="34"/>
      <c r="D213" s="29"/>
    </row>
    <row r="214" spans="1:4" s="35" customFormat="1" x14ac:dyDescent="0.25">
      <c r="A214" s="461"/>
      <c r="B214" s="29"/>
      <c r="C214" s="34"/>
      <c r="D214" s="29"/>
    </row>
    <row r="215" spans="1:4" s="35" customFormat="1" x14ac:dyDescent="0.25">
      <c r="A215" s="461"/>
      <c r="B215" s="29"/>
      <c r="C215" s="34"/>
      <c r="D215" s="29"/>
    </row>
    <row r="216" spans="1:4" s="35" customFormat="1" x14ac:dyDescent="0.25">
      <c r="A216" s="461"/>
      <c r="B216" s="29"/>
      <c r="C216" s="34"/>
      <c r="D216" s="29"/>
    </row>
    <row r="217" spans="1:4" s="35" customFormat="1" x14ac:dyDescent="0.25">
      <c r="A217" s="461"/>
      <c r="B217" s="29"/>
      <c r="C217" s="34"/>
      <c r="D217" s="29"/>
    </row>
    <row r="218" spans="1:4" s="35" customFormat="1" x14ac:dyDescent="0.25">
      <c r="A218" s="461"/>
      <c r="B218" s="29"/>
      <c r="C218" s="34"/>
      <c r="D218" s="29"/>
    </row>
    <row r="219" spans="1:4" s="35" customFormat="1" x14ac:dyDescent="0.25">
      <c r="A219" s="461"/>
      <c r="B219" s="29"/>
      <c r="C219" s="34"/>
      <c r="D219" s="29"/>
    </row>
    <row r="220" spans="1:4" s="35" customFormat="1" x14ac:dyDescent="0.25">
      <c r="A220" s="461"/>
      <c r="B220" s="29"/>
      <c r="C220" s="34"/>
      <c r="D220" s="29"/>
    </row>
    <row r="221" spans="1:4" s="35" customFormat="1" x14ac:dyDescent="0.25">
      <c r="A221" s="461"/>
      <c r="B221" s="29"/>
      <c r="C221" s="34"/>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3C8169C8-2BD4-4A61-9B20-69A68D70390C}">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184150</xdr:colOff>
                <xdr:row>156</xdr:row>
                <xdr:rowOff>0</xdr:rowOff>
              </from>
              <to>
                <xdr:col>5</xdr:col>
                <xdr:colOff>1384300</xdr:colOff>
                <xdr:row>157</xdr:row>
                <xdr:rowOff>38100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184150</xdr:colOff>
                <xdr:row>154</xdr:row>
                <xdr:rowOff>0</xdr:rowOff>
              </from>
              <to>
                <xdr:col>5</xdr:col>
                <xdr:colOff>1384300</xdr:colOff>
                <xdr:row>155</xdr:row>
                <xdr:rowOff>38100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184150</xdr:colOff>
                <xdr:row>152</xdr:row>
                <xdr:rowOff>0</xdr:rowOff>
              </from>
              <to>
                <xdr:col>5</xdr:col>
                <xdr:colOff>1384300</xdr:colOff>
                <xdr:row>153</xdr:row>
                <xdr:rowOff>38100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184150</xdr:colOff>
                <xdr:row>151</xdr:row>
                <xdr:rowOff>12700</xdr:rowOff>
              </from>
              <to>
                <xdr:col>5</xdr:col>
                <xdr:colOff>1384300</xdr:colOff>
                <xdr:row>152</xdr:row>
                <xdr:rowOff>38100</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184150</xdr:colOff>
                <xdr:row>150</xdr:row>
                <xdr:rowOff>12700</xdr:rowOff>
              </from>
              <to>
                <xdr:col>5</xdr:col>
                <xdr:colOff>1384300</xdr:colOff>
                <xdr:row>151</xdr:row>
                <xdr:rowOff>38100</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114</xdr:row>
                <xdr:rowOff>38100</xdr:rowOff>
              </from>
              <to>
                <xdr:col>3</xdr:col>
                <xdr:colOff>1263650</xdr:colOff>
                <xdr:row>114</xdr:row>
                <xdr:rowOff>292100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111</xdr:row>
                <xdr:rowOff>12700</xdr:rowOff>
              </from>
              <to>
                <xdr:col>3</xdr:col>
                <xdr:colOff>1358900</xdr:colOff>
                <xdr:row>112</xdr:row>
                <xdr:rowOff>69850</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203200</xdr:colOff>
                <xdr:row>55</xdr:row>
                <xdr:rowOff>12700</xdr:rowOff>
              </from>
              <to>
                <xdr:col>4</xdr:col>
                <xdr:colOff>0</xdr:colOff>
                <xdr:row>55</xdr:row>
                <xdr:rowOff>254000</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203200</xdr:colOff>
                <xdr:row>53</xdr:row>
                <xdr:rowOff>12700</xdr:rowOff>
              </from>
              <to>
                <xdr:col>4</xdr:col>
                <xdr:colOff>0</xdr:colOff>
                <xdr:row>54</xdr:row>
                <xdr:rowOff>44450</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203200</xdr:colOff>
                <xdr:row>52</xdr:row>
                <xdr:rowOff>12700</xdr:rowOff>
              </from>
              <to>
                <xdr:col>4</xdr:col>
                <xdr:colOff>0</xdr:colOff>
                <xdr:row>53</xdr:row>
                <xdr:rowOff>38100</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203200</xdr:colOff>
                <xdr:row>51</xdr:row>
                <xdr:rowOff>12700</xdr:rowOff>
              </from>
              <to>
                <xdr:col>4</xdr:col>
                <xdr:colOff>0</xdr:colOff>
                <xdr:row>52</xdr:row>
                <xdr:rowOff>44450</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203200</xdr:colOff>
                <xdr:row>50</xdr:row>
                <xdr:rowOff>12700</xdr:rowOff>
              </from>
              <to>
                <xdr:col>4</xdr:col>
                <xdr:colOff>0</xdr:colOff>
                <xdr:row>51</xdr:row>
                <xdr:rowOff>38100</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203200</xdr:colOff>
                <xdr:row>49</xdr:row>
                <xdr:rowOff>12700</xdr:rowOff>
              </from>
              <to>
                <xdr:col>4</xdr:col>
                <xdr:colOff>0</xdr:colOff>
                <xdr:row>50</xdr:row>
                <xdr:rowOff>38100</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203200</xdr:colOff>
                <xdr:row>48</xdr:row>
                <xdr:rowOff>12700</xdr:rowOff>
              </from>
              <to>
                <xdr:col>4</xdr:col>
                <xdr:colOff>0</xdr:colOff>
                <xdr:row>49</xdr:row>
                <xdr:rowOff>38100</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203200</xdr:colOff>
                <xdr:row>29</xdr:row>
                <xdr:rowOff>12700</xdr:rowOff>
              </from>
              <to>
                <xdr:col>4</xdr:col>
                <xdr:colOff>0</xdr:colOff>
                <xdr:row>30</xdr:row>
                <xdr:rowOff>69850</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203200</xdr:colOff>
                <xdr:row>42</xdr:row>
                <xdr:rowOff>12700</xdr:rowOff>
              </from>
              <to>
                <xdr:col>4</xdr:col>
                <xdr:colOff>0</xdr:colOff>
                <xdr:row>43</xdr:row>
                <xdr:rowOff>44450</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203200</xdr:colOff>
                <xdr:row>40</xdr:row>
                <xdr:rowOff>184150</xdr:rowOff>
              </from>
              <to>
                <xdr:col>4</xdr:col>
                <xdr:colOff>0</xdr:colOff>
                <xdr:row>41</xdr:row>
                <xdr:rowOff>203200</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298450</xdr:colOff>
                <xdr:row>129</xdr:row>
                <xdr:rowOff>50800</xdr:rowOff>
              </from>
              <to>
                <xdr:col>3</xdr:col>
                <xdr:colOff>660400</xdr:colOff>
                <xdr:row>130</xdr:row>
                <xdr:rowOff>31750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2222500</xdr:colOff>
                <xdr:row>129</xdr:row>
                <xdr:rowOff>38100</xdr:rowOff>
              </from>
              <to>
                <xdr:col>1</xdr:col>
                <xdr:colOff>3841750</xdr:colOff>
                <xdr:row>130</xdr:row>
                <xdr:rowOff>12700</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126</xdr:row>
                <xdr:rowOff>247650</xdr:rowOff>
              </from>
              <to>
                <xdr:col>3</xdr:col>
                <xdr:colOff>336550</xdr:colOff>
                <xdr:row>127</xdr:row>
                <xdr:rowOff>273050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31750</xdr:rowOff>
              </from>
              <to>
                <xdr:col>1</xdr:col>
                <xdr:colOff>3924300</xdr:colOff>
                <xdr:row>67</xdr:row>
                <xdr:rowOff>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165100</xdr:colOff>
                <xdr:row>66</xdr:row>
                <xdr:rowOff>12700</xdr:rowOff>
              </from>
              <to>
                <xdr:col>3</xdr:col>
                <xdr:colOff>533400</xdr:colOff>
                <xdr:row>66</xdr:row>
                <xdr:rowOff>228600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election activeCell="J13" sqref="J13"/>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2" t="s">
        <v>1026</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4" t="s">
        <v>233</v>
      </c>
      <c r="D5" s="814"/>
      <c r="E5" s="814"/>
    </row>
    <row r="6" spans="1:12" customFormat="1" x14ac:dyDescent="0.25"/>
    <row r="7" spans="1:12" customFormat="1" x14ac:dyDescent="0.25"/>
    <row r="8" spans="1:12" customFormat="1" x14ac:dyDescent="0.25"/>
    <row r="9" spans="1:12" customFormat="1" ht="13" x14ac:dyDescent="0.25">
      <c r="A9" s="813" t="str">
        <f>"NOTE: Enter costs in year "&amp;TEXT(BasisYear,"0")&amp;" $ - Do not inflate"</f>
        <v>NOTE: Enter costs in year 2012 $ - Do not inflate</v>
      </c>
    </row>
    <row r="10" spans="1:12" customFormat="1" ht="13" x14ac:dyDescent="0.25">
      <c r="A10" s="813" t="s">
        <v>1027</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1028</v>
      </c>
      <c r="B13" s="338"/>
      <c r="C13" s="339"/>
      <c r="D13" s="339"/>
      <c r="E13" s="339"/>
      <c r="F13" s="340"/>
      <c r="G13" s="341"/>
    </row>
    <row r="14" spans="1:12" ht="14" thickTop="1" thickBot="1" x14ac:dyDescent="0.35">
      <c r="A14" s="342"/>
      <c r="B14" s="343"/>
      <c r="C14" s="344" t="s">
        <v>1029</v>
      </c>
      <c r="D14" s="344"/>
      <c r="E14" s="344"/>
      <c r="F14" s="344" t="s">
        <v>1030</v>
      </c>
      <c r="G14" s="345" t="s">
        <v>1031</v>
      </c>
    </row>
    <row r="15" spans="1:12" s="209" customFormat="1" ht="79" thickTop="1" thickBot="1" x14ac:dyDescent="0.35">
      <c r="A15" s="346" t="s">
        <v>183</v>
      </c>
      <c r="B15" s="526">
        <f>replace_factor</f>
        <v>5.0000000000000001E-3</v>
      </c>
      <c r="C15" s="347"/>
      <c r="D15" s="347"/>
      <c r="E15" s="347"/>
      <c r="F15" s="348"/>
      <c r="G15" s="349" t="s">
        <v>1032</v>
      </c>
      <c r="I15" s="221"/>
      <c r="J15" s="210"/>
      <c r="K15" s="214"/>
    </row>
    <row r="16" spans="1:12" ht="53" thickTop="1" thickBot="1" x14ac:dyDescent="0.3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 thickTop="1" thickBot="1" x14ac:dyDescent="0.3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 thickTop="1" x14ac:dyDescent="0.25">
      <c r="A18" s="92">
        <f>IF(C18&lt;&gt;"",'Cash Flow Analysis'!A65,"")</f>
        <v>2039</v>
      </c>
      <c r="B18" s="313">
        <f>construct+1</f>
        <v>2</v>
      </c>
      <c r="C18" s="313">
        <v>1</v>
      </c>
      <c r="D18" s="479"/>
      <c r="E18" s="215">
        <f>+'Carbon Sequestration'!$C$100*(C18&lt;=anal_period)</f>
        <v>0</v>
      </c>
      <c r="F18" s="215">
        <f t="shared" ref="F18:F57" si="0">(D18)*CPIinflator*CEPCIinflator+E18</f>
        <v>0</v>
      </c>
      <c r="G18" s="215">
        <f ca="1">IF(C18&gt;anal_period,0,IF(replace_factor&lt;&gt;"",replace_factor*depr_cap,0))</f>
        <v>334061.80729073199</v>
      </c>
      <c r="H18" s="216">
        <f ca="1">(F18+G18)*((1+inflation_rate)^(startup_year-ref_year))</f>
        <v>524816.21225110709</v>
      </c>
      <c r="I18" s="359"/>
      <c r="J18" s="360"/>
      <c r="K18" s="1538"/>
      <c r="L18" s="361"/>
    </row>
    <row r="19" spans="1:12" x14ac:dyDescent="0.25">
      <c r="A19" s="94">
        <f>IF(C19&lt;&gt;"",'Cash Flow Analysis'!A66,"")</f>
        <v>2040</v>
      </c>
      <c r="B19" s="314">
        <f t="shared" ref="B19:B57" si="1">IF(B18&lt;anal_period+construct,B18+1,"")</f>
        <v>3</v>
      </c>
      <c r="C19" s="314">
        <f t="shared" ref="C19:C57" si="2">IF(B19="","",C18+1)</f>
        <v>2</v>
      </c>
      <c r="D19" s="480"/>
      <c r="E19" s="217">
        <f>+'Carbon Sequestration'!$C$100*(C19&lt;=anal_period)</f>
        <v>0</v>
      </c>
      <c r="F19" s="217">
        <f t="shared" si="0"/>
        <v>0</v>
      </c>
      <c r="G19" s="217">
        <f t="shared" ref="G19:G57" ca="1" si="3">IF(C19&gt;anal_period,0,IF(replace_factor&lt;&gt;"",replace_factor*depr_cap,0))</f>
        <v>334061.80729073199</v>
      </c>
      <c r="H19" s="218">
        <f t="shared" ref="H19:H57" ca="1" si="4">(F19+G19)*((1+inflation_rate)^(startup_year-ref_year))</f>
        <v>524816.21225110709</v>
      </c>
      <c r="I19" s="362"/>
      <c r="J19" s="363"/>
      <c r="K19" s="1539"/>
      <c r="L19" s="364"/>
    </row>
    <row r="20" spans="1:12" x14ac:dyDescent="0.25">
      <c r="A20" s="94">
        <f>IF(C20&lt;&gt;"",'Cash Flow Analysis'!A67,"")</f>
        <v>2041</v>
      </c>
      <c r="B20" s="314">
        <f t="shared" si="1"/>
        <v>4</v>
      </c>
      <c r="C20" s="314">
        <f t="shared" si="2"/>
        <v>3</v>
      </c>
      <c r="D20" s="480"/>
      <c r="E20" s="217">
        <f>+'Carbon Sequestration'!$C$100*(C20&lt;=anal_period)</f>
        <v>0</v>
      </c>
      <c r="F20" s="217">
        <f t="shared" si="0"/>
        <v>0</v>
      </c>
      <c r="G20" s="217">
        <f t="shared" ca="1" si="3"/>
        <v>334061.80729073199</v>
      </c>
      <c r="H20" s="218">
        <f t="shared" ca="1" si="4"/>
        <v>524816.21225110709</v>
      </c>
      <c r="I20" s="362"/>
      <c r="J20" s="363"/>
      <c r="K20" s="1539"/>
      <c r="L20" s="364"/>
    </row>
    <row r="21" spans="1:12" x14ac:dyDescent="0.25">
      <c r="A21" s="94">
        <f>IF(C21&lt;&gt;"",'Cash Flow Analysis'!A68,"")</f>
        <v>2042</v>
      </c>
      <c r="B21" s="314">
        <f t="shared" si="1"/>
        <v>5</v>
      </c>
      <c r="C21" s="314">
        <f t="shared" si="2"/>
        <v>4</v>
      </c>
      <c r="D21" s="480"/>
      <c r="E21" s="217">
        <f>+'Carbon Sequestration'!$C$100*(C21&lt;=anal_period)</f>
        <v>0</v>
      </c>
      <c r="F21" s="217">
        <f t="shared" si="0"/>
        <v>0</v>
      </c>
      <c r="G21" s="217">
        <f t="shared" ca="1" si="3"/>
        <v>334061.80729073199</v>
      </c>
      <c r="H21" s="218">
        <f t="shared" ca="1" si="4"/>
        <v>524816.21225110709</v>
      </c>
      <c r="I21" s="362"/>
      <c r="J21" s="363"/>
      <c r="K21" s="1539"/>
      <c r="L21" s="364"/>
    </row>
    <row r="22" spans="1:12" x14ac:dyDescent="0.25">
      <c r="A22" s="94">
        <f>IF(C22&lt;&gt;"",'Cash Flow Analysis'!A69,"")</f>
        <v>2043</v>
      </c>
      <c r="B22" s="314">
        <f t="shared" si="1"/>
        <v>6</v>
      </c>
      <c r="C22" s="314">
        <f t="shared" si="2"/>
        <v>5</v>
      </c>
      <c r="D22" s="480"/>
      <c r="E22" s="217">
        <f>+'Carbon Sequestration'!$C$100*(C22&lt;=anal_period)</f>
        <v>0</v>
      </c>
      <c r="F22" s="217">
        <f t="shared" si="0"/>
        <v>0</v>
      </c>
      <c r="G22" s="217">
        <f t="shared" ca="1" si="3"/>
        <v>334061.80729073199</v>
      </c>
      <c r="H22" s="218">
        <f t="shared" ca="1" si="4"/>
        <v>524816.21225110709</v>
      </c>
      <c r="I22" s="362"/>
      <c r="J22" s="363"/>
      <c r="K22" s="1540"/>
      <c r="L22" s="900"/>
    </row>
    <row r="23" spans="1:12" x14ac:dyDescent="0.25">
      <c r="A23" s="94">
        <f>IF(C23&lt;&gt;"",'Cash Flow Analysis'!A70,"")</f>
        <v>2044</v>
      </c>
      <c r="B23" s="314">
        <f t="shared" si="1"/>
        <v>7</v>
      </c>
      <c r="C23" s="314">
        <f t="shared" si="2"/>
        <v>6</v>
      </c>
      <c r="D23" s="480"/>
      <c r="E23" s="217">
        <f>+'Carbon Sequestration'!$C$100*(C23&lt;=anal_period)</f>
        <v>0</v>
      </c>
      <c r="F23" s="217">
        <f t="shared" si="0"/>
        <v>0</v>
      </c>
      <c r="G23" s="217">
        <f t="shared" ca="1" si="3"/>
        <v>334061.80729073199</v>
      </c>
      <c r="H23" s="218">
        <f t="shared" ca="1" si="4"/>
        <v>524816.21225110709</v>
      </c>
      <c r="I23" s="362"/>
      <c r="J23" s="363"/>
      <c r="K23" s="1539"/>
      <c r="L23" s="364"/>
    </row>
    <row r="24" spans="1:12" x14ac:dyDescent="0.25">
      <c r="A24" s="94">
        <f>IF(C24&lt;&gt;"",'Cash Flow Analysis'!A71,"")</f>
        <v>2045</v>
      </c>
      <c r="B24" s="314">
        <f t="shared" si="1"/>
        <v>8</v>
      </c>
      <c r="C24" s="314">
        <f t="shared" si="2"/>
        <v>7</v>
      </c>
      <c r="D24" s="480"/>
      <c r="E24" s="217">
        <f>+'Carbon Sequestration'!$C$100*(C24&lt;=anal_period)</f>
        <v>0</v>
      </c>
      <c r="F24" s="217">
        <f t="shared" si="0"/>
        <v>0</v>
      </c>
      <c r="G24" s="217">
        <f t="shared" ca="1" si="3"/>
        <v>334061.80729073199</v>
      </c>
      <c r="H24" s="218">
        <f t="shared" ca="1" si="4"/>
        <v>524816.21225110709</v>
      </c>
      <c r="I24" s="362"/>
      <c r="J24" s="363"/>
      <c r="K24" s="1539"/>
      <c r="L24" s="364"/>
    </row>
    <row r="25" spans="1:12" x14ac:dyDescent="0.25">
      <c r="A25" s="94">
        <f>IF(C25&lt;&gt;"",'Cash Flow Analysis'!A72,"")</f>
        <v>2046</v>
      </c>
      <c r="B25" s="314">
        <f t="shared" si="1"/>
        <v>9</v>
      </c>
      <c r="C25" s="314">
        <f t="shared" si="2"/>
        <v>8</v>
      </c>
      <c r="D25" s="480"/>
      <c r="E25" s="217">
        <f>+'Carbon Sequestration'!$C$100*(C25&lt;=anal_period)</f>
        <v>0</v>
      </c>
      <c r="F25" s="217">
        <f t="shared" si="0"/>
        <v>0</v>
      </c>
      <c r="G25" s="217">
        <f t="shared" ca="1" si="3"/>
        <v>334061.80729073199</v>
      </c>
      <c r="H25" s="218">
        <f t="shared" ca="1" si="4"/>
        <v>524816.21225110709</v>
      </c>
      <c r="I25" s="362"/>
      <c r="J25" s="363"/>
      <c r="K25" s="1539"/>
      <c r="L25" s="364"/>
    </row>
    <row r="26" spans="1:12" x14ac:dyDescent="0.25">
      <c r="A26" s="94">
        <f>IF(C26&lt;&gt;"",'Cash Flow Analysis'!A73,"")</f>
        <v>2047</v>
      </c>
      <c r="B26" s="314">
        <f t="shared" si="1"/>
        <v>10</v>
      </c>
      <c r="C26" s="314">
        <f t="shared" si="2"/>
        <v>9</v>
      </c>
      <c r="D26" s="480"/>
      <c r="E26" s="217">
        <f>+'Carbon Sequestration'!$C$100*(C26&lt;=anal_period)</f>
        <v>0</v>
      </c>
      <c r="F26" s="217">
        <f t="shared" si="0"/>
        <v>0</v>
      </c>
      <c r="G26" s="217">
        <f t="shared" ca="1" si="3"/>
        <v>334061.80729073199</v>
      </c>
      <c r="H26" s="218">
        <f t="shared" ca="1" si="4"/>
        <v>524816.21225110709</v>
      </c>
      <c r="I26" s="362"/>
      <c r="J26" s="363"/>
      <c r="K26" s="1539"/>
      <c r="L26" s="364"/>
    </row>
    <row r="27" spans="1:12" x14ac:dyDescent="0.25">
      <c r="A27" s="94">
        <f>IF(C27&lt;&gt;"",'Cash Flow Analysis'!A74,"")</f>
        <v>2048</v>
      </c>
      <c r="B27" s="314">
        <f t="shared" si="1"/>
        <v>11</v>
      </c>
      <c r="C27" s="314">
        <f t="shared" si="2"/>
        <v>10</v>
      </c>
      <c r="D27" s="480"/>
      <c r="E27" s="217">
        <f>+'Carbon Sequestration'!$C$100*(C27&lt;=anal_period)</f>
        <v>0</v>
      </c>
      <c r="F27" s="217">
        <f t="shared" si="0"/>
        <v>0</v>
      </c>
      <c r="G27" s="217">
        <f t="shared" ca="1" si="3"/>
        <v>334061.80729073199</v>
      </c>
      <c r="H27" s="218">
        <f t="shared" ca="1" si="4"/>
        <v>524816.21225110709</v>
      </c>
      <c r="I27" s="362"/>
      <c r="J27" s="363"/>
      <c r="K27" s="1539"/>
      <c r="L27" s="364"/>
    </row>
    <row r="28" spans="1:12" ht="50" x14ac:dyDescent="0.25">
      <c r="A28" s="94">
        <f>IF(C28&lt;&gt;"",'Cash Flow Analysis'!A75,"")</f>
        <v>2049</v>
      </c>
      <c r="B28" s="314">
        <f t="shared" si="1"/>
        <v>12</v>
      </c>
      <c r="C28" s="314">
        <f t="shared" si="2"/>
        <v>11</v>
      </c>
      <c r="D28" s="480">
        <f ca="1">0.12*direct_cap/(CPIinflator*CEPCIinflator)</f>
        <v>5522000.0000000009</v>
      </c>
      <c r="E28" s="217">
        <f>+'Carbon Sequestration'!$C$100*(C28&lt;=anal_period)</f>
        <v>0</v>
      </c>
      <c r="F28" s="217">
        <f t="shared" ca="1" si="0"/>
        <v>5726773.8392696911</v>
      </c>
      <c r="G28" s="217">
        <f t="shared" ca="1" si="3"/>
        <v>334061.80729073199</v>
      </c>
      <c r="H28" s="218">
        <f t="shared" ca="1" si="4"/>
        <v>9521665.5651272293</v>
      </c>
      <c r="I28" s="362"/>
      <c r="J28" s="363"/>
      <c r="K28" s="1541" t="s">
        <v>1424</v>
      </c>
      <c r="L28" s="364"/>
    </row>
    <row r="29" spans="1:12" x14ac:dyDescent="0.25">
      <c r="A29" s="94">
        <f>IF(C29&lt;&gt;"",'Cash Flow Analysis'!A76,"")</f>
        <v>2050</v>
      </c>
      <c r="B29" s="314">
        <f t="shared" si="1"/>
        <v>13</v>
      </c>
      <c r="C29" s="314">
        <f t="shared" si="2"/>
        <v>12</v>
      </c>
      <c r="D29" s="480"/>
      <c r="E29" s="217">
        <f>+'Carbon Sequestration'!$C$100*(C29&lt;=anal_period)</f>
        <v>0</v>
      </c>
      <c r="F29" s="217">
        <f t="shared" si="0"/>
        <v>0</v>
      </c>
      <c r="G29" s="217">
        <f t="shared" ca="1" si="3"/>
        <v>334061.80729073199</v>
      </c>
      <c r="H29" s="218">
        <f t="shared" ca="1" si="4"/>
        <v>524816.21225110709</v>
      </c>
      <c r="I29" s="362"/>
      <c r="J29" s="363"/>
      <c r="K29" s="1539"/>
      <c r="L29" s="364"/>
    </row>
    <row r="30" spans="1:12" x14ac:dyDescent="0.25">
      <c r="A30" s="94">
        <f>IF(C30&lt;&gt;"",'Cash Flow Analysis'!A77,"")</f>
        <v>2051</v>
      </c>
      <c r="B30" s="314">
        <f t="shared" si="1"/>
        <v>14</v>
      </c>
      <c r="C30" s="314">
        <f t="shared" si="2"/>
        <v>13</v>
      </c>
      <c r="D30" s="480"/>
      <c r="E30" s="217">
        <f>+'Carbon Sequestration'!$C$100*(C30&lt;=anal_period)</f>
        <v>0</v>
      </c>
      <c r="F30" s="217">
        <f t="shared" si="0"/>
        <v>0</v>
      </c>
      <c r="G30" s="217">
        <f t="shared" ca="1" si="3"/>
        <v>334061.80729073199</v>
      </c>
      <c r="H30" s="218">
        <f t="shared" ca="1" si="4"/>
        <v>524816.21225110709</v>
      </c>
      <c r="I30" s="362"/>
      <c r="J30" s="363"/>
      <c r="K30" s="1539"/>
      <c r="L30" s="364"/>
    </row>
    <row r="31" spans="1:12" x14ac:dyDescent="0.25">
      <c r="A31" s="94">
        <f>IF(C31&lt;&gt;"",'Cash Flow Analysis'!A78,"")</f>
        <v>2052</v>
      </c>
      <c r="B31" s="314">
        <f t="shared" si="1"/>
        <v>15</v>
      </c>
      <c r="C31" s="314">
        <f t="shared" si="2"/>
        <v>14</v>
      </c>
      <c r="D31" s="480"/>
      <c r="E31" s="217">
        <f>+'Carbon Sequestration'!$C$100*(C31&lt;=anal_period)</f>
        <v>0</v>
      </c>
      <c r="F31" s="217">
        <f t="shared" si="0"/>
        <v>0</v>
      </c>
      <c r="G31" s="217">
        <f t="shared" ca="1" si="3"/>
        <v>334061.80729073199</v>
      </c>
      <c r="H31" s="218">
        <f t="shared" ca="1" si="4"/>
        <v>524816.21225110709</v>
      </c>
      <c r="I31" s="362"/>
      <c r="J31" s="363"/>
      <c r="K31" s="1539"/>
      <c r="L31" s="364"/>
    </row>
    <row r="32" spans="1:12" x14ac:dyDescent="0.25">
      <c r="A32" s="94">
        <f>IF(C32&lt;&gt;"",'Cash Flow Analysis'!A79,"")</f>
        <v>2053</v>
      </c>
      <c r="B32" s="314">
        <f t="shared" si="1"/>
        <v>16</v>
      </c>
      <c r="C32" s="314">
        <f t="shared" si="2"/>
        <v>15</v>
      </c>
      <c r="D32" s="480"/>
      <c r="E32" s="217">
        <f>+'Carbon Sequestration'!$C$100*(C32&lt;=anal_period)</f>
        <v>0</v>
      </c>
      <c r="F32" s="217">
        <f t="shared" si="0"/>
        <v>0</v>
      </c>
      <c r="G32" s="217">
        <f t="shared" ca="1" si="3"/>
        <v>334061.80729073199</v>
      </c>
      <c r="H32" s="218">
        <f t="shared" ca="1" si="4"/>
        <v>524816.21225110709</v>
      </c>
      <c r="I32" s="362"/>
      <c r="J32" s="363"/>
      <c r="K32" s="1539"/>
      <c r="L32" s="364"/>
    </row>
    <row r="33" spans="1:12" x14ac:dyDescent="0.25">
      <c r="A33" s="94">
        <f>IF(C33&lt;&gt;"",'Cash Flow Analysis'!A80,"")</f>
        <v>2054</v>
      </c>
      <c r="B33" s="314">
        <f t="shared" si="1"/>
        <v>17</v>
      </c>
      <c r="C33" s="314">
        <f t="shared" si="2"/>
        <v>16</v>
      </c>
      <c r="D33" s="480"/>
      <c r="E33" s="217">
        <f>+'Carbon Sequestration'!$C$100*(C33&lt;=anal_period)</f>
        <v>0</v>
      </c>
      <c r="F33" s="217">
        <f t="shared" si="0"/>
        <v>0</v>
      </c>
      <c r="G33" s="217">
        <f t="shared" ca="1" si="3"/>
        <v>334061.80729073199</v>
      </c>
      <c r="H33" s="218">
        <f t="shared" ca="1" si="4"/>
        <v>524816.21225110709</v>
      </c>
      <c r="I33" s="362"/>
      <c r="J33" s="363"/>
      <c r="K33" s="1539"/>
      <c r="L33" s="364"/>
    </row>
    <row r="34" spans="1:12" x14ac:dyDescent="0.25">
      <c r="A34" s="94">
        <f>IF(C34&lt;&gt;"",'Cash Flow Analysis'!A81,"")</f>
        <v>2055</v>
      </c>
      <c r="B34" s="314">
        <f t="shared" si="1"/>
        <v>18</v>
      </c>
      <c r="C34" s="314">
        <f t="shared" si="2"/>
        <v>17</v>
      </c>
      <c r="D34" s="480"/>
      <c r="E34" s="217">
        <f>+'Carbon Sequestration'!$C$100*(C34&lt;=anal_period)</f>
        <v>0</v>
      </c>
      <c r="F34" s="217">
        <f t="shared" si="0"/>
        <v>0</v>
      </c>
      <c r="G34" s="217">
        <f t="shared" ca="1" si="3"/>
        <v>334061.80729073199</v>
      </c>
      <c r="H34" s="218">
        <f t="shared" ca="1" si="4"/>
        <v>524816.21225110709</v>
      </c>
      <c r="I34" s="362"/>
      <c r="J34" s="363"/>
      <c r="K34" s="1539"/>
      <c r="L34" s="364"/>
    </row>
    <row r="35" spans="1:12" x14ac:dyDescent="0.25">
      <c r="A35" s="94">
        <f>IF(C35&lt;&gt;"",'Cash Flow Analysis'!A82,"")</f>
        <v>2056</v>
      </c>
      <c r="B35" s="314">
        <f t="shared" si="1"/>
        <v>19</v>
      </c>
      <c r="C35" s="314">
        <f t="shared" si="2"/>
        <v>18</v>
      </c>
      <c r="D35" s="480"/>
      <c r="E35" s="217">
        <f>+'Carbon Sequestration'!$C$100*(C35&lt;=anal_period)</f>
        <v>0</v>
      </c>
      <c r="F35" s="217">
        <f t="shared" si="0"/>
        <v>0</v>
      </c>
      <c r="G35" s="217">
        <f t="shared" ca="1" si="3"/>
        <v>334061.80729073199</v>
      </c>
      <c r="H35" s="218">
        <f t="shared" ca="1" si="4"/>
        <v>524816.21225110709</v>
      </c>
      <c r="I35" s="362"/>
      <c r="J35" s="363"/>
      <c r="K35" s="1539"/>
      <c r="L35" s="364"/>
    </row>
    <row r="36" spans="1:12" x14ac:dyDescent="0.25">
      <c r="A36" s="94">
        <f>IF(C36&lt;&gt;"",'Cash Flow Analysis'!A83,"")</f>
        <v>2057</v>
      </c>
      <c r="B36" s="314">
        <f t="shared" si="1"/>
        <v>20</v>
      </c>
      <c r="C36" s="314">
        <f t="shared" si="2"/>
        <v>19</v>
      </c>
      <c r="D36" s="480"/>
      <c r="E36" s="217">
        <f>+'Carbon Sequestration'!$C$100*(C36&lt;=anal_period)</f>
        <v>0</v>
      </c>
      <c r="F36" s="217">
        <f t="shared" si="0"/>
        <v>0</v>
      </c>
      <c r="G36" s="217">
        <f t="shared" ca="1" si="3"/>
        <v>334061.80729073199</v>
      </c>
      <c r="H36" s="218">
        <f t="shared" ca="1" si="4"/>
        <v>524816.21225110709</v>
      </c>
      <c r="I36" s="362"/>
      <c r="J36" s="363"/>
      <c r="K36" s="1539"/>
      <c r="L36" s="364"/>
    </row>
    <row r="37" spans="1:12" x14ac:dyDescent="0.25">
      <c r="A37" s="94">
        <f>IF(C37&lt;&gt;"",'Cash Flow Analysis'!A84,"")</f>
        <v>2058</v>
      </c>
      <c r="B37" s="314">
        <f t="shared" si="1"/>
        <v>21</v>
      </c>
      <c r="C37" s="314">
        <f t="shared" si="2"/>
        <v>20</v>
      </c>
      <c r="D37" s="480"/>
      <c r="E37" s="217">
        <f>+'Carbon Sequestration'!$C$100*(C37&lt;=anal_period)</f>
        <v>0</v>
      </c>
      <c r="F37" s="217">
        <f t="shared" si="0"/>
        <v>0</v>
      </c>
      <c r="G37" s="217">
        <f t="shared" ca="1" si="3"/>
        <v>334061.80729073199</v>
      </c>
      <c r="H37" s="218">
        <f t="shared" ca="1" si="4"/>
        <v>524816.21225110709</v>
      </c>
      <c r="I37" s="362"/>
      <c r="J37" s="363"/>
      <c r="K37" s="1539"/>
      <c r="L37" s="364"/>
    </row>
    <row r="38" spans="1:12" ht="50" x14ac:dyDescent="0.25">
      <c r="A38" s="94">
        <f>IF(C38&lt;&gt;"",'Cash Flow Analysis'!A85,"")</f>
        <v>2059</v>
      </c>
      <c r="B38" s="314">
        <f t="shared" si="1"/>
        <v>22</v>
      </c>
      <c r="C38" s="314">
        <f t="shared" si="2"/>
        <v>21</v>
      </c>
      <c r="D38" s="480">
        <f ca="1">0.12*direct_cap/(CPIinflator*CEPCIinflator)</f>
        <v>5522000.0000000009</v>
      </c>
      <c r="E38" s="217">
        <f>+'Carbon Sequestration'!$C$100*(C38&lt;=anal_period)</f>
        <v>0</v>
      </c>
      <c r="F38" s="217">
        <f t="shared" ca="1" si="0"/>
        <v>5726773.8392696911</v>
      </c>
      <c r="G38" s="217">
        <f t="shared" ca="1" si="3"/>
        <v>334061.80729073199</v>
      </c>
      <c r="H38" s="218">
        <f t="shared" ca="1" si="4"/>
        <v>9521665.5651272293</v>
      </c>
      <c r="I38" s="362"/>
      <c r="J38" s="363"/>
      <c r="K38" s="1541" t="s">
        <v>1424</v>
      </c>
      <c r="L38" s="364"/>
    </row>
    <row r="39" spans="1:12" x14ac:dyDescent="0.25">
      <c r="A39" s="94">
        <f>IF(C39&lt;&gt;"",'Cash Flow Analysis'!A86,"")</f>
        <v>2060</v>
      </c>
      <c r="B39" s="314">
        <f t="shared" si="1"/>
        <v>23</v>
      </c>
      <c r="C39" s="314">
        <f t="shared" si="2"/>
        <v>22</v>
      </c>
      <c r="D39" s="480"/>
      <c r="E39" s="217">
        <f>+'Carbon Sequestration'!$C$100*(C39&lt;=anal_period)</f>
        <v>0</v>
      </c>
      <c r="F39" s="217">
        <f t="shared" si="0"/>
        <v>0</v>
      </c>
      <c r="G39" s="217">
        <f t="shared" ca="1" si="3"/>
        <v>334061.80729073199</v>
      </c>
      <c r="H39" s="218">
        <f t="shared" ca="1" si="4"/>
        <v>524816.21225110709</v>
      </c>
      <c r="I39" s="362"/>
      <c r="J39" s="363"/>
      <c r="K39" s="1539"/>
      <c r="L39" s="364"/>
    </row>
    <row r="40" spans="1:12" x14ac:dyDescent="0.25">
      <c r="A40" s="94">
        <f>IF(C40&lt;&gt;"",'Cash Flow Analysis'!A87,"")</f>
        <v>2061</v>
      </c>
      <c r="B40" s="314">
        <f t="shared" si="1"/>
        <v>24</v>
      </c>
      <c r="C40" s="314">
        <f t="shared" si="2"/>
        <v>23</v>
      </c>
      <c r="D40" s="480"/>
      <c r="E40" s="217">
        <f>+'Carbon Sequestration'!$C$100*(C40&lt;=anal_period)</f>
        <v>0</v>
      </c>
      <c r="F40" s="217">
        <f t="shared" si="0"/>
        <v>0</v>
      </c>
      <c r="G40" s="217">
        <f t="shared" ca="1" si="3"/>
        <v>334061.80729073199</v>
      </c>
      <c r="H40" s="218">
        <f t="shared" ca="1" si="4"/>
        <v>524816.21225110709</v>
      </c>
      <c r="I40" s="362"/>
      <c r="J40" s="363"/>
      <c r="K40" s="1539"/>
      <c r="L40" s="364"/>
    </row>
    <row r="41" spans="1:12" x14ac:dyDescent="0.25">
      <c r="A41" s="94">
        <f>IF(C41&lt;&gt;"",'Cash Flow Analysis'!A88,"")</f>
        <v>2062</v>
      </c>
      <c r="B41" s="314">
        <f t="shared" si="1"/>
        <v>25</v>
      </c>
      <c r="C41" s="314">
        <f t="shared" si="2"/>
        <v>24</v>
      </c>
      <c r="D41" s="480"/>
      <c r="E41" s="217">
        <f>+'Carbon Sequestration'!$C$100*(C41&lt;=anal_period)</f>
        <v>0</v>
      </c>
      <c r="F41" s="217">
        <f t="shared" si="0"/>
        <v>0</v>
      </c>
      <c r="G41" s="217">
        <f t="shared" ca="1" si="3"/>
        <v>334061.80729073199</v>
      </c>
      <c r="H41" s="218">
        <f t="shared" ca="1" si="4"/>
        <v>524816.21225110709</v>
      </c>
      <c r="I41" s="362"/>
      <c r="J41" s="363"/>
      <c r="K41" s="1539"/>
      <c r="L41" s="364"/>
    </row>
    <row r="42" spans="1:12" x14ac:dyDescent="0.25">
      <c r="A42" s="94">
        <f>IF(C42&lt;&gt;"",'Cash Flow Analysis'!A89,"")</f>
        <v>2063</v>
      </c>
      <c r="B42" s="314">
        <f t="shared" si="1"/>
        <v>26</v>
      </c>
      <c r="C42" s="314">
        <f t="shared" si="2"/>
        <v>25</v>
      </c>
      <c r="D42" s="480"/>
      <c r="E42" s="217">
        <f>+'Carbon Sequestration'!$C$100*(C42&lt;=anal_period)</f>
        <v>0</v>
      </c>
      <c r="F42" s="217">
        <f t="shared" si="0"/>
        <v>0</v>
      </c>
      <c r="G42" s="217">
        <f t="shared" ca="1" si="3"/>
        <v>334061.80729073199</v>
      </c>
      <c r="H42" s="218">
        <f t="shared" ca="1" si="4"/>
        <v>524816.21225110709</v>
      </c>
      <c r="I42" s="362"/>
      <c r="J42" s="363"/>
      <c r="K42" s="1539"/>
      <c r="L42" s="364"/>
    </row>
    <row r="43" spans="1:12" x14ac:dyDescent="0.25">
      <c r="A43" s="94">
        <f>IF(C43&lt;&gt;"",'Cash Flow Analysis'!A90,"")</f>
        <v>2064</v>
      </c>
      <c r="B43" s="314">
        <f t="shared" si="1"/>
        <v>27</v>
      </c>
      <c r="C43" s="314">
        <f t="shared" si="2"/>
        <v>26</v>
      </c>
      <c r="D43" s="480"/>
      <c r="E43" s="217">
        <f>+'Carbon Sequestration'!$C$100*(C43&lt;=anal_period)</f>
        <v>0</v>
      </c>
      <c r="F43" s="217">
        <f t="shared" si="0"/>
        <v>0</v>
      </c>
      <c r="G43" s="217">
        <f t="shared" ca="1" si="3"/>
        <v>334061.80729073199</v>
      </c>
      <c r="H43" s="218">
        <f t="shared" ca="1" si="4"/>
        <v>524816.21225110709</v>
      </c>
      <c r="I43" s="362"/>
      <c r="J43" s="363"/>
      <c r="K43" s="1539"/>
      <c r="L43" s="364"/>
    </row>
    <row r="44" spans="1:12" x14ac:dyDescent="0.25">
      <c r="A44" s="94">
        <f>IF(C44&lt;&gt;"",'Cash Flow Analysis'!A91,"")</f>
        <v>2065</v>
      </c>
      <c r="B44" s="314">
        <f t="shared" si="1"/>
        <v>28</v>
      </c>
      <c r="C44" s="314">
        <f t="shared" si="2"/>
        <v>27</v>
      </c>
      <c r="D44" s="480"/>
      <c r="E44" s="217">
        <f>+'Carbon Sequestration'!$C$100*(C44&lt;=anal_period)</f>
        <v>0</v>
      </c>
      <c r="F44" s="217">
        <f t="shared" si="0"/>
        <v>0</v>
      </c>
      <c r="G44" s="217">
        <f t="shared" ca="1" si="3"/>
        <v>334061.80729073199</v>
      </c>
      <c r="H44" s="218">
        <f t="shared" ca="1" si="4"/>
        <v>524816.21225110709</v>
      </c>
      <c r="I44" s="362"/>
      <c r="J44" s="363"/>
      <c r="K44" s="1539"/>
      <c r="L44" s="364"/>
    </row>
    <row r="45" spans="1:12" x14ac:dyDescent="0.25">
      <c r="A45" s="94">
        <f>IF(C45&lt;&gt;"",'Cash Flow Analysis'!A92,"")</f>
        <v>2066</v>
      </c>
      <c r="B45" s="314">
        <f t="shared" si="1"/>
        <v>29</v>
      </c>
      <c r="C45" s="314">
        <f t="shared" si="2"/>
        <v>28</v>
      </c>
      <c r="D45" s="480"/>
      <c r="E45" s="217">
        <f>+'Carbon Sequestration'!$C$100*(C45&lt;=anal_period)</f>
        <v>0</v>
      </c>
      <c r="F45" s="217">
        <f t="shared" si="0"/>
        <v>0</v>
      </c>
      <c r="G45" s="217">
        <f t="shared" ca="1" si="3"/>
        <v>334061.80729073199</v>
      </c>
      <c r="H45" s="218">
        <f t="shared" ca="1" si="4"/>
        <v>524816.21225110709</v>
      </c>
      <c r="I45" s="362"/>
      <c r="J45" s="363"/>
      <c r="K45" s="1539"/>
      <c r="L45" s="364"/>
    </row>
    <row r="46" spans="1:12" x14ac:dyDescent="0.25">
      <c r="A46" s="94">
        <f>IF(C46&lt;&gt;"",'Cash Flow Analysis'!A93,"")</f>
        <v>2067</v>
      </c>
      <c r="B46" s="314">
        <f t="shared" si="1"/>
        <v>30</v>
      </c>
      <c r="C46" s="314">
        <f t="shared" si="2"/>
        <v>29</v>
      </c>
      <c r="D46" s="480"/>
      <c r="E46" s="217">
        <f>+'Carbon Sequestration'!$C$100*(C46&lt;=anal_period)</f>
        <v>0</v>
      </c>
      <c r="F46" s="217">
        <f t="shared" si="0"/>
        <v>0</v>
      </c>
      <c r="G46" s="217">
        <f t="shared" ca="1" si="3"/>
        <v>334061.80729073199</v>
      </c>
      <c r="H46" s="218">
        <f t="shared" ca="1" si="4"/>
        <v>524816.21225110709</v>
      </c>
      <c r="I46" s="362"/>
      <c r="J46" s="363"/>
      <c r="K46" s="1539"/>
      <c r="L46" s="364"/>
    </row>
    <row r="47" spans="1:12" x14ac:dyDescent="0.25">
      <c r="A47" s="94">
        <f>IF(C47&lt;&gt;"",'Cash Flow Analysis'!A94,"")</f>
        <v>2068</v>
      </c>
      <c r="B47" s="314">
        <f t="shared" si="1"/>
        <v>31</v>
      </c>
      <c r="C47" s="314">
        <f t="shared" si="2"/>
        <v>30</v>
      </c>
      <c r="D47" s="480"/>
      <c r="E47" s="217">
        <f>+'Carbon Sequestration'!$C$100*(C47&lt;=anal_period)</f>
        <v>0</v>
      </c>
      <c r="F47" s="217">
        <f t="shared" si="0"/>
        <v>0</v>
      </c>
      <c r="G47" s="217">
        <f t="shared" ca="1" si="3"/>
        <v>334061.80729073199</v>
      </c>
      <c r="H47" s="218">
        <f t="shared" ca="1" si="4"/>
        <v>524816.21225110709</v>
      </c>
      <c r="I47" s="362"/>
      <c r="J47" s="363"/>
      <c r="K47" s="1539"/>
      <c r="L47" s="364"/>
    </row>
    <row r="48" spans="1:12" ht="50" x14ac:dyDescent="0.25">
      <c r="A48" s="94">
        <f>IF(C48&lt;&gt;"",'Cash Flow Analysis'!A95,"")</f>
        <v>2069</v>
      </c>
      <c r="B48" s="314">
        <f t="shared" si="1"/>
        <v>32</v>
      </c>
      <c r="C48" s="314">
        <f t="shared" si="2"/>
        <v>31</v>
      </c>
      <c r="D48" s="480">
        <f ca="1">0.12*direct_cap/(CPIinflator*CEPCIinflator)</f>
        <v>5522000.0000000009</v>
      </c>
      <c r="E48" s="217">
        <f>+'Carbon Sequestration'!$C$100*(C48&lt;=anal_period)</f>
        <v>0</v>
      </c>
      <c r="F48" s="217">
        <f t="shared" ca="1" si="0"/>
        <v>5726773.8392696911</v>
      </c>
      <c r="G48" s="217">
        <f t="shared" ca="1" si="3"/>
        <v>334061.80729073199</v>
      </c>
      <c r="H48" s="218">
        <f t="shared" ca="1" si="4"/>
        <v>9521665.5651272293</v>
      </c>
      <c r="I48" s="362"/>
      <c r="J48" s="363"/>
      <c r="K48" s="1541" t="s">
        <v>1424</v>
      </c>
      <c r="L48" s="364"/>
    </row>
    <row r="49" spans="1:12" x14ac:dyDescent="0.25">
      <c r="A49" s="94">
        <f>IF(C49&lt;&gt;"",'Cash Flow Analysis'!A96,"")</f>
        <v>2070</v>
      </c>
      <c r="B49" s="314">
        <f t="shared" si="1"/>
        <v>33</v>
      </c>
      <c r="C49" s="314">
        <f t="shared" si="2"/>
        <v>32</v>
      </c>
      <c r="D49" s="480"/>
      <c r="E49" s="217">
        <f>+'Carbon Sequestration'!$C$100*(C49&lt;=anal_period)</f>
        <v>0</v>
      </c>
      <c r="F49" s="217">
        <f t="shared" si="0"/>
        <v>0</v>
      </c>
      <c r="G49" s="217">
        <f t="shared" ca="1" si="3"/>
        <v>334061.80729073199</v>
      </c>
      <c r="H49" s="218">
        <f t="shared" ca="1" si="4"/>
        <v>524816.21225110709</v>
      </c>
      <c r="I49" s="362"/>
      <c r="J49" s="363"/>
      <c r="K49" s="1539"/>
      <c r="L49" s="364"/>
    </row>
    <row r="50" spans="1:12" x14ac:dyDescent="0.25">
      <c r="A50" s="94">
        <f>IF(C50&lt;&gt;"",'Cash Flow Analysis'!A97,"")</f>
        <v>2071</v>
      </c>
      <c r="B50" s="314">
        <f t="shared" si="1"/>
        <v>34</v>
      </c>
      <c r="C50" s="314">
        <f t="shared" si="2"/>
        <v>33</v>
      </c>
      <c r="D50" s="480"/>
      <c r="E50" s="217">
        <f>+'Carbon Sequestration'!$C$100*(C50&lt;=anal_period)</f>
        <v>0</v>
      </c>
      <c r="F50" s="217">
        <f t="shared" si="0"/>
        <v>0</v>
      </c>
      <c r="G50" s="217">
        <f t="shared" ca="1" si="3"/>
        <v>334061.80729073199</v>
      </c>
      <c r="H50" s="218">
        <f t="shared" ca="1" si="4"/>
        <v>524816.21225110709</v>
      </c>
      <c r="I50" s="362"/>
      <c r="J50" s="363"/>
      <c r="K50" s="1539"/>
      <c r="L50" s="364"/>
    </row>
    <row r="51" spans="1:12" x14ac:dyDescent="0.25">
      <c r="A51" s="94">
        <f>IF(C51&lt;&gt;"",'Cash Flow Analysis'!A98,"")</f>
        <v>2072</v>
      </c>
      <c r="B51" s="314">
        <f t="shared" si="1"/>
        <v>35</v>
      </c>
      <c r="C51" s="314">
        <f t="shared" si="2"/>
        <v>34</v>
      </c>
      <c r="D51" s="480"/>
      <c r="E51" s="217">
        <f>+'Carbon Sequestration'!$C$100*(C51&lt;=anal_period)</f>
        <v>0</v>
      </c>
      <c r="F51" s="217">
        <f t="shared" si="0"/>
        <v>0</v>
      </c>
      <c r="G51" s="217">
        <f t="shared" ca="1" si="3"/>
        <v>334061.80729073199</v>
      </c>
      <c r="H51" s="218">
        <f t="shared" ca="1" si="4"/>
        <v>524816.21225110709</v>
      </c>
      <c r="I51" s="362"/>
      <c r="J51" s="363"/>
      <c r="K51" s="1539"/>
      <c r="L51" s="364"/>
    </row>
    <row r="52" spans="1:12" x14ac:dyDescent="0.25">
      <c r="A52" s="94">
        <f>IF(C52&lt;&gt;"",'Cash Flow Analysis'!A99,"")</f>
        <v>2073</v>
      </c>
      <c r="B52" s="314">
        <f t="shared" si="1"/>
        <v>36</v>
      </c>
      <c r="C52" s="314">
        <f t="shared" si="2"/>
        <v>35</v>
      </c>
      <c r="D52" s="480"/>
      <c r="E52" s="217">
        <f>+'Carbon Sequestration'!$C$100*(C52&lt;=anal_period)</f>
        <v>0</v>
      </c>
      <c r="F52" s="217">
        <f t="shared" si="0"/>
        <v>0</v>
      </c>
      <c r="G52" s="217">
        <f t="shared" ca="1" si="3"/>
        <v>334061.80729073199</v>
      </c>
      <c r="H52" s="218">
        <f t="shared" ca="1" si="4"/>
        <v>524816.21225110709</v>
      </c>
      <c r="I52" s="362"/>
      <c r="J52" s="363"/>
      <c r="K52" s="1539"/>
      <c r="L52" s="364"/>
    </row>
    <row r="53" spans="1:12" x14ac:dyDescent="0.25">
      <c r="A53" s="94">
        <f>IF(C53&lt;&gt;"",'Cash Flow Analysis'!A100,"")</f>
        <v>2074</v>
      </c>
      <c r="B53" s="314">
        <f t="shared" si="1"/>
        <v>37</v>
      </c>
      <c r="C53" s="314">
        <f t="shared" si="2"/>
        <v>36</v>
      </c>
      <c r="D53" s="480"/>
      <c r="E53" s="217">
        <f>+'Carbon Sequestration'!$C$100*(C53&lt;=anal_period)</f>
        <v>0</v>
      </c>
      <c r="F53" s="217">
        <f t="shared" si="0"/>
        <v>0</v>
      </c>
      <c r="G53" s="217">
        <f t="shared" ca="1" si="3"/>
        <v>334061.80729073199</v>
      </c>
      <c r="H53" s="218">
        <f t="shared" ca="1" si="4"/>
        <v>524816.21225110709</v>
      </c>
      <c r="I53" s="362"/>
      <c r="J53" s="363"/>
      <c r="K53" s="1539"/>
      <c r="L53" s="364"/>
    </row>
    <row r="54" spans="1:12" x14ac:dyDescent="0.25">
      <c r="A54" s="94">
        <f>IF(C54&lt;&gt;"",'Cash Flow Analysis'!A101,"")</f>
        <v>2075</v>
      </c>
      <c r="B54" s="314">
        <f t="shared" si="1"/>
        <v>38</v>
      </c>
      <c r="C54" s="314">
        <f t="shared" si="2"/>
        <v>37</v>
      </c>
      <c r="D54" s="480"/>
      <c r="E54" s="217">
        <f>+'Carbon Sequestration'!$C$100*(C54&lt;=anal_period)</f>
        <v>0</v>
      </c>
      <c r="F54" s="217">
        <f t="shared" si="0"/>
        <v>0</v>
      </c>
      <c r="G54" s="217">
        <f t="shared" ca="1" si="3"/>
        <v>334061.80729073199</v>
      </c>
      <c r="H54" s="218">
        <f t="shared" ca="1" si="4"/>
        <v>524816.21225110709</v>
      </c>
      <c r="I54" s="362"/>
      <c r="J54" s="363"/>
      <c r="K54" s="1539"/>
      <c r="L54" s="364"/>
    </row>
    <row r="55" spans="1:12" x14ac:dyDescent="0.25">
      <c r="A55" s="94">
        <f>IF(C55&lt;&gt;"",'Cash Flow Analysis'!A102,"")</f>
        <v>2076</v>
      </c>
      <c r="B55" s="314">
        <f t="shared" si="1"/>
        <v>39</v>
      </c>
      <c r="C55" s="314">
        <f t="shared" si="2"/>
        <v>38</v>
      </c>
      <c r="D55" s="480"/>
      <c r="E55" s="217">
        <f>+'Carbon Sequestration'!$C$100*(C55&lt;=anal_period)</f>
        <v>0</v>
      </c>
      <c r="F55" s="217">
        <f t="shared" si="0"/>
        <v>0</v>
      </c>
      <c r="G55" s="217">
        <f t="shared" ca="1" si="3"/>
        <v>334061.80729073199</v>
      </c>
      <c r="H55" s="218">
        <f t="shared" ca="1" si="4"/>
        <v>524816.21225110709</v>
      </c>
      <c r="I55" s="362"/>
      <c r="J55" s="363"/>
      <c r="K55" s="1539"/>
      <c r="L55" s="364"/>
    </row>
    <row r="56" spans="1:12" x14ac:dyDescent="0.25">
      <c r="A56" s="94">
        <f>IF(C56&lt;&gt;"",'Cash Flow Analysis'!A103,"")</f>
        <v>2077</v>
      </c>
      <c r="B56" s="314">
        <f t="shared" si="1"/>
        <v>40</v>
      </c>
      <c r="C56" s="314">
        <f t="shared" si="2"/>
        <v>39</v>
      </c>
      <c r="D56" s="480"/>
      <c r="E56" s="217">
        <f>+'Carbon Sequestration'!$C$100*(C56&lt;=anal_period)</f>
        <v>0</v>
      </c>
      <c r="F56" s="217">
        <f t="shared" si="0"/>
        <v>0</v>
      </c>
      <c r="G56" s="217">
        <f t="shared" ca="1" si="3"/>
        <v>334061.80729073199</v>
      </c>
      <c r="H56" s="218">
        <f t="shared" ca="1" si="4"/>
        <v>524816.21225110709</v>
      </c>
      <c r="I56" s="362"/>
      <c r="J56" s="363"/>
      <c r="K56" s="1539"/>
      <c r="L56" s="364"/>
    </row>
    <row r="57" spans="1:12" ht="13" thickBot="1" x14ac:dyDescent="0.3">
      <c r="A57" s="96">
        <f>IF(C57&lt;&gt;"",'Cash Flow Analysis'!A104,"")</f>
        <v>2078</v>
      </c>
      <c r="B57" s="315">
        <f t="shared" si="1"/>
        <v>41</v>
      </c>
      <c r="C57" s="315">
        <f t="shared" si="2"/>
        <v>40</v>
      </c>
      <c r="D57" s="481"/>
      <c r="E57" s="219">
        <f>+'Carbon Sequestration'!$C$100*(C57&lt;=anal_period)</f>
        <v>0</v>
      </c>
      <c r="F57" s="219">
        <f t="shared" si="0"/>
        <v>0</v>
      </c>
      <c r="G57" s="219">
        <f t="shared" ca="1" si="3"/>
        <v>334061.80729073199</v>
      </c>
      <c r="H57" s="220">
        <f t="shared" ca="1" si="4"/>
        <v>524816.21225110709</v>
      </c>
      <c r="I57" s="365"/>
      <c r="J57" s="366"/>
      <c r="K57" s="1542"/>
      <c r="L57" s="367"/>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workbookViewId="0">
      <selection activeCell="C42" sqref="C42"/>
    </sheetView>
  </sheetViews>
  <sheetFormatPr defaultRowHeight="12.5" x14ac:dyDescent="0.25"/>
  <cols>
    <col min="2" max="2" width="41.726562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5" t="s">
        <v>83</v>
      </c>
      <c r="F2" s="1619"/>
      <c r="G2" s="1619"/>
      <c r="H2" s="1619"/>
    </row>
    <row r="3" spans="2:8" x14ac:dyDescent="0.25">
      <c r="F3" s="1619"/>
      <c r="G3" s="1619"/>
      <c r="H3" s="1619"/>
    </row>
    <row r="4" spans="2:8" ht="15.5" x14ac:dyDescent="0.35">
      <c r="C4" s="814" t="s">
        <v>233</v>
      </c>
      <c r="F4" s="1619"/>
      <c r="G4" s="1619"/>
      <c r="H4" s="1619"/>
    </row>
    <row r="5" spans="2:8" ht="15.5" x14ac:dyDescent="0.35">
      <c r="C5" s="814"/>
    </row>
    <row r="6" spans="2:8" ht="16" thickBot="1" x14ac:dyDescent="0.4">
      <c r="C6" s="814"/>
    </row>
    <row r="7" spans="2:8" ht="13.5" thickBot="1" x14ac:dyDescent="0.35">
      <c r="B7" s="982" t="s">
        <v>827</v>
      </c>
      <c r="C7" s="983">
        <v>50000</v>
      </c>
      <c r="D7" s="1620" t="s">
        <v>828</v>
      </c>
      <c r="E7" s="1621"/>
      <c r="F7" s="1621"/>
      <c r="G7" s="1621"/>
      <c r="H7" s="1622"/>
    </row>
    <row r="8" spans="2:8" ht="13.5" thickBot="1" x14ac:dyDescent="0.35">
      <c r="D8" s="1618" t="s">
        <v>1029</v>
      </c>
      <c r="E8" s="1616"/>
      <c r="F8" s="1616"/>
      <c r="G8" s="1616"/>
      <c r="H8" s="1616"/>
    </row>
    <row r="9" spans="2:8" ht="13" x14ac:dyDescent="0.3">
      <c r="B9" s="1" t="s">
        <v>841</v>
      </c>
      <c r="C9" s="1005">
        <f>BasisYear</f>
        <v>2012</v>
      </c>
      <c r="D9" s="1623"/>
      <c r="E9" s="1624"/>
      <c r="F9" s="1624"/>
      <c r="G9" s="1624"/>
      <c r="H9" s="1625"/>
    </row>
    <row r="10" spans="2:8" ht="13" x14ac:dyDescent="0.3">
      <c r="B10" s="1" t="s">
        <v>773</v>
      </c>
      <c r="C10" s="980">
        <v>2010</v>
      </c>
      <c r="D10" s="1612"/>
      <c r="E10" s="1613"/>
      <c r="F10" s="1613"/>
      <c r="G10" s="1613"/>
      <c r="H10" s="1614"/>
    </row>
    <row r="11" spans="2:8" ht="13" x14ac:dyDescent="0.3">
      <c r="B11" s="1" t="str">
        <f>"CEPCI Inflator ("&amp;BasisYear&amp;" to "&amp;CurrentYear&amp;")"</f>
        <v>CEPCI Inflator (2012 to 2010)</v>
      </c>
      <c r="C11" s="1003">
        <f>VLOOKUP(CurrentYear,Tbl_PlantCostIndexes,2,FALSE)/VLOOKUP(BasisYear,Tbl_PlantCostIndexes,2,FALSE)</f>
        <v>0.94218268901813196</v>
      </c>
      <c r="D11" s="1612" t="s">
        <v>820</v>
      </c>
      <c r="E11" s="1613"/>
      <c r="F11" s="1613"/>
      <c r="G11" s="1613"/>
      <c r="H11" s="1614"/>
    </row>
    <row r="12" spans="2:8" ht="13.5" thickBot="1" x14ac:dyDescent="0.35">
      <c r="B12" s="1" t="str">
        <f>"Consumer Price Inflator ("&amp;CurrentYear&amp;" to "&amp;ref_year&amp;")"</f>
        <v>Consumer Price Inflator (2010 to 2016)</v>
      </c>
      <c r="C12" s="1004">
        <f>VLOOKUP(ref_year,DeflatorTable,2,FALSE)/VLOOKUP(CurrentYear,DeflatorTable,2,FALSE)</f>
        <v>1.100724186648488</v>
      </c>
      <c r="D12" s="1615" t="s">
        <v>821</v>
      </c>
      <c r="E12" s="1616"/>
      <c r="F12" s="1616"/>
      <c r="G12" s="1616"/>
      <c r="H12" s="1617"/>
    </row>
    <row r="13" spans="2:8" ht="13" thickBot="1" x14ac:dyDescent="0.3"/>
    <row r="14" spans="2:8" ht="16.5" thickTop="1" thickBot="1" x14ac:dyDescent="0.4">
      <c r="B14" s="966" t="str">
        <f xml:space="preserve"> "CAPITAL INVESTMENT (Inputs REQUIRED in Basis Year, (" &amp; BasisYear &amp; ") $)"</f>
        <v>CAPITAL INVESTMENT (Inputs REQUIRED in Basis Year, (2012) $)</v>
      </c>
      <c r="C14" s="967"/>
      <c r="D14" s="967"/>
      <c r="E14" s="967"/>
      <c r="F14" s="967"/>
      <c r="G14" s="967"/>
      <c r="H14" s="968"/>
    </row>
    <row r="15" spans="2:8" ht="27.5" thickTop="1" thickBot="1" x14ac:dyDescent="0.4">
      <c r="B15" s="510" t="s">
        <v>667</v>
      </c>
      <c r="C15" s="511" t="str">
        <f>"Baseline Uninstalled Costs $"&amp;BasisYear&amp;" Dollars"</f>
        <v>Baseline Uninstalled Costs $2012 Dollars</v>
      </c>
      <c r="D15" s="511" t="str">
        <f>"Baseline Uninstalled Costs $"&amp;ref_year&amp;" Dollars"</f>
        <v>Baseline Uninstalled Costs $2016 Dollars</v>
      </c>
      <c r="E15" s="511" t="s">
        <v>668</v>
      </c>
      <c r="F15" s="486" t="s">
        <v>1059</v>
      </c>
      <c r="G15" s="511" t="s">
        <v>1029</v>
      </c>
      <c r="H15" s="516" t="s">
        <v>670</v>
      </c>
    </row>
    <row r="16" spans="2:8" x14ac:dyDescent="0.25">
      <c r="B16" s="1265" t="s">
        <v>1412</v>
      </c>
      <c r="C16" s="1459">
        <f ca="1">$C$39*$C$41*C42</f>
        <v>15478333.333333332</v>
      </c>
      <c r="D16" s="514">
        <f ca="1">C16*CEPCIinflator*CPIinflator</f>
        <v>16052320.610074131</v>
      </c>
      <c r="E16" s="1267">
        <v>1.1000000000000001</v>
      </c>
      <c r="F16" s="514">
        <f ca="1">D16*E16</f>
        <v>17657552.671081547</v>
      </c>
      <c r="G16" s="523"/>
      <c r="H16" s="733"/>
    </row>
    <row r="17" spans="2:8" ht="13" x14ac:dyDescent="0.3">
      <c r="B17" s="1537" t="s">
        <v>1423</v>
      </c>
      <c r="C17" s="1461"/>
      <c r="D17" s="514">
        <f t="shared" ref="D17:D35" si="0">C17*CEPCIinflator*CPIinflator</f>
        <v>0</v>
      </c>
      <c r="E17" s="1268">
        <v>1.1000000000000001</v>
      </c>
      <c r="F17" s="514">
        <f t="shared" ref="F17:F35" si="1">D17*E17</f>
        <v>0</v>
      </c>
      <c r="G17" s="524"/>
      <c r="H17" s="734"/>
    </row>
    <row r="18" spans="2:8" ht="25" x14ac:dyDescent="0.25">
      <c r="B18" s="1462" t="str">
        <f>B44</f>
        <v>Hydrogen Gas Management System-Cathode system side</v>
      </c>
      <c r="C18" s="1461">
        <f t="shared" ref="C18:C26" ca="1" si="2">$C$39*$C$41*C44</f>
        <v>418333.33333333331</v>
      </c>
      <c r="D18" s="514">
        <f t="shared" ca="1" si="0"/>
        <v>433846.50297497655</v>
      </c>
      <c r="E18" s="1268">
        <v>1.1000000000000001</v>
      </c>
      <c r="F18" s="514">
        <f t="shared" ca="1" si="1"/>
        <v>477231.15327247424</v>
      </c>
      <c r="G18" s="524"/>
      <c r="H18" s="734"/>
    </row>
    <row r="19" spans="2:8" ht="25" x14ac:dyDescent="0.25">
      <c r="B19" s="1462" t="str">
        <f t="shared" ref="B19:B26" si="3">B45</f>
        <v>Oxygen Gas Management System-Anode system side</v>
      </c>
      <c r="C19" s="1461">
        <f t="shared" ca="1" si="2"/>
        <v>418333.33333333331</v>
      </c>
      <c r="D19" s="514">
        <f t="shared" ca="1" si="0"/>
        <v>433846.50297497655</v>
      </c>
      <c r="E19" s="1268">
        <v>1.1000000000000001</v>
      </c>
      <c r="F19" s="514">
        <f t="shared" ca="1" si="1"/>
        <v>477231.15327247424</v>
      </c>
      <c r="G19" s="524"/>
      <c r="H19" s="734"/>
    </row>
    <row r="20" spans="2:8" x14ac:dyDescent="0.25">
      <c r="B20" s="1462" t="str">
        <f t="shared" si="3"/>
        <v>Water Reacant Delivery Management System</v>
      </c>
      <c r="C20" s="1461">
        <f t="shared" ca="1" si="2"/>
        <v>418333.33333333331</v>
      </c>
      <c r="D20" s="514">
        <f t="shared" ca="1" si="0"/>
        <v>433846.50297497655</v>
      </c>
      <c r="E20" s="1268">
        <v>1.1000000000000001</v>
      </c>
      <c r="F20" s="514">
        <f t="shared" ca="1" si="1"/>
        <v>477231.15327247424</v>
      </c>
      <c r="G20" s="524"/>
      <c r="H20" s="734"/>
    </row>
    <row r="21" spans="2:8" x14ac:dyDescent="0.25">
      <c r="B21" s="1462" t="str">
        <f t="shared" si="3"/>
        <v>Thermal Management System</v>
      </c>
      <c r="C21" s="1461">
        <f t="shared" ca="1" si="2"/>
        <v>2928333.3333333335</v>
      </c>
      <c r="D21" s="514">
        <f t="shared" ca="1" si="0"/>
        <v>3036925.5208248356</v>
      </c>
      <c r="E21" s="1268">
        <v>1.1000000000000001</v>
      </c>
      <c r="F21" s="514">
        <f t="shared" ca="1" si="1"/>
        <v>3340618.0729073193</v>
      </c>
      <c r="G21" s="524"/>
      <c r="H21" s="734"/>
    </row>
    <row r="22" spans="2:8" x14ac:dyDescent="0.25">
      <c r="B22" s="1462" t="str">
        <f t="shared" si="3"/>
        <v>Power Electronics</v>
      </c>
      <c r="C22" s="1461">
        <f t="shared" ca="1" si="2"/>
        <v>18406666.666666664</v>
      </c>
      <c r="D22" s="514">
        <f t="shared" ca="1" si="0"/>
        <v>19089246.130898964</v>
      </c>
      <c r="E22" s="1268">
        <v>1.1000000000000001</v>
      </c>
      <c r="F22" s="514">
        <f t="shared" ca="1" si="1"/>
        <v>20998170.74398886</v>
      </c>
      <c r="G22" s="524"/>
      <c r="H22" s="734"/>
    </row>
    <row r="23" spans="2:8" x14ac:dyDescent="0.25">
      <c r="B23" s="1462" t="str">
        <f t="shared" si="3"/>
        <v>Controls &amp; Sensors</v>
      </c>
      <c r="C23" s="1461">
        <f t="shared" ca="1" si="2"/>
        <v>418333.33333333331</v>
      </c>
      <c r="D23" s="514">
        <f t="shared" ca="1" si="0"/>
        <v>433846.50297497655</v>
      </c>
      <c r="E23" s="1268">
        <v>1.1000000000000001</v>
      </c>
      <c r="F23" s="514">
        <f t="shared" ca="1" si="1"/>
        <v>477231.15327247424</v>
      </c>
      <c r="G23" s="524"/>
      <c r="H23" s="734"/>
    </row>
    <row r="24" spans="2:8" ht="25" x14ac:dyDescent="0.25">
      <c r="B24" s="1462" t="str">
        <f t="shared" si="3"/>
        <v>Mechanical Balance of Plant-ss plumbing/copper cabling/Dryer valves...</v>
      </c>
      <c r="C24" s="1461">
        <f t="shared" ca="1" si="2"/>
        <v>836666.66666666663</v>
      </c>
      <c r="D24" s="514">
        <f t="shared" ca="1" si="0"/>
        <v>867693.00594995311</v>
      </c>
      <c r="E24" s="1268">
        <v>1.1000000000000001</v>
      </c>
      <c r="F24" s="514">
        <f t="shared" ca="1" si="1"/>
        <v>954462.30654494849</v>
      </c>
      <c r="G24" s="524"/>
      <c r="H24" s="734"/>
    </row>
    <row r="25" spans="2:8" x14ac:dyDescent="0.25">
      <c r="B25" s="1462" t="str">
        <f t="shared" si="3"/>
        <v>Item Breakdown- Other</v>
      </c>
      <c r="C25" s="1461">
        <f t="shared" ca="1" si="2"/>
        <v>1254999.9999999998</v>
      </c>
      <c r="D25" s="514">
        <f t="shared" ca="1" si="0"/>
        <v>1301539.5089249294</v>
      </c>
      <c r="E25" s="1268">
        <v>1.1000000000000001</v>
      </c>
      <c r="F25" s="514">
        <f t="shared" ca="1" si="1"/>
        <v>1431693.4598174226</v>
      </c>
      <c r="G25" s="524"/>
      <c r="H25" s="734"/>
    </row>
    <row r="26" spans="2:8" x14ac:dyDescent="0.25">
      <c r="B26" s="1462" t="str">
        <f t="shared" si="3"/>
        <v>Item Breakdown-Assembly Labor</v>
      </c>
      <c r="C26" s="1461">
        <f t="shared" ca="1" si="2"/>
        <v>1254999.9999999998</v>
      </c>
      <c r="D26" s="514">
        <f t="shared" ca="1" si="0"/>
        <v>1301539.5089249294</v>
      </c>
      <c r="E26" s="1268">
        <v>1.1000000000000001</v>
      </c>
      <c r="F26" s="514">
        <f t="shared" ca="1" si="1"/>
        <v>1431693.4598174226</v>
      </c>
      <c r="G26" s="524"/>
      <c r="H26" s="734"/>
    </row>
    <row r="27" spans="2:8" x14ac:dyDescent="0.25">
      <c r="B27" s="1266"/>
      <c r="C27" s="1461"/>
      <c r="D27" s="514">
        <f t="shared" si="0"/>
        <v>0</v>
      </c>
      <c r="E27" s="1463"/>
      <c r="F27" s="514">
        <f t="shared" si="1"/>
        <v>0</v>
      </c>
      <c r="G27" s="524"/>
      <c r="H27" s="734"/>
    </row>
    <row r="28" spans="2:8" x14ac:dyDescent="0.25">
      <c r="B28" s="1266"/>
      <c r="C28" s="1461"/>
      <c r="D28" s="514">
        <f t="shared" si="0"/>
        <v>0</v>
      </c>
      <c r="E28" s="1463"/>
      <c r="F28" s="514">
        <f t="shared" si="1"/>
        <v>0</v>
      </c>
      <c r="G28" s="524"/>
      <c r="H28" s="734"/>
    </row>
    <row r="29" spans="2:8" x14ac:dyDescent="0.25">
      <c r="B29" s="1266"/>
      <c r="C29" s="1461"/>
      <c r="D29" s="514">
        <f t="shared" si="0"/>
        <v>0</v>
      </c>
      <c r="E29" s="975"/>
      <c r="F29" s="514">
        <f t="shared" si="1"/>
        <v>0</v>
      </c>
      <c r="G29" s="524"/>
      <c r="H29" s="734"/>
    </row>
    <row r="30" spans="2:8" x14ac:dyDescent="0.25">
      <c r="B30" s="895"/>
      <c r="C30" s="977"/>
      <c r="D30" s="514">
        <f t="shared" si="0"/>
        <v>0</v>
      </c>
      <c r="E30" s="974"/>
      <c r="F30" s="514">
        <f t="shared" si="1"/>
        <v>0</v>
      </c>
      <c r="G30" s="524"/>
      <c r="H30" s="734"/>
    </row>
    <row r="31" spans="2:8" x14ac:dyDescent="0.25">
      <c r="B31" s="895"/>
      <c r="C31" s="977"/>
      <c r="D31" s="514">
        <f t="shared" si="0"/>
        <v>0</v>
      </c>
      <c r="E31" s="974"/>
      <c r="F31" s="514">
        <f t="shared" si="1"/>
        <v>0</v>
      </c>
      <c r="G31" s="524"/>
      <c r="H31" s="734"/>
    </row>
    <row r="32" spans="2:8" x14ac:dyDescent="0.25">
      <c r="B32" s="895"/>
      <c r="C32" s="977"/>
      <c r="D32" s="514">
        <f t="shared" si="0"/>
        <v>0</v>
      </c>
      <c r="E32" s="974"/>
      <c r="F32" s="514">
        <f t="shared" si="1"/>
        <v>0</v>
      </c>
      <c r="G32" s="524"/>
      <c r="H32" s="734"/>
    </row>
    <row r="33" spans="2:8" x14ac:dyDescent="0.25">
      <c r="B33" s="895"/>
      <c r="C33" s="977"/>
      <c r="D33" s="514">
        <f t="shared" si="0"/>
        <v>0</v>
      </c>
      <c r="E33" s="974"/>
      <c r="F33" s="514">
        <f t="shared" si="1"/>
        <v>0</v>
      </c>
      <c r="G33" s="524"/>
      <c r="H33" s="734"/>
    </row>
    <row r="34" spans="2:8" x14ac:dyDescent="0.25">
      <c r="B34" s="895"/>
      <c r="C34" s="977"/>
      <c r="D34" s="514">
        <f t="shared" si="0"/>
        <v>0</v>
      </c>
      <c r="E34" s="974"/>
      <c r="F34" s="514">
        <f t="shared" si="1"/>
        <v>0</v>
      </c>
      <c r="G34" s="524"/>
      <c r="H34" s="734"/>
    </row>
    <row r="35" spans="2:8" ht="13" thickBot="1" x14ac:dyDescent="0.3">
      <c r="B35" s="896"/>
      <c r="C35" s="978"/>
      <c r="D35" s="514">
        <f t="shared" si="0"/>
        <v>0</v>
      </c>
      <c r="E35" s="976"/>
      <c r="F35" s="514">
        <f t="shared" si="1"/>
        <v>0</v>
      </c>
      <c r="G35" s="525"/>
      <c r="H35" s="735"/>
    </row>
    <row r="36" spans="2:8" ht="13" thickBot="1" x14ac:dyDescent="0.3">
      <c r="B36" s="512"/>
      <c r="C36" s="893">
        <f ca="1">SUM(C16:C35)</f>
        <v>41833333.333333328</v>
      </c>
      <c r="D36" s="466">
        <f ca="1">SUM(D16:D35)</f>
        <v>43384650.297497652</v>
      </c>
      <c r="E36" s="515"/>
      <c r="F36" s="466">
        <f ca="1">SUM(F16:F35)</f>
        <v>47723115.327247426</v>
      </c>
      <c r="G36" s="348"/>
      <c r="H36" s="518"/>
    </row>
    <row r="37" spans="2:8" ht="13" thickTop="1" x14ac:dyDescent="0.25">
      <c r="C37" s="894"/>
    </row>
    <row r="39" spans="2:8" x14ac:dyDescent="0.25">
      <c r="B39" s="1094" t="s">
        <v>1409</v>
      </c>
      <c r="C39" s="1094">
        <v>400</v>
      </c>
    </row>
    <row r="40" spans="2:8" x14ac:dyDescent="0.25">
      <c r="B40" s="1093" t="s">
        <v>1410</v>
      </c>
      <c r="C40" s="1094">
        <f ca="1">feedstockIndustrial_Electricity_Usage</f>
        <v>50.2</v>
      </c>
    </row>
    <row r="41" spans="2:8" x14ac:dyDescent="0.25">
      <c r="B41" s="1093" t="s">
        <v>1411</v>
      </c>
      <c r="C41" s="1535">
        <f ca="1">50000*C40/24</f>
        <v>104583.33333333333</v>
      </c>
    </row>
    <row r="42" spans="2:8" x14ac:dyDescent="0.25">
      <c r="B42" s="1094" t="s">
        <v>1412</v>
      </c>
      <c r="C42" s="1103">
        <v>0.37</v>
      </c>
    </row>
    <row r="43" spans="2:8" x14ac:dyDescent="0.25">
      <c r="B43" s="1093" t="s">
        <v>1413</v>
      </c>
      <c r="C43" s="1106">
        <v>0.63</v>
      </c>
    </row>
    <row r="44" spans="2:8" ht="13" x14ac:dyDescent="0.3">
      <c r="B44" s="1536" t="s">
        <v>1414</v>
      </c>
      <c r="C44" s="1103">
        <v>0.01</v>
      </c>
    </row>
    <row r="45" spans="2:8" ht="13" x14ac:dyDescent="0.3">
      <c r="B45" s="1536" t="s">
        <v>1415</v>
      </c>
      <c r="C45" s="1103">
        <v>0.01</v>
      </c>
    </row>
    <row r="46" spans="2:8" ht="13" x14ac:dyDescent="0.3">
      <c r="B46" s="1536" t="s">
        <v>1416</v>
      </c>
      <c r="C46" s="1103">
        <v>0.01</v>
      </c>
    </row>
    <row r="47" spans="2:8" ht="13" x14ac:dyDescent="0.3">
      <c r="B47" s="1536" t="s">
        <v>1417</v>
      </c>
      <c r="C47" s="1103">
        <v>7.0000000000000007E-2</v>
      </c>
    </row>
    <row r="48" spans="2:8" ht="13" x14ac:dyDescent="0.3">
      <c r="B48" s="1536" t="s">
        <v>1418</v>
      </c>
      <c r="C48" s="1103">
        <v>0.44</v>
      </c>
    </row>
    <row r="49" spans="2:3" ht="13" x14ac:dyDescent="0.3">
      <c r="B49" s="1536" t="s">
        <v>1419</v>
      </c>
      <c r="C49" s="1103">
        <v>0.01</v>
      </c>
    </row>
    <row r="50" spans="2:3" ht="13" x14ac:dyDescent="0.3">
      <c r="B50" s="1536" t="s">
        <v>1420</v>
      </c>
      <c r="C50" s="1103">
        <v>0.02</v>
      </c>
    </row>
    <row r="51" spans="2:3" ht="13" x14ac:dyDescent="0.3">
      <c r="B51" s="1536" t="s">
        <v>1421</v>
      </c>
      <c r="C51" s="1103">
        <v>0.03</v>
      </c>
    </row>
    <row r="52" spans="2:3" ht="13" x14ac:dyDescent="0.3">
      <c r="B52" s="1536" t="s">
        <v>1422</v>
      </c>
      <c r="C52" s="1103">
        <v>0.03</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5" t="s">
        <v>848</v>
      </c>
      <c r="C2" s="756"/>
      <c r="D2" s="756"/>
      <c r="E2" s="756"/>
      <c r="F2" s="756"/>
      <c r="G2" s="756"/>
      <c r="H2" s="756"/>
      <c r="I2" s="756"/>
      <c r="J2" s="756"/>
      <c r="K2" s="757"/>
    </row>
    <row r="3" spans="2:11" ht="24" customHeight="1" thickBot="1" x14ac:dyDescent="0.3">
      <c r="B3" s="758" t="s">
        <v>673</v>
      </c>
      <c r="C3" s="759">
        <f>Baseline_Design_Capacity</f>
        <v>50000</v>
      </c>
      <c r="D3" s="1628" t="s">
        <v>829</v>
      </c>
      <c r="E3" s="1628"/>
      <c r="F3" s="1628"/>
      <c r="G3" s="760"/>
      <c r="H3" s="760"/>
      <c r="I3" s="760"/>
      <c r="J3" s="760"/>
      <c r="K3" s="761"/>
    </row>
    <row r="4" spans="2:11" ht="29.25" customHeight="1" thickBot="1" x14ac:dyDescent="0.3">
      <c r="B4" s="758" t="s">
        <v>671</v>
      </c>
      <c r="C4" s="762">
        <f ca="1">design_cap/Baseline_Design_Capacity</f>
        <v>1</v>
      </c>
      <c r="D4" s="1629" t="s">
        <v>677</v>
      </c>
      <c r="E4" s="1629"/>
      <c r="F4" s="1629"/>
      <c r="G4" s="760"/>
      <c r="H4" s="760"/>
      <c r="I4" s="760"/>
      <c r="J4" s="760"/>
      <c r="K4" s="761"/>
    </row>
    <row r="5" spans="2:11" ht="29.25" customHeight="1" thickBot="1" x14ac:dyDescent="0.3">
      <c r="B5" s="758" t="s">
        <v>845</v>
      </c>
      <c r="C5" s="762">
        <f ca="1">$G$27/Det_direct_cap</f>
        <v>1</v>
      </c>
      <c r="D5" s="1629" t="s">
        <v>847</v>
      </c>
      <c r="E5" s="1629"/>
      <c r="F5" s="1629"/>
      <c r="G5" s="760"/>
      <c r="H5" s="760"/>
      <c r="I5" s="760"/>
      <c r="J5" s="760"/>
      <c r="K5" s="761"/>
    </row>
    <row r="6" spans="2:11" ht="29.25" customHeight="1" thickBot="1" x14ac:dyDescent="0.3">
      <c r="B6" s="758" t="s">
        <v>1063</v>
      </c>
      <c r="C6" s="764">
        <v>0.6</v>
      </c>
      <c r="D6" s="1629" t="s">
        <v>844</v>
      </c>
      <c r="E6" s="1629"/>
      <c r="F6" s="1629"/>
      <c r="G6" s="760"/>
      <c r="H6" s="760"/>
      <c r="I6" s="760"/>
      <c r="J6" s="760"/>
      <c r="K6" s="761"/>
    </row>
    <row r="7" spans="2:11" ht="41.25" customHeight="1" thickBot="1" x14ac:dyDescent="0.3">
      <c r="B7" s="758" t="s">
        <v>945</v>
      </c>
      <c r="C7" s="765">
        <v>30000</v>
      </c>
      <c r="D7" s="1630" t="s">
        <v>921</v>
      </c>
      <c r="E7" s="1631"/>
      <c r="F7" s="1631"/>
      <c r="G7" s="760"/>
      <c r="H7" s="760"/>
      <c r="I7" s="760"/>
      <c r="J7" s="760"/>
      <c r="K7" s="761"/>
    </row>
    <row r="8" spans="2:11" ht="42.75" customHeight="1" thickBot="1" x14ac:dyDescent="0.3">
      <c r="B8" s="758" t="s">
        <v>946</v>
      </c>
      <c r="C8" s="765">
        <v>70000</v>
      </c>
      <c r="D8" s="1626" t="s">
        <v>920</v>
      </c>
      <c r="E8" s="1627"/>
      <c r="F8" s="1627"/>
      <c r="G8" s="760"/>
      <c r="H8" s="760"/>
      <c r="I8" s="760"/>
      <c r="J8" s="760"/>
      <c r="K8" s="761"/>
    </row>
    <row r="9" spans="2:11" ht="15" customHeight="1" x14ac:dyDescent="0.25">
      <c r="B9" s="758"/>
      <c r="C9" s="766"/>
      <c r="D9" s="763"/>
      <c r="E9" s="763"/>
      <c r="F9" s="763"/>
      <c r="G9" s="760"/>
      <c r="H9" s="760"/>
      <c r="I9" s="760"/>
      <c r="J9" s="760"/>
      <c r="K9" s="761"/>
    </row>
    <row r="10" spans="2:11" x14ac:dyDescent="0.25">
      <c r="B10" s="767"/>
      <c r="C10" s="760"/>
      <c r="D10" s="760"/>
      <c r="E10" s="760"/>
      <c r="F10" s="760"/>
      <c r="G10" s="760"/>
      <c r="H10" s="760"/>
      <c r="I10" s="760"/>
      <c r="J10" s="760"/>
      <c r="K10" s="761"/>
    </row>
    <row r="11" spans="2:11" ht="16" thickBot="1" x14ac:dyDescent="0.4">
      <c r="B11" s="482" t="str">
        <f xml:space="preserve"> "CAPITAL INVESTMENT (Inputs REQUIRED in Reference Year, (" &amp; ref_year &amp; ") $)"</f>
        <v>CAPITAL INVESTMENT (Inputs REQUIRED in Reference Year, (2016) $)</v>
      </c>
      <c r="C11" s="483"/>
      <c r="D11" s="483"/>
      <c r="E11" s="483"/>
      <c r="F11" s="483"/>
      <c r="G11" s="484"/>
      <c r="H11" s="484"/>
      <c r="I11" s="484"/>
      <c r="J11" s="485"/>
      <c r="K11" s="768"/>
    </row>
    <row r="12" spans="2:11" ht="27.5" thickTop="1" thickBot="1" x14ac:dyDescent="0.4">
      <c r="B12" s="510" t="s">
        <v>667</v>
      </c>
      <c r="C12" s="511" t="s">
        <v>675</v>
      </c>
      <c r="D12" s="511" t="s">
        <v>669</v>
      </c>
      <c r="E12" s="511" t="s">
        <v>676</v>
      </c>
      <c r="F12" s="511" t="s">
        <v>668</v>
      </c>
      <c r="G12" s="511" t="s">
        <v>846</v>
      </c>
      <c r="H12" s="511" t="s">
        <v>1062</v>
      </c>
      <c r="I12" s="511" t="s">
        <v>1029</v>
      </c>
      <c r="J12" s="516" t="s">
        <v>670</v>
      </c>
    </row>
    <row r="13" spans="2:11" x14ac:dyDescent="0.25">
      <c r="B13" s="750" t="str">
        <f>'Capital Costs'!B16</f>
        <v>Stacks</v>
      </c>
      <c r="C13" s="738">
        <f ca="1">'Capital Costs'!D16</f>
        <v>16052320.610074131</v>
      </c>
      <c r="D13" s="737"/>
      <c r="E13" s="738">
        <f ca="1">IF($D13="",$C13*Scale_Ratio^Scaling_Factor_Exponent,$C13*Scale_Ratio^$D13)</f>
        <v>16052320.610074131</v>
      </c>
      <c r="F13" s="752">
        <f>'Capital Costs'!E16</f>
        <v>1.1000000000000001</v>
      </c>
      <c r="G13" s="739">
        <f ca="1">$E13*$F13</f>
        <v>17657552.671081547</v>
      </c>
      <c r="H13" s="738">
        <f ca="1">C13*F13</f>
        <v>17657552.671081547</v>
      </c>
      <c r="I13" s="740"/>
      <c r="J13" s="519"/>
    </row>
    <row r="14" spans="2:11" x14ac:dyDescent="0.25">
      <c r="B14" s="751" t="str">
        <f>'Capital Costs'!B17</f>
        <v>BoP Breakdown</v>
      </c>
      <c r="C14" s="742">
        <f>'Capital Costs'!D17</f>
        <v>0</v>
      </c>
      <c r="D14" s="741"/>
      <c r="E14" s="742">
        <f t="shared" ref="E14:E26" ca="1" si="0">IF($D14="",$C14*Scale_Ratio^Scaling_Factor_Exponent,$C14*Scale_Ratio^$D14)</f>
        <v>0</v>
      </c>
      <c r="F14" s="753">
        <f>'Capital Costs'!E17</f>
        <v>1.1000000000000001</v>
      </c>
      <c r="G14" s="743">
        <f t="shared" ref="G14:G26" ca="1" si="1">$E14*$F14</f>
        <v>0</v>
      </c>
      <c r="H14" s="742">
        <f t="shared" ref="H14:H26" si="2">C14*F14</f>
        <v>0</v>
      </c>
      <c r="I14" s="744"/>
      <c r="J14" s="520"/>
    </row>
    <row r="15" spans="2:11" x14ac:dyDescent="0.25">
      <c r="B15" s="751" t="str">
        <f>'Capital Costs'!B18</f>
        <v>Hydrogen Gas Management System-Cathode system side</v>
      </c>
      <c r="C15" s="742">
        <f ca="1">'Capital Costs'!D18</f>
        <v>433846.50297497655</v>
      </c>
      <c r="D15" s="741"/>
      <c r="E15" s="742">
        <f t="shared" ca="1" si="0"/>
        <v>433846.50297497655</v>
      </c>
      <c r="F15" s="753">
        <f>'Capital Costs'!E18</f>
        <v>1.1000000000000001</v>
      </c>
      <c r="G15" s="743">
        <f t="shared" ca="1" si="1"/>
        <v>477231.15327247424</v>
      </c>
      <c r="H15" s="742">
        <f t="shared" ca="1" si="2"/>
        <v>477231.15327247424</v>
      </c>
      <c r="I15" s="744"/>
      <c r="J15" s="520"/>
    </row>
    <row r="16" spans="2:11" x14ac:dyDescent="0.25">
      <c r="B16" s="751" t="str">
        <f>'Capital Costs'!B19</f>
        <v>Oxygen Gas Management System-Anode system side</v>
      </c>
      <c r="C16" s="742">
        <f ca="1">'Capital Costs'!D19</f>
        <v>433846.50297497655</v>
      </c>
      <c r="D16" s="741"/>
      <c r="E16" s="742">
        <f t="shared" ca="1" si="0"/>
        <v>433846.50297497655</v>
      </c>
      <c r="F16" s="753">
        <f>'Capital Costs'!E19</f>
        <v>1.1000000000000001</v>
      </c>
      <c r="G16" s="743">
        <f t="shared" ca="1" si="1"/>
        <v>477231.15327247424</v>
      </c>
      <c r="H16" s="742">
        <f t="shared" ca="1" si="2"/>
        <v>477231.15327247424</v>
      </c>
      <c r="I16" s="744"/>
      <c r="J16" s="520"/>
    </row>
    <row r="17" spans="2:10" x14ac:dyDescent="0.25">
      <c r="B17" s="751" t="str">
        <f>'Capital Costs'!B20</f>
        <v>Water Reacant Delivery Management System</v>
      </c>
      <c r="C17" s="742">
        <f ca="1">'Capital Costs'!D20</f>
        <v>433846.50297497655</v>
      </c>
      <c r="D17" s="741"/>
      <c r="E17" s="742">
        <f t="shared" ca="1" si="0"/>
        <v>433846.50297497655</v>
      </c>
      <c r="F17" s="753">
        <f>'Capital Costs'!E20</f>
        <v>1.1000000000000001</v>
      </c>
      <c r="G17" s="743">
        <f t="shared" ca="1" si="1"/>
        <v>477231.15327247424</v>
      </c>
      <c r="H17" s="742">
        <f t="shared" ca="1" si="2"/>
        <v>477231.15327247424</v>
      </c>
      <c r="I17" s="744"/>
      <c r="J17" s="520"/>
    </row>
    <row r="18" spans="2:10" x14ac:dyDescent="0.25">
      <c r="B18" s="751" t="str">
        <f>'Capital Costs'!B21</f>
        <v>Thermal Management System</v>
      </c>
      <c r="C18" s="742">
        <f ca="1">'Capital Costs'!D21</f>
        <v>3036925.5208248356</v>
      </c>
      <c r="D18" s="741"/>
      <c r="E18" s="742">
        <f t="shared" ca="1" si="0"/>
        <v>3036925.5208248356</v>
      </c>
      <c r="F18" s="753">
        <f>'Capital Costs'!E21</f>
        <v>1.1000000000000001</v>
      </c>
      <c r="G18" s="743">
        <f t="shared" ca="1" si="1"/>
        <v>3340618.0729073193</v>
      </c>
      <c r="H18" s="742">
        <f t="shared" ca="1" si="2"/>
        <v>3340618.0729073193</v>
      </c>
      <c r="I18" s="744"/>
      <c r="J18" s="520"/>
    </row>
    <row r="19" spans="2:10" x14ac:dyDescent="0.25">
      <c r="B19" s="751" t="str">
        <f>'Capital Costs'!B22</f>
        <v>Power Electronics</v>
      </c>
      <c r="C19" s="742">
        <f ca="1">'Capital Costs'!D22</f>
        <v>19089246.130898964</v>
      </c>
      <c r="D19" s="741"/>
      <c r="E19" s="742">
        <f t="shared" ca="1" si="0"/>
        <v>19089246.130898964</v>
      </c>
      <c r="F19" s="753">
        <f>'Capital Costs'!E22</f>
        <v>1.1000000000000001</v>
      </c>
      <c r="G19" s="743">
        <f t="shared" ca="1" si="1"/>
        <v>20998170.74398886</v>
      </c>
      <c r="H19" s="742">
        <f t="shared" ca="1" si="2"/>
        <v>20998170.74398886</v>
      </c>
      <c r="I19" s="744"/>
      <c r="J19" s="520"/>
    </row>
    <row r="20" spans="2:10" x14ac:dyDescent="0.25">
      <c r="B20" s="751" t="str">
        <f>'Capital Costs'!B23</f>
        <v>Controls &amp; Sensors</v>
      </c>
      <c r="C20" s="742">
        <f ca="1">'Capital Costs'!D23</f>
        <v>433846.50297497655</v>
      </c>
      <c r="D20" s="741"/>
      <c r="E20" s="742">
        <f t="shared" ca="1" si="0"/>
        <v>433846.50297497655</v>
      </c>
      <c r="F20" s="753">
        <f>'Capital Costs'!E23</f>
        <v>1.1000000000000001</v>
      </c>
      <c r="G20" s="743">
        <f t="shared" ca="1" si="1"/>
        <v>477231.15327247424</v>
      </c>
      <c r="H20" s="742">
        <f t="shared" ca="1" si="2"/>
        <v>477231.15327247424</v>
      </c>
      <c r="I20" s="744"/>
      <c r="J20" s="520"/>
    </row>
    <row r="21" spans="2:10" ht="25" x14ac:dyDescent="0.25">
      <c r="B21" s="751" t="str">
        <f>'Capital Costs'!B24</f>
        <v>Mechanical Balance of Plant-ss plumbing/copper cabling/Dryer valves...</v>
      </c>
      <c r="C21" s="742">
        <f ca="1">'Capital Costs'!D24</f>
        <v>867693.00594995311</v>
      </c>
      <c r="D21" s="741"/>
      <c r="E21" s="742">
        <f t="shared" ca="1" si="0"/>
        <v>867693.00594995311</v>
      </c>
      <c r="F21" s="753">
        <f>'Capital Costs'!E24</f>
        <v>1.1000000000000001</v>
      </c>
      <c r="G21" s="743">
        <f t="shared" ca="1" si="1"/>
        <v>954462.30654494849</v>
      </c>
      <c r="H21" s="742">
        <f t="shared" ca="1" si="2"/>
        <v>954462.30654494849</v>
      </c>
      <c r="I21" s="744"/>
      <c r="J21" s="520"/>
    </row>
    <row r="22" spans="2:10" x14ac:dyDescent="0.25">
      <c r="B22" s="751" t="str">
        <f>'Capital Costs'!B25</f>
        <v>Item Breakdown- Other</v>
      </c>
      <c r="C22" s="742">
        <f ca="1">'Capital Costs'!D25</f>
        <v>1301539.5089249294</v>
      </c>
      <c r="D22" s="741"/>
      <c r="E22" s="742">
        <f t="shared" ca="1" si="0"/>
        <v>1301539.5089249294</v>
      </c>
      <c r="F22" s="753">
        <f>'Capital Costs'!E25</f>
        <v>1.1000000000000001</v>
      </c>
      <c r="G22" s="743">
        <f t="shared" ca="1" si="1"/>
        <v>1431693.4598174226</v>
      </c>
      <c r="H22" s="742">
        <f t="shared" ca="1" si="2"/>
        <v>1431693.4598174226</v>
      </c>
      <c r="I22" s="744"/>
      <c r="J22" s="520"/>
    </row>
    <row r="23" spans="2:10" x14ac:dyDescent="0.25">
      <c r="B23" s="751" t="str">
        <f>'Capital Costs'!B26</f>
        <v>Item Breakdown-Assembly Labor</v>
      </c>
      <c r="C23" s="742">
        <f ca="1">'Capital Costs'!D26</f>
        <v>1301539.5089249294</v>
      </c>
      <c r="D23" s="741"/>
      <c r="E23" s="742">
        <f t="shared" ca="1" si="0"/>
        <v>1301539.5089249294</v>
      </c>
      <c r="F23" s="753">
        <f>'Capital Costs'!E26</f>
        <v>1.1000000000000001</v>
      </c>
      <c r="G23" s="743">
        <f t="shared" ca="1" si="1"/>
        <v>1431693.4598174226</v>
      </c>
      <c r="H23" s="742">
        <f t="shared" ca="1" si="2"/>
        <v>1431693.4598174226</v>
      </c>
      <c r="I23" s="744"/>
      <c r="J23" s="520"/>
    </row>
    <row r="24" spans="2:10" ht="13" x14ac:dyDescent="0.3">
      <c r="B24" s="751">
        <f>'Capital Costs'!B27</f>
        <v>0</v>
      </c>
      <c r="C24" s="742">
        <f>'Capital Costs'!D27</f>
        <v>0</v>
      </c>
      <c r="D24" s="745"/>
      <c r="E24" s="742">
        <f t="shared" ca="1" si="0"/>
        <v>0</v>
      </c>
      <c r="F24" s="753">
        <f>'Capital Costs'!E27</f>
        <v>0</v>
      </c>
      <c r="G24" s="743">
        <f t="shared" ca="1" si="1"/>
        <v>0</v>
      </c>
      <c r="H24" s="742">
        <f t="shared" si="2"/>
        <v>0</v>
      </c>
      <c r="I24" s="744"/>
      <c r="J24" s="520"/>
    </row>
    <row r="25" spans="2:10" ht="13" x14ac:dyDescent="0.3">
      <c r="B25" s="751">
        <f>'Capital Costs'!B28</f>
        <v>0</v>
      </c>
      <c r="C25" s="742">
        <f>'Capital Costs'!D28</f>
        <v>0</v>
      </c>
      <c r="D25" s="745"/>
      <c r="E25" s="742">
        <f t="shared" ca="1" si="0"/>
        <v>0</v>
      </c>
      <c r="F25" s="753">
        <f>'Capital Costs'!E28</f>
        <v>0</v>
      </c>
      <c r="G25" s="743">
        <f t="shared" ca="1" si="1"/>
        <v>0</v>
      </c>
      <c r="H25" s="742">
        <f t="shared" si="2"/>
        <v>0</v>
      </c>
      <c r="I25" s="744"/>
      <c r="J25" s="520"/>
    </row>
    <row r="26" spans="2:10" ht="13.5" thickBot="1" x14ac:dyDescent="0.35">
      <c r="B26" s="751">
        <f>'Capital Costs'!B29</f>
        <v>0</v>
      </c>
      <c r="C26" s="742">
        <f>'Capital Costs'!D29</f>
        <v>0</v>
      </c>
      <c r="D26" s="746"/>
      <c r="E26" s="747">
        <f t="shared" ca="1" si="0"/>
        <v>0</v>
      </c>
      <c r="F26" s="753">
        <f>'Capital Costs'!E29</f>
        <v>0</v>
      </c>
      <c r="G26" s="748">
        <f t="shared" ca="1" si="1"/>
        <v>0</v>
      </c>
      <c r="H26" s="747">
        <f t="shared" si="2"/>
        <v>0</v>
      </c>
      <c r="I26" s="749"/>
      <c r="J26" s="521"/>
    </row>
    <row r="27" spans="2:10" ht="13.5" thickBot="1" x14ac:dyDescent="0.35">
      <c r="B27" s="512" t="s">
        <v>672</v>
      </c>
      <c r="C27" s="513">
        <f ca="1">SUM(C13:C26)</f>
        <v>43384650.297497652</v>
      </c>
      <c r="D27" s="517"/>
      <c r="E27" s="513">
        <f ca="1">SUM(E13:E26)</f>
        <v>43384650.297497652</v>
      </c>
      <c r="F27" s="515"/>
      <c r="G27" s="736">
        <f ca="1">SUM(G13:G26)</f>
        <v>47723115.327247426</v>
      </c>
      <c r="H27" s="754">
        <f ca="1">SUM(H13:H26)</f>
        <v>47723115.327247426</v>
      </c>
      <c r="I27" s="348"/>
      <c r="J27" s="518"/>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16"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87" t="s">
        <v>1287</v>
      </c>
    </row>
    <row r="2" spans="1:10" ht="22" x14ac:dyDescent="0.25">
      <c r="B2" s="816" t="s">
        <v>400</v>
      </c>
    </row>
    <row r="4" spans="1:10" ht="14" x14ac:dyDescent="0.25">
      <c r="B4" s="1650" t="s">
        <v>390</v>
      </c>
      <c r="C4" s="1650"/>
      <c r="D4" s="1650"/>
      <c r="E4" s="1650"/>
      <c r="F4" s="1650"/>
      <c r="G4" s="1650"/>
      <c r="H4" s="1650"/>
      <c r="I4" s="1650"/>
      <c r="J4" s="1650"/>
    </row>
    <row r="5" spans="1:10" ht="67.5" customHeight="1" x14ac:dyDescent="0.25">
      <c r="B5" s="1651" t="s">
        <v>410</v>
      </c>
      <c r="C5" s="1652"/>
      <c r="D5" s="1652"/>
      <c r="E5" s="1652"/>
      <c r="F5" s="1652"/>
      <c r="G5" s="1652"/>
      <c r="H5" s="1652"/>
      <c r="I5" s="1652"/>
      <c r="J5" s="1652"/>
    </row>
    <row r="6" spans="1:10" x14ac:dyDescent="0.25">
      <c r="B6" s="770"/>
      <c r="C6" s="770"/>
      <c r="D6" s="770"/>
      <c r="E6" s="770"/>
      <c r="F6" s="770"/>
      <c r="G6" s="770"/>
      <c r="H6" s="770"/>
      <c r="I6" s="770"/>
      <c r="J6" s="770"/>
    </row>
    <row r="7" spans="1:10" ht="22" x14ac:dyDescent="0.25">
      <c r="B7" s="817" t="s">
        <v>1066</v>
      </c>
      <c r="C7" s="770"/>
      <c r="D7" s="770"/>
      <c r="E7" s="770"/>
      <c r="F7" s="770"/>
      <c r="G7" s="770"/>
      <c r="H7" s="770"/>
      <c r="I7" s="770"/>
      <c r="J7" s="770"/>
    </row>
    <row r="8" spans="1:10" ht="15.5" x14ac:dyDescent="0.25">
      <c r="B8" s="818" t="s">
        <v>233</v>
      </c>
      <c r="C8" s="770"/>
      <c r="D8" s="770"/>
      <c r="E8" s="770"/>
      <c r="F8" s="770"/>
      <c r="G8" s="770"/>
      <c r="H8" s="770"/>
      <c r="I8" s="770"/>
      <c r="J8" s="770"/>
    </row>
    <row r="9" spans="1:10" x14ac:dyDescent="0.25">
      <c r="B9" s="770"/>
      <c r="C9" s="770"/>
      <c r="D9" s="770"/>
      <c r="E9" s="770"/>
      <c r="F9" s="770"/>
      <c r="G9" s="770"/>
      <c r="H9" s="770"/>
      <c r="I9" s="770"/>
      <c r="J9" s="770"/>
    </row>
    <row r="10" spans="1:10" x14ac:dyDescent="0.25">
      <c r="B10" s="770"/>
      <c r="C10" s="770"/>
      <c r="D10" s="770"/>
      <c r="E10" s="770"/>
      <c r="F10" s="770"/>
      <c r="G10" s="770"/>
      <c r="H10" s="770"/>
      <c r="I10" s="770"/>
      <c r="J10" s="770"/>
    </row>
    <row r="11" spans="1:10" ht="15.5" x14ac:dyDescent="0.25">
      <c r="B11" s="818" t="s">
        <v>234</v>
      </c>
      <c r="C11" s="770"/>
      <c r="D11" s="770"/>
      <c r="E11" s="770"/>
      <c r="F11" s="770"/>
      <c r="G11" s="770"/>
      <c r="H11" s="770"/>
      <c r="I11" s="770"/>
      <c r="J11" s="770"/>
    </row>
    <row r="12" spans="1:10" x14ac:dyDescent="0.25">
      <c r="B12" s="770"/>
      <c r="C12" s="770"/>
      <c r="D12" s="770"/>
      <c r="E12" s="770"/>
      <c r="F12" s="770"/>
      <c r="G12" s="770"/>
      <c r="H12" s="770"/>
      <c r="I12" s="770"/>
      <c r="J12" s="770"/>
    </row>
    <row r="13" spans="1:10" x14ac:dyDescent="0.25">
      <c r="B13" s="770"/>
      <c r="C13" s="770"/>
      <c r="D13" s="770"/>
      <c r="E13" s="770"/>
      <c r="F13" s="770"/>
      <c r="G13" s="770"/>
      <c r="H13" s="770"/>
      <c r="I13" s="770"/>
      <c r="J13" s="770"/>
    </row>
    <row r="14" spans="1:10" x14ac:dyDescent="0.25">
      <c r="B14" s="770"/>
      <c r="C14" s="770"/>
      <c r="D14" s="770"/>
      <c r="E14" s="770"/>
      <c r="F14" s="770"/>
      <c r="G14" s="770"/>
      <c r="H14" s="770"/>
      <c r="I14" s="770"/>
      <c r="J14" s="770"/>
    </row>
    <row r="15" spans="1:10" ht="14" x14ac:dyDescent="0.25">
      <c r="B15" s="820" t="s">
        <v>412</v>
      </c>
      <c r="C15" s="770"/>
      <c r="D15" s="770"/>
      <c r="E15" s="770"/>
      <c r="F15" s="770"/>
      <c r="G15" s="770"/>
      <c r="H15" s="770"/>
      <c r="I15" s="770"/>
      <c r="J15" s="770"/>
    </row>
    <row r="16" spans="1:10" ht="14" x14ac:dyDescent="0.25">
      <c r="B16" s="820" t="s">
        <v>425</v>
      </c>
      <c r="C16" s="770"/>
      <c r="D16" s="770"/>
      <c r="E16" s="770"/>
      <c r="F16" s="770"/>
      <c r="G16" s="770"/>
      <c r="H16" s="770"/>
      <c r="I16" s="770"/>
      <c r="J16" s="770"/>
    </row>
    <row r="17" spans="2:14" ht="14" x14ac:dyDescent="0.25">
      <c r="B17" s="820" t="s">
        <v>433</v>
      </c>
      <c r="C17" s="770"/>
      <c r="D17" s="770"/>
      <c r="E17" s="770"/>
      <c r="F17" s="770"/>
      <c r="G17" s="770"/>
      <c r="H17" s="770"/>
      <c r="I17" s="770"/>
      <c r="J17" s="770"/>
    </row>
    <row r="18" spans="2:14" ht="15.5" x14ac:dyDescent="0.25">
      <c r="B18" s="819"/>
    </row>
    <row r="19" spans="2:14" ht="13" thickBot="1" x14ac:dyDescent="0.3"/>
    <row r="20" spans="2:14" ht="44.25" customHeight="1" thickTop="1" x14ac:dyDescent="0.25">
      <c r="B20" s="1339" t="s">
        <v>411</v>
      </c>
      <c r="C20" s="1340"/>
      <c r="D20" s="1341"/>
      <c r="E20" s="1341"/>
      <c r="F20" s="1342"/>
      <c r="H20" s="1655" t="s">
        <v>819</v>
      </c>
      <c r="I20" s="1656"/>
      <c r="J20" s="1656"/>
      <c r="K20" s="1657"/>
    </row>
    <row r="21" spans="2:14" ht="39" customHeight="1" x14ac:dyDescent="0.25">
      <c r="B21" s="552" t="s">
        <v>954</v>
      </c>
      <c r="C21" s="557">
        <f ca="1">Feed_CO2_MTpY</f>
        <v>0</v>
      </c>
      <c r="D21" s="1658" t="s">
        <v>413</v>
      </c>
      <c r="E21" s="1658"/>
      <c r="F21" s="1659"/>
      <c r="H21" s="1646" t="s">
        <v>83</v>
      </c>
      <c r="I21" s="1647"/>
      <c r="J21" s="1343"/>
      <c r="K21" s="1344"/>
    </row>
    <row r="22" spans="2:14" ht="14.25" customHeight="1" x14ac:dyDescent="0.25">
      <c r="B22" s="552" t="s">
        <v>953</v>
      </c>
      <c r="C22" s="558">
        <f ca="1">Feed_CO2_kgpkgH2</f>
        <v>0</v>
      </c>
      <c r="D22" s="554"/>
      <c r="E22" s="554"/>
      <c r="F22" s="555"/>
      <c r="H22" s="1632" t="s">
        <v>428</v>
      </c>
      <c r="I22" s="1633"/>
      <c r="J22" s="1364" t="e">
        <f ca="1">SUM(C54:C57)</f>
        <v>#VALUE!</v>
      </c>
      <c r="K22" s="1344"/>
    </row>
    <row r="23" spans="2:14" ht="14.25" customHeight="1" x14ac:dyDescent="0.25">
      <c r="B23" s="552" t="s">
        <v>429</v>
      </c>
      <c r="C23" s="1304">
        <f ca="1">Feed_CO2_MTpY/365*CO2_Capture_Efficiency</f>
        <v>0</v>
      </c>
      <c r="D23" s="554"/>
      <c r="E23" s="554"/>
      <c r="F23" s="555"/>
      <c r="H23" s="1632" t="s">
        <v>1232</v>
      </c>
      <c r="I23" s="1633"/>
      <c r="J23" s="1364">
        <f ca="1">C71</f>
        <v>80988.893635198634</v>
      </c>
      <c r="K23" s="1344"/>
      <c r="N23" s="1287"/>
    </row>
    <row r="24" spans="2:14" ht="14.25" customHeight="1" x14ac:dyDescent="0.25">
      <c r="B24" s="552" t="s">
        <v>1285</v>
      </c>
      <c r="C24" s="1298">
        <f ca="1">CO2_flowrate*365/1000000</f>
        <v>0</v>
      </c>
      <c r="D24" s="1300"/>
      <c r="E24" s="1300"/>
      <c r="F24" s="1290"/>
      <c r="H24" s="1632" t="s">
        <v>1235</v>
      </c>
      <c r="I24" s="1633"/>
      <c r="J24" s="1364">
        <f ca="1">SUM(C82:C83)</f>
        <v>0</v>
      </c>
      <c r="K24" s="1344"/>
      <c r="N24" s="1287"/>
    </row>
    <row r="25" spans="2:14" ht="14" x14ac:dyDescent="0.25">
      <c r="B25" s="590" t="s">
        <v>431</v>
      </c>
      <c r="C25" s="591">
        <f ca="1">HLOOKUP(startup_year,INDIRECT(TMP_PriceTable),MATCH("Industrial Electricity",INDIRECT(Energy_Feed_List),0),FALSE)*VLOOKUP("kWh",CC_feedconversion,2,FALSE)</f>
        <v>7.7596976084681746E-2</v>
      </c>
      <c r="D25" s="1660" t="s">
        <v>432</v>
      </c>
      <c r="E25" s="1660"/>
      <c r="F25" s="1661"/>
      <c r="H25" s="1644" t="s">
        <v>1237</v>
      </c>
      <c r="I25" s="1645"/>
      <c r="J25" s="1364">
        <f ca="1">SUM(C93:C95)</f>
        <v>39831626.153846137</v>
      </c>
      <c r="K25" s="1346"/>
      <c r="M25" s="1293"/>
    </row>
    <row r="26" spans="2:14" ht="14.5" thickBot="1" x14ac:dyDescent="0.3">
      <c r="B26" s="556" t="s">
        <v>998</v>
      </c>
      <c r="C26" s="559">
        <f ca="1">IF(C21=0,0,(pump_power)*cap_factor*24*365/output_kgyear)</f>
        <v>0</v>
      </c>
      <c r="D26" s="1653"/>
      <c r="E26" s="1653"/>
      <c r="F26" s="1654"/>
      <c r="H26" s="1662"/>
      <c r="I26" s="1663"/>
      <c r="J26" s="1367">
        <f>IF(CO2_Capture_Efficiency,SUM(J22:J25),0)</f>
        <v>0</v>
      </c>
      <c r="K26" s="1346" t="str">
        <f>"Total ("&amp;ref_year&amp;"$)"</f>
        <v>Total (2016$)</v>
      </c>
    </row>
    <row r="27" spans="2:14" ht="18.75" customHeight="1" thickTop="1" thickBot="1" x14ac:dyDescent="0.3">
      <c r="H27" s="1632" t="s">
        <v>1095</v>
      </c>
      <c r="I27" s="1633"/>
      <c r="J27" s="1364">
        <f ca="1">IFERROR(IF(CO2_inUse = "To Use Carbon Sequestration Click 'Link to Detail Sheet' in the Input Sheet Capital Cost Section",0,(J23+J24)/1.2+J25/1.5+J22),0)</f>
        <v>0</v>
      </c>
      <c r="K27" s="1344"/>
    </row>
    <row r="28" spans="2:14" ht="31.5" customHeight="1" thickTop="1" thickBot="1" x14ac:dyDescent="0.3">
      <c r="B28" s="1335" t="s">
        <v>412</v>
      </c>
      <c r="C28" s="1336"/>
      <c r="D28" s="1337"/>
      <c r="E28" s="1337"/>
      <c r="F28" s="1338"/>
      <c r="H28" s="1648"/>
      <c r="I28" s="1649"/>
      <c r="J28" s="1345"/>
      <c r="K28" s="1344"/>
    </row>
    <row r="29" spans="2:14" ht="14" x14ac:dyDescent="0.25">
      <c r="B29" s="1318" t="s">
        <v>1244</v>
      </c>
      <c r="C29" s="1316"/>
      <c r="D29" s="1317"/>
      <c r="E29" s="1317"/>
      <c r="F29" s="1319"/>
      <c r="H29" s="1347"/>
      <c r="I29" s="1348"/>
      <c r="J29" s="1345"/>
      <c r="K29" s="1344"/>
    </row>
    <row r="30" spans="2:14" ht="14" x14ac:dyDescent="0.25">
      <c r="B30" s="1320" t="s">
        <v>997</v>
      </c>
      <c r="C30" s="1371">
        <v>0</v>
      </c>
      <c r="D30" s="1305"/>
      <c r="E30" s="1634" t="s">
        <v>1286</v>
      </c>
      <c r="F30" s="1635"/>
      <c r="H30" s="1646" t="s">
        <v>817</v>
      </c>
      <c r="I30" s="1647"/>
      <c r="J30" s="1345"/>
      <c r="K30" s="1344"/>
    </row>
    <row r="31" spans="2:14" ht="27.65" customHeight="1" x14ac:dyDescent="0.25">
      <c r="B31" s="1320" t="s">
        <v>549</v>
      </c>
      <c r="C31" s="1333">
        <v>14.7</v>
      </c>
      <c r="D31" s="1305"/>
      <c r="E31" s="1642" t="s">
        <v>1241</v>
      </c>
      <c r="F31" s="1643"/>
      <c r="H31" s="1632" t="s">
        <v>426</v>
      </c>
      <c r="I31" s="1633"/>
      <c r="J31" s="1364">
        <f ca="1">C74</f>
        <v>0</v>
      </c>
      <c r="K31" s="1344"/>
    </row>
    <row r="32" spans="2:14" ht="28" x14ac:dyDescent="0.25">
      <c r="B32" s="1320" t="s">
        <v>1216</v>
      </c>
      <c r="C32" s="1306">
        <v>1</v>
      </c>
      <c r="D32" s="1305"/>
      <c r="E32" s="1634"/>
      <c r="F32" s="1636"/>
      <c r="H32" s="1365" t="s">
        <v>427</v>
      </c>
      <c r="I32" s="1366"/>
      <c r="J32" s="1364">
        <v>0</v>
      </c>
      <c r="K32" s="1344"/>
    </row>
    <row r="33" spans="2:11" ht="14" x14ac:dyDescent="0.25">
      <c r="B33" s="1320" t="s">
        <v>1215</v>
      </c>
      <c r="C33" s="1307">
        <v>0.75</v>
      </c>
      <c r="D33" s="1305"/>
      <c r="E33" s="1634"/>
      <c r="F33" s="1636"/>
      <c r="H33" s="1632" t="s">
        <v>428</v>
      </c>
      <c r="I33" s="1633"/>
      <c r="J33" s="1364">
        <v>0</v>
      </c>
      <c r="K33" s="1344"/>
    </row>
    <row r="34" spans="2:11" ht="14" x14ac:dyDescent="0.25">
      <c r="B34" s="1320" t="s">
        <v>1207</v>
      </c>
      <c r="C34" s="1308" t="s">
        <v>23</v>
      </c>
      <c r="D34" s="1305"/>
      <c r="E34" s="1634"/>
      <c r="F34" s="1636"/>
      <c r="H34" s="1648"/>
      <c r="I34" s="1649"/>
      <c r="J34" s="1367">
        <f ca="1">SUM(J31:J33)</f>
        <v>0</v>
      </c>
      <c r="K34" s="1346" t="str">
        <f>"Total ("&amp;ref_year&amp;"$)"</f>
        <v>Total (2016$)</v>
      </c>
    </row>
    <row r="35" spans="2:11" ht="14" x14ac:dyDescent="0.25">
      <c r="B35" s="1320" t="s">
        <v>1209</v>
      </c>
      <c r="C35" s="1308" t="s">
        <v>23</v>
      </c>
      <c r="D35" s="1305"/>
      <c r="E35" s="1634"/>
      <c r="F35" s="1636"/>
      <c r="H35" s="1646" t="s">
        <v>818</v>
      </c>
      <c r="I35" s="1647"/>
      <c r="J35" s="1345"/>
      <c r="K35" s="1344"/>
    </row>
    <row r="36" spans="2:11" ht="14" x14ac:dyDescent="0.25">
      <c r="B36" s="1320" t="s">
        <v>1242</v>
      </c>
      <c r="C36" s="1306">
        <v>100</v>
      </c>
      <c r="D36" s="1305"/>
      <c r="E36" s="1634"/>
      <c r="F36" s="1636"/>
      <c r="H36" s="1632" t="s">
        <v>962</v>
      </c>
      <c r="I36" s="1633"/>
      <c r="J36" s="1364">
        <f ca="1">-Feed_CO2_MTpY*CO2_Capture_Efficiency*CO2_credit</f>
        <v>0</v>
      </c>
      <c r="K36" s="1344"/>
    </row>
    <row r="37" spans="2:11" ht="14" x14ac:dyDescent="0.25">
      <c r="B37" s="1320" t="s">
        <v>1243</v>
      </c>
      <c r="C37" s="1306">
        <v>0</v>
      </c>
      <c r="D37" s="1305"/>
      <c r="E37" s="1634"/>
      <c r="F37" s="1636"/>
      <c r="H37" s="1632" t="s">
        <v>428</v>
      </c>
      <c r="I37" s="1633"/>
      <c r="J37" s="1364">
        <f>+C61</f>
        <v>693420.37890424987</v>
      </c>
      <c r="K37" s="1344"/>
    </row>
    <row r="38" spans="2:11" ht="14.5" thickBot="1" x14ac:dyDescent="0.3">
      <c r="B38" s="1321" t="s">
        <v>1250</v>
      </c>
      <c r="C38" s="1312" t="e">
        <f ca="1">Pipe_Diameter(CO2_PipeLength,
        C67, C66,
        C37,
        0.5,
        CO2_flowrate,
        CO2_Pipeline_Temp,
        n_CO2_pumps)</f>
        <v>#VALUE!</v>
      </c>
      <c r="D38" s="1313"/>
      <c r="E38" s="1640"/>
      <c r="F38" s="1641"/>
      <c r="H38" s="1632" t="s">
        <v>1232</v>
      </c>
      <c r="I38" s="1633"/>
      <c r="J38" s="1364">
        <f ca="1">C78</f>
        <v>3239.5557454079453</v>
      </c>
      <c r="K38" s="1344"/>
    </row>
    <row r="39" spans="2:11" ht="14" x14ac:dyDescent="0.25">
      <c r="B39" s="1637" t="s">
        <v>1245</v>
      </c>
      <c r="C39" s="1638"/>
      <c r="D39" s="1638"/>
      <c r="E39" s="1638"/>
      <c r="F39" s="1639"/>
      <c r="H39" s="1632" t="s">
        <v>1235</v>
      </c>
      <c r="I39" s="1633"/>
      <c r="J39" s="1364">
        <f ca="1">C86</f>
        <v>0</v>
      </c>
      <c r="K39" s="1344"/>
    </row>
    <row r="40" spans="2:11" ht="14" x14ac:dyDescent="0.25">
      <c r="B40" s="1320" t="s">
        <v>1221</v>
      </c>
      <c r="C40" s="1306">
        <v>53</v>
      </c>
      <c r="D40" s="1305"/>
      <c r="E40" s="1634" t="s">
        <v>1249</v>
      </c>
      <c r="F40" s="1636"/>
      <c r="H40" s="1644" t="s">
        <v>1236</v>
      </c>
      <c r="I40" s="1645"/>
      <c r="J40" s="1368">
        <f ca="1">SUM(C103:C107)</f>
        <v>2016053.2255769228</v>
      </c>
      <c r="K40" s="1344"/>
    </row>
    <row r="41" spans="2:11" ht="35.5" customHeight="1" thickBot="1" x14ac:dyDescent="0.3">
      <c r="B41" s="1321" t="s">
        <v>1222</v>
      </c>
      <c r="C41" s="1314">
        <f>denPRCO2(0.00005,AVERAGE(C66:C67)/MPa_to_psi,CO2_Pipeline_Temp)</f>
        <v>865.79471045444359</v>
      </c>
      <c r="D41" s="1313"/>
      <c r="E41" s="1672" t="s">
        <v>1223</v>
      </c>
      <c r="F41" s="1673"/>
      <c r="H41" s="1646"/>
      <c r="I41" s="1647"/>
      <c r="J41" s="1367">
        <f>IF(CO2_Capture_Efficiency&gt;0,SUM(J36:J40),0)</f>
        <v>0</v>
      </c>
      <c r="K41" s="1346" t="str">
        <f>"Total  ("&amp;ref_year&amp;"$)"</f>
        <v>Total  (2016$)</v>
      </c>
    </row>
    <row r="42" spans="2:11" ht="14" x14ac:dyDescent="0.25">
      <c r="B42" s="1637" t="s">
        <v>1246</v>
      </c>
      <c r="C42" s="1638"/>
      <c r="D42" s="1638"/>
      <c r="E42" s="1638"/>
      <c r="F42" s="1639"/>
      <c r="H42" s="1347"/>
      <c r="I42" s="1348"/>
      <c r="J42" s="1345"/>
      <c r="K42" s="1344"/>
    </row>
    <row r="43" spans="2:11" ht="14.5" customHeight="1" x14ac:dyDescent="0.25">
      <c r="B43" s="1320" t="s">
        <v>960</v>
      </c>
      <c r="C43" s="1309">
        <v>0</v>
      </c>
      <c r="D43" s="1305"/>
      <c r="E43" s="1311"/>
      <c r="F43" s="1322"/>
      <c r="H43" s="1632" t="s">
        <v>826</v>
      </c>
      <c r="I43" s="1633"/>
      <c r="J43" s="1367">
        <f>Det_CO2_seq*tax_ins_rate</f>
        <v>0</v>
      </c>
      <c r="K43" s="1346" t="str">
        <f>+K41</f>
        <v>Total  (2016$)</v>
      </c>
    </row>
    <row r="44" spans="2:11" ht="15" customHeight="1" thickBot="1" x14ac:dyDescent="0.3">
      <c r="B44" s="1321" t="s">
        <v>1210</v>
      </c>
      <c r="C44" s="1315">
        <v>0.04</v>
      </c>
      <c r="D44" s="1313"/>
      <c r="E44" s="1674"/>
      <c r="F44" s="1675"/>
      <c r="H44" s="1349"/>
      <c r="I44" s="1350"/>
      <c r="J44" s="1351"/>
      <c r="K44" s="1352"/>
    </row>
    <row r="45" spans="2:11" ht="15" customHeight="1" x14ac:dyDescent="0.25">
      <c r="B45" s="1637" t="s">
        <v>1247</v>
      </c>
      <c r="C45" s="1638"/>
      <c r="D45" s="1638"/>
      <c r="E45" s="1638"/>
      <c r="F45" s="1639"/>
      <c r="H45" s="1666" t="s">
        <v>1238</v>
      </c>
      <c r="I45" s="1667"/>
      <c r="J45" s="1667"/>
      <c r="K45" s="1369" t="e">
        <f ca="1">ROUND(CO2_eCostpY/(Feed_CO2_MTpY*CO2_Capture_Efficiency),1)</f>
        <v>#DIV/0!</v>
      </c>
    </row>
    <row r="46" spans="2:11" ht="15" customHeight="1" x14ac:dyDescent="0.25">
      <c r="B46" s="1320" t="s">
        <v>66</v>
      </c>
      <c r="C46" s="1310">
        <f ca="1">(real_irr*(1+real_irr)^anal_period)/(((real_irr+1)^anal_period)-1)</f>
        <v>8.3860161500585326E-2</v>
      </c>
      <c r="D46" s="1305"/>
      <c r="E46" s="1634"/>
      <c r="F46" s="1636"/>
      <c r="H46" s="1632" t="s">
        <v>1239</v>
      </c>
      <c r="I46" s="1633"/>
      <c r="J46" s="1633"/>
      <c r="K46" s="1370" t="e">
        <f ca="1">ROUND((Det_CO2_OandMcost+ CCS_tax_insurance)/(Feed_CO2_MTpY*CO2_Capture_Efficiency),1)</f>
        <v>#DIV/0!</v>
      </c>
    </row>
    <row r="47" spans="2:11" ht="15" customHeight="1" thickBot="1" x14ac:dyDescent="0.3">
      <c r="B47" s="1320" t="s">
        <v>0</v>
      </c>
      <c r="C47" s="1310">
        <f ca="1">INDEX(MACRS_Table,MATCH("NPV - Real IRR",recovery_year,0),MATCH(depr_length,recovery_period,0))*(1+real_irr)</f>
        <v>0.54674112188719604</v>
      </c>
      <c r="D47" s="1305"/>
      <c r="E47" s="1634"/>
      <c r="F47" s="1636"/>
      <c r="H47" s="1670" t="s">
        <v>1240</v>
      </c>
      <c r="I47" s="1671"/>
      <c r="J47" s="1671"/>
      <c r="K47" s="1373" t="e">
        <f ca="1">ROUND((Det_CO2_seq+(-PV(nominal_irr,plant_life,C100)*(1+nominal_irr)))*CO2_cap_charge_rate/(Feed_CO2_MTpY*CO2_Capture_Efficiency),1)</f>
        <v>#DIV/0!</v>
      </c>
    </row>
    <row r="48" spans="2:11" ht="15" customHeight="1" thickTop="1" thickBot="1" x14ac:dyDescent="0.3">
      <c r="B48" s="1323" t="s">
        <v>1</v>
      </c>
      <c r="C48" s="1334">
        <f ca="1">(CO2_cap_rec*(1-total_tax_rate*CO2_depr_factor))/(1-total_tax_rate)</f>
        <v>9.7035312812405017E-2</v>
      </c>
      <c r="D48" s="1324"/>
      <c r="E48" s="1668"/>
      <c r="F48" s="1669"/>
      <c r="H48" s="1664" t="s">
        <v>1288</v>
      </c>
      <c r="I48" s="1665"/>
      <c r="J48" s="1665"/>
      <c r="K48" s="1372" t="e">
        <f ca="1">SUM(K45:K47)</f>
        <v>#DIV/0!</v>
      </c>
    </row>
    <row r="49" spans="2:11" ht="13.5" thickTop="1" thickBot="1" x14ac:dyDescent="0.3"/>
    <row r="50" spans="2:11" ht="18.5" thickTop="1" x14ac:dyDescent="0.25">
      <c r="B50" s="551" t="s">
        <v>1220</v>
      </c>
      <c r="C50" s="560"/>
      <c r="D50" s="560"/>
      <c r="E50" s="560"/>
      <c r="F50" s="560"/>
      <c r="G50" s="560"/>
      <c r="H50" s="560"/>
      <c r="I50" s="560"/>
      <c r="J50" s="560"/>
      <c r="K50" s="561"/>
    </row>
    <row r="51" spans="2:11" ht="13.9" customHeight="1" x14ac:dyDescent="0.25">
      <c r="B51" s="32" t="str">
        <f>"CO2 Pipeline Costs ("&amp;ref_year&amp;" USD)"</f>
        <v>CO2 Pipeline Costs (2016 USD)</v>
      </c>
      <c r="C51" s="1279"/>
      <c r="D51" s="1329" t="s">
        <v>1048</v>
      </c>
      <c r="E51" s="1325" t="s">
        <v>1248</v>
      </c>
      <c r="F51" s="1279"/>
      <c r="G51" s="1279"/>
      <c r="H51" s="1279"/>
      <c r="I51" s="1279"/>
      <c r="J51" s="1279"/>
      <c r="K51" s="562"/>
    </row>
    <row r="52" spans="2:11" ht="12.65" customHeight="1" x14ac:dyDescent="0.25">
      <c r="B52" s="1283" t="s">
        <v>1234</v>
      </c>
      <c r="C52" s="1279"/>
      <c r="D52" s="1279"/>
      <c r="E52" s="1279"/>
      <c r="F52" s="1279"/>
      <c r="G52" s="1279"/>
      <c r="H52" s="1279"/>
      <c r="I52" s="1279"/>
      <c r="J52" s="1279"/>
      <c r="K52" s="562"/>
    </row>
    <row r="53" spans="2:11" ht="12.65" customHeight="1" x14ac:dyDescent="0.4">
      <c r="B53" s="1353" t="s">
        <v>1206</v>
      </c>
      <c r="C53" s="1354" t="e">
        <f ca="1">IF(CO2_PipeDia&gt;20,1.25, IF(CO2_PipeDia&gt;16,1.18,IF(CO2_PipeDia&gt;12,1.12,1)))</f>
        <v>#VALUE!</v>
      </c>
      <c r="D53" s="1355"/>
      <c r="E53" s="1331" t="s">
        <v>1271</v>
      </c>
      <c r="F53" s="1279"/>
      <c r="G53" s="1279"/>
      <c r="H53" s="1279"/>
      <c r="I53" s="1279"/>
      <c r="J53" s="1279"/>
      <c r="K53" s="562"/>
    </row>
    <row r="54" spans="2:11" ht="12.65" customHeight="1" x14ac:dyDescent="0.4">
      <c r="B54" s="1353" t="s">
        <v>1257</v>
      </c>
      <c r="C54" s="1356" t="e">
        <f ca="1">(35000+CO2_PipeLength*(330.5*CO2_PipeDia^2+687*CO2_PipeDia+26960))*NG_to_CO2Pipeline*VLOOKUP(ref_year,Tbl_PlantCostIndexes,2)/VLOOKUP(2000,Tbl_PlantCostIndexes,2)</f>
        <v>#VALUE!</v>
      </c>
      <c r="D54" s="1357" t="str">
        <f>ref_year&amp;"$"</f>
        <v>2016$</v>
      </c>
      <c r="E54" s="1331" t="s">
        <v>1277</v>
      </c>
      <c r="F54" s="1279"/>
      <c r="G54" s="1279"/>
      <c r="H54" s="1279"/>
      <c r="I54" s="1279"/>
      <c r="J54" s="1279"/>
      <c r="K54" s="562"/>
    </row>
    <row r="55" spans="2:11" ht="12.65" customHeight="1" x14ac:dyDescent="0.4">
      <c r="B55" s="1353" t="s">
        <v>1267</v>
      </c>
      <c r="C55" s="1356" t="e">
        <f ca="1">(185000+CO2_PipeLength*(343*CO2_PipeDia^2+2074*CO2_PipeDia+170013))*NG_to_CO2Pipeline*VLOOKUP(ref_year,Tbl_labor_indexes,2)/VLOOKUP(2000,Tbl_labor_indexes,2)</f>
        <v>#VALUE!</v>
      </c>
      <c r="D55" s="1357" t="str">
        <f>ref_year&amp;"$"</f>
        <v>2016$</v>
      </c>
      <c r="E55" s="1331" t="s">
        <v>1278</v>
      </c>
      <c r="F55" s="1279"/>
      <c r="G55" s="1279"/>
      <c r="H55" s="1279"/>
      <c r="I55" s="1279"/>
      <c r="J55" s="1279"/>
      <c r="K55" s="562"/>
    </row>
    <row r="56" spans="2:11" ht="12.65" customHeight="1" x14ac:dyDescent="0.4">
      <c r="B56" s="1353" t="s">
        <v>1266</v>
      </c>
      <c r="C56" s="1356" t="e">
        <f ca="1">(40000+CO2_PipeLength*(0*CO2_PipeDia^2+577*CO2_PipeDia+29788))*NG_to_CO2Pipeline*(VLOOKUP(ref_year,DeflatorTable,2)/VLOOKUP(2000,DeflatorTable,2))</f>
        <v>#VALUE!</v>
      </c>
      <c r="D56" s="1357" t="str">
        <f>ref_year&amp;"$"</f>
        <v>2016$</v>
      </c>
      <c r="E56" s="1331" t="s">
        <v>1279</v>
      </c>
      <c r="F56" s="1279"/>
      <c r="G56" s="1279"/>
      <c r="H56" s="1279"/>
      <c r="I56" s="1279"/>
      <c r="J56" s="1279"/>
      <c r="K56" s="562"/>
    </row>
    <row r="57" spans="2:11" ht="12.65" customHeight="1" x14ac:dyDescent="0.4">
      <c r="B57" s="1353" t="s">
        <v>1265</v>
      </c>
      <c r="C57" s="1356" t="e">
        <f ca="1">(95000+CO2_PipeLength*(0*CO2_PipeDia^2+8417*CO2_PipeDia+7324))*NG_to_CO2Pipeline*VLOOKUP(ref_year,DeflatorTable,2)/VLOOKUP(2000,DeflatorTable,2)</f>
        <v>#VALUE!</v>
      </c>
      <c r="D57" s="1357" t="str">
        <f>ref_year&amp;"$"</f>
        <v>2016$</v>
      </c>
      <c r="E57" s="1331" t="s">
        <v>1280</v>
      </c>
      <c r="F57" s="1279"/>
      <c r="G57" s="1279"/>
      <c r="H57" s="1279"/>
      <c r="I57" s="1279"/>
      <c r="J57" s="1279"/>
      <c r="K57" s="562"/>
    </row>
    <row r="58" spans="2:11" ht="12.65" customHeight="1" x14ac:dyDescent="0.25">
      <c r="B58" s="1353" t="s">
        <v>1268</v>
      </c>
      <c r="C58" s="1356" t="e">
        <f ca="1">SUM(C54:C57)/CO2_PipeLength</f>
        <v>#VALUE!</v>
      </c>
      <c r="D58" s="1357" t="str">
        <f>ref_year&amp;"$/mile"</f>
        <v>2016$/mile</v>
      </c>
      <c r="E58" s="1285"/>
      <c r="F58" s="1303"/>
      <c r="G58" s="1303"/>
      <c r="H58" s="1303"/>
      <c r="I58" s="1303"/>
      <c r="J58" s="1303"/>
      <c r="K58" s="562"/>
    </row>
    <row r="59" spans="2:11" ht="12.65" customHeight="1" x14ac:dyDescent="0.25">
      <c r="B59" s="1281"/>
      <c r="C59" s="1295"/>
      <c r="D59" s="1279"/>
      <c r="E59" s="1285"/>
      <c r="F59" s="1279"/>
      <c r="G59" s="1279"/>
      <c r="H59" s="1279"/>
      <c r="I59" s="1279"/>
      <c r="J59" s="1279"/>
      <c r="K59" s="562"/>
    </row>
    <row r="60" spans="2:11" ht="12.65" customHeight="1" x14ac:dyDescent="0.25">
      <c r="B60" s="1283" t="s">
        <v>416</v>
      </c>
      <c r="C60" s="1295"/>
      <c r="D60" s="1279"/>
      <c r="E60" s="1285"/>
      <c r="F60" s="1279"/>
      <c r="G60" s="1279"/>
      <c r="H60" s="1279"/>
      <c r="I60" s="1279"/>
      <c r="J60" s="1279"/>
      <c r="K60" s="562"/>
    </row>
    <row r="61" spans="2:11" ht="12.65" customHeight="1" x14ac:dyDescent="0.25">
      <c r="B61" s="1353" t="s">
        <v>1264</v>
      </c>
      <c r="C61" s="1356">
        <f>5000*CO2_PipeLength*(VLOOKUP(ref_year,Tbl_PlantCostIndexes,2)/VLOOKUP(1999,Tbl_PlantCostIndexes,2))</f>
        <v>693420.37890424987</v>
      </c>
      <c r="D61" s="1357" t="str">
        <f>ref_year&amp;"$/year"</f>
        <v>2016$/year</v>
      </c>
      <c r="E61" s="1286" t="s">
        <v>1281</v>
      </c>
      <c r="F61" s="1279"/>
      <c r="G61" s="1279"/>
      <c r="H61" s="1279"/>
      <c r="I61" s="1279"/>
      <c r="J61" s="1279"/>
      <c r="K61" s="562"/>
    </row>
    <row r="62" spans="2:11" ht="12.65" customHeight="1" x14ac:dyDescent="0.25">
      <c r="B62" s="1281"/>
      <c r="C62" s="1279"/>
      <c r="D62" s="1279"/>
      <c r="E62" s="1285"/>
      <c r="F62" s="1279"/>
      <c r="G62" s="1279"/>
      <c r="H62" s="1279"/>
      <c r="I62" s="1279"/>
      <c r="J62" s="1279"/>
      <c r="K62" s="562"/>
    </row>
    <row r="63" spans="2:11" ht="12.65" customHeight="1" x14ac:dyDescent="0.25">
      <c r="B63" s="1281"/>
      <c r="C63" s="1279"/>
      <c r="D63" s="1279"/>
      <c r="E63" s="1285"/>
      <c r="F63" s="1279"/>
      <c r="G63" s="1279"/>
      <c r="H63" s="1279"/>
      <c r="I63" s="1279"/>
      <c r="J63" s="1279"/>
      <c r="K63" s="562"/>
    </row>
    <row r="64" spans="2:11" ht="13.9" customHeight="1" x14ac:dyDescent="0.25">
      <c r="B64" s="32" t="s">
        <v>1205</v>
      </c>
      <c r="C64" s="1279"/>
      <c r="D64" s="1279"/>
      <c r="E64" s="1285"/>
      <c r="F64" s="1279"/>
      <c r="G64" s="1279"/>
      <c r="H64" s="1279"/>
      <c r="I64" s="1279"/>
      <c r="J64" s="1279"/>
      <c r="K64" s="562"/>
    </row>
    <row r="65" spans="2:11" ht="12.65" customHeight="1" x14ac:dyDescent="0.25">
      <c r="B65" s="1283" t="s">
        <v>83</v>
      </c>
      <c r="C65" s="1279"/>
      <c r="D65" s="1279"/>
      <c r="E65" s="1285"/>
      <c r="F65" s="1279"/>
      <c r="G65" s="1279"/>
      <c r="H65" s="1279"/>
      <c r="I65" s="1279"/>
      <c r="J65" s="1279"/>
      <c r="K65" s="562"/>
    </row>
    <row r="66" spans="2:11" ht="12.65" customHeight="1" x14ac:dyDescent="0.25">
      <c r="B66" s="1353" t="s">
        <v>1211</v>
      </c>
      <c r="C66" s="1358">
        <f>CO2_Pin_psia</f>
        <v>14.7</v>
      </c>
      <c r="D66" s="1357" t="s">
        <v>1213</v>
      </c>
      <c r="E66" s="1285"/>
      <c r="F66" s="1279"/>
      <c r="G66" s="1279"/>
      <c r="H66" s="1279"/>
      <c r="I66" s="1279"/>
      <c r="J66" s="1279"/>
      <c r="K66" s="562"/>
    </row>
    <row r="67" spans="2:11" ht="12.65" customHeight="1" x14ac:dyDescent="0.25">
      <c r="B67" s="1353" t="s">
        <v>1212</v>
      </c>
      <c r="C67" s="1358">
        <f>15*MPa_to_psi</f>
        <v>2175.5700000000002</v>
      </c>
      <c r="D67" s="1357" t="s">
        <v>1213</v>
      </c>
      <c r="E67" s="1285"/>
      <c r="F67" s="1279"/>
      <c r="G67" s="1279"/>
      <c r="H67" s="1279"/>
      <c r="I67" s="1279"/>
      <c r="J67" s="1279"/>
      <c r="K67" s="562"/>
    </row>
    <row r="68" spans="2:11" ht="15.5" x14ac:dyDescent="0.25">
      <c r="B68" s="1353" t="s">
        <v>1214</v>
      </c>
      <c r="C68" s="1358">
        <f ca="1">(1000*1000000*0.001/ (24*3600))*(CO2_flowrate/cap_factor*(C67-C66)/MPa_to_psi)/(C41*Pump_Eff)</f>
        <v>0</v>
      </c>
      <c r="D68" s="1359" t="s">
        <v>414</v>
      </c>
      <c r="E68" s="1286" t="s">
        <v>1274</v>
      </c>
      <c r="F68" s="1279"/>
      <c r="G68" s="1279"/>
      <c r="H68" s="1279"/>
      <c r="I68" s="1279"/>
      <c r="J68" s="1279"/>
      <c r="K68" s="562"/>
    </row>
    <row r="69" spans="2:11" ht="12.65" customHeight="1" x14ac:dyDescent="0.25">
      <c r="B69" s="1353" t="s">
        <v>1260</v>
      </c>
      <c r="C69" s="1356">
        <f>70000*VLOOKUP(ref_year,Tbl_PlantCostIndexes,2)/VLOOKUP(2005,Tbl_PlantCostIndexes,2)</f>
        <v>80988.893635198634</v>
      </c>
      <c r="D69" s="1357" t="str">
        <f>ref_year&amp;"$"</f>
        <v>2016$</v>
      </c>
      <c r="E69" s="1286" t="s">
        <v>1275</v>
      </c>
      <c r="F69" s="1279"/>
      <c r="G69" s="1279"/>
      <c r="H69" s="1279"/>
      <c r="I69" s="1279"/>
      <c r="J69" s="1279"/>
      <c r="K69" s="562"/>
    </row>
    <row r="70" spans="2:11" ht="12.65" customHeight="1" x14ac:dyDescent="0.25">
      <c r="B70" s="1353" t="s">
        <v>1261</v>
      </c>
      <c r="C70" s="1356">
        <f ca="1">1110*C68*VLOOKUP(ref_year,Tbl_PlantCostIndexes,2)/VLOOKUP(2005,Tbl_PlantCostIndexes,2)</f>
        <v>0</v>
      </c>
      <c r="D70" s="1357" t="str">
        <f>ref_year&amp;"$"</f>
        <v>2016$</v>
      </c>
      <c r="E70" s="1286" t="s">
        <v>1273</v>
      </c>
      <c r="F70" s="1279"/>
      <c r="G70" s="1279"/>
      <c r="H70" s="1279"/>
      <c r="I70" s="1279"/>
      <c r="J70" s="1279"/>
      <c r="K70" s="562"/>
    </row>
    <row r="71" spans="2:11" ht="12.65" customHeight="1" x14ac:dyDescent="0.4">
      <c r="B71" s="1353" t="s">
        <v>1270</v>
      </c>
      <c r="C71" s="1356">
        <f ca="1">SUM(C69:C70)</f>
        <v>80988.893635198634</v>
      </c>
      <c r="D71" s="1357" t="str">
        <f>ref_year&amp;"$"</f>
        <v>2016$</v>
      </c>
      <c r="E71" s="1332" t="s">
        <v>1272</v>
      </c>
      <c r="F71" s="1303"/>
      <c r="G71" s="1303"/>
      <c r="H71" s="1303"/>
      <c r="I71" s="1303"/>
      <c r="J71" s="1303"/>
      <c r="K71" s="562"/>
    </row>
    <row r="72" spans="2:11" ht="12.65" customHeight="1" x14ac:dyDescent="0.25">
      <c r="B72" s="1282"/>
      <c r="C72" s="1288"/>
      <c r="D72" s="1287"/>
      <c r="E72" s="1285"/>
      <c r="F72" s="1279"/>
      <c r="G72" s="1279"/>
      <c r="H72" s="1279"/>
      <c r="I72" s="1279"/>
      <c r="J72" s="1279"/>
      <c r="K72" s="562"/>
    </row>
    <row r="73" spans="2:11" ht="12.65" customHeight="1" x14ac:dyDescent="0.25">
      <c r="B73" s="1283" t="s">
        <v>1217</v>
      </c>
      <c r="C73" s="1279"/>
      <c r="D73" s="1287"/>
      <c r="E73" s="1285"/>
      <c r="F73" s="1279"/>
      <c r="G73" s="1279"/>
      <c r="H73" s="1279"/>
      <c r="I73" s="1279"/>
      <c r="J73" s="1279"/>
      <c r="K73" s="562"/>
    </row>
    <row r="74" spans="2:11" ht="12.65" customHeight="1" x14ac:dyDescent="0.25">
      <c r="B74" s="1353" t="s">
        <v>1219</v>
      </c>
      <c r="C74" s="1356">
        <f ca="1">CO2_eCost*pump_power*cap_factor*24*365*n_CO2_pumps</f>
        <v>0</v>
      </c>
      <c r="D74" s="1360" t="str">
        <f>startup_year&amp;"$/year"</f>
        <v>2040$/year</v>
      </c>
      <c r="E74" s="1291" t="s">
        <v>1218</v>
      </c>
      <c r="F74" s="1279"/>
      <c r="G74" s="1279"/>
      <c r="H74" s="1279"/>
      <c r="I74" s="1279"/>
      <c r="J74" s="1279"/>
      <c r="K74" s="562"/>
    </row>
    <row r="75" spans="2:11" ht="12.65" customHeight="1" x14ac:dyDescent="0.25">
      <c r="B75" s="1353" t="s">
        <v>1258</v>
      </c>
      <c r="C75" s="1361">
        <f ca="1">pump_power*cap_factor*24*365*n_CO2_pumps/output_kgyear</f>
        <v>0</v>
      </c>
      <c r="D75" s="1362" t="s">
        <v>1259</v>
      </c>
      <c r="E75" s="1303"/>
      <c r="F75" s="1303"/>
      <c r="G75" s="1303"/>
      <c r="H75" s="1303"/>
      <c r="I75" s="1303"/>
      <c r="J75" s="1303"/>
      <c r="K75" s="562"/>
    </row>
    <row r="76" spans="2:11" ht="12.65" customHeight="1" x14ac:dyDescent="0.25">
      <c r="B76" s="1281"/>
      <c r="C76" s="1279"/>
      <c r="D76" s="1279"/>
      <c r="E76" s="1279"/>
      <c r="F76" s="1279"/>
      <c r="G76" s="1279"/>
      <c r="H76" s="1279"/>
      <c r="I76" s="1279"/>
      <c r="J76" s="1279"/>
      <c r="K76" s="562"/>
    </row>
    <row r="77" spans="2:11" ht="12.65" customHeight="1" x14ac:dyDescent="0.25">
      <c r="B77" s="1283" t="s">
        <v>416</v>
      </c>
      <c r="C77" s="1280"/>
      <c r="D77" s="1280"/>
      <c r="E77" s="1280"/>
      <c r="F77" s="1280"/>
      <c r="G77" s="1280"/>
      <c r="H77" s="1280"/>
      <c r="I77" s="1280"/>
      <c r="J77" s="1280"/>
      <c r="K77" s="562"/>
    </row>
    <row r="78" spans="2:11" ht="12.65" customHeight="1" x14ac:dyDescent="0.25">
      <c r="B78" s="1353" t="s">
        <v>1262</v>
      </c>
      <c r="C78" s="1363">
        <f ca="1">C71*CO2_MaintFactor</f>
        <v>3239.5557454079453</v>
      </c>
      <c r="D78" s="1357" t="str">
        <f>ref_year&amp;"$/year"</f>
        <v>2016$/year</v>
      </c>
      <c r="E78" s="1280"/>
      <c r="F78" s="1280"/>
      <c r="G78" s="1280"/>
      <c r="H78" s="1280"/>
      <c r="I78" s="1280"/>
      <c r="J78" s="1280"/>
      <c r="K78" s="562"/>
    </row>
    <row r="79" spans="2:11" ht="12.65" customHeight="1" x14ac:dyDescent="0.25">
      <c r="B79" s="1281"/>
      <c r="C79" s="1280"/>
      <c r="D79" s="1280"/>
      <c r="E79" s="1280"/>
      <c r="F79" s="1280"/>
      <c r="G79" s="1280"/>
      <c r="H79" s="1280"/>
      <c r="I79" s="1280"/>
      <c r="J79" s="1280"/>
      <c r="K79" s="562"/>
    </row>
    <row r="80" spans="2:11" ht="15" customHeight="1" x14ac:dyDescent="0.25">
      <c r="B80" s="32" t="s">
        <v>1208</v>
      </c>
      <c r="C80" s="1279"/>
      <c r="D80" s="1279"/>
      <c r="E80" s="1279"/>
      <c r="F80" s="1279"/>
      <c r="G80" s="1279"/>
      <c r="H80" s="1279"/>
      <c r="I80" s="1279"/>
      <c r="J80" s="1279"/>
      <c r="K80" s="562"/>
    </row>
    <row r="81" spans="2:13" ht="12.65" customHeight="1" x14ac:dyDescent="0.25">
      <c r="B81" s="1283" t="s">
        <v>83</v>
      </c>
      <c r="C81" s="1279"/>
      <c r="D81" s="1279"/>
      <c r="E81" s="1279"/>
      <c r="F81" s="1279"/>
      <c r="G81" s="1279"/>
      <c r="H81" s="1279"/>
      <c r="I81" s="1279"/>
      <c r="J81" s="1279"/>
      <c r="K81" s="562"/>
    </row>
    <row r="82" spans="2:13" ht="12.65" customHeight="1" x14ac:dyDescent="0.25">
      <c r="B82" s="1353" t="s">
        <v>1209</v>
      </c>
      <c r="C82" s="1356">
        <f ca="1">IF(C35="yes",701600*(CO2_flowrate_GTpY/3.2)^Scaling_Factor_Exponent*(VLOOKUP(ref_year,Tbl_PlantCostIndexes,2)/VLOOKUP(2000,Tbl_PlantCostIndexes,2)),0)</f>
        <v>0</v>
      </c>
      <c r="D82" s="1357" t="str">
        <f>ref_year&amp;"$"</f>
        <v>2016$</v>
      </c>
      <c r="E82" s="1286" t="s">
        <v>1276</v>
      </c>
      <c r="F82" s="1279"/>
      <c r="G82" s="1279"/>
      <c r="H82" s="1279"/>
      <c r="I82" s="1279"/>
      <c r="J82" s="1279"/>
      <c r="K82" s="562"/>
    </row>
    <row r="83" spans="2:13" ht="12.65" customHeight="1" x14ac:dyDescent="0.25">
      <c r="B83" s="1353" t="s">
        <v>1263</v>
      </c>
      <c r="C83" s="1356">
        <f ca="1">IF(C34="yes",94000*(CO2_flowrate_GTpY/3.2)^Scaling_Factor_Exponent*(VLOOKUP(ref_year,Tbl_PlantCostIndexes,2)/VLOOKUP(2000,Tbl_PlantCostIndexes,2)),0)</f>
        <v>0</v>
      </c>
      <c r="D83" s="1357" t="str">
        <f>ref_year&amp;"$"</f>
        <v>2016$</v>
      </c>
      <c r="E83" s="1286" t="s">
        <v>1276</v>
      </c>
      <c r="F83" s="1279"/>
      <c r="G83" s="1279"/>
      <c r="H83" s="1279"/>
      <c r="I83" s="1279"/>
      <c r="J83" s="1279"/>
      <c r="K83" s="562"/>
    </row>
    <row r="84" spans="2:13" ht="12.65" customHeight="1" x14ac:dyDescent="0.25">
      <c r="B84" s="1282"/>
      <c r="C84" s="1279"/>
      <c r="D84" s="1279"/>
      <c r="E84" s="1279"/>
      <c r="F84" s="1279"/>
      <c r="G84" s="1279"/>
      <c r="H84" s="1279"/>
      <c r="I84" s="1279"/>
      <c r="J84" s="1279"/>
      <c r="K84" s="562"/>
    </row>
    <row r="85" spans="2:13" ht="12.65" customHeight="1" x14ac:dyDescent="0.25">
      <c r="B85" s="1283" t="s">
        <v>416</v>
      </c>
      <c r="C85" s="1280"/>
      <c r="D85" s="1280"/>
      <c r="E85" s="1280"/>
      <c r="F85" s="1280"/>
      <c r="G85" s="1280"/>
      <c r="H85" s="1280"/>
      <c r="I85" s="1280"/>
      <c r="J85" s="1280"/>
      <c r="K85" s="562"/>
    </row>
    <row r="86" spans="2:13" ht="12.65" customHeight="1" x14ac:dyDescent="0.25">
      <c r="B86" s="1353" t="s">
        <v>1262</v>
      </c>
      <c r="C86" s="1356">
        <f ca="1">SUM(C82:C83)*CO2_MaintFactor</f>
        <v>0</v>
      </c>
      <c r="D86" s="1357" t="str">
        <f>ref_year&amp;"$/year"</f>
        <v>2016$/year</v>
      </c>
      <c r="E86" s="1303"/>
      <c r="F86" s="1303"/>
      <c r="G86" s="1303"/>
      <c r="H86" s="1303"/>
      <c r="I86" s="1303"/>
      <c r="J86" s="1303"/>
      <c r="K86" s="562"/>
    </row>
    <row r="87" spans="2:13" s="1279" customFormat="1" ht="12.65" customHeight="1" thickBot="1" x14ac:dyDescent="0.3">
      <c r="B87" s="1292"/>
      <c r="C87" s="563"/>
      <c r="D87" s="563"/>
      <c r="E87" s="563"/>
      <c r="F87" s="563"/>
      <c r="G87" s="563"/>
      <c r="H87" s="563"/>
      <c r="I87" s="563"/>
      <c r="J87" s="563"/>
      <c r="K87" s="564"/>
    </row>
    <row r="88" spans="2:13" s="1280" customFormat="1" ht="12.65" customHeight="1" thickTop="1" thickBot="1" x14ac:dyDescent="0.3">
      <c r="B88" s="1284"/>
    </row>
    <row r="89" spans="2:13" s="1280" customFormat="1" ht="21" customHeight="1" thickTop="1" x14ac:dyDescent="0.25">
      <c r="B89" s="551" t="s">
        <v>1228</v>
      </c>
      <c r="C89" s="560"/>
      <c r="D89" s="560"/>
      <c r="E89" s="560"/>
      <c r="F89" s="560"/>
      <c r="G89" s="560"/>
      <c r="H89" s="560"/>
      <c r="I89" s="560"/>
      <c r="J89" s="560"/>
      <c r="K89" s="561"/>
    </row>
    <row r="90" spans="2:13" s="1280" customFormat="1" ht="12.65" customHeight="1" x14ac:dyDescent="0.25">
      <c r="B90" s="32" t="s">
        <v>1233</v>
      </c>
      <c r="C90" s="1303"/>
      <c r="D90" s="1329" t="s">
        <v>1048</v>
      </c>
      <c r="E90" s="1325" t="s">
        <v>1248</v>
      </c>
      <c r="F90" s="1303"/>
      <c r="G90" s="1303"/>
      <c r="H90" s="1303"/>
      <c r="I90" s="1303"/>
      <c r="J90" s="1303"/>
      <c r="K90" s="562"/>
      <c r="L90" s="1303"/>
      <c r="M90" s="1303"/>
    </row>
    <row r="91" spans="2:13" s="1289" customFormat="1" hidden="1" x14ac:dyDescent="0.25">
      <c r="B91" s="1282" t="s">
        <v>1231</v>
      </c>
      <c r="C91" s="565">
        <f>VLOOKUP(2005,DeflatorTable,2)/VLOOKUP(2008,DeflatorTable,2)</f>
        <v>0.92676070528967247</v>
      </c>
      <c r="D91" s="1303"/>
      <c r="E91" s="1303"/>
      <c r="F91" s="1303"/>
      <c r="G91" s="1303"/>
      <c r="H91" s="1303"/>
      <c r="I91" s="1303"/>
      <c r="J91" s="1303"/>
      <c r="K91" s="562"/>
      <c r="L91" s="1303"/>
      <c r="M91" s="1303"/>
    </row>
    <row r="92" spans="2:13" s="1280" customFormat="1" ht="12.65" customHeight="1" x14ac:dyDescent="0.25">
      <c r="B92" s="1283" t="str">
        <f>"Capital Costs by Stage (Annual Cost of "&amp;plant_life&amp;" year project in "&amp;ref_year&amp;"$)"</f>
        <v>Capital Costs by Stage (Annual Cost of 40 year project in 2016$)</v>
      </c>
      <c r="C92" s="1303"/>
      <c r="D92" s="1303"/>
      <c r="E92" s="1286" t="s">
        <v>1284</v>
      </c>
      <c r="F92" s="1303"/>
      <c r="G92" s="1303"/>
      <c r="H92" s="1303"/>
      <c r="I92" s="1303"/>
      <c r="J92" s="1303"/>
      <c r="K92" s="562"/>
      <c r="L92" s="1303"/>
      <c r="M92" s="1303"/>
    </row>
    <row r="93" spans="2:13" s="1280" customFormat="1" ht="12.65" customHeight="1" x14ac:dyDescent="0.25">
      <c r="B93" s="1353" t="s">
        <v>1224</v>
      </c>
      <c r="C93" s="1356">
        <f>94000*VLOOKUP(ref_year,Tbl_labor_indexes,2)/VLOOKUP(2008,Tbl_labor_indexes,2)</f>
        <v>109497.94871794869</v>
      </c>
      <c r="D93" s="1357" t="str">
        <f>ref_year&amp;"$"</f>
        <v>2016$</v>
      </c>
      <c r="F93" s="1303"/>
      <c r="G93" s="1303"/>
      <c r="H93" s="1303"/>
      <c r="I93" s="1303"/>
      <c r="J93" s="1303"/>
      <c r="K93" s="562"/>
      <c r="L93" s="1303"/>
      <c r="M93" s="1303"/>
    </row>
    <row r="94" spans="2:13" s="1280" customFormat="1" ht="12.65" customHeight="1" x14ac:dyDescent="0.25">
      <c r="B94" s="1353" t="s">
        <v>1225</v>
      </c>
      <c r="C94" s="1356">
        <f ca="1">(-16600*CO2_flowrate_GTpY^2+53500*CO2_flowrate_GTpY+20300)*1000*VLOOKUP(ref_year,Tbl_labor_indexes,2)/VLOOKUP(2008,Tbl_labor_indexes,2)</f>
        <v>23646897.435897429</v>
      </c>
      <c r="D94" s="1357" t="str">
        <f>ref_year&amp;"$"</f>
        <v>2016$</v>
      </c>
      <c r="E94" s="1303"/>
      <c r="F94" s="1303"/>
      <c r="G94" s="1303"/>
      <c r="H94" s="1303"/>
      <c r="I94" s="1303"/>
      <c r="J94" s="1303"/>
      <c r="K94" s="562"/>
      <c r="L94" s="1303"/>
      <c r="M94" s="1303"/>
    </row>
    <row r="95" spans="2:13" s="1280" customFormat="1" ht="12.65" customHeight="1" x14ac:dyDescent="0.25">
      <c r="B95" s="1353" t="s">
        <v>169</v>
      </c>
      <c r="C95" s="1356">
        <f ca="1" xml:space="preserve"> (-400*CO2_flowrate_GTpY^2 + 2200*CO2_flowrate_GTpY + 13800)*1000*VLOOKUP(ref_year,Tbl_labor_indexes,2)/VLOOKUP(2008,Tbl_labor_indexes,2)</f>
        <v>16075230.769230762</v>
      </c>
      <c r="D95" s="1357" t="str">
        <f>ref_year&amp;"$"</f>
        <v>2016$</v>
      </c>
      <c r="E95" s="1303"/>
      <c r="F95" s="1303"/>
      <c r="G95" s="1303"/>
      <c r="H95" s="1303"/>
      <c r="I95" s="1303"/>
      <c r="J95" s="1303"/>
      <c r="K95" s="562"/>
      <c r="L95" s="1303"/>
      <c r="M95" s="1303"/>
    </row>
    <row r="96" spans="2:13" s="1303" customFormat="1" ht="12.65" customHeight="1" x14ac:dyDescent="0.25">
      <c r="B96" s="1282"/>
      <c r="C96" s="1301"/>
      <c r="K96" s="562"/>
    </row>
    <row r="97" spans="2:13" s="1303" customFormat="1" ht="12.65" customHeight="1" x14ac:dyDescent="0.25">
      <c r="B97" s="1283" t="s">
        <v>1256</v>
      </c>
      <c r="C97" s="1301"/>
      <c r="E97" s="1286"/>
      <c r="K97" s="562"/>
    </row>
    <row r="98" spans="2:13" s="1280" customFormat="1" ht="12.65" customHeight="1" x14ac:dyDescent="0.25">
      <c r="B98" s="1353" t="s">
        <v>1282</v>
      </c>
      <c r="C98" s="1356">
        <f ca="1">(-36000*CO2_flowrate_GTpY^2+224000*CO2_flowrate_GTpY+47000)*1000*(VLOOKUP(ref_year,Tbl_labor_indexes,2)/VLOOKUP(2008,Tbl_labor_indexes,2))/plant_life</f>
        <v>1368724.3589743585</v>
      </c>
      <c r="D98" s="1357" t="str">
        <f>ref_year&amp;"$/year"</f>
        <v>2016$/year</v>
      </c>
      <c r="E98" s="1303"/>
      <c r="F98" s="1303"/>
      <c r="G98" s="1303"/>
      <c r="H98" s="1303"/>
      <c r="I98" s="1303"/>
      <c r="J98" s="1303"/>
      <c r="K98" s="562"/>
      <c r="L98" s="1303"/>
      <c r="M98" s="1303"/>
    </row>
    <row r="99" spans="2:13" s="1280" customFormat="1" ht="12.65" customHeight="1" x14ac:dyDescent="0.25">
      <c r="B99" s="1353" t="s">
        <v>1227</v>
      </c>
      <c r="C99" s="1356">
        <f ca="1">(-18000*CO2_flowrate_GTpY^2 + 183000*CO2_flowrate_GTpY+ 40000)*1000*(VLOOKUP(ref_year,Tbl_labor_indexes,2)/VLOOKUP(2008,Tbl_labor_indexes,2))/plant_life</f>
        <v>1164871.7948717945</v>
      </c>
      <c r="D99" s="1357" t="str">
        <f>ref_year&amp;"$/year"</f>
        <v>2016$/year</v>
      </c>
      <c r="E99" s="1303"/>
      <c r="F99" s="1303"/>
      <c r="G99" s="1303"/>
      <c r="H99" s="1303"/>
      <c r="I99" s="1303"/>
      <c r="J99" s="1303"/>
      <c r="K99" s="562"/>
      <c r="L99" s="1303"/>
      <c r="M99" s="1303"/>
    </row>
    <row r="100" spans="2:13" s="1303" customFormat="1" ht="12.65" customHeight="1" x14ac:dyDescent="0.25">
      <c r="B100" s="1353" t="s">
        <v>1283</v>
      </c>
      <c r="C100" s="1374">
        <f>+IF(CO2_Capture_Efficiency,SUM(C98:C99),0)</f>
        <v>0</v>
      </c>
      <c r="D100" s="1357" t="str">
        <f>ref_year&amp;"$/year"</f>
        <v>2016$/year</v>
      </c>
      <c r="K100" s="562"/>
    </row>
    <row r="101" spans="2:13" s="1280" customFormat="1" ht="12.65" customHeight="1" x14ac:dyDescent="0.25">
      <c r="B101" s="1283"/>
      <c r="C101" s="1301"/>
      <c r="D101" s="1303"/>
      <c r="E101" s="1303"/>
      <c r="F101" s="1303"/>
      <c r="G101" s="1303"/>
      <c r="H101" s="1303"/>
      <c r="I101" s="1303"/>
      <c r="J101" s="1303"/>
      <c r="K101" s="562"/>
      <c r="L101" s="1303"/>
      <c r="M101" s="1303"/>
    </row>
    <row r="102" spans="2:13" s="1280" customFormat="1" ht="12.65" customHeight="1" x14ac:dyDescent="0.25">
      <c r="B102" s="1283" t="s">
        <v>1229</v>
      </c>
      <c r="C102" s="1301"/>
      <c r="D102" s="1303"/>
      <c r="E102" s="1286"/>
      <c r="F102" s="1303"/>
      <c r="G102" s="1303"/>
      <c r="H102" s="1303"/>
      <c r="I102" s="1303"/>
      <c r="J102" s="1303"/>
      <c r="K102" s="562"/>
      <c r="L102" s="1303"/>
      <c r="M102" s="1303"/>
    </row>
    <row r="103" spans="2:13" s="1279" customFormat="1" ht="12.65" customHeight="1" x14ac:dyDescent="0.25">
      <c r="B103" s="1353" t="s">
        <v>1224</v>
      </c>
      <c r="C103" s="1356">
        <f>0*(VLOOKUP(ref_year,Tbl_labor_indexes,2)/VLOOKUP(2008,Tbl_labor_indexes,2))</f>
        <v>0</v>
      </c>
      <c r="D103" s="1357" t="str">
        <f>ref_year&amp;"$/year"</f>
        <v>2016$/year</v>
      </c>
      <c r="E103" s="1303"/>
      <c r="F103" s="1303"/>
      <c r="G103" s="1303"/>
      <c r="H103" s="1303"/>
      <c r="I103" s="1303"/>
      <c r="J103" s="1303"/>
      <c r="K103" s="562"/>
      <c r="L103" s="1303"/>
      <c r="M103" s="1303"/>
    </row>
    <row r="104" spans="2:13" s="1280" customFormat="1" ht="12.65" customHeight="1" x14ac:dyDescent="0.25">
      <c r="B104" s="1353" t="s">
        <v>1225</v>
      </c>
      <c r="C104" s="1356">
        <f>395000*(VLOOKUP(ref_year,Tbl_labor_indexes,2)/VLOOKUP(2008,Tbl_labor_indexes,2))/plant_life</f>
        <v>11503.108974358973</v>
      </c>
      <c r="D104" s="1357" t="str">
        <f>ref_year&amp;"$/year"</f>
        <v>2016$/year</v>
      </c>
      <c r="E104" s="1303"/>
      <c r="F104" s="1303"/>
      <c r="G104" s="1303"/>
      <c r="H104" s="1303"/>
      <c r="I104" s="1303"/>
      <c r="J104" s="1303"/>
      <c r="K104" s="562"/>
      <c r="L104" s="1303"/>
      <c r="M104" s="1303"/>
    </row>
    <row r="105" spans="2:13" s="1280" customFormat="1" ht="12.65" customHeight="1" x14ac:dyDescent="0.25">
      <c r="B105" s="1353" t="s">
        <v>169</v>
      </c>
      <c r="C105" s="1356">
        <f>100000*(VLOOKUP(ref_year,Tbl_labor_indexes,2)/VLOOKUP(2008,Tbl_labor_indexes,2))/plant_life</f>
        <v>2912.1794871794864</v>
      </c>
      <c r="D105" s="1357" t="str">
        <f>ref_year&amp;"$/year"</f>
        <v>2016$/year</v>
      </c>
      <c r="E105" s="1303"/>
      <c r="F105" s="1303"/>
      <c r="G105" s="1303"/>
      <c r="H105" s="1303"/>
      <c r="I105" s="1303"/>
      <c r="J105" s="1303"/>
      <c r="K105" s="562"/>
      <c r="L105" s="1303"/>
      <c r="M105" s="1303"/>
    </row>
    <row r="106" spans="2:13" s="1280" customFormat="1" ht="12.65" customHeight="1" x14ac:dyDescent="0.25">
      <c r="B106" s="1353" t="s">
        <v>1226</v>
      </c>
      <c r="C106" s="1356">
        <f ca="1" xml:space="preserve"> (-30000*CO2_flowrate_GTpY^2 + 143000*CO2_flowrate_GTpY + 41000)*1000*(VLOOKUP(ref_year,Tbl_labor_indexes,2)/VLOOKUP(2008,Tbl_labor_indexes,2))/plant_life</f>
        <v>1193993.5897435895</v>
      </c>
      <c r="D106" s="1357" t="str">
        <f>ref_year&amp;"$/year"</f>
        <v>2016$/year</v>
      </c>
      <c r="E106" s="1303"/>
      <c r="F106" s="1303"/>
      <c r="G106" s="1303"/>
      <c r="H106" s="1303"/>
      <c r="I106" s="1303"/>
      <c r="J106" s="1303"/>
      <c r="K106" s="562"/>
      <c r="L106" s="1303"/>
      <c r="M106" s="1303"/>
    </row>
    <row r="107" spans="2:13" s="1280" customFormat="1" ht="12.65" customHeight="1" x14ac:dyDescent="0.25">
      <c r="B107" s="1353" t="s">
        <v>1227</v>
      </c>
      <c r="C107" s="1356">
        <f ca="1">(111200*CO2_flowrate_GTpY+27733.33)*1000*(VLOOKUP(ref_year,Tbl_labor_indexes,2)/VLOOKUP(2008,Tbl_labor_indexes,2))/plant_life</f>
        <v>807644.34737179463</v>
      </c>
      <c r="D107" s="1357" t="str">
        <f>ref_year&amp;"$/year"</f>
        <v>2016$/year</v>
      </c>
      <c r="E107" s="1303"/>
      <c r="F107" s="1303"/>
      <c r="G107" s="1303"/>
      <c r="H107" s="1303"/>
      <c r="I107" s="1303"/>
      <c r="J107" s="1303"/>
      <c r="K107" s="562"/>
      <c r="L107" s="1303"/>
      <c r="M107" s="1303"/>
    </row>
    <row r="108" spans="2:13" s="1280" customFormat="1" ht="12.65" customHeight="1" thickBot="1" x14ac:dyDescent="0.3">
      <c r="B108" s="1292"/>
      <c r="C108" s="563"/>
      <c r="D108" s="563"/>
      <c r="E108" s="563"/>
      <c r="F108" s="563"/>
      <c r="G108" s="563"/>
      <c r="H108" s="563"/>
      <c r="I108" s="563"/>
      <c r="J108" s="563"/>
      <c r="K108" s="564"/>
      <c r="L108" s="1303"/>
      <c r="M108" s="1303"/>
    </row>
    <row r="109" spans="2:13" s="1280" customFormat="1" ht="12.65" customHeight="1" thickTop="1" x14ac:dyDescent="0.25">
      <c r="B109" s="1284"/>
      <c r="C109" s="1302"/>
      <c r="D109" s="1285"/>
      <c r="L109" s="1303"/>
      <c r="M109" s="1303"/>
    </row>
    <row r="110" spans="2:13" x14ac:dyDescent="0.25">
      <c r="L110" s="1303"/>
      <c r="M110" s="1303"/>
    </row>
    <row r="111" spans="2:13" x14ac:dyDescent="0.25">
      <c r="L111" s="1303"/>
      <c r="M111" s="1303"/>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279400</xdr:colOff>
                <xdr:row>43</xdr:row>
                <xdr:rowOff>69850</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69850</xdr:rowOff>
              </from>
              <to>
                <xdr:col>4</xdr:col>
                <xdr:colOff>152400</xdr:colOff>
                <xdr:row>30</xdr:row>
                <xdr:rowOff>317500</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4</xdr:col>
                <xdr:colOff>152400</xdr:colOff>
                <xdr:row>44</xdr:row>
                <xdr:rowOff>63500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4</xdr:col>
                <xdr:colOff>152400</xdr:colOff>
                <xdr:row>30</xdr:row>
                <xdr:rowOff>76200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241300</xdr:colOff>
                <xdr:row>31</xdr:row>
                <xdr:rowOff>69850</xdr:rowOff>
              </from>
              <to>
                <xdr:col>4</xdr:col>
                <xdr:colOff>146050</xdr:colOff>
                <xdr:row>31</xdr:row>
                <xdr:rowOff>317500</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4</xdr:col>
                <xdr:colOff>146050</xdr:colOff>
                <xdr:row>33</xdr:row>
                <xdr:rowOff>63500</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241300</xdr:colOff>
                <xdr:row>32</xdr:row>
                <xdr:rowOff>165100</xdr:rowOff>
              </from>
              <to>
                <xdr:col>4</xdr:col>
                <xdr:colOff>146050</xdr:colOff>
                <xdr:row>34</xdr:row>
                <xdr:rowOff>76200</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241300</xdr:colOff>
                <xdr:row>33</xdr:row>
                <xdr:rowOff>152400</xdr:rowOff>
              </from>
              <to>
                <xdr:col>4</xdr:col>
                <xdr:colOff>146050</xdr:colOff>
                <xdr:row>35</xdr:row>
                <xdr:rowOff>63500</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241300</xdr:colOff>
                <xdr:row>34</xdr:row>
                <xdr:rowOff>152400</xdr:rowOff>
              </from>
              <to>
                <xdr:col>4</xdr:col>
                <xdr:colOff>146050</xdr:colOff>
                <xdr:row>36</xdr:row>
                <xdr:rowOff>63500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241300</xdr:colOff>
                <xdr:row>35</xdr:row>
                <xdr:rowOff>165100</xdr:rowOff>
              </from>
              <to>
                <xdr:col>4</xdr:col>
                <xdr:colOff>146050</xdr:colOff>
                <xdr:row>37</xdr:row>
                <xdr:rowOff>76200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165100</xdr:rowOff>
              </from>
              <to>
                <xdr:col>4</xdr:col>
                <xdr:colOff>152400</xdr:colOff>
                <xdr:row>40</xdr:row>
                <xdr:rowOff>82550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C26" sqref="C26"/>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28" t="s">
        <v>1066</v>
      </c>
      <c r="C2" s="729"/>
    </row>
    <row r="3" spans="2:9" x14ac:dyDescent="0.25">
      <c r="B3" s="730" t="s">
        <v>79</v>
      </c>
      <c r="C3" s="688"/>
    </row>
    <row r="4" spans="2:9" x14ac:dyDescent="0.25">
      <c r="B4" s="730" t="s">
        <v>918</v>
      </c>
      <c r="C4" s="688"/>
    </row>
    <row r="5" spans="2:9" x14ac:dyDescent="0.25">
      <c r="B5" s="730" t="s">
        <v>394</v>
      </c>
      <c r="C5" s="688"/>
    </row>
    <row r="6" spans="2:9" x14ac:dyDescent="0.25">
      <c r="B6" s="730" t="s">
        <v>1067</v>
      </c>
      <c r="C6" s="688"/>
    </row>
    <row r="7" spans="2:9" x14ac:dyDescent="0.25">
      <c r="B7" s="730" t="s">
        <v>402</v>
      </c>
      <c r="C7" s="688"/>
    </row>
    <row r="8" spans="2:9" x14ac:dyDescent="0.25">
      <c r="B8" s="730" t="s">
        <v>535</v>
      </c>
      <c r="C8" s="688"/>
    </row>
    <row r="9" spans="2:9" x14ac:dyDescent="0.25">
      <c r="B9" s="730" t="s">
        <v>1068</v>
      </c>
      <c r="C9" s="688"/>
    </row>
    <row r="10" spans="2:9" ht="13" thickBot="1" x14ac:dyDescent="0.3">
      <c r="B10" s="731" t="s">
        <v>1069</v>
      </c>
      <c r="C10" s="732"/>
    </row>
    <row r="11" spans="2:9" ht="13" thickTop="1" x14ac:dyDescent="0.25"/>
    <row r="12" spans="2:9" ht="25" x14ac:dyDescent="0.5">
      <c r="B12" s="428"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35" t="s">
        <v>1094</v>
      </c>
      <c r="C15" s="1036">
        <f ca="1">total_cap/(ProcEqpCap+CCSEqpCap)</f>
        <v>1.5463428204393757</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76" t="str">
        <f>IF(CO2_inUse = "Carbon Sequestration","Approximate Carbon Sequestration Costs*","Carbon Sequestration is not included in this case")</f>
        <v>Approximate Carbon Sequestration Costs*</v>
      </c>
      <c r="G17" s="1677"/>
      <c r="H17" s="1678"/>
      <c r="I17" s="134"/>
    </row>
    <row r="18" spans="2:9" ht="56.5" thickTop="1" x14ac:dyDescent="0.3">
      <c r="B18" s="152" t="s">
        <v>80</v>
      </c>
      <c r="C18" s="56" t="s">
        <v>81</v>
      </c>
      <c r="D18" s="427" t="s">
        <v>82</v>
      </c>
      <c r="E18" s="53"/>
      <c r="F18" s="1270" t="s">
        <v>80</v>
      </c>
      <c r="G18" s="1271" t="s">
        <v>2</v>
      </c>
      <c r="H18" s="1272" t="s">
        <v>3</v>
      </c>
      <c r="I18" s="134"/>
    </row>
    <row r="19" spans="2:9" ht="14" x14ac:dyDescent="0.3">
      <c r="B19" s="626" t="s">
        <v>83</v>
      </c>
      <c r="C19" s="835">
        <f ca="1">'Cash Flow Analysis'!D119</f>
        <v>0.27420577755225223</v>
      </c>
      <c r="D19" s="153">
        <f ca="1">'Cash Flow Analysis'!C119</f>
        <v>6.1173223521743043E-2</v>
      </c>
      <c r="E19" s="53"/>
      <c r="F19" s="1273" t="s">
        <v>83</v>
      </c>
      <c r="G19" s="1274">
        <f ca="1">IF(CO2_inUse = "Carbon Sequestration",ROUND((Det_CO2_seq+CO2_aprx_indCap)*CO2_cap_charge_rate/output_kgyear,2),"")</f>
        <v>0</v>
      </c>
      <c r="H19" s="1275" t="e">
        <f ca="1">IF(CO2_inUse = "Carbon Sequestration",CO2_capptonneCO2,"")</f>
        <v>#DIV/0!</v>
      </c>
      <c r="I19" s="134"/>
    </row>
    <row r="20" spans="2:9" ht="14" x14ac:dyDescent="0.3">
      <c r="B20" s="626" t="s">
        <v>84</v>
      </c>
      <c r="C20" s="234">
        <f ca="1">'Cash Flow Analysis'!D120</f>
        <v>1.4568931250610298E-3</v>
      </c>
      <c r="D20" s="154">
        <f ca="1">'Cash Flow Analysis'!C120</f>
        <v>3.2502177591668728E-4</v>
      </c>
      <c r="E20" s="53"/>
      <c r="F20" s="1273" t="s">
        <v>4</v>
      </c>
      <c r="G20" s="1274">
        <f ca="1">IF(CO2_inUse = "Carbon Sequestration",ROUND(Det_CO2_OandMcost/output_kgyear,2),"")</f>
        <v>0</v>
      </c>
      <c r="H20" s="1275" t="e">
        <f ca="1">IF(CO2_inUse = "Carbon Sequestration",CO2_OandMptonneCO2,"")</f>
        <v>#DIV/0!</v>
      </c>
      <c r="I20" s="134"/>
    </row>
    <row r="21" spans="2:9" ht="14" x14ac:dyDescent="0.3">
      <c r="B21" s="626" t="s">
        <v>85</v>
      </c>
      <c r="C21" s="234">
        <f ca="1">'Cash Flow Analysis'!D121</f>
        <v>0.23132576245804815</v>
      </c>
      <c r="D21" s="154">
        <f ca="1">'Cash Flow Analysis'!C121</f>
        <v>5.1607018274759851E-2</v>
      </c>
      <c r="E21" s="53"/>
      <c r="F21" s="1273" t="s">
        <v>5</v>
      </c>
      <c r="G21" s="1274">
        <f ca="1">IF(CO2_inUse = "Carbon Sequestration",ROUND(CO2_eCostpY/output_kgyear,2),"")</f>
        <v>0</v>
      </c>
      <c r="H21" s="1275" t="e">
        <f ca="1">IF(CO2_inUse = "Carbon Sequestration",CO2_energyptonneCO2,"")</f>
        <v>#DIV/0!</v>
      </c>
      <c r="I21" s="134"/>
    </row>
    <row r="22" spans="2:9" ht="14.5" thickBot="1" x14ac:dyDescent="0.35">
      <c r="B22" s="626" t="s">
        <v>1003</v>
      </c>
      <c r="C22" s="234">
        <f ca="1">'Cash Flow Analysis'!D122</f>
        <v>3.966007001977689</v>
      </c>
      <c r="D22" s="154">
        <f ca="1">'Cash Flow Analysis'!C122</f>
        <v>0.88478599899138577</v>
      </c>
      <c r="E22" s="53"/>
      <c r="F22" s="1276" t="s">
        <v>58</v>
      </c>
      <c r="G22" s="1277">
        <f ca="1">SUM(G19:G21)</f>
        <v>0</v>
      </c>
      <c r="H22" s="1278" t="e">
        <f ca="1">SUM(H19:H21)</f>
        <v>#DIV/0!</v>
      </c>
      <c r="I22" s="134"/>
    </row>
    <row r="23" spans="2:9" ht="27" customHeight="1" thickTop="1" x14ac:dyDescent="0.25">
      <c r="B23" s="626" t="s">
        <v>86</v>
      </c>
      <c r="C23" s="234">
        <f ca="1">'Cash Flow Analysis'!D123</f>
        <v>0</v>
      </c>
      <c r="D23" s="154">
        <f ca="1">'Cash Flow Analysis'!C123</f>
        <v>0</v>
      </c>
      <c r="E23" s="53"/>
      <c r="F23" s="1679" t="s">
        <v>6</v>
      </c>
      <c r="G23" s="1679"/>
      <c r="H23" s="1679"/>
      <c r="I23" s="134"/>
    </row>
    <row r="24" spans="2:9" x14ac:dyDescent="0.25">
      <c r="B24" s="626" t="s">
        <v>87</v>
      </c>
      <c r="C24" s="234">
        <f ca="1">'Cash Flow Analysis'!D124</f>
        <v>0</v>
      </c>
      <c r="D24" s="154">
        <f ca="1">'Cash Flow Analysis'!C124</f>
        <v>0</v>
      </c>
      <c r="E24" s="53"/>
      <c r="F24" s="53"/>
      <c r="I24" s="134"/>
    </row>
    <row r="25" spans="2:9" ht="25" x14ac:dyDescent="0.25">
      <c r="B25" s="627" t="s">
        <v>88</v>
      </c>
      <c r="C25" s="234">
        <f ca="1">'Cash Flow Analysis'!D125</f>
        <v>9.4523053561131939E-3</v>
      </c>
      <c r="D25" s="154">
        <f ca="1">'Cash Flow Analysis'!C125</f>
        <v>2.1087374361945938E-3</v>
      </c>
      <c r="E25" s="53"/>
      <c r="F25" s="53"/>
      <c r="I25" s="134"/>
    </row>
    <row r="26" spans="2:9" ht="13.5" thickBot="1" x14ac:dyDescent="0.35">
      <c r="B26" s="628" t="s">
        <v>58</v>
      </c>
      <c r="C26" s="836">
        <f ca="1">SUM(C19:C25)</f>
        <v>4.4824477404691638</v>
      </c>
      <c r="D26" s="567"/>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80" t="s">
        <v>918</v>
      </c>
      <c r="C30" s="1681"/>
      <c r="D30" s="610"/>
      <c r="E30" s="610"/>
      <c r="F30" s="610"/>
      <c r="G30" s="611"/>
      <c r="H30" s="611"/>
      <c r="I30" s="615"/>
    </row>
    <row r="31" spans="2:9" ht="42.5" thickBot="1" x14ac:dyDescent="0.3">
      <c r="B31" s="616" t="s">
        <v>248</v>
      </c>
      <c r="C31" s="617" t="s">
        <v>922</v>
      </c>
      <c r="D31" s="617" t="s">
        <v>917</v>
      </c>
      <c r="E31" s="618" t="s">
        <v>708</v>
      </c>
      <c r="F31" s="618" t="s">
        <v>264</v>
      </c>
      <c r="G31" s="618" t="s">
        <v>916</v>
      </c>
      <c r="H31" s="618" t="s">
        <v>933</v>
      </c>
      <c r="I31" s="619" t="s">
        <v>1192</v>
      </c>
    </row>
    <row r="32" spans="2:9" x14ac:dyDescent="0.25">
      <c r="B32" s="705" t="str">
        <f>IF('Cash Flow Analysis'!$B$131=0,"",'Cash Flow Analysis'!$B$131)</f>
        <v>Industrial Electricity</v>
      </c>
      <c r="C32" s="706">
        <f ca="1">IF($B$32="","",$E$32*$F$32*$H$32)</f>
        <v>0.18071999999999999</v>
      </c>
      <c r="D32" s="706">
        <f ca="1">IF($B32="","",$C32*1000*MJ_to_kWh)</f>
        <v>50.2</v>
      </c>
      <c r="E32" s="707">
        <f ca="1">IF($B$32&lt;&gt;"",VLOOKUP($B$32,MASTER_PROPERTY_TABLE,MATCH("H2A LHV (GJ/ H2A usage input unit)",key_MPTable,0),FALSE),"")</f>
        <v>3.5999999999999995E-3</v>
      </c>
      <c r="F32" s="707">
        <f ca="1">IF('Cash Flow Analysis'!$B$133="","",'Cash Flow Analysis'!$B$133)</f>
        <v>50.2</v>
      </c>
      <c r="G32" s="708" t="str">
        <f ca="1">IF($B$32&lt;&gt;"",VLOOKUP($B$32,MASTER_PROPERTY_TABLE,MATCH("H2A Usage Input Unit/ kg H2",key_MPTable,0),FALSE),"")</f>
        <v>kWh</v>
      </c>
      <c r="H32" s="708">
        <f ca="1">IF($B32="","",IF(VLOOKUP($B32,MASTER_PROPERTY_TABLE,MATCH("Unit System",key_MPTable,0),FALSE)="English",mmBTU_to_GJ,1))</f>
        <v>1</v>
      </c>
      <c r="I32" s="1220">
        <f ca="1">+'Cash Flow Analysis'!$B$233</f>
        <v>8.0505201892734343E-2</v>
      </c>
    </row>
    <row r="33" spans="2:9" x14ac:dyDescent="0.25">
      <c r="B33" s="659" t="str">
        <f>IF('Cash Flow Analysis'!$C$131=0,"",'Cash Flow Analysis'!$C$131)</f>
        <v/>
      </c>
      <c r="C33" s="709" t="str">
        <f>IF($B$33="","",$E$33*$F$33*$H$33)</f>
        <v/>
      </c>
      <c r="D33" s="709" t="str">
        <f>IF($B33="","",$C33*1000*MJ_to_kWh)</f>
        <v/>
      </c>
      <c r="E33" s="663" t="str">
        <f>IF($B$33&lt;&gt;"",VLOOKUP($B$33,MASTER_PROPERTY_TABLE,MATCH("H2A LHV (GJ/ H2A usage input unit)",key_MPTable,0),FALSE),"")</f>
        <v/>
      </c>
      <c r="F33" s="663" t="str">
        <f>IF('Cash Flow Analysis'!$C$133="","",'Cash Flow Analysis'!$C$133)</f>
        <v/>
      </c>
      <c r="G33" s="710" t="str">
        <f>IF($B$33&lt;&gt;"",VLOOKUP($B$33,MASTER_PROPERTY_TABLE,MATCH("H2A Usage Input Unit/ kg H2",key_MPTable,0),FALSE),"")</f>
        <v/>
      </c>
      <c r="H33" s="710" t="str">
        <f>IF($B$33="","",IF(VLOOKUP($B$33,MASTER_PROPERTY_TABLE,MATCH("Unit System",key_MPTable,0),FALSE)="English",mmBTU_to_GJ,1))</f>
        <v/>
      </c>
      <c r="I33" s="1221" t="str">
        <f>+'Cash Flow Analysis'!$C$233</f>
        <v/>
      </c>
    </row>
    <row r="34" spans="2:9" x14ac:dyDescent="0.25">
      <c r="B34" s="659" t="str">
        <f>IF('Cash Flow Analysis'!$D$131=0,"",'Cash Flow Analysis'!$D$131)</f>
        <v/>
      </c>
      <c r="C34" s="709" t="str">
        <f>IF($B$34="","",$E$34*$F$34*$H$34)</f>
        <v/>
      </c>
      <c r="D34" s="709" t="str">
        <f>IF($B34="","",$C34*1000*MJ_to_kWh)</f>
        <v/>
      </c>
      <c r="E34" s="663" t="str">
        <f>IF($B$34&lt;&gt;"",VLOOKUP($B$34,MASTER_PROPERTY_TABLE,MATCH("H2A LHV (GJ/ H2A usage input unit)",key_MPTable,0),FALSE),"")</f>
        <v/>
      </c>
      <c r="F34" s="663" t="str">
        <f>IF('Cash Flow Analysis'!$D$133="","",'Cash Flow Analysis'!$D$133)</f>
        <v/>
      </c>
      <c r="G34" s="710" t="str">
        <f>IF($B$34&lt;&gt;"",VLOOKUP($B$34,MASTER_PROPERTY_TABLE,MATCH("H2A Usage Input Unit/ kg H2",key_MPTable,0),FALSE),"")</f>
        <v/>
      </c>
      <c r="H34" s="710" t="str">
        <f>IF($B$34="","",IF(VLOOKUP($B$34,MASTER_PROPERTY_TABLE,MATCH("Unit System",key_MPTable,0),FALSE)="English",mmBTU_to_GJ,1))</f>
        <v/>
      </c>
      <c r="I34" s="1221" t="str">
        <f>+'Cash Flow Analysis'!$D$233</f>
        <v/>
      </c>
    </row>
    <row r="35" spans="2:9" ht="13" thickBot="1" x14ac:dyDescent="0.3">
      <c r="B35" s="712" t="str">
        <f>IF('Cash Flow Analysis'!$E$131=0,"",'Cash Flow Analysis'!$E$131)</f>
        <v/>
      </c>
      <c r="C35" s="713" t="str">
        <f>IF($B$35="","",$E$35*$F$35*$H$35)</f>
        <v/>
      </c>
      <c r="D35" s="713" t="str">
        <f>IF($B35="","",$C35*1000*MJ_to_kWh)</f>
        <v/>
      </c>
      <c r="E35" s="714" t="str">
        <f>IF($B$35&lt;&gt;"",VLOOKUP($B$35,MASTER_PROPERTY_TABLE,MATCH("H2A LHV (GJ/ H2A usage input unit)",key_MPTable,0),FALSE),"")</f>
        <v/>
      </c>
      <c r="F35" s="714" t="str">
        <f>IF('Cash Flow Analysis'!$E$133="","",'Cash Flow Analysis'!$E$133)</f>
        <v/>
      </c>
      <c r="G35" s="715" t="str">
        <f>IF($B$35&lt;&gt;"",VLOOKUP($B$35,MASTER_PROPERTY_TABLE,MATCH("H2A Usage Input Unit/ kg H2",key_MPTable,0),FALSE),"")</f>
        <v/>
      </c>
      <c r="H35" s="715" t="str">
        <f>IF($B$35="","",IF(VLOOKUP($B$35,MASTER_PROPERTY_TABLE,MATCH("Unit System",key_MPTable,0),FALSE)="English",mmBTU_to_GJ,1))</f>
        <v/>
      </c>
      <c r="I35" s="1222" t="str">
        <f>+'Cash Flow Analysis'!$E$233</f>
        <v/>
      </c>
    </row>
    <row r="36" spans="2:9" ht="14" x14ac:dyDescent="0.3">
      <c r="B36" s="716" t="s">
        <v>271</v>
      </c>
      <c r="C36" s="717"/>
      <c r="D36" s="717"/>
      <c r="E36" s="623"/>
      <c r="F36" s="623"/>
      <c r="G36" s="624"/>
      <c r="H36" s="624"/>
      <c r="I36" s="1223"/>
    </row>
    <row r="37" spans="2:9" x14ac:dyDescent="0.25">
      <c r="B37" s="659" t="str">
        <f>IF('Cash Flow Analysis'!$F$131=0,"",'Cash Flow Analysis'!$F$131)</f>
        <v/>
      </c>
      <c r="C37" s="709" t="str">
        <f>IF($B$37="","",$E$37*$F$37*$H$37)</f>
        <v/>
      </c>
      <c r="D37" s="709" t="str">
        <f>IF($B37="","",$C37*1000*MJ_to_kWh)</f>
        <v/>
      </c>
      <c r="E37" s="663" t="str">
        <f>IF($B37&lt;&gt;"",VLOOKUP($B37,MASTER_PROPERTY_TABLE,MATCH("H2A LHV (GJ/ H2A usage input unit)",key_MPTable,0),FALSE),"")</f>
        <v/>
      </c>
      <c r="F37" s="663" t="str">
        <f>IF('Cash Flow Analysis'!$F$133="","",'Cash Flow Analysis'!$F$133)</f>
        <v/>
      </c>
      <c r="G37" s="710" t="str">
        <f>IF($B$37&lt;&gt;"",VLOOKUP($B$37,MASTER_PROPERTY_TABLE,MATCH("H2A Usage Input Unit/ kg H2",key_MPTable,0),FALSE),"")</f>
        <v/>
      </c>
      <c r="H37" s="710" t="str">
        <f>IF($B$37="","",IF(VLOOKUP($B$37,MASTER_PROPERTY_TABLE,MATCH("Unit System",key_MPTable,0),FALSE)="English",mmBTU_to_GJ,1))</f>
        <v/>
      </c>
      <c r="I37" s="1221" t="str">
        <f>+'Cash Flow Analysis'!$F$233</f>
        <v/>
      </c>
    </row>
    <row r="38" spans="2:9" x14ac:dyDescent="0.25">
      <c r="B38" s="659" t="str">
        <f>IF('Cash Flow Analysis'!$G$131=0,"",'Cash Flow Analysis'!$G$131)</f>
        <v/>
      </c>
      <c r="C38" s="709" t="str">
        <f>IF($B$38="","",$E$38*$F$38*$H$38)</f>
        <v/>
      </c>
      <c r="D38" s="709" t="str">
        <f>IF($B38="","",$C38*1000*MJ_to_kWh)</f>
        <v/>
      </c>
      <c r="E38" s="663" t="str">
        <f>IF($B38&lt;&gt;"",VLOOKUP($B38,MASTER_PROPERTY_TABLE,MATCH("H2A LHV (GJ/ H2A usage input unit)",key_MPTable,0),FALSE),"")</f>
        <v/>
      </c>
      <c r="F38" s="663" t="str">
        <f>IF('Cash Flow Analysis'!$G$133="","",'Cash Flow Analysis'!$G$133)</f>
        <v/>
      </c>
      <c r="G38" s="710" t="str">
        <f>IF($B$38&lt;&gt;"",VLOOKUP($B$38,MASTER_PROPERTY_TABLE,MATCH("H2A Usage Input Unit/ kg H2",key_MPTable,0),FALSE),"")</f>
        <v/>
      </c>
      <c r="H38" s="710" t="str">
        <f>IF($B$38="","",IF(VLOOKUP($B$38,MASTER_PROPERTY_TABLE,MATCH("Unit System",key_MPTable,0),FALSE)="English",mmBTU_to_GJ,1))</f>
        <v/>
      </c>
      <c r="I38" s="1221" t="str">
        <f>+'Cash Flow Analysis'!$G$233</f>
        <v/>
      </c>
    </row>
    <row r="39" spans="2:9" x14ac:dyDescent="0.25">
      <c r="B39" s="659" t="str">
        <f>IF('Cash Flow Analysis'!$H$131=0,"",'Cash Flow Analysis'!$H$131)</f>
        <v/>
      </c>
      <c r="C39" s="709" t="str">
        <f>IF($B$39="","",$E$39*$F$39*$H$39)</f>
        <v/>
      </c>
      <c r="D39" s="709" t="str">
        <f>IF($B39="","",$C39*1000*MJ_to_kWh)</f>
        <v/>
      </c>
      <c r="E39" s="663" t="str">
        <f>IF($B39&lt;&gt;"",VLOOKUP($B39,MASTER_PROPERTY_TABLE,MATCH("H2A LHV (GJ/ H2A usage input unit)",key_MPTable,0),FALSE),"")</f>
        <v/>
      </c>
      <c r="F39" s="663" t="str">
        <f>IF('Cash Flow Analysis'!$H$133="","",'Cash Flow Analysis'!$H$133)</f>
        <v/>
      </c>
      <c r="G39" s="710" t="str">
        <f>IF($B$39&lt;&gt;"",VLOOKUP($B$39,MASTER_PROPERTY_TABLE,MATCH("H2A Usage Input Unit/ kg H2",key_MPTable,0),FALSE),"")</f>
        <v/>
      </c>
      <c r="H39" s="710" t="str">
        <f>IF($B$39="","",IF(VLOOKUP($B$39,MASTER_PROPERTY_TABLE,MATCH("Unit System",key_MPTable,0),FALSE)="English",mmBTU_to_GJ,1))</f>
        <v/>
      </c>
      <c r="I39" s="1221" t="str">
        <f>+'Cash Flow Analysis'!$H$233</f>
        <v/>
      </c>
    </row>
    <row r="40" spans="2:9" ht="13" thickBot="1" x14ac:dyDescent="0.3">
      <c r="B40" s="712" t="str">
        <f>IF('Cash Flow Analysis'!$I$131=0,"",'Cash Flow Analysis'!$I$131)</f>
        <v/>
      </c>
      <c r="C40" s="713" t="str">
        <f>IF($B$40="","",$E$40*$F$40*$H$40)</f>
        <v/>
      </c>
      <c r="D40" s="713" t="str">
        <f>IF($B40="","",$C40*1000*MJ_to_kWh)</f>
        <v/>
      </c>
      <c r="E40" s="714" t="str">
        <f>IF($B40&lt;&gt;"",VLOOKUP($B40,MASTER_PROPERTY_TABLE,MATCH("H2A LHV (GJ/ H2A usage input unit)",key_MPTable,0),FALSE),"")</f>
        <v/>
      </c>
      <c r="F40" s="714" t="str">
        <f>IF('Cash Flow Analysis'!$I$133="","",'Cash Flow Analysis'!$I$133)</f>
        <v/>
      </c>
      <c r="G40" s="715" t="str">
        <f>IF($B$40&lt;&gt;"",VLOOKUP($B$40,MASTER_PROPERTY_TABLE,MATCH("H2A Usage Input Unit/ kg H2",key_MPTable,0),FALSE),"")</f>
        <v/>
      </c>
      <c r="H40" s="715" t="str">
        <f>IF($B$40="","",IF(VLOOKUP($B$40,MASTER_PROPERTY_TABLE,MATCH("Unit System",key_MPTable,0),FALSE)="English",mmBTU_to_GJ,1))</f>
        <v/>
      </c>
      <c r="I40" s="1222" t="str">
        <f>+'Cash Flow Analysis'!$I$233</f>
        <v/>
      </c>
    </row>
    <row r="41" spans="2:9" ht="14" x14ac:dyDescent="0.3">
      <c r="B41" s="716" t="s">
        <v>400</v>
      </c>
      <c r="C41" s="717"/>
      <c r="D41" s="717"/>
      <c r="E41" s="623"/>
      <c r="F41" s="623"/>
      <c r="G41" s="624"/>
      <c r="H41" s="624"/>
      <c r="I41" s="625"/>
    </row>
    <row r="42" spans="2:9" ht="13" thickBot="1" x14ac:dyDescent="0.3">
      <c r="B42" s="612" t="str">
        <f ca="1">IF('Cash Flow Analysis'!$J$131=0,"",'Cash Flow Analysis'!$J$131)</f>
        <v/>
      </c>
      <c r="C42" s="681" t="str">
        <f ca="1">IF($B$42="","",$E$42*$F$42*$H$42)</f>
        <v/>
      </c>
      <c r="D42" s="681" t="str">
        <f ca="1">IF($B42="","",$C42*1000*MJ_to_kWh)</f>
        <v/>
      </c>
      <c r="E42" s="622" t="str">
        <f ca="1">IF($B42&lt;&gt;"",VLOOKUP($B42,MASTER_PROPERTY_TABLE,MATCH("H2A LHV (GJ/ H2A usage input unit)",key_MPTable,0),FALSE),"")</f>
        <v/>
      </c>
      <c r="F42" s="622">
        <f ca="1">CO2_CashFlow_eUse</f>
        <v>0</v>
      </c>
      <c r="G42" s="620" t="str">
        <f ca="1">IF($B$42&lt;&gt;"",VLOOKUP($B$42,MASTER_PROPERTY_TABLE,MATCH("H2A Usage Input Unit/ kg H2",key_MPTable,0),FALSE),"")</f>
        <v/>
      </c>
      <c r="H42" s="620" t="str">
        <f ca="1">IF($B42="","",IF(VLOOKUP($B42,MASTER_PROPERTY_TABLE,MATCH("Unit System",key_MPTable,0),FALSE)="English",mmBTU_to_GJ,1))</f>
        <v/>
      </c>
      <c r="I42" s="621"/>
    </row>
    <row r="43" spans="2:9" ht="43" thickTop="1" thickBot="1" x14ac:dyDescent="0.35">
      <c r="B43" s="700"/>
      <c r="C43" s="701" t="s">
        <v>923</v>
      </c>
      <c r="D43" s="702" t="s">
        <v>1000</v>
      </c>
      <c r="E43" s="703" t="s">
        <v>708</v>
      </c>
      <c r="F43" s="701" t="s">
        <v>915</v>
      </c>
      <c r="G43" s="703" t="s">
        <v>916</v>
      </c>
      <c r="H43" s="703" t="s">
        <v>933</v>
      </c>
      <c r="I43" s="704"/>
    </row>
    <row r="44" spans="2:9" ht="13" x14ac:dyDescent="0.3">
      <c r="B44" s="613" t="s">
        <v>924</v>
      </c>
      <c r="C44" s="681">
        <f>kgH2_to_GJ</f>
        <v>0.12021163829516093</v>
      </c>
      <c r="D44" s="681">
        <f>IF($B44="","",$C44*1000*MJ_to_kWh)</f>
        <v>33.392121748655818</v>
      </c>
      <c r="E44" s="622">
        <f>kgH2_to_GJ</f>
        <v>0.12021163829516093</v>
      </c>
      <c r="F44" s="622">
        <v>1</v>
      </c>
      <c r="G44" s="620" t="s">
        <v>268</v>
      </c>
      <c r="H44" s="620">
        <v>1</v>
      </c>
      <c r="I44" s="621"/>
    </row>
    <row r="45" spans="2:9" ht="13.5" thickBot="1" x14ac:dyDescent="0.35">
      <c r="B45" s="613"/>
      <c r="C45" s="682"/>
      <c r="D45" s="682"/>
      <c r="E45" s="622"/>
      <c r="F45" s="622"/>
      <c r="G45" s="620"/>
      <c r="H45" s="620"/>
      <c r="I45" s="621"/>
    </row>
    <row r="46" spans="2:9" ht="14" x14ac:dyDescent="0.3">
      <c r="B46" s="716" t="s">
        <v>919</v>
      </c>
      <c r="C46" s="717"/>
      <c r="D46" s="717"/>
      <c r="E46" s="623"/>
      <c r="F46" s="623"/>
      <c r="G46" s="624"/>
      <c r="H46" s="624"/>
      <c r="I46" s="625"/>
    </row>
    <row r="47" spans="2:9" x14ac:dyDescent="0.25">
      <c r="B47" s="659" t="str">
        <f>IF('Cash Flow Analysis'!$K$131=0,"",'Cash Flow Analysis'!$K$131)</f>
        <v/>
      </c>
      <c r="C47" s="709" t="str">
        <f>IF($B$47="","",$E$47*$F$47*$H$47)</f>
        <v/>
      </c>
      <c r="D47" s="709" t="str">
        <f>IF($B47="","",$C47*1000*MJ_to_kWh)</f>
        <v/>
      </c>
      <c r="E47" s="663" t="str">
        <f>IF($B47&lt;&gt;"",VLOOKUP($B47,MASTER_PROPERTY_TABLE,MATCH("H2A LHV (GJ/ H2A usage input unit)",key_MPTable,0),FALSE),"")</f>
        <v/>
      </c>
      <c r="F47" s="663" t="str">
        <f>IF('Cash Flow Analysis'!$K$133="","",'Cash Flow Analysis'!$K$133)</f>
        <v/>
      </c>
      <c r="G47" s="710" t="str">
        <f>IF($B$47&lt;&gt;"",VLOOKUP($B$47,MASTER_PROPERTY_TABLE,MATCH("H2A Usage Input Unit/ kg H2",key_MPTable,0),FALSE),"")</f>
        <v/>
      </c>
      <c r="H47" s="710" t="str">
        <f>IF($B$47="","",IF(VLOOKUP($B$47,MASTER_PROPERTY_TABLE,MATCH("Unit System",key_MPTable,0),FALSE)="English",mmBTU_to_GJ,1))</f>
        <v/>
      </c>
      <c r="I47" s="711" t="str">
        <f>+'Cash Flow Analysis'!$K$233</f>
        <v/>
      </c>
    </row>
    <row r="48" spans="2:9" x14ac:dyDescent="0.25">
      <c r="B48" s="659" t="str">
        <f>IF('Cash Flow Analysis'!$L$131=0,"",'Cash Flow Analysis'!$L$131)</f>
        <v/>
      </c>
      <c r="C48" s="709" t="str">
        <f>IF($B$48="","",$E$48*$F$48*$H$48)</f>
        <v/>
      </c>
      <c r="D48" s="709" t="str">
        <f>IF($B48="","",$C48*1000*MJ_to_kWh)</f>
        <v/>
      </c>
      <c r="E48" s="663" t="str">
        <f>IF($B48&lt;&gt;"",VLOOKUP($B48,MASTER_PROPERTY_TABLE,MATCH("H2A LHV (GJ/ H2A usage input unit)",key_MPTable,0),FALSE),"")</f>
        <v/>
      </c>
      <c r="F48" s="663" t="str">
        <f>IF('Cash Flow Analysis'!$L$133="","",'Cash Flow Analysis'!$L$133)</f>
        <v/>
      </c>
      <c r="G48" s="710" t="str">
        <f>IF($B$48&lt;&gt;"",VLOOKUP($B$48,MASTER_PROPERTY_TABLE,MATCH("H2A Usage Input Unit/ kg H2",key_MPTable,0),FALSE),"")</f>
        <v/>
      </c>
      <c r="H48" s="710" t="str">
        <f>IF($B$48="","",IF(VLOOKUP($B$48,MASTER_PROPERTY_TABLE,MATCH("Unit System",key_MPTable,0),FALSE)="English",mmBTU_to_GJ,1))</f>
        <v/>
      </c>
      <c r="I48" s="711" t="str">
        <f>+'Cash Flow Analysis'!$L$233</f>
        <v/>
      </c>
    </row>
    <row r="49" spans="2:9" x14ac:dyDescent="0.25">
      <c r="B49" s="659" t="str">
        <f>IF('Cash Flow Analysis'!$M$131=0,"",'Cash Flow Analysis'!$M$131)</f>
        <v/>
      </c>
      <c r="C49" s="709" t="str">
        <f>IF($B$49="","",$E$49*$F$49*$H$49)</f>
        <v/>
      </c>
      <c r="D49" s="709" t="str">
        <f>IF($B49="","",$C49*1000*MJ_to_kWh)</f>
        <v/>
      </c>
      <c r="E49" s="663" t="str">
        <f>IF($B49&lt;&gt;"",VLOOKUP($B49,MASTER_PROPERTY_TABLE,MATCH("H2A LHV (GJ/ H2A usage input unit)",key_MPTable,0),FALSE),"")</f>
        <v/>
      </c>
      <c r="F49" s="663" t="str">
        <f>IF('Cash Flow Analysis'!$M$133="","",'Cash Flow Analysis'!$M$133)</f>
        <v/>
      </c>
      <c r="G49" s="710" t="str">
        <f>IF($B$49&lt;&gt;"",VLOOKUP($B$49,MASTER_PROPERTY_TABLE,MATCH("H2A Usage Input Unit/ kg H2",key_MPTable,0),FALSE),"")</f>
        <v/>
      </c>
      <c r="H49" s="710" t="str">
        <f>IF($B$49="","",IF(VLOOKUP($B$49,MASTER_PROPERTY_TABLE,MATCH("Unit System",key_MPTable,0),FALSE)="English",mmBTU_to_GJ,1))</f>
        <v/>
      </c>
      <c r="I49" s="711" t="str">
        <f>+'Cash Flow Analysis'!$M$233</f>
        <v/>
      </c>
    </row>
    <row r="50" spans="2:9" ht="13" thickBot="1" x14ac:dyDescent="0.3">
      <c r="B50" s="660" t="str">
        <f>IF('Cash Flow Analysis'!$N$131=0,"",'Cash Flow Analysis'!$N$131)</f>
        <v/>
      </c>
      <c r="C50" s="718" t="str">
        <f>IF($B$50="","",$E$50*$F$50*$H$50)</f>
        <v/>
      </c>
      <c r="D50" s="718" t="str">
        <f>IF($B50="","",$C50*1000*MJ_to_kWh)</f>
        <v/>
      </c>
      <c r="E50" s="674" t="str">
        <f>IF($B50&lt;&gt;"",VLOOKUP($B50,MASTER_PROPERTY_TABLE,MATCH("H2A LHV (GJ/ H2A usage input unit)",key_MPTable,0),FALSE),"")</f>
        <v/>
      </c>
      <c r="F50" s="674" t="str">
        <f>IF('Cash Flow Analysis'!$N$133="","",'Cash Flow Analysis'!$N$133)</f>
        <v/>
      </c>
      <c r="G50" s="719" t="str">
        <f>IF($B$50&lt;&gt;"",VLOOKUP($B$50,MASTER_PROPERTY_TABLE,MATCH("H2A Usage Input Unit/ kg H2",key_MPTable,0),FALSE),"")</f>
        <v/>
      </c>
      <c r="H50" s="719" t="str">
        <f>IF($B$50="","",IF(VLOOKUP($B$50,MASTER_PROPERTY_TABLE,MATCH("Unit System",key_MPTable,0),FALSE)="English",mmBTU_to_GJ,1))</f>
        <v/>
      </c>
      <c r="I50" s="720" t="str">
        <f>+'Cash Flow Analysis'!$N$233</f>
        <v/>
      </c>
    </row>
    <row r="51" spans="2:9" ht="13.5" thickTop="1" thickBot="1" x14ac:dyDescent="0.3"/>
    <row r="52" spans="2:9" ht="16" thickBot="1" x14ac:dyDescent="0.4">
      <c r="B52" s="1682" t="s">
        <v>394</v>
      </c>
      <c r="C52" s="1683"/>
      <c r="D52" s="312">
        <f ca="1">(C56+C57)/(C53+C54+C55)</f>
        <v>0.66518170814055411</v>
      </c>
      <c r="F52" s="28"/>
    </row>
    <row r="53" spans="2:9" ht="25" x14ac:dyDescent="0.25">
      <c r="B53" s="568" t="s">
        <v>597</v>
      </c>
      <c r="C53" s="569">
        <f ca="1">SUM(C32:C35)</f>
        <v>0.18071999999999999</v>
      </c>
      <c r="D53" s="570"/>
    </row>
    <row r="54" spans="2:9" x14ac:dyDescent="0.25">
      <c r="B54" s="571" t="s">
        <v>598</v>
      </c>
      <c r="C54" s="572">
        <f>SUM(C37:C40)</f>
        <v>0</v>
      </c>
      <c r="D54" s="573"/>
    </row>
    <row r="55" spans="2:9" ht="25" x14ac:dyDescent="0.25">
      <c r="B55" s="571" t="s">
        <v>395</v>
      </c>
      <c r="C55" s="572">
        <f ca="1">IF(C42="",0,C42)</f>
        <v>0</v>
      </c>
      <c r="D55" s="573"/>
    </row>
    <row r="56" spans="2:9" x14ac:dyDescent="0.25">
      <c r="B56" s="571" t="s">
        <v>599</v>
      </c>
      <c r="C56" s="572">
        <f>C44</f>
        <v>0.12021163829516093</v>
      </c>
      <c r="D56" s="573"/>
    </row>
    <row r="57" spans="2:9" ht="25.5" thickBot="1" x14ac:dyDescent="0.3">
      <c r="B57" s="574" t="s">
        <v>600</v>
      </c>
      <c r="C57" s="575">
        <f>SUM(C47:C50)</f>
        <v>0</v>
      </c>
      <c r="D57" s="576"/>
    </row>
    <row r="58" spans="2:9" ht="13" thickBot="1" x14ac:dyDescent="0.3"/>
    <row r="59" spans="2:9" ht="16.5" thickTop="1" thickBot="1" x14ac:dyDescent="0.4">
      <c r="B59" s="1680" t="s">
        <v>396</v>
      </c>
      <c r="C59" s="1681"/>
      <c r="D59" s="610"/>
      <c r="E59" s="629"/>
    </row>
    <row r="60" spans="2:9" ht="13" x14ac:dyDescent="0.3">
      <c r="B60" s="613" t="s">
        <v>248</v>
      </c>
      <c r="C60" s="577" t="s">
        <v>397</v>
      </c>
      <c r="D60" s="577" t="s">
        <v>398</v>
      </c>
      <c r="E60" s="630" t="s">
        <v>399</v>
      </c>
    </row>
    <row r="61" spans="2:9" x14ac:dyDescent="0.25">
      <c r="B61" s="612" t="str">
        <f>B32</f>
        <v>Industrial Electricity</v>
      </c>
      <c r="C61" s="677">
        <f ca="1">IF($B61="","",$C32/1000000*VLOOKUP($B61,Tbl_Emissions,3,FALSE))</f>
        <v>0.31130024000000001</v>
      </c>
      <c r="D61" s="677">
        <f ca="1">IF($B61="","",$C32/1000000*VLOOKUP($B61,Tbl_Emissions,4,FALSE))</f>
        <v>0.23381151999999999</v>
      </c>
      <c r="E61" s="678">
        <f ca="1">IF($B61="","",$C32/1000000*VLOOKUP($B61,Tbl_Emissions,5,FALSE))</f>
        <v>2.7760599999999999E-3</v>
      </c>
    </row>
    <row r="62" spans="2:9" x14ac:dyDescent="0.25">
      <c r="B62" s="612" t="str">
        <f>B33</f>
        <v/>
      </c>
      <c r="C62" s="677" t="str">
        <f>IF($B62="","",$C33/1000000*VLOOKUP($B62,Tbl_Emissions,3,FALSE))</f>
        <v/>
      </c>
      <c r="D62" s="677" t="str">
        <f>IF($B62="","",$C33/1000000*VLOOKUP($B62,Tbl_Emissions,4,FALSE))</f>
        <v/>
      </c>
      <c r="E62" s="678" t="str">
        <f>IF($B62="","",$C33/1000000*VLOOKUP($B62,Tbl_Emissions,5,FALSE))</f>
        <v/>
      </c>
    </row>
    <row r="63" spans="2:9" x14ac:dyDescent="0.25">
      <c r="B63" s="612" t="str">
        <f>B34</f>
        <v/>
      </c>
      <c r="C63" s="677" t="str">
        <f>IF($B63="","",$C34/1000000*VLOOKUP($B63,Tbl_Emissions,3,FALSE))</f>
        <v/>
      </c>
      <c r="D63" s="677" t="str">
        <f>IF($B63="","",$C34/1000000*VLOOKUP($B63,Tbl_Emissions,4,FALSE))</f>
        <v/>
      </c>
      <c r="E63" s="678" t="str">
        <f>IF($B63="","",$C34/1000000*VLOOKUP($B63,Tbl_Emissions,5,FALSE))</f>
        <v/>
      </c>
    </row>
    <row r="64" spans="2:9" x14ac:dyDescent="0.25">
      <c r="B64" s="612" t="str">
        <f>B35</f>
        <v/>
      </c>
      <c r="C64" s="677" t="str">
        <f>IF($B64="","",$C35/1000000*VLOOKUP($B64,Tbl_Emissions,3,FALSE))</f>
        <v/>
      </c>
      <c r="D64" s="677" t="str">
        <f>IF($B64="","",$C35/1000000*VLOOKUP($B64,Tbl_Emissions,4,FALSE))</f>
        <v/>
      </c>
      <c r="E64" s="678" t="str">
        <f>IF($B64="","",$C35/1000000*VLOOKUP($B64,Tbl_Emissions,5,FALSE))</f>
        <v/>
      </c>
    </row>
    <row r="65" spans="2:7" ht="13" x14ac:dyDescent="0.3">
      <c r="B65" s="613" t="s">
        <v>271</v>
      </c>
      <c r="C65" s="721"/>
      <c r="D65" s="721"/>
      <c r="E65" s="722"/>
    </row>
    <row r="66" spans="2:7" x14ac:dyDescent="0.25">
      <c r="B66" s="612" t="str">
        <f>B37</f>
        <v/>
      </c>
      <c r="C66" s="677" t="str">
        <f>IF($B66="","",$C37/1000000*VLOOKUP($B66,Tbl_Emissions,3,FALSE))</f>
        <v/>
      </c>
      <c r="D66" s="677" t="str">
        <f>IF($B66="","",$C37/1000000*VLOOKUP($B66,Tbl_Emissions,4,FALSE))</f>
        <v/>
      </c>
      <c r="E66" s="678" t="str">
        <f>IF($B66="","",$C37/1000000*VLOOKUP($B66,Tbl_Emissions,5,FALSE))</f>
        <v/>
      </c>
    </row>
    <row r="67" spans="2:7" x14ac:dyDescent="0.25">
      <c r="B67" s="612" t="str">
        <f>B38</f>
        <v/>
      </c>
      <c r="C67" s="677" t="str">
        <f>IF($B67="","",$C38/1000000*VLOOKUP($B67,Tbl_Emissions,3,FALSE))</f>
        <v/>
      </c>
      <c r="D67" s="677" t="str">
        <f>IF($B67="","",$C38/1000000*VLOOKUP($B67,Tbl_Emissions,4,FALSE))</f>
        <v/>
      </c>
      <c r="E67" s="678" t="str">
        <f>IF($B67="","",$C38/1000000*VLOOKUP($B67,Tbl_Emissions,5,FALSE))</f>
        <v/>
      </c>
    </row>
    <row r="68" spans="2:7" x14ac:dyDescent="0.25">
      <c r="B68" s="612" t="str">
        <f>B39</f>
        <v/>
      </c>
      <c r="C68" s="677" t="str">
        <f>IF($B68="","",$C39/1000000*VLOOKUP($B68,Tbl_Emissions,3,FALSE))</f>
        <v/>
      </c>
      <c r="D68" s="677" t="str">
        <f>IF($B68="","",$C39/1000000*VLOOKUP($B68,Tbl_Emissions,4,FALSE))</f>
        <v/>
      </c>
      <c r="E68" s="678" t="str">
        <f>IF($B68="","",$C39/1000000*VLOOKUP($B68,Tbl_Emissions,5,FALSE))</f>
        <v/>
      </c>
    </row>
    <row r="69" spans="2:7" x14ac:dyDescent="0.25">
      <c r="B69" s="612" t="str">
        <f>B40</f>
        <v/>
      </c>
      <c r="C69" s="677" t="str">
        <f>IF($B69="","",$C40/1000000*VLOOKUP($B69,Tbl_Emissions,3,FALSE))</f>
        <v/>
      </c>
      <c r="D69" s="677" t="str">
        <f>IF($B69="","",$C40/1000000*VLOOKUP($B69,Tbl_Emissions,4,FALSE))</f>
        <v/>
      </c>
      <c r="E69" s="678" t="str">
        <f>IF($B69="","",$C40/1000000*VLOOKUP($B69,Tbl_Emissions,5,FALSE))</f>
        <v/>
      </c>
    </row>
    <row r="70" spans="2:7" ht="13" x14ac:dyDescent="0.3">
      <c r="B70" s="723" t="s">
        <v>400</v>
      </c>
      <c r="C70" s="721"/>
      <c r="D70" s="721"/>
      <c r="E70" s="722"/>
    </row>
    <row r="71" spans="2:7" ht="13" thickBot="1" x14ac:dyDescent="0.3">
      <c r="B71" s="614" t="str">
        <f ca="1">B42</f>
        <v/>
      </c>
      <c r="C71" s="679" t="str">
        <f ca="1">IF($B71="","",$C42/1000000*VLOOKUP($B71,Tbl_Emissions,3,FALSE))</f>
        <v/>
      </c>
      <c r="D71" s="679" t="str">
        <f ca="1">IF($B71="","",$C42/1000000*VLOOKUP($B71,Tbl_Emissions,4,FALSE))</f>
        <v/>
      </c>
      <c r="E71" s="680"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3" t="s">
        <v>402</v>
      </c>
      <c r="C76" s="684"/>
      <c r="D76" s="685" t="s">
        <v>403</v>
      </c>
      <c r="E76" s="686" t="s">
        <v>404</v>
      </c>
      <c r="F76" s="686" t="s">
        <v>405</v>
      </c>
      <c r="G76" s="687" t="s">
        <v>406</v>
      </c>
    </row>
    <row r="77" spans="2:7" x14ac:dyDescent="0.25">
      <c r="B77" s="1686" t="s">
        <v>539</v>
      </c>
      <c r="C77" s="1687"/>
      <c r="D77" s="689">
        <f ca="1">C121</f>
        <v>22.722327200000002</v>
      </c>
      <c r="E77" s="693">
        <f ca="1">D121</f>
        <v>3.6967721760000002E-2</v>
      </c>
      <c r="F77" s="693">
        <f ca="1">E121</f>
        <v>3.2449079200000001E-4</v>
      </c>
      <c r="G77" s="694">
        <f ca="1">F121</f>
        <v>23.743218500016003</v>
      </c>
    </row>
    <row r="78" spans="2:7" x14ac:dyDescent="0.25">
      <c r="B78" s="1684" t="s">
        <v>538</v>
      </c>
      <c r="C78" s="1685"/>
      <c r="D78" s="690">
        <f ca="1">D89</f>
        <v>0</v>
      </c>
      <c r="E78" s="695">
        <f ca="1">E89</f>
        <v>0</v>
      </c>
      <c r="F78" s="695">
        <f ca="1">F89</f>
        <v>0</v>
      </c>
      <c r="G78" s="696">
        <f ca="1">G89</f>
        <v>0</v>
      </c>
    </row>
    <row r="79" spans="2:7" x14ac:dyDescent="0.25">
      <c r="B79" s="1684"/>
      <c r="C79" s="1685"/>
      <c r="D79" s="691"/>
      <c r="E79" s="522"/>
      <c r="F79" s="522"/>
      <c r="G79" s="697"/>
    </row>
    <row r="80" spans="2:7" ht="13" thickBot="1" x14ac:dyDescent="0.3">
      <c r="B80" s="1688" t="s">
        <v>540</v>
      </c>
      <c r="C80" s="1689"/>
      <c r="D80" s="692">
        <f ca="1">SUM(D77:D79)</f>
        <v>22.722327200000002</v>
      </c>
      <c r="E80" s="698">
        <f ca="1">SUM(E77:E79)</f>
        <v>3.6967721760000002E-2</v>
      </c>
      <c r="F80" s="698">
        <f ca="1">SUM(F77:F79)</f>
        <v>3.2449079200000001E-4</v>
      </c>
      <c r="G80" s="699">
        <f ca="1">SUM(G77:G79)</f>
        <v>23.743218500016003</v>
      </c>
    </row>
    <row r="81" spans="2:7" ht="13.5" thickTop="1" thickBot="1" x14ac:dyDescent="0.3"/>
    <row r="82" spans="2:7" ht="16.5" thickTop="1" thickBot="1" x14ac:dyDescent="0.4">
      <c r="B82" s="425" t="s">
        <v>535</v>
      </c>
      <c r="C82" s="426"/>
      <c r="D82" s="647" t="s">
        <v>403</v>
      </c>
      <c r="E82" s="648" t="s">
        <v>404</v>
      </c>
      <c r="F82" s="648" t="s">
        <v>405</v>
      </c>
      <c r="G82" s="649" t="s">
        <v>406</v>
      </c>
    </row>
    <row r="83" spans="2:7" x14ac:dyDescent="0.25">
      <c r="B83" s="1686" t="s">
        <v>235</v>
      </c>
      <c r="C83" s="1687"/>
      <c r="D83" s="650">
        <f ca="1">SUM(C95:C105)</f>
        <v>0</v>
      </c>
      <c r="E83" s="650">
        <f ca="1">SUM(D95:D105)</f>
        <v>0</v>
      </c>
      <c r="F83" s="650">
        <f ca="1">SUM(E95:E105)</f>
        <v>0</v>
      </c>
      <c r="G83" s="651">
        <f ca="1">SUM(F95:F105)</f>
        <v>0</v>
      </c>
    </row>
    <row r="84" spans="2:7" x14ac:dyDescent="0.25">
      <c r="B84" s="1684" t="s">
        <v>236</v>
      </c>
      <c r="C84" s="1685"/>
      <c r="D84" s="652">
        <f ca="1">ROUND(D83*output_kgyear/1000,-2)</f>
        <v>0</v>
      </c>
      <c r="E84" s="652">
        <f ca="1">ROUND(E83*output_kgyear/1000,-2)</f>
        <v>0</v>
      </c>
      <c r="F84" s="652">
        <f ca="1">ROUND(F83*output_kgyear/1000,-2)</f>
        <v>0</v>
      </c>
      <c r="G84" s="653">
        <f ca="1">ROUND(G83*output_kgyear/1000,-2)</f>
        <v>0</v>
      </c>
    </row>
    <row r="85" spans="2:7" x14ac:dyDescent="0.25">
      <c r="B85" s="1684" t="s">
        <v>237</v>
      </c>
      <c r="C85" s="1685"/>
      <c r="D85" s="654">
        <f ca="1">SUM(C95:C98)</f>
        <v>0</v>
      </c>
      <c r="E85" s="654">
        <f ca="1">SUM(D95:D98)</f>
        <v>0</v>
      </c>
      <c r="F85" s="654">
        <f ca="1">SUM(E95:E98)</f>
        <v>0</v>
      </c>
      <c r="G85" s="655">
        <f ca="1">SUM(F95:F98)</f>
        <v>0</v>
      </c>
    </row>
    <row r="86" spans="2:7" x14ac:dyDescent="0.25">
      <c r="B86" s="1684" t="s">
        <v>238</v>
      </c>
      <c r="C86" s="1685"/>
      <c r="D86" s="652">
        <f ca="1">ROUND(D85*output_kgyear/1000,-2)</f>
        <v>0</v>
      </c>
      <c r="E86" s="652">
        <f ca="1">ROUND(E85*output_kgyear/1000,-2)</f>
        <v>0</v>
      </c>
      <c r="F86" s="652">
        <f ca="1">ROUND(F85*output_kgyear/1000,-2)</f>
        <v>0</v>
      </c>
      <c r="G86" s="653">
        <f ca="1">ROUND(G85*output_kgyear/1000,-2)</f>
        <v>0</v>
      </c>
    </row>
    <row r="87" spans="2:7" x14ac:dyDescent="0.25">
      <c r="B87" s="771" t="s">
        <v>240</v>
      </c>
      <c r="C87" s="772"/>
      <c r="D87" s="821">
        <f ca="1">IF(CO2_CashFlow_eUse&gt;0,D85*CO2_Capture_Efficiency,0)</f>
        <v>0</v>
      </c>
      <c r="E87" s="652"/>
      <c r="F87" s="652"/>
      <c r="G87" s="822"/>
    </row>
    <row r="88" spans="2:7" x14ac:dyDescent="0.25">
      <c r="B88" s="1684" t="s">
        <v>241</v>
      </c>
      <c r="C88" s="1685"/>
      <c r="D88" s="652">
        <f ca="1">ROUND(D87*output_kgyear/1000,-2)</f>
        <v>0</v>
      </c>
      <c r="E88" s="652"/>
      <c r="F88" s="652"/>
      <c r="G88" s="653"/>
    </row>
    <row r="89" spans="2:7" x14ac:dyDescent="0.25">
      <c r="B89" s="1684" t="s">
        <v>239</v>
      </c>
      <c r="C89" s="1685"/>
      <c r="D89" s="821">
        <f ca="1">D83-D87</f>
        <v>0</v>
      </c>
      <c r="E89" s="652">
        <f ca="1">E83-E87</f>
        <v>0</v>
      </c>
      <c r="F89" s="652">
        <f ca="1">F83-F87</f>
        <v>0</v>
      </c>
      <c r="G89" s="822">
        <f ca="1">D89*GHG_CO2_factor + E89*GHG_CH4_factor + F89*GHG_N2O_factor</f>
        <v>0</v>
      </c>
    </row>
    <row r="90" spans="2:7" ht="13" thickBot="1" x14ac:dyDescent="0.3">
      <c r="B90" s="1688" t="s">
        <v>1058</v>
      </c>
      <c r="C90" s="1689"/>
      <c r="D90" s="656">
        <f ca="1">ROUND(D89*output_kgyear/1000,-2)</f>
        <v>0</v>
      </c>
      <c r="E90" s="656">
        <f ca="1">ROUND(E89*output_kgyear/1000,-2)</f>
        <v>0</v>
      </c>
      <c r="F90" s="656">
        <f ca="1">ROUND(F89*output_kgyear/1000,-2)</f>
        <v>0</v>
      </c>
      <c r="G90" s="657">
        <f ca="1">ROUND(G89*output_kgyear/1000,-2)</f>
        <v>0</v>
      </c>
    </row>
    <row r="91" spans="2:7" ht="13" thickTop="1" x14ac:dyDescent="0.25">
      <c r="B91" t="s">
        <v>242</v>
      </c>
    </row>
    <row r="92" spans="2:7" ht="13" thickBot="1" x14ac:dyDescent="0.3"/>
    <row r="93" spans="2:7" ht="16.5" thickTop="1" thickBot="1" x14ac:dyDescent="0.4">
      <c r="B93" s="1680" t="s">
        <v>536</v>
      </c>
      <c r="C93" s="1681"/>
      <c r="D93" s="610"/>
      <c r="E93" s="610"/>
      <c r="F93" s="629"/>
    </row>
    <row r="94" spans="2:7" ht="13" x14ac:dyDescent="0.3">
      <c r="B94" s="658" t="s">
        <v>248</v>
      </c>
      <c r="C94" s="661" t="s">
        <v>403</v>
      </c>
      <c r="D94" s="661" t="s">
        <v>404</v>
      </c>
      <c r="E94" s="661" t="s">
        <v>405</v>
      </c>
      <c r="F94" s="662" t="s">
        <v>406</v>
      </c>
    </row>
    <row r="95" spans="2:7" x14ac:dyDescent="0.25">
      <c r="B95" s="659" t="str">
        <f>B32</f>
        <v>Industrial Electricity</v>
      </c>
      <c r="C95" s="663">
        <f ca="1">IF($B95="","",VLOOKUP($B95,MASTER_PROPERTY_TABLE,MATCH("CO2 Emissions Factor (kg CO2 produced/GJ feed)",key_MPTable,0),FALSE)*$E32*$F32)</f>
        <v>0</v>
      </c>
      <c r="D95" s="668">
        <f ca="1">IF($B95="","",VLOOKUP($B95,MASTER_PROPERTY_TABLE,MATCH("CH4 Emissions Factor (kg CH4 produced/GJ or mmBtu feed)",key_MPTable,0),FALSE)*$E32*$F32)</f>
        <v>0</v>
      </c>
      <c r="E95" s="668">
        <f ca="1">IF($B95="","",VLOOKUP($B95,MASTER_PROPERTY_TABLE,MATCH("N2O Emissions Factor (kg N2O produced/GJ or mmBtu feed)",key_MPTable,0),FALSE)*$E32*$F32)</f>
        <v>0</v>
      </c>
      <c r="F95" s="671">
        <f ca="1">IF($B95="","",$C95*GHG_CO2_factor+$D95*GHG_CH4_factor+$E95*GHG_N2O_factor)</f>
        <v>0</v>
      </c>
    </row>
    <row r="96" spans="2:7" x14ac:dyDescent="0.25">
      <c r="B96" s="659" t="str">
        <f>B33</f>
        <v/>
      </c>
      <c r="C96" s="663" t="str">
        <f>IF($B96="","",VLOOKUP($B96,MASTER_PROPERTY_TABLE,MATCH("CO2 Emissions Factor (kg CO2 produced/GJ feed)",key_MPTable,0),FALSE)*$E33*$F33)</f>
        <v/>
      </c>
      <c r="D96" s="668" t="str">
        <f>IF($B96="","",VLOOKUP($B96,MASTER_PROPERTY_TABLE,MATCH("CH4 Emissions Factor (kg CH4 produced/GJ or mmBtu feed)",key_MPTable,0),FALSE)*$E33*$F33)</f>
        <v/>
      </c>
      <c r="E96" s="668" t="str">
        <f>IF($B96="","",VLOOKUP($B96,MASTER_PROPERTY_TABLE,MATCH("N2O Emissions Factor (kg N2O produced/GJ or mmBtu feed)",key_MPTable,0),FALSE)*$E33*$F33)</f>
        <v/>
      </c>
      <c r="F96" s="671" t="str">
        <f>IF($B96="","",$C96*GHG_CO2_factor+$D96*GHG_CH4_factor+$E96*GHG_N2O_factor)</f>
        <v/>
      </c>
    </row>
    <row r="97" spans="2:6" x14ac:dyDescent="0.25">
      <c r="B97" s="659" t="str">
        <f>B34</f>
        <v/>
      </c>
      <c r="C97" s="663" t="str">
        <f>IF($B97="","",VLOOKUP($B97,MASTER_PROPERTY_TABLE,MATCH("CO2 Emissions Factor (kg CO2 produced/GJ feed)",key_MPTable,0),FALSE)*$E34*$F34)</f>
        <v/>
      </c>
      <c r="D97" s="668" t="str">
        <f>IF($B97="","",VLOOKUP($B97,MASTER_PROPERTY_TABLE,MATCH("CH4 Emissions Factor (kg CH4 produced/GJ or mmBtu feed)",key_MPTable,0),FALSE)*$E34*$F34)</f>
        <v/>
      </c>
      <c r="E97" s="668" t="str">
        <f>IF($B97="","",VLOOKUP($B97,MASTER_PROPERTY_TABLE,MATCH("N2O Emissions Factor (kg N2O produced/GJ or mmBtu feed)",key_MPTable,0),FALSE)*$E34*$F34)</f>
        <v/>
      </c>
      <c r="F97" s="671" t="str">
        <f>IF($B97="","",$C97*GHG_CO2_factor+$D97*GHG_CH4_factor+$E97*GHG_N2O_factor)</f>
        <v/>
      </c>
    </row>
    <row r="98" spans="2:6" x14ac:dyDescent="0.25">
      <c r="B98" s="659" t="str">
        <f>B35</f>
        <v/>
      </c>
      <c r="C98" s="663" t="str">
        <f>IF($B98="","",VLOOKUP($B98,MASTER_PROPERTY_TABLE,MATCH("CO2 Emissions Factor (kg CO2 produced/GJ feed)",key_MPTable,0),FALSE)*$E35*$F35)</f>
        <v/>
      </c>
      <c r="D98" s="668" t="str">
        <f>IF($B98="","",VLOOKUP($B98,MASTER_PROPERTY_TABLE,MATCH("CH4 Emissions Factor (kg CH4 produced/GJ or mmBtu feed)",key_MPTable,0),FALSE)*$E35*$F35)</f>
        <v/>
      </c>
      <c r="E98" s="668" t="str">
        <f>IF($B98="","",VLOOKUP($B98,MASTER_PROPERTY_TABLE,MATCH("N2O Emissions Factor (kg N2O produced/GJ or mmBtu feed)",key_MPTable,0),FALSE)*$E35*$F35)</f>
        <v/>
      </c>
      <c r="F98" s="671" t="str">
        <f>IF($B98="","",$C98*GHG_CO2_factor+$D98*GHG_CH4_factor+$E98*GHG_N2O_factor)</f>
        <v/>
      </c>
    </row>
    <row r="99" spans="2:6" ht="13" x14ac:dyDescent="0.3">
      <c r="B99" s="724" t="s">
        <v>271</v>
      </c>
      <c r="C99" s="725"/>
      <c r="D99" s="726"/>
      <c r="E99" s="726"/>
      <c r="F99" s="727"/>
    </row>
    <row r="100" spans="2:6" x14ac:dyDescent="0.25">
      <c r="B100" s="659" t="str">
        <f>B37</f>
        <v/>
      </c>
      <c r="C100" s="663" t="str">
        <f>IF($B100="","",VLOOKUP($B100,MASTER_PROPERTY_TABLE,MATCH("CO2 Emissions Factor (kg CO2 produced/GJ feed)",key_MPTable,0),FALSE)*$E37*$F37)</f>
        <v/>
      </c>
      <c r="D100" s="668" t="str">
        <f>IF($B100="","",VLOOKUP($B100,MASTER_PROPERTY_TABLE,MATCH("CH4 Emissions Factor (kg CH4 produced/GJ or mmBtu feed)",key_MPTable,0),FALSE)*$E37*$F37)</f>
        <v/>
      </c>
      <c r="E100" s="668" t="str">
        <f>IF($B100="","",VLOOKUP($B100,MASTER_PROPERTY_TABLE,MATCH("N2O Emissions Factor (kg N2O produced/GJ or mmBtu feed)",key_MPTable,0),FALSE)*$E37*$F37)</f>
        <v/>
      </c>
      <c r="F100" s="671" t="str">
        <f>IF($B100="","",$C100*GHG_CO2_factor+$D100*GHG_CH4_factor+$E100*GHG_N2O_factor)</f>
        <v/>
      </c>
    </row>
    <row r="101" spans="2:6" x14ac:dyDescent="0.25">
      <c r="B101" s="659" t="str">
        <f>B38</f>
        <v/>
      </c>
      <c r="C101" s="663" t="str">
        <f>IF($B101="","",VLOOKUP($B101,MASTER_PROPERTY_TABLE,MATCH("CO2 Emissions Factor (kg CO2 produced/GJ feed)",key_MPTable,0),FALSE)*$E38*$F38)</f>
        <v/>
      </c>
      <c r="D101" s="668" t="str">
        <f>IF($B101="","",VLOOKUP($B101,MASTER_PROPERTY_TABLE,MATCH("CH4 Emissions Factor (kg CH4 produced/GJ or mmBtu feed)",key_MPTable,0),FALSE)*$E38*$F38)</f>
        <v/>
      </c>
      <c r="E101" s="668" t="str">
        <f>IF($B101="","",VLOOKUP($B101,MASTER_PROPERTY_TABLE,MATCH("N2O Emissions Factor (kg N2O produced/GJ or mmBtu feed)",key_MPTable,0),FALSE)*$E38*$F38)</f>
        <v/>
      </c>
      <c r="F101" s="671" t="str">
        <f>IF($B101="","",$C101*GHG_CO2_factor+$D101*GHG_CH4_factor+$E101*GHG_N2O_factor)</f>
        <v/>
      </c>
    </row>
    <row r="102" spans="2:6" x14ac:dyDescent="0.25">
      <c r="B102" s="659" t="str">
        <f>B39</f>
        <v/>
      </c>
      <c r="C102" s="663" t="str">
        <f>IF($B102="","",VLOOKUP($B102,MASTER_PROPERTY_TABLE,MATCH("CO2 Emissions Factor (kg CO2 produced/GJ feed)",key_MPTable,0),FALSE)*$E39*$F39)</f>
        <v/>
      </c>
      <c r="D102" s="668" t="str">
        <f>IF($B102="","",VLOOKUP($B102,MASTER_PROPERTY_TABLE,MATCH("CH4 Emissions Factor (kg CH4 produced/GJ or mmBtu feed)",key_MPTable,0),FALSE)*$E39*$F39)</f>
        <v/>
      </c>
      <c r="E102" s="668" t="str">
        <f>IF($B102="","",VLOOKUP($B102,MASTER_PROPERTY_TABLE,MATCH("N2O Emissions Factor (kg N2O produced/GJ or mmBtu feed)",key_MPTable,0),FALSE)*$E39*$F39)</f>
        <v/>
      </c>
      <c r="F102" s="671" t="str">
        <f>IF($B102="","",$C102*GHG_CO2_factor+$D102*GHG_CH4_factor+$E102*GHG_N2O_factor)</f>
        <v/>
      </c>
    </row>
    <row r="103" spans="2:6" x14ac:dyDescent="0.25">
      <c r="B103" s="659" t="str">
        <f>B40</f>
        <v/>
      </c>
      <c r="C103" s="663" t="str">
        <f>IF($B103="","",VLOOKUP($B103,MASTER_PROPERTY_TABLE,MATCH("CO2 Emissions Factor (kg CO2 produced/GJ feed)",key_MPTable,0),FALSE)*$E40*$F40)</f>
        <v/>
      </c>
      <c r="D103" s="668" t="str">
        <f>IF($B103="","",VLOOKUP($B103,MASTER_PROPERTY_TABLE,MATCH("CH4 Emissions Factor (kg CH4 produced/GJ or mmBtu feed)",key_MPTable,0),FALSE)*$E40*$F40)</f>
        <v/>
      </c>
      <c r="E103" s="668" t="str">
        <f>IF($B103="","",VLOOKUP($B103,MASTER_PROPERTY_TABLE,MATCH("N2O Emissions Factor (kg N2O produced/GJ or mmBtu feed)",key_MPTable,0),FALSE)*$E40*$F40)</f>
        <v/>
      </c>
      <c r="F103" s="671" t="str">
        <f>IF($B103="","",$C103*GHG_CO2_factor+$D103*GHG_CH4_factor+$E103*GHG_N2O_factor)</f>
        <v/>
      </c>
    </row>
    <row r="104" spans="2:6" ht="13" x14ac:dyDescent="0.3">
      <c r="B104" s="724" t="s">
        <v>400</v>
      </c>
      <c r="C104" s="725"/>
      <c r="D104" s="726"/>
      <c r="E104" s="726"/>
      <c r="F104" s="727"/>
    </row>
    <row r="105" spans="2:6" ht="13" thickBot="1" x14ac:dyDescent="0.3">
      <c r="B105" s="660" t="str">
        <f ca="1">B42</f>
        <v/>
      </c>
      <c r="C105" s="674" t="str">
        <f ca="1">IF($B105="","",VLOOKUP($B105,MASTER_PROPERTY_TABLE,MATCH("CO2 Emissions Factor (kg CO2 produced/GJ feed)",key_MPTable,0),FALSE)*$E42*$F42)</f>
        <v/>
      </c>
      <c r="D105" s="675" t="str">
        <f ca="1">IF($B105="","",VLOOKUP($B105,MASTER_PROPERTY_TABLE,MATCH("CH4 Emissions Factor (kg CH4 produced/GJ or mmBtu feed)",key_MPTable,0),FALSE)*$E42*$F42)</f>
        <v/>
      </c>
      <c r="E105" s="675" t="str">
        <f ca="1">IF($B105="","",VLOOKUP($B105,MASTER_PROPERTY_TABLE,MATCH("N2O Emissions Factor (kg N2O produced/GJ or mmBtu feed)",key_MPTable,0),FALSE)*$E42*$F42)</f>
        <v/>
      </c>
      <c r="F105" s="676" t="str">
        <f ca="1">IF($B105="","",$C105*GHG_CO2_factor+$D105*GHG_CH4_factor+$E105*GHG_N2O_factor)</f>
        <v/>
      </c>
    </row>
    <row r="106" spans="2:6" ht="13" thickTop="1" x14ac:dyDescent="0.25"/>
    <row r="107" spans="2:6" ht="13" thickBot="1" x14ac:dyDescent="0.3"/>
    <row r="108" spans="2:6" ht="16.5" thickTop="1" thickBot="1" x14ac:dyDescent="0.4">
      <c r="B108" s="1680" t="s">
        <v>1343</v>
      </c>
      <c r="C108" s="1681"/>
      <c r="D108" s="610"/>
      <c r="E108" s="610"/>
      <c r="F108" s="629"/>
    </row>
    <row r="109" spans="2:6" ht="13" x14ac:dyDescent="0.3">
      <c r="B109" s="658" t="s">
        <v>248</v>
      </c>
      <c r="C109" s="661" t="s">
        <v>403</v>
      </c>
      <c r="D109" s="661" t="s">
        <v>404</v>
      </c>
      <c r="E109" s="661" t="s">
        <v>405</v>
      </c>
      <c r="F109" s="662" t="s">
        <v>406</v>
      </c>
    </row>
    <row r="110" spans="2:6" x14ac:dyDescent="0.25">
      <c r="B110" s="659" t="str">
        <f>B32</f>
        <v>Industrial Electricity</v>
      </c>
      <c r="C110" s="663">
        <f ca="1">IF($B110="","",$C32*VLOOKUP($B110,Tbl_Emissions,6,FALSE))</f>
        <v>22.722327200000002</v>
      </c>
      <c r="D110" s="668">
        <f ca="1">IF($B110="","",$C32*VLOOKUP($B110,Tbl_Emissions,7,FALSE))</f>
        <v>3.6967721760000002E-2</v>
      </c>
      <c r="E110" s="668">
        <f ca="1">IF($B110="","",$C32*VLOOKUP($B110,Tbl_Emissions,8,FALSE))</f>
        <v>3.2449079200000001E-4</v>
      </c>
      <c r="F110" s="671">
        <f ca="1">IF($B110="","",$C110*GHG_CO2_factor+$D110*GHG_CH4_factor+$E110*GHG_N2O_factor)</f>
        <v>23.743218500016003</v>
      </c>
    </row>
    <row r="111" spans="2:6" x14ac:dyDescent="0.25">
      <c r="B111" s="659" t="str">
        <f>B33</f>
        <v/>
      </c>
      <c r="C111" s="663" t="str">
        <f>IF($B111="","",$C33*VLOOKUP($B111,Tbl_Emissions,6,FALSE))</f>
        <v/>
      </c>
      <c r="D111" s="668" t="str">
        <f>IF($B111="","",$C33*VLOOKUP($B111,Tbl_Emissions,7,FALSE))</f>
        <v/>
      </c>
      <c r="E111" s="668" t="str">
        <f>IF($B111="","",$C33*VLOOKUP($B111,Tbl_Emissions,8,FALSE))</f>
        <v/>
      </c>
      <c r="F111" s="671" t="str">
        <f>IF($B111="","",$C111*GHG_CO2_factor+$D111*GHG_CH4_factor+$E111*GHG_N2O_factor)</f>
        <v/>
      </c>
    </row>
    <row r="112" spans="2:6" x14ac:dyDescent="0.25">
      <c r="B112" s="659" t="str">
        <f>B34</f>
        <v/>
      </c>
      <c r="C112" s="663" t="str">
        <f>IF($B112="","",$C34*VLOOKUP($B112,Tbl_Emissions,6,FALSE))</f>
        <v/>
      </c>
      <c r="D112" s="668" t="str">
        <f>IF($B112="","",$C34*VLOOKUP($B112,Tbl_Emissions,7,FALSE))</f>
        <v/>
      </c>
      <c r="E112" s="668" t="str">
        <f>IF($B112="","",$C34*VLOOKUP($B112,Tbl_Emissions,8,FALSE))</f>
        <v/>
      </c>
      <c r="F112" s="671" t="str">
        <f>IF($B112="","",$C112*GHG_CO2_factor+$D112*GHG_CH4_factor+$E112*GHG_N2O_factor)</f>
        <v/>
      </c>
    </row>
    <row r="113" spans="2:6" x14ac:dyDescent="0.25">
      <c r="B113" s="659" t="str">
        <f>B35</f>
        <v/>
      </c>
      <c r="C113" s="663" t="str">
        <f>IF($B113="","",$C35*VLOOKUP($B113,Tbl_Emissions,6,FALSE))</f>
        <v/>
      </c>
      <c r="D113" s="668" t="str">
        <f>IF($B113="","",$C35*VLOOKUP($B113,Tbl_Emissions,7,FALSE))</f>
        <v/>
      </c>
      <c r="E113" s="668" t="str">
        <f>IF($B113="","",$C35*VLOOKUP($B113,Tbl_Emissions,8,FALSE))</f>
        <v/>
      </c>
      <c r="F113" s="671" t="str">
        <f>IF($B113="","",$C113*GHG_CO2_factor+$D113*GHG_CH4_factor+$E113*GHG_N2O_factor)</f>
        <v/>
      </c>
    </row>
    <row r="114" spans="2:6" ht="13" x14ac:dyDescent="0.3">
      <c r="B114" s="724" t="s">
        <v>271</v>
      </c>
      <c r="C114" s="725"/>
      <c r="D114" s="726"/>
      <c r="E114" s="726"/>
      <c r="F114" s="727"/>
    </row>
    <row r="115" spans="2:6" x14ac:dyDescent="0.25">
      <c r="B115" s="659" t="str">
        <f>B37</f>
        <v/>
      </c>
      <c r="C115" s="663" t="str">
        <f>IF($B115="","",$C37*VLOOKUP($B115,Tbl_Emissions,6,FALSE))</f>
        <v/>
      </c>
      <c r="D115" s="668" t="str">
        <f>IF($B115="","",$C37*VLOOKUP($B115,Tbl_Emissions,7,FALSE))</f>
        <v/>
      </c>
      <c r="E115" s="668" t="str">
        <f>IF($B115="","",$C37*VLOOKUP($B115,Tbl_Emissions,8,FALSE))</f>
        <v/>
      </c>
      <c r="F115" s="671" t="str">
        <f>IF($B115="","",$C115*GHG_CO2_factor+$D115*GHG_CH4_factor+$E115*GHG_N2O_factor)</f>
        <v/>
      </c>
    </row>
    <row r="116" spans="2:6" x14ac:dyDescent="0.25">
      <c r="B116" s="659" t="str">
        <f>B38</f>
        <v/>
      </c>
      <c r="C116" s="663" t="str">
        <f>IF($B116="","",$C38*VLOOKUP($B116,Tbl_Emissions,6,FALSE))</f>
        <v/>
      </c>
      <c r="D116" s="668" t="str">
        <f>IF($B116="","",$C38*VLOOKUP($B116,Tbl_Emissions,7,FALSE))</f>
        <v/>
      </c>
      <c r="E116" s="668" t="str">
        <f>IF($B116="","",$C38*VLOOKUP($B116,Tbl_Emissions,8,FALSE))</f>
        <v/>
      </c>
      <c r="F116" s="671" t="str">
        <f>IF($B116="","",$C116*GHG_CO2_factor+$D116*GHG_CH4_factor+$E116*GHG_N2O_factor)</f>
        <v/>
      </c>
    </row>
    <row r="117" spans="2:6" x14ac:dyDescent="0.25">
      <c r="B117" s="659" t="str">
        <f>B39</f>
        <v/>
      </c>
      <c r="C117" s="663" t="str">
        <f>IF($B117="","",$C39*VLOOKUP($B117,Tbl_Emissions,6,FALSE))</f>
        <v/>
      </c>
      <c r="D117" s="668" t="str">
        <f>IF($B117="","",$C39*VLOOKUP($B117,Tbl_Emissions,7,FALSE))</f>
        <v/>
      </c>
      <c r="E117" s="668" t="str">
        <f>IF($B117="","",$C39*VLOOKUP($B117,Tbl_Emissions,8,FALSE))</f>
        <v/>
      </c>
      <c r="F117" s="671" t="str">
        <f>IF($B117="","",$C117*GHG_CO2_factor+$D117*GHG_CH4_factor+$E117*GHG_N2O_factor)</f>
        <v/>
      </c>
    </row>
    <row r="118" spans="2:6" x14ac:dyDescent="0.25">
      <c r="B118" s="659" t="str">
        <f>B40</f>
        <v/>
      </c>
      <c r="C118" s="663" t="str">
        <f>IF($B118="","",$C40*VLOOKUP($B118,Tbl_Emissions,6,FALSE))</f>
        <v/>
      </c>
      <c r="D118" s="668" t="str">
        <f>IF($B118="","",$C40*VLOOKUP($B118,Tbl_Emissions,7,FALSE))</f>
        <v/>
      </c>
      <c r="E118" s="668" t="str">
        <f>IF($B118="","",$C40*VLOOKUP($B118,Tbl_Emissions,8,FALSE))</f>
        <v/>
      </c>
      <c r="F118" s="671" t="str">
        <f>IF($B118="","",$C118*GHG_CO2_factor+$D118*GHG_CH4_factor+$E118*GHG_N2O_factor)</f>
        <v/>
      </c>
    </row>
    <row r="119" spans="2:6" ht="13" x14ac:dyDescent="0.3">
      <c r="B119" s="724" t="s">
        <v>400</v>
      </c>
      <c r="C119" s="725"/>
      <c r="D119" s="726"/>
      <c r="E119" s="726"/>
      <c r="F119" s="727"/>
    </row>
    <row r="120" spans="2:6" ht="13" thickBot="1" x14ac:dyDescent="0.3">
      <c r="B120" s="664" t="str">
        <f ca="1">B42</f>
        <v/>
      </c>
      <c r="C120" s="666" t="str">
        <f ca="1">IF($B120="","",$C42*VLOOKUP($B120,Tbl_Emissions,6,FALSE))</f>
        <v/>
      </c>
      <c r="D120" s="669" t="str">
        <f ca="1">IF($B120="","",$C42*VLOOKUP($B120,Tbl_Emissions,7,FALSE))</f>
        <v/>
      </c>
      <c r="E120" s="669" t="str">
        <f ca="1">IF($B120="","",$C42*VLOOKUP($B120,Tbl_Emissions,8,FALSE))</f>
        <v/>
      </c>
      <c r="F120" s="672" t="str">
        <f ca="1">IF($B120="","",$C120*GHG_CO2_factor+$D120*GHG_CH4_factor+$E120*GHG_N2O_factor)</f>
        <v/>
      </c>
    </row>
    <row r="121" spans="2:6" ht="13.5" thickBot="1" x14ac:dyDescent="0.35">
      <c r="B121" s="665" t="s">
        <v>541</v>
      </c>
      <c r="C121" s="667">
        <f ca="1">SUM(C110:C120)</f>
        <v>22.722327200000002</v>
      </c>
      <c r="D121" s="670">
        <f ca="1">SUM(D110:D120)</f>
        <v>3.6967721760000002E-2</v>
      </c>
      <c r="E121" s="670">
        <f ca="1">SUM(E110:E120)</f>
        <v>3.2449079200000001E-4</v>
      </c>
      <c r="F121" s="673">
        <f ca="1">SUM(F110:F120)</f>
        <v>23.743218500016003</v>
      </c>
    </row>
    <row r="122" spans="2:6" ht="13" thickTop="1" x14ac:dyDescent="0.25"/>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F34" sqref="F34"/>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0"/>
      <c r="B1" s="1090"/>
      <c r="C1" s="1091"/>
      <c r="D1" s="1090"/>
      <c r="E1" s="1090"/>
      <c r="F1" s="1091"/>
      <c r="G1" s="1091"/>
      <c r="H1" s="1090"/>
      <c r="I1" s="1090"/>
      <c r="J1" s="1090"/>
      <c r="K1" s="1090"/>
      <c r="L1" s="1090"/>
      <c r="M1" s="1090"/>
      <c r="N1" s="1090"/>
      <c r="O1" s="1090"/>
      <c r="P1" s="1090"/>
      <c r="Q1" s="1090"/>
      <c r="R1" s="1090"/>
      <c r="S1" s="1090"/>
      <c r="T1" s="1090"/>
      <c r="U1" s="1090"/>
      <c r="V1" s="1090"/>
      <c r="W1" s="1090"/>
      <c r="X1" s="1090"/>
      <c r="Y1" s="1090"/>
      <c r="Z1" s="1090"/>
      <c r="AA1" s="1090"/>
      <c r="AB1" s="1090"/>
      <c r="AC1" s="1090"/>
      <c r="AD1" s="1090"/>
      <c r="AE1" s="1090"/>
      <c r="AF1" s="1090"/>
      <c r="AG1" s="1090"/>
      <c r="AH1" s="1090"/>
      <c r="AI1" s="1090"/>
      <c r="AJ1" s="1090"/>
      <c r="AK1" s="1090"/>
      <c r="AL1" s="1090"/>
      <c r="AM1" s="1090"/>
      <c r="AN1" s="1090"/>
      <c r="AO1" s="1090"/>
      <c r="AP1" s="1090"/>
      <c r="AQ1" s="1090"/>
      <c r="AR1" s="1090"/>
      <c r="AS1" s="1090"/>
      <c r="AT1" s="1090"/>
      <c r="AU1" s="1090"/>
      <c r="AV1" s="1090"/>
      <c r="AW1" s="1090"/>
      <c r="AX1" s="1090"/>
      <c r="AY1" s="1090"/>
      <c r="AZ1" s="1090"/>
      <c r="BA1" s="1090"/>
      <c r="BB1" s="1090"/>
      <c r="BC1" s="1090"/>
      <c r="BD1" s="1090"/>
      <c r="BE1" s="1090"/>
      <c r="BF1" s="1090"/>
      <c r="BG1" s="1090"/>
      <c r="BH1" s="1090"/>
      <c r="BI1" s="1090"/>
      <c r="BJ1" s="1090"/>
      <c r="BK1" s="1090"/>
      <c r="BL1" s="1090"/>
      <c r="BM1" s="1090"/>
      <c r="BN1" s="1090"/>
      <c r="BO1" s="1090"/>
      <c r="BP1" s="1090"/>
      <c r="BQ1" s="1090"/>
      <c r="BR1" s="1090"/>
      <c r="BS1" s="1090"/>
      <c r="BT1" s="1090"/>
      <c r="BU1" s="1090"/>
    </row>
    <row r="2" spans="1:73" ht="26" x14ac:dyDescent="0.3">
      <c r="A2" s="1090"/>
      <c r="B2" s="1101" t="s">
        <v>1135</v>
      </c>
      <c r="C2" s="1101" t="s">
        <v>1134</v>
      </c>
      <c r="D2" s="1101" t="s">
        <v>1201</v>
      </c>
      <c r="E2" s="1101" t="s">
        <v>1202</v>
      </c>
      <c r="F2" s="1101" t="s">
        <v>1138</v>
      </c>
      <c r="G2" s="1101" t="s">
        <v>1139</v>
      </c>
      <c r="H2" s="1101" t="s">
        <v>1140</v>
      </c>
      <c r="I2" s="1101" t="s">
        <v>1141</v>
      </c>
      <c r="J2" s="1091"/>
      <c r="K2" s="1091"/>
      <c r="L2" s="1090"/>
      <c r="M2" s="1090"/>
      <c r="N2" s="1090"/>
      <c r="O2" s="1090"/>
      <c r="P2" s="1090"/>
      <c r="Q2" s="1090"/>
      <c r="R2" s="1090"/>
      <c r="S2" s="1090"/>
      <c r="T2" s="1090"/>
      <c r="U2" s="1090"/>
      <c r="V2" s="1090"/>
      <c r="W2" s="1090"/>
      <c r="X2" s="1090"/>
      <c r="Y2" s="1090"/>
      <c r="Z2" s="1090"/>
      <c r="AA2" s="1090"/>
      <c r="AB2" s="1090"/>
      <c r="AC2" s="1090"/>
      <c r="AD2" s="1090"/>
      <c r="AE2" s="1090"/>
      <c r="AF2" s="1090"/>
      <c r="AG2" s="1090"/>
      <c r="AH2" s="1090"/>
      <c r="AI2" s="1090"/>
      <c r="AJ2" s="1090"/>
      <c r="AK2" s="1090"/>
      <c r="AL2" s="1090"/>
      <c r="AM2" s="1090"/>
      <c r="AN2" s="1090"/>
      <c r="AO2" s="1090"/>
      <c r="AP2" s="1090"/>
      <c r="AQ2" s="1090"/>
      <c r="AR2" s="1090"/>
      <c r="AS2" s="1090"/>
      <c r="AT2" s="1090"/>
      <c r="AU2" s="1090"/>
      <c r="AV2" s="1090"/>
      <c r="AW2" s="1090"/>
      <c r="AX2" s="1090"/>
      <c r="AY2" s="1090"/>
      <c r="AZ2" s="1090"/>
      <c r="BA2" s="1090"/>
      <c r="BB2" s="1090"/>
      <c r="BC2" s="1090"/>
      <c r="BD2" s="1090"/>
      <c r="BE2" s="1090"/>
      <c r="BF2" s="1090"/>
      <c r="BG2" s="1090"/>
      <c r="BH2" s="1090"/>
      <c r="BI2" s="1090"/>
      <c r="BJ2" s="1090"/>
      <c r="BK2" s="1090"/>
      <c r="BL2" s="1090"/>
      <c r="BM2" s="1090"/>
      <c r="BN2" s="1090"/>
      <c r="BO2" s="1090"/>
      <c r="BP2" s="1090"/>
      <c r="BQ2" s="1090"/>
      <c r="BR2" s="1090"/>
      <c r="BS2" s="1090"/>
      <c r="BT2" s="1090"/>
      <c r="BU2" s="1090"/>
    </row>
    <row r="3" spans="1:73" x14ac:dyDescent="0.25">
      <c r="A3" s="1090"/>
      <c r="B3" s="1093" t="s">
        <v>1175</v>
      </c>
      <c r="C3" s="1097">
        <f ca="1">+cap_factor</f>
        <v>0.97</v>
      </c>
      <c r="D3" s="1096">
        <v>0.05</v>
      </c>
      <c r="E3" s="1096">
        <v>0.05</v>
      </c>
      <c r="F3" s="1106">
        <f>1+D3</f>
        <v>1.05</v>
      </c>
      <c r="G3" s="1103">
        <f>1-E3</f>
        <v>0.95</v>
      </c>
      <c r="H3" s="1095">
        <f t="shared" ref="H3:H9" ca="1" si="0">+C3*F3</f>
        <v>1.0185</v>
      </c>
      <c r="I3" s="1095">
        <f t="shared" ref="I3:I9" ca="1" si="1">+C3*G3</f>
        <v>0.92149999999999999</v>
      </c>
      <c r="J3" s="1443"/>
      <c r="K3" s="1443"/>
      <c r="L3" s="1090"/>
      <c r="M3" s="1090"/>
      <c r="N3" s="1090"/>
      <c r="O3" s="1090"/>
      <c r="P3" s="1090"/>
      <c r="Q3" s="1090"/>
      <c r="R3" s="1090"/>
      <c r="S3" s="1090"/>
      <c r="T3" s="1090"/>
      <c r="U3" s="1090"/>
      <c r="V3" s="1090"/>
      <c r="W3" s="1090"/>
      <c r="X3" s="1090"/>
      <c r="Y3" s="1090"/>
      <c r="Z3" s="1090"/>
      <c r="AA3" s="1090"/>
      <c r="AB3" s="1090"/>
      <c r="AC3" s="1090"/>
      <c r="AD3" s="1090"/>
      <c r="AE3" s="1090"/>
      <c r="AF3" s="1090"/>
      <c r="AG3" s="1090"/>
      <c r="AH3" s="1090"/>
      <c r="AI3" s="1090"/>
      <c r="AJ3" s="1090"/>
      <c r="AK3" s="1090"/>
      <c r="AL3" s="1090"/>
      <c r="AM3" s="1090"/>
      <c r="AN3" s="1090"/>
      <c r="AO3" s="1090"/>
      <c r="AP3" s="1090"/>
      <c r="AQ3" s="1090"/>
      <c r="AR3" s="1090"/>
      <c r="AS3" s="1090"/>
      <c r="AT3" s="1090"/>
      <c r="AU3" s="1090"/>
      <c r="AV3" s="1090"/>
      <c r="AW3" s="1090"/>
      <c r="AX3" s="1090"/>
      <c r="AY3" s="1090"/>
      <c r="AZ3" s="1090"/>
      <c r="BA3" s="1090"/>
      <c r="BB3" s="1090"/>
      <c r="BC3" s="1090"/>
      <c r="BD3" s="1090"/>
      <c r="BE3" s="1090"/>
      <c r="BF3" s="1090"/>
      <c r="BG3" s="1090"/>
      <c r="BH3" s="1090"/>
      <c r="BI3" s="1090"/>
      <c r="BJ3" s="1090"/>
      <c r="BK3" s="1090"/>
      <c r="BL3" s="1090"/>
      <c r="BM3" s="1090"/>
      <c r="BN3" s="1090"/>
      <c r="BO3" s="1090"/>
      <c r="BP3" s="1090"/>
      <c r="BQ3" s="1090"/>
      <c r="BR3" s="1090"/>
      <c r="BS3" s="1090"/>
      <c r="BT3" s="1090"/>
      <c r="BU3" s="1090"/>
    </row>
    <row r="4" spans="1:73" x14ac:dyDescent="0.25">
      <c r="A4" s="1090"/>
      <c r="B4" s="1093" t="str">
        <f>+Input_Sheet_Template!B26</f>
        <v>Plant Design Capacity (kg of H2/day)</v>
      </c>
      <c r="C4" s="1098">
        <f ca="1">+design_cap</f>
        <v>50000</v>
      </c>
      <c r="D4" s="1096">
        <v>0.05</v>
      </c>
      <c r="E4" s="1096">
        <v>0.05</v>
      </c>
      <c r="F4" s="1106">
        <f>1+D4</f>
        <v>1.05</v>
      </c>
      <c r="G4" s="1103">
        <f>1-E4</f>
        <v>0.95</v>
      </c>
      <c r="H4" s="1100">
        <f t="shared" ca="1" si="0"/>
        <v>52500</v>
      </c>
      <c r="I4" s="1100">
        <f t="shared" ca="1" si="1"/>
        <v>47500</v>
      </c>
      <c r="J4" s="1443"/>
      <c r="K4" s="1443"/>
      <c r="L4" s="1090"/>
      <c r="M4" s="1090"/>
      <c r="N4" s="1090"/>
      <c r="O4" s="1090"/>
      <c r="P4" s="1090"/>
      <c r="Q4" s="1090"/>
      <c r="R4" s="1090"/>
      <c r="S4" s="1090"/>
      <c r="T4" s="1090"/>
      <c r="U4" s="1090"/>
      <c r="V4" s="1090"/>
      <c r="W4" s="1090"/>
      <c r="X4" s="1090"/>
      <c r="Y4" s="1090"/>
      <c r="Z4" s="1090"/>
      <c r="AA4" s="1090"/>
      <c r="AB4" s="1090"/>
      <c r="AC4" s="1090"/>
      <c r="AD4" s="1090"/>
      <c r="AE4" s="1090"/>
      <c r="AF4" s="1090"/>
      <c r="AG4" s="1090"/>
      <c r="AH4" s="1090"/>
      <c r="AI4" s="1090"/>
      <c r="AJ4" s="1090"/>
      <c r="AK4" s="1090"/>
      <c r="AL4" s="1090"/>
      <c r="AM4" s="1090"/>
      <c r="AN4" s="1090"/>
      <c r="AO4" s="1090"/>
      <c r="AP4" s="1090"/>
      <c r="AQ4" s="1090"/>
      <c r="AR4" s="1090"/>
      <c r="AS4" s="1090"/>
      <c r="AT4" s="1090"/>
      <c r="AU4" s="1090"/>
      <c r="AV4" s="1090"/>
      <c r="AW4" s="1090"/>
      <c r="AX4" s="1090"/>
      <c r="AY4" s="1090"/>
      <c r="AZ4" s="1090"/>
      <c r="BA4" s="1090"/>
      <c r="BB4" s="1090"/>
      <c r="BC4" s="1090"/>
      <c r="BD4" s="1090"/>
      <c r="BE4" s="1090"/>
      <c r="BF4" s="1090"/>
      <c r="BG4" s="1090"/>
      <c r="BH4" s="1090"/>
      <c r="BI4" s="1090"/>
      <c r="BJ4" s="1090"/>
      <c r="BK4" s="1090"/>
      <c r="BL4" s="1090"/>
      <c r="BM4" s="1090"/>
      <c r="BN4" s="1090"/>
      <c r="BO4" s="1090"/>
      <c r="BP4" s="1090"/>
      <c r="BQ4" s="1090"/>
      <c r="BR4" s="1090"/>
      <c r="BS4" s="1090"/>
      <c r="BT4" s="1090"/>
      <c r="BU4" s="1090"/>
    </row>
    <row r="5" spans="1:73" x14ac:dyDescent="0.25">
      <c r="A5" s="1090"/>
      <c r="B5" s="1093" t="s">
        <v>1176</v>
      </c>
      <c r="C5" s="1097">
        <f ca="1">+real_irr</f>
        <v>0.08</v>
      </c>
      <c r="D5" s="1096">
        <v>0.05</v>
      </c>
      <c r="E5" s="1096">
        <v>0.05</v>
      </c>
      <c r="F5" s="1106">
        <f>1-D5</f>
        <v>0.95</v>
      </c>
      <c r="G5" s="1103">
        <f>1+E5</f>
        <v>1.05</v>
      </c>
      <c r="H5" s="1095">
        <f t="shared" ca="1" si="0"/>
        <v>7.5999999999999998E-2</v>
      </c>
      <c r="I5" s="1095">
        <f t="shared" ca="1" si="1"/>
        <v>8.4000000000000005E-2</v>
      </c>
      <c r="J5" s="1443"/>
      <c r="K5" s="1443"/>
      <c r="L5" s="1090"/>
      <c r="M5" s="1090"/>
      <c r="N5" s="1090"/>
      <c r="O5" s="1090"/>
      <c r="P5" s="1090"/>
      <c r="Q5" s="1090"/>
      <c r="R5" s="1090"/>
      <c r="S5" s="1090"/>
      <c r="T5" s="1090"/>
      <c r="U5" s="1090"/>
      <c r="V5" s="1090"/>
      <c r="W5" s="1090"/>
      <c r="X5" s="1090"/>
      <c r="Y5" s="1090"/>
      <c r="Z5" s="1090"/>
      <c r="AA5" s="1090"/>
      <c r="AB5" s="1090"/>
      <c r="AC5" s="1090"/>
      <c r="AD5" s="1090"/>
      <c r="AE5" s="1090"/>
      <c r="AF5" s="1090"/>
      <c r="AG5" s="1090"/>
      <c r="AH5" s="1090"/>
      <c r="AI5" s="1090"/>
      <c r="AJ5" s="1090"/>
      <c r="AK5" s="1090"/>
      <c r="AL5" s="1090"/>
      <c r="AM5" s="1090"/>
      <c r="AN5" s="1090"/>
      <c r="AO5" s="1090"/>
      <c r="AP5" s="1090"/>
      <c r="AQ5" s="1090"/>
      <c r="AR5" s="1090"/>
      <c r="AS5" s="1090"/>
      <c r="AT5" s="1090"/>
      <c r="AU5" s="1090"/>
      <c r="AV5" s="1090"/>
      <c r="AW5" s="1090"/>
      <c r="AX5" s="1090"/>
      <c r="AY5" s="1090"/>
      <c r="AZ5" s="1090"/>
      <c r="BA5" s="1090"/>
      <c r="BB5" s="1090"/>
      <c r="BC5" s="1090"/>
      <c r="BD5" s="1090"/>
      <c r="BE5" s="1090"/>
      <c r="BF5" s="1090"/>
      <c r="BG5" s="1090"/>
      <c r="BH5" s="1090"/>
      <c r="BI5" s="1090"/>
      <c r="BJ5" s="1090"/>
      <c r="BK5" s="1090"/>
      <c r="BL5" s="1090"/>
      <c r="BM5" s="1090"/>
      <c r="BN5" s="1090"/>
      <c r="BO5" s="1090"/>
      <c r="BP5" s="1090"/>
      <c r="BQ5" s="1090"/>
      <c r="BR5" s="1090"/>
      <c r="BS5" s="1090"/>
      <c r="BT5" s="1090"/>
      <c r="BU5" s="1090"/>
    </row>
    <row r="6" spans="1:73" x14ac:dyDescent="0.25">
      <c r="A6" s="1090"/>
      <c r="B6" s="1093" t="s">
        <v>1185</v>
      </c>
      <c r="C6" s="1193">
        <v>1</v>
      </c>
      <c r="D6" s="1096">
        <v>0.05</v>
      </c>
      <c r="E6" s="1096">
        <v>0.05</v>
      </c>
      <c r="F6" s="1106">
        <f>1-D6</f>
        <v>0.95</v>
      </c>
      <c r="G6" s="1103">
        <f t="shared" ref="G6:G9" si="2">1+E6</f>
        <v>1.05</v>
      </c>
      <c r="H6" s="1189">
        <f t="shared" si="0"/>
        <v>0.95</v>
      </c>
      <c r="I6" s="1189">
        <f t="shared" si="1"/>
        <v>1.05</v>
      </c>
      <c r="J6" s="1443"/>
      <c r="K6" s="1443"/>
      <c r="L6" s="1090"/>
      <c r="M6" s="1090"/>
      <c r="N6" s="1090"/>
      <c r="O6" s="1090"/>
      <c r="P6" s="1090"/>
      <c r="Q6" s="1090"/>
      <c r="R6" s="1090"/>
      <c r="S6" s="1090"/>
      <c r="T6" s="1090"/>
      <c r="U6" s="1090"/>
      <c r="V6" s="1090"/>
      <c r="W6" s="1090"/>
      <c r="X6" s="1090"/>
      <c r="Y6" s="1090"/>
      <c r="Z6" s="1090"/>
      <c r="AA6" s="1090"/>
      <c r="AB6" s="1090"/>
      <c r="AC6" s="1090"/>
      <c r="AD6" s="1090"/>
      <c r="AE6" s="1090"/>
      <c r="AF6" s="1090"/>
      <c r="AG6" s="1090"/>
      <c r="AH6" s="1090"/>
      <c r="AI6" s="1090"/>
      <c r="AJ6" s="1090"/>
      <c r="AK6" s="1090"/>
      <c r="AL6" s="1090"/>
      <c r="AM6" s="1090"/>
      <c r="AN6" s="1090"/>
      <c r="AO6" s="1090"/>
      <c r="AP6" s="1090"/>
      <c r="AQ6" s="1090"/>
      <c r="AR6" s="1090"/>
      <c r="AS6" s="1090"/>
      <c r="AT6" s="1090"/>
      <c r="AU6" s="1090"/>
      <c r="AV6" s="1090"/>
      <c r="AW6" s="1090"/>
      <c r="AX6" s="1090"/>
      <c r="AY6" s="1090"/>
      <c r="AZ6" s="1090"/>
      <c r="BA6" s="1090"/>
      <c r="BB6" s="1090"/>
      <c r="BC6" s="1090"/>
      <c r="BD6" s="1090"/>
      <c r="BE6" s="1090"/>
      <c r="BF6" s="1090"/>
      <c r="BG6" s="1090"/>
      <c r="BH6" s="1090"/>
      <c r="BI6" s="1090"/>
      <c r="BJ6" s="1090"/>
      <c r="BK6" s="1090"/>
      <c r="BL6" s="1090"/>
      <c r="BM6" s="1090"/>
      <c r="BN6" s="1090"/>
      <c r="BO6" s="1090"/>
      <c r="BP6" s="1090"/>
      <c r="BQ6" s="1090"/>
      <c r="BR6" s="1090"/>
      <c r="BS6" s="1090"/>
      <c r="BT6" s="1090"/>
      <c r="BU6" s="1090"/>
    </row>
    <row r="7" spans="1:73" x14ac:dyDescent="0.25">
      <c r="A7" s="1090"/>
      <c r="B7" s="1093" t="s">
        <v>1186</v>
      </c>
      <c r="C7" s="1193">
        <v>1</v>
      </c>
      <c r="D7" s="1096">
        <v>0.05</v>
      </c>
      <c r="E7" s="1096">
        <v>0.05</v>
      </c>
      <c r="F7" s="1106">
        <f>1-D7</f>
        <v>0.95</v>
      </c>
      <c r="G7" s="1103">
        <f t="shared" si="2"/>
        <v>1.05</v>
      </c>
      <c r="H7" s="1189">
        <f t="shared" si="0"/>
        <v>0.95</v>
      </c>
      <c r="I7" s="1189">
        <f t="shared" si="1"/>
        <v>1.05</v>
      </c>
      <c r="J7" s="1443"/>
      <c r="K7" s="1443"/>
      <c r="L7" s="1090"/>
      <c r="M7" s="1090"/>
      <c r="N7" s="1090"/>
      <c r="O7" s="1090"/>
      <c r="P7" s="1090"/>
      <c r="Q7" s="1090"/>
      <c r="R7" s="1090"/>
      <c r="S7" s="1090"/>
      <c r="T7" s="1090"/>
      <c r="U7" s="1090"/>
      <c r="V7" s="1090"/>
      <c r="W7" s="1090"/>
      <c r="X7" s="1090"/>
      <c r="Y7" s="1090"/>
      <c r="Z7" s="1090"/>
      <c r="AA7" s="1090"/>
      <c r="AB7" s="1090"/>
      <c r="AC7" s="1090"/>
      <c r="AD7" s="1090"/>
      <c r="AE7" s="1090"/>
      <c r="AF7" s="1090"/>
      <c r="AG7" s="1090"/>
      <c r="AH7" s="1090"/>
      <c r="AI7" s="1090"/>
      <c r="AJ7" s="1090"/>
      <c r="AK7" s="1090"/>
      <c r="AL7" s="1090"/>
      <c r="AM7" s="1090"/>
      <c r="AN7" s="1090"/>
      <c r="AO7" s="1090"/>
      <c r="AP7" s="1090"/>
      <c r="AQ7" s="1090"/>
      <c r="AR7" s="1090"/>
      <c r="AS7" s="1090"/>
      <c r="AT7" s="1090"/>
      <c r="AU7" s="1090"/>
      <c r="AV7" s="1090"/>
      <c r="AW7" s="1090"/>
      <c r="AX7" s="1090"/>
      <c r="AY7" s="1090"/>
      <c r="AZ7" s="1090"/>
      <c r="BA7" s="1090"/>
      <c r="BB7" s="1090"/>
      <c r="BC7" s="1090"/>
      <c r="BD7" s="1090"/>
      <c r="BE7" s="1090"/>
      <c r="BF7" s="1090"/>
      <c r="BG7" s="1090"/>
      <c r="BH7" s="1090"/>
      <c r="BI7" s="1090"/>
      <c r="BJ7" s="1090"/>
      <c r="BK7" s="1090"/>
      <c r="BL7" s="1090"/>
      <c r="BM7" s="1090"/>
      <c r="BN7" s="1090"/>
      <c r="BO7" s="1090"/>
      <c r="BP7" s="1090"/>
      <c r="BQ7" s="1090"/>
      <c r="BR7" s="1090"/>
      <c r="BS7" s="1090"/>
      <c r="BT7" s="1090"/>
      <c r="BU7" s="1090"/>
    </row>
    <row r="8" spans="1:73" x14ac:dyDescent="0.25">
      <c r="A8" s="1090"/>
      <c r="B8" s="1093" t="s">
        <v>117</v>
      </c>
      <c r="C8" s="1098">
        <f ca="1">+total_cap</f>
        <v>67087542.504808515</v>
      </c>
      <c r="D8" s="1096">
        <v>0.05</v>
      </c>
      <c r="E8" s="1096">
        <v>0.05</v>
      </c>
      <c r="F8" s="1106">
        <f>1-D8</f>
        <v>0.95</v>
      </c>
      <c r="G8" s="1103">
        <f t="shared" si="2"/>
        <v>1.05</v>
      </c>
      <c r="H8" s="1100">
        <f t="shared" ca="1" si="0"/>
        <v>63733165.379568085</v>
      </c>
      <c r="I8" s="1100">
        <f t="shared" ca="1" si="1"/>
        <v>70441919.630048946</v>
      </c>
      <c r="J8" s="1443"/>
      <c r="K8" s="1443"/>
      <c r="L8" s="1090"/>
      <c r="M8" s="1090"/>
      <c r="N8" s="1090"/>
      <c r="O8" s="1090"/>
      <c r="P8" s="1090"/>
      <c r="Q8" s="1090"/>
      <c r="R8" s="1090"/>
      <c r="S8" s="1090"/>
      <c r="T8" s="1090"/>
      <c r="U8" s="1090"/>
      <c r="V8" s="1090"/>
      <c r="W8" s="1090"/>
      <c r="X8" s="1090"/>
      <c r="Y8" s="1090"/>
      <c r="Z8" s="1090"/>
      <c r="AA8" s="1090"/>
      <c r="AB8" s="1090"/>
      <c r="AC8" s="1090"/>
      <c r="AD8" s="1090"/>
      <c r="AE8" s="1090"/>
      <c r="AF8" s="1090"/>
      <c r="AG8" s="1090"/>
      <c r="AH8" s="1090"/>
      <c r="AI8" s="1090"/>
      <c r="AJ8" s="1090"/>
      <c r="AK8" s="1090"/>
      <c r="AL8" s="1090"/>
      <c r="AM8" s="1090"/>
      <c r="AN8" s="1090"/>
      <c r="AO8" s="1090"/>
      <c r="AP8" s="1090"/>
      <c r="AQ8" s="1090"/>
      <c r="AR8" s="1090"/>
      <c r="AS8" s="1090"/>
      <c r="AT8" s="1090"/>
      <c r="AU8" s="1090"/>
      <c r="AV8" s="1090"/>
      <c r="AW8" s="1090"/>
      <c r="AX8" s="1090"/>
      <c r="AY8" s="1090"/>
      <c r="AZ8" s="1090"/>
      <c r="BA8" s="1090"/>
      <c r="BB8" s="1090"/>
      <c r="BC8" s="1090"/>
      <c r="BD8" s="1090"/>
      <c r="BE8" s="1090"/>
      <c r="BF8" s="1090"/>
      <c r="BG8" s="1090"/>
      <c r="BH8" s="1090"/>
      <c r="BI8" s="1090"/>
      <c r="BJ8" s="1090"/>
      <c r="BK8" s="1090"/>
      <c r="BL8" s="1090"/>
      <c r="BM8" s="1090"/>
      <c r="BN8" s="1090"/>
      <c r="BO8" s="1090"/>
      <c r="BP8" s="1090"/>
      <c r="BQ8" s="1090"/>
      <c r="BR8" s="1090"/>
      <c r="BS8" s="1090"/>
      <c r="BT8" s="1090"/>
      <c r="BU8" s="1090"/>
    </row>
    <row r="9" spans="1:73" x14ac:dyDescent="0.25">
      <c r="A9" s="1090"/>
      <c r="B9" s="1093" t="s">
        <v>634</v>
      </c>
      <c r="C9" s="1098">
        <f ca="1">+fixed</f>
        <v>4095044.3099135933</v>
      </c>
      <c r="D9" s="1096">
        <v>0.05</v>
      </c>
      <c r="E9" s="1096">
        <v>0.05</v>
      </c>
      <c r="F9" s="1106">
        <f>1-D9</f>
        <v>0.95</v>
      </c>
      <c r="G9" s="1103">
        <f t="shared" si="2"/>
        <v>1.05</v>
      </c>
      <c r="H9" s="1100">
        <f t="shared" ca="1" si="0"/>
        <v>3890292.0944179134</v>
      </c>
      <c r="I9" s="1100">
        <f t="shared" ca="1" si="1"/>
        <v>4299796.5254092729</v>
      </c>
      <c r="J9" s="1443"/>
      <c r="K9" s="1443"/>
      <c r="L9" s="1090"/>
      <c r="M9" s="1090"/>
      <c r="N9" s="1090"/>
      <c r="O9" s="1090"/>
      <c r="P9" s="1090"/>
      <c r="Q9" s="1090"/>
      <c r="R9" s="1090"/>
      <c r="S9" s="1090"/>
      <c r="T9" s="1090"/>
      <c r="U9" s="1090"/>
      <c r="V9" s="1090"/>
      <c r="W9" s="1090"/>
      <c r="X9" s="1090"/>
      <c r="Y9" s="1090"/>
      <c r="Z9" s="1090"/>
      <c r="AA9" s="1090"/>
      <c r="AB9" s="1090"/>
      <c r="AC9" s="1090"/>
      <c r="AD9" s="1090"/>
      <c r="AE9" s="1090"/>
      <c r="AF9" s="1090"/>
      <c r="AG9" s="1090"/>
      <c r="AH9" s="1090"/>
      <c r="AI9" s="1090"/>
      <c r="AJ9" s="1090"/>
      <c r="AK9" s="1090"/>
      <c r="AL9" s="1090"/>
      <c r="AM9" s="1090"/>
      <c r="AN9" s="1090"/>
      <c r="AO9" s="1090"/>
      <c r="AP9" s="1090"/>
      <c r="AQ9" s="1090"/>
      <c r="AR9" s="1090"/>
      <c r="AS9" s="1090"/>
      <c r="AT9" s="1090"/>
      <c r="AU9" s="1090"/>
      <c r="AV9" s="1090"/>
      <c r="AW9" s="1090"/>
      <c r="AX9" s="1090"/>
      <c r="AY9" s="1090"/>
      <c r="AZ9" s="1090"/>
      <c r="BA9" s="1090"/>
      <c r="BB9" s="1090"/>
      <c r="BC9" s="1090"/>
      <c r="BD9" s="1090"/>
      <c r="BE9" s="1090"/>
      <c r="BF9" s="1090"/>
      <c r="BG9" s="1090"/>
      <c r="BH9" s="1090"/>
      <c r="BI9" s="1090"/>
      <c r="BJ9" s="1090"/>
      <c r="BK9" s="1090"/>
      <c r="BL9" s="1090"/>
      <c r="BM9" s="1090"/>
      <c r="BN9" s="1090"/>
      <c r="BO9" s="1090"/>
      <c r="BP9" s="1090"/>
      <c r="BQ9" s="1090"/>
      <c r="BR9" s="1090"/>
      <c r="BS9" s="1090"/>
      <c r="BT9" s="1090"/>
      <c r="BU9" s="1090"/>
    </row>
    <row r="10" spans="1:73" x14ac:dyDescent="0.25">
      <c r="A10" s="1090"/>
      <c r="B10" s="1090"/>
      <c r="C10" s="1090"/>
      <c r="D10" s="1090"/>
      <c r="E10" s="1090"/>
      <c r="F10" s="1090"/>
      <c r="G10" s="1090"/>
      <c r="H10" s="1090"/>
      <c r="I10" s="1090"/>
      <c r="J10" s="1090"/>
      <c r="K10" s="1090"/>
      <c r="L10" s="1090"/>
      <c r="M10" s="1090"/>
      <c r="N10" s="1090"/>
      <c r="O10" s="1090"/>
      <c r="P10" s="1090"/>
      <c r="Q10" s="1090"/>
      <c r="R10" s="1090"/>
      <c r="S10" s="1090"/>
      <c r="T10" s="1090"/>
      <c r="U10" s="1090"/>
      <c r="V10" s="1090"/>
      <c r="W10" s="1090"/>
      <c r="X10" s="1090"/>
      <c r="Y10" s="1090"/>
      <c r="Z10" s="1090"/>
      <c r="AA10" s="1090"/>
      <c r="AB10" s="1090"/>
      <c r="AC10" s="1090"/>
      <c r="AD10" s="1090"/>
      <c r="AE10" s="1090"/>
      <c r="AF10" s="1090"/>
      <c r="AG10" s="1090"/>
      <c r="AH10" s="1090"/>
      <c r="AI10" s="1090"/>
      <c r="AJ10" s="1090"/>
      <c r="AK10" s="1090"/>
      <c r="AL10" s="1090"/>
      <c r="AM10" s="1090"/>
      <c r="AN10" s="1090"/>
      <c r="AO10" s="1090"/>
      <c r="AP10" s="1090"/>
      <c r="AQ10" s="1090"/>
      <c r="AR10" s="1090"/>
      <c r="AS10" s="1090"/>
      <c r="AT10" s="1090"/>
      <c r="AU10" s="1090"/>
      <c r="AV10" s="1090"/>
      <c r="AW10" s="1090"/>
      <c r="AX10" s="1090"/>
      <c r="AY10" s="1090"/>
      <c r="AZ10" s="1090"/>
      <c r="BA10" s="1090"/>
      <c r="BB10" s="1090"/>
      <c r="BC10" s="1090"/>
      <c r="BD10" s="1090"/>
      <c r="BE10" s="1090"/>
      <c r="BF10" s="1090"/>
      <c r="BG10" s="1090"/>
      <c r="BH10" s="1090"/>
      <c r="BI10" s="1090"/>
      <c r="BJ10" s="1090"/>
      <c r="BK10" s="1090"/>
      <c r="BL10" s="1090"/>
      <c r="BM10" s="1090"/>
      <c r="BN10" s="1090"/>
      <c r="BO10" s="1090"/>
      <c r="BP10" s="1090"/>
      <c r="BQ10" s="1090"/>
      <c r="BR10" s="1090"/>
      <c r="BS10" s="1090"/>
      <c r="BT10" s="1090"/>
      <c r="BU10" s="1090"/>
    </row>
    <row r="11" spans="1:73" x14ac:dyDescent="0.25">
      <c r="A11" s="1090"/>
      <c r="B11" s="1690" t="s">
        <v>1301</v>
      </c>
      <c r="C11" s="1690"/>
      <c r="D11" s="1096" t="s">
        <v>23</v>
      </c>
      <c r="E11" s="1455" t="str">
        <f>IF(RunRiskAnalysis="Yes","          Please click Update Charts and Risk Analysis button before using results below","")</f>
        <v xml:space="preserve">          Please click Update Charts and Risk Analysis button before using results below</v>
      </c>
      <c r="F11" s="1090"/>
      <c r="H11" s="1090"/>
      <c r="I11" s="1090"/>
      <c r="J11" s="1090"/>
      <c r="K11" s="1090"/>
      <c r="L11" s="1090"/>
      <c r="M11" s="1090"/>
      <c r="N11" s="1090"/>
      <c r="O11" s="1090"/>
      <c r="P11" s="1090"/>
      <c r="Q11" s="1090"/>
      <c r="R11" s="1090"/>
      <c r="S11" s="1090"/>
      <c r="T11" s="1090"/>
      <c r="U11" s="1090"/>
      <c r="V11" s="1090"/>
      <c r="W11" s="1090"/>
      <c r="X11" s="1090"/>
      <c r="Y11" s="1090"/>
      <c r="Z11" s="1090"/>
      <c r="AA11" s="1090"/>
      <c r="AB11" s="1090"/>
      <c r="AC11" s="1090"/>
      <c r="AD11" s="1090"/>
      <c r="AE11" s="1090"/>
      <c r="AF11" s="1090"/>
      <c r="AG11" s="1090"/>
      <c r="AH11" s="1090"/>
      <c r="AI11" s="1090"/>
      <c r="AJ11" s="1090"/>
      <c r="AK11" s="1090"/>
      <c r="AL11" s="1090"/>
      <c r="AM11" s="1090"/>
      <c r="AN11" s="1090"/>
      <c r="AO11" s="1090"/>
      <c r="AP11" s="1090"/>
      <c r="AQ11" s="1090"/>
      <c r="AR11" s="1090"/>
      <c r="AS11" s="1090"/>
      <c r="AT11" s="1090"/>
      <c r="AU11" s="1090"/>
      <c r="AV11" s="1090"/>
      <c r="AW11" s="1090"/>
      <c r="AX11" s="1090"/>
      <c r="AY11" s="1090"/>
      <c r="AZ11" s="1090"/>
      <c r="BA11" s="1090"/>
      <c r="BB11" s="1090"/>
      <c r="BC11" s="1090"/>
      <c r="BD11" s="1090"/>
      <c r="BE11" s="1090"/>
      <c r="BF11" s="1090"/>
      <c r="BG11" s="1090"/>
      <c r="BH11" s="1090"/>
      <c r="BI11" s="1090"/>
      <c r="BJ11" s="1090"/>
      <c r="BK11" s="1090"/>
      <c r="BL11" s="1090"/>
      <c r="BM11" s="1090"/>
      <c r="BN11" s="1090"/>
      <c r="BO11" s="1090"/>
      <c r="BP11" s="1090"/>
      <c r="BQ11" s="1090"/>
      <c r="BR11" s="1090"/>
      <c r="BS11" s="1090"/>
      <c r="BT11" s="1090"/>
      <c r="BU11" s="1090"/>
    </row>
    <row r="12" spans="1:73" ht="12.75" customHeight="1" x14ac:dyDescent="0.25">
      <c r="A12" s="1090"/>
      <c r="B12" s="1090"/>
      <c r="C12" s="1090"/>
      <c r="D12" s="1090"/>
      <c r="E12" s="1090"/>
      <c r="F12" s="1090"/>
      <c r="G12" s="1090"/>
      <c r="H12" s="1090"/>
      <c r="I12" s="1090"/>
      <c r="J12" s="1090"/>
      <c r="K12" s="1090"/>
      <c r="L12" s="1090"/>
      <c r="M12" s="1090"/>
      <c r="N12" s="1090"/>
      <c r="P12" s="1690" t="s">
        <v>1319</v>
      </c>
      <c r="Q12" s="1690"/>
      <c r="R12" s="1691" t="s">
        <v>1342</v>
      </c>
      <c r="S12" s="1691"/>
      <c r="T12" s="1691"/>
      <c r="U12" s="1691"/>
      <c r="V12" s="1090"/>
      <c r="W12" s="1090"/>
      <c r="X12" s="1090"/>
      <c r="Y12" s="1090"/>
      <c r="Z12" s="1090"/>
      <c r="AA12" s="1090"/>
      <c r="AB12" s="1090"/>
      <c r="AC12" s="1090"/>
      <c r="AD12" s="1090"/>
      <c r="AE12" s="1090"/>
      <c r="AF12" s="1090"/>
      <c r="AG12" s="1090"/>
      <c r="AH12" s="1090"/>
      <c r="AI12" s="1090"/>
      <c r="AJ12" s="1090"/>
      <c r="AK12" s="1090"/>
      <c r="AL12" s="1090"/>
      <c r="AM12" s="1090"/>
      <c r="AN12" s="1090"/>
      <c r="AO12" s="1090"/>
      <c r="AP12" s="1090"/>
      <c r="AQ12" s="1090"/>
      <c r="AR12" s="1090"/>
      <c r="AS12" s="1090"/>
      <c r="AT12" s="1090"/>
      <c r="AU12" s="1090"/>
      <c r="AV12" s="1090"/>
      <c r="AW12" s="1090"/>
      <c r="AX12" s="1090"/>
      <c r="AY12" s="1090"/>
      <c r="AZ12" s="1090"/>
      <c r="BA12" s="1090"/>
      <c r="BB12" s="1090"/>
      <c r="BC12" s="1090"/>
      <c r="BD12" s="1090"/>
      <c r="BE12" s="1090"/>
      <c r="BF12" s="1090"/>
      <c r="BG12" s="1090"/>
      <c r="BH12" s="1090"/>
      <c r="BI12" s="1090"/>
      <c r="BJ12" s="1090"/>
      <c r="BK12" s="1090"/>
      <c r="BL12" s="1090"/>
      <c r="BM12" s="1090"/>
      <c r="BN12" s="1090"/>
      <c r="BO12" s="1090"/>
      <c r="BP12" s="1090"/>
      <c r="BQ12" s="1090"/>
      <c r="BR12" s="1090"/>
      <c r="BS12" s="1090"/>
      <c r="BT12" s="1090"/>
      <c r="BU12" s="1090"/>
    </row>
    <row r="13" spans="1:73" ht="13" x14ac:dyDescent="0.3">
      <c r="A13" s="1090"/>
      <c r="B13" s="1090"/>
      <c r="C13" s="1090"/>
      <c r="D13" s="1090"/>
      <c r="E13" s="1090"/>
      <c r="F13" s="1090"/>
      <c r="G13" s="1090"/>
      <c r="H13" s="1090"/>
      <c r="I13" s="1090"/>
      <c r="J13" s="1090"/>
      <c r="K13" s="1090"/>
      <c r="L13" s="1090"/>
      <c r="M13" s="1090"/>
      <c r="N13" s="1090"/>
      <c r="O13" s="1090"/>
      <c r="P13" s="1090"/>
      <c r="Q13" s="1090"/>
      <c r="R13" s="1090"/>
      <c r="S13" s="1090"/>
      <c r="T13" s="1090"/>
      <c r="U13" s="1090"/>
      <c r="V13" s="1101" t="s">
        <v>1305</v>
      </c>
      <c r="W13" s="1101" t="s">
        <v>1091</v>
      </c>
      <c r="X13" s="1090"/>
      <c r="Y13" s="1090"/>
      <c r="Z13" s="1090"/>
      <c r="AA13" s="1090"/>
      <c r="AB13" s="1090"/>
      <c r="AC13" s="1090"/>
      <c r="AD13" s="1090"/>
      <c r="AE13" s="1090"/>
      <c r="AF13" s="1090"/>
      <c r="AG13" s="1090"/>
      <c r="AH13" s="1090"/>
      <c r="AI13" s="1090"/>
      <c r="AJ13" s="1090"/>
      <c r="AK13" s="1090"/>
      <c r="AL13" s="1090"/>
      <c r="AM13" s="1090"/>
      <c r="AN13" s="1090"/>
      <c r="AO13" s="1090"/>
      <c r="AP13" s="1090"/>
      <c r="AQ13" s="1090"/>
      <c r="AR13" s="1090"/>
      <c r="AS13" s="1090"/>
      <c r="AT13" s="1090"/>
      <c r="AU13" s="1090"/>
      <c r="AV13" s="1090"/>
      <c r="AW13" s="1090"/>
      <c r="AX13" s="1090"/>
      <c r="AY13" s="1090"/>
      <c r="AZ13" s="1090"/>
      <c r="BA13" s="1090"/>
      <c r="BB13" s="1090"/>
      <c r="BC13" s="1090"/>
      <c r="BD13" s="1090"/>
      <c r="BE13" s="1090"/>
      <c r="BF13" s="1090"/>
      <c r="BG13" s="1090"/>
      <c r="BH13" s="1090"/>
      <c r="BI13" s="1090"/>
      <c r="BJ13" s="1090"/>
      <c r="BK13" s="1090"/>
      <c r="BL13" s="1090"/>
      <c r="BM13" s="1090"/>
      <c r="BN13" s="1090"/>
      <c r="BO13" s="1090"/>
      <c r="BP13" s="1090"/>
      <c r="BQ13" s="1090"/>
      <c r="BR13" s="1090"/>
      <c r="BS13" s="1090"/>
      <c r="BT13" s="1090"/>
      <c r="BU13" s="1090"/>
    </row>
    <row r="14" spans="1:73" x14ac:dyDescent="0.25">
      <c r="A14" s="1090"/>
      <c r="B14" s="1090"/>
      <c r="C14" s="1090"/>
      <c r="D14" s="1090"/>
      <c r="E14" s="1090"/>
      <c r="F14" s="1090"/>
      <c r="G14" s="1090"/>
      <c r="H14" s="1090"/>
      <c r="I14" s="1090"/>
      <c r="J14" s="1090"/>
      <c r="K14" s="1090"/>
      <c r="L14" s="1090"/>
      <c r="M14" s="1090"/>
      <c r="N14" s="1090"/>
      <c r="O14" s="1090"/>
      <c r="P14" s="1090"/>
      <c r="Q14" s="1090"/>
      <c r="R14" s="1090"/>
      <c r="S14" s="1090"/>
      <c r="T14" s="1090"/>
      <c r="U14" s="1090"/>
      <c r="V14" s="1103">
        <v>0</v>
      </c>
      <c r="W14" s="1104">
        <f ca="1">+MIN(OFFSET($B$251:$B$2250,0,$C$194))*$C$198</f>
        <v>4.2549213838747475</v>
      </c>
      <c r="X14" s="1090"/>
      <c r="Y14" s="1090"/>
      <c r="Z14" s="1090"/>
      <c r="AA14" s="1090"/>
      <c r="AB14" s="1090"/>
      <c r="AC14" s="1090"/>
      <c r="AD14" s="1090"/>
      <c r="AE14" s="1090"/>
      <c r="AF14" s="1090"/>
      <c r="AG14" s="1090"/>
      <c r="AH14" s="1090"/>
      <c r="AI14" s="1090"/>
      <c r="AJ14" s="1090"/>
      <c r="AK14" s="1090"/>
      <c r="AL14" s="1090"/>
      <c r="AM14" s="1090"/>
      <c r="AN14" s="1090"/>
      <c r="AO14" s="1090"/>
      <c r="AP14" s="1090"/>
      <c r="AQ14" s="1090"/>
      <c r="AR14" s="1090"/>
      <c r="AS14" s="1090"/>
      <c r="AT14" s="1090"/>
      <c r="AU14" s="1090"/>
      <c r="AV14" s="1090"/>
      <c r="AW14" s="1090"/>
      <c r="AX14" s="1090"/>
      <c r="AY14" s="1090"/>
      <c r="AZ14" s="1090"/>
      <c r="BA14" s="1090"/>
      <c r="BB14" s="1090"/>
      <c r="BC14" s="1090"/>
      <c r="BD14" s="1090"/>
      <c r="BE14" s="1090"/>
      <c r="BF14" s="1090"/>
      <c r="BG14" s="1090"/>
      <c r="BH14" s="1090"/>
      <c r="BI14" s="1090"/>
      <c r="BJ14" s="1090"/>
      <c r="BK14" s="1090"/>
      <c r="BL14" s="1090"/>
      <c r="BM14" s="1090"/>
      <c r="BN14" s="1090"/>
      <c r="BO14" s="1090"/>
      <c r="BP14" s="1090"/>
      <c r="BQ14" s="1090"/>
      <c r="BR14" s="1090"/>
      <c r="BS14" s="1090"/>
      <c r="BT14" s="1090"/>
      <c r="BU14" s="1090"/>
    </row>
    <row r="15" spans="1:73" x14ac:dyDescent="0.25">
      <c r="A15" s="1090"/>
      <c r="B15" s="1090"/>
      <c r="C15" s="1090"/>
      <c r="D15" s="1090"/>
      <c r="E15" s="1090"/>
      <c r="F15" s="1090"/>
      <c r="G15" s="1090"/>
      <c r="H15" s="1090"/>
      <c r="I15" s="1090"/>
      <c r="J15" s="1090"/>
      <c r="K15" s="1090"/>
      <c r="L15" s="1090"/>
      <c r="M15" s="1090"/>
      <c r="N15" s="1090"/>
      <c r="O15" s="1090"/>
      <c r="P15" s="1090"/>
      <c r="Q15" s="1090"/>
      <c r="R15" s="1090"/>
      <c r="S15" s="1090"/>
      <c r="T15" s="1090"/>
      <c r="U15" s="1090"/>
      <c r="V15" s="1453">
        <v>0.05</v>
      </c>
      <c r="W15" s="1454">
        <f t="shared" ref="W15:W33" ca="1" si="3">+PERCENTILE(OFFSET($B$251:$B$2250,0,$C$194),V15)*$C$198</f>
        <v>4.3236878942363566</v>
      </c>
      <c r="X15" s="1090"/>
      <c r="Y15" s="1090"/>
      <c r="Z15" s="1090"/>
      <c r="AA15" s="1090"/>
      <c r="AB15" s="1090"/>
      <c r="AC15" s="1090"/>
      <c r="AD15" s="1090"/>
      <c r="AE15" s="1090"/>
      <c r="AF15" s="1090"/>
      <c r="AG15" s="1090"/>
      <c r="AH15" s="1090"/>
      <c r="AI15" s="1090"/>
      <c r="AJ15" s="1090"/>
      <c r="AK15" s="1090"/>
      <c r="AL15" s="1090"/>
      <c r="AM15" s="1090"/>
      <c r="AN15" s="1090"/>
      <c r="AO15" s="1090"/>
      <c r="AP15" s="1090"/>
      <c r="AQ15" s="1090"/>
      <c r="AR15" s="1090"/>
      <c r="AS15" s="1090"/>
      <c r="AT15" s="1090"/>
      <c r="AU15" s="1090"/>
      <c r="AV15" s="1090"/>
      <c r="AW15" s="1090"/>
      <c r="AX15" s="1090"/>
      <c r="AY15" s="1090"/>
      <c r="AZ15" s="1090"/>
      <c r="BA15" s="1090"/>
      <c r="BB15" s="1090"/>
      <c r="BC15" s="1090"/>
      <c r="BD15" s="1090"/>
      <c r="BE15" s="1090"/>
      <c r="BF15" s="1090"/>
      <c r="BG15" s="1090"/>
      <c r="BH15" s="1090"/>
      <c r="BI15" s="1090"/>
      <c r="BJ15" s="1090"/>
      <c r="BK15" s="1090"/>
      <c r="BL15" s="1090"/>
      <c r="BM15" s="1090"/>
      <c r="BN15" s="1090"/>
      <c r="BO15" s="1090"/>
      <c r="BP15" s="1090"/>
      <c r="BQ15" s="1090"/>
      <c r="BR15" s="1090"/>
      <c r="BS15" s="1090"/>
      <c r="BT15" s="1090"/>
      <c r="BU15" s="1090"/>
    </row>
    <row r="16" spans="1:73" x14ac:dyDescent="0.25">
      <c r="A16" s="1090"/>
      <c r="B16" s="1091"/>
      <c r="C16" s="1090"/>
      <c r="D16" s="1090"/>
      <c r="E16" s="1090"/>
      <c r="F16" s="1090"/>
      <c r="G16" s="1090"/>
      <c r="H16" s="1090"/>
      <c r="I16" s="1090"/>
      <c r="J16" s="1090"/>
      <c r="K16" s="1090"/>
      <c r="L16" s="1090"/>
      <c r="M16" s="1090"/>
      <c r="N16" s="1090"/>
      <c r="O16" s="1090"/>
      <c r="P16" s="1090"/>
      <c r="Q16" s="1090"/>
      <c r="R16" s="1090"/>
      <c r="S16" s="1090"/>
      <c r="T16" s="1090"/>
      <c r="U16" s="1090"/>
      <c r="V16" s="1452">
        <f t="shared" ref="V16:V33" si="4">+V15+0.05</f>
        <v>0.1</v>
      </c>
      <c r="W16" s="1104">
        <f t="shared" ca="1" si="3"/>
        <v>4.3573299020601075</v>
      </c>
      <c r="X16" s="1090"/>
      <c r="Y16" s="1090"/>
      <c r="Z16" s="1090"/>
      <c r="AA16" s="1090"/>
      <c r="AB16" s="1090"/>
      <c r="AC16" s="1090"/>
      <c r="AD16" s="1090"/>
      <c r="AE16" s="1090"/>
      <c r="AF16" s="1090"/>
      <c r="AG16" s="1090"/>
      <c r="AH16" s="1090"/>
      <c r="AI16" s="1090"/>
      <c r="AJ16" s="1090"/>
      <c r="AK16" s="1090"/>
      <c r="AL16" s="1090"/>
      <c r="AM16" s="1090"/>
      <c r="AN16" s="1090"/>
      <c r="AO16" s="1090"/>
      <c r="AP16" s="1090"/>
      <c r="AQ16" s="1090"/>
      <c r="AR16" s="1090"/>
      <c r="AS16" s="1090"/>
      <c r="AT16" s="1090"/>
      <c r="AU16" s="1090"/>
      <c r="AV16" s="1090"/>
      <c r="AW16" s="1090"/>
      <c r="AX16" s="1090"/>
      <c r="AY16" s="1090"/>
      <c r="AZ16" s="1090"/>
      <c r="BA16" s="1090"/>
      <c r="BB16" s="1090"/>
      <c r="BC16" s="1090"/>
      <c r="BD16" s="1090"/>
      <c r="BE16" s="1090"/>
      <c r="BF16" s="1090"/>
      <c r="BG16" s="1090"/>
      <c r="BH16" s="1090"/>
      <c r="BI16" s="1090"/>
      <c r="BJ16" s="1090"/>
      <c r="BK16" s="1090"/>
      <c r="BL16" s="1090"/>
      <c r="BM16" s="1090"/>
      <c r="BN16" s="1090"/>
      <c r="BO16" s="1090"/>
      <c r="BP16" s="1090"/>
      <c r="BQ16" s="1090"/>
      <c r="BR16" s="1090"/>
      <c r="BS16" s="1090"/>
      <c r="BT16" s="1090"/>
      <c r="BU16" s="1090"/>
    </row>
    <row r="17" spans="1:73" x14ac:dyDescent="0.25">
      <c r="A17" s="1090"/>
      <c r="B17" s="1090"/>
      <c r="C17" s="1090"/>
      <c r="D17" s="1090"/>
      <c r="E17" s="1090"/>
      <c r="F17" s="1090"/>
      <c r="G17" s="1090"/>
      <c r="H17" s="1090"/>
      <c r="I17" s="1090"/>
      <c r="J17" s="1090"/>
      <c r="K17" s="1090"/>
      <c r="L17" s="1090"/>
      <c r="M17" s="1090"/>
      <c r="N17" s="1090"/>
      <c r="O17" s="1090"/>
      <c r="P17" s="1090"/>
      <c r="Q17" s="1090"/>
      <c r="R17" s="1090"/>
      <c r="S17" s="1090"/>
      <c r="T17" s="1090"/>
      <c r="U17" s="1090"/>
      <c r="V17" s="1452">
        <f t="shared" si="4"/>
        <v>0.15000000000000002</v>
      </c>
      <c r="W17" s="1104">
        <f t="shared" ca="1" si="3"/>
        <v>4.3798561201054769</v>
      </c>
      <c r="X17" s="1090"/>
      <c r="Y17" s="1090"/>
      <c r="Z17" s="1090"/>
      <c r="AA17" s="1090"/>
      <c r="AB17" s="1090"/>
      <c r="AC17" s="1090"/>
      <c r="AD17" s="1090"/>
      <c r="AE17" s="1090"/>
      <c r="AF17" s="1090"/>
      <c r="AG17" s="1090"/>
      <c r="AH17" s="1090"/>
      <c r="AI17" s="1090"/>
      <c r="AJ17" s="1090"/>
      <c r="AK17" s="1090"/>
      <c r="AL17" s="1090"/>
      <c r="AM17" s="1090"/>
      <c r="AN17" s="1090"/>
      <c r="AO17" s="1090"/>
      <c r="AP17" s="1090"/>
      <c r="AQ17" s="1090"/>
      <c r="AR17" s="1090"/>
      <c r="AS17" s="1090"/>
      <c r="AT17" s="1090"/>
      <c r="AU17" s="1090"/>
      <c r="AV17" s="1090"/>
      <c r="AW17" s="1090"/>
      <c r="AX17" s="1090"/>
      <c r="AY17" s="1090"/>
      <c r="AZ17" s="1090"/>
      <c r="BA17" s="1090"/>
      <c r="BB17" s="1090"/>
      <c r="BC17" s="1090"/>
      <c r="BD17" s="1090"/>
      <c r="BE17" s="1090"/>
      <c r="BF17" s="1090"/>
      <c r="BG17" s="1090"/>
      <c r="BH17" s="1090"/>
      <c r="BI17" s="1090"/>
      <c r="BJ17" s="1090"/>
      <c r="BK17" s="1090"/>
      <c r="BL17" s="1090"/>
      <c r="BM17" s="1090"/>
      <c r="BN17" s="1090"/>
      <c r="BO17" s="1090"/>
      <c r="BP17" s="1090"/>
      <c r="BQ17" s="1090"/>
      <c r="BR17" s="1090"/>
      <c r="BS17" s="1090"/>
      <c r="BT17" s="1090"/>
      <c r="BU17" s="1090"/>
    </row>
    <row r="18" spans="1:73" x14ac:dyDescent="0.25">
      <c r="A18" s="1090"/>
      <c r="B18" s="1090"/>
      <c r="C18" s="1090"/>
      <c r="D18" s="1090"/>
      <c r="E18" s="1090"/>
      <c r="F18" s="1090"/>
      <c r="G18" s="1090"/>
      <c r="H18" s="1090"/>
      <c r="I18" s="1090"/>
      <c r="J18" s="1090"/>
      <c r="K18" s="1090"/>
      <c r="L18" s="1090"/>
      <c r="M18" s="1090"/>
      <c r="N18" s="1090"/>
      <c r="O18" s="1090"/>
      <c r="P18" s="1090"/>
      <c r="Q18" s="1090"/>
      <c r="R18" s="1090"/>
      <c r="S18" s="1090"/>
      <c r="T18" s="1090"/>
      <c r="U18" s="1090"/>
      <c r="V18" s="1452">
        <f t="shared" si="4"/>
        <v>0.2</v>
      </c>
      <c r="W18" s="1104">
        <f t="shared" ca="1" si="3"/>
        <v>4.4006933108805919</v>
      </c>
      <c r="X18" s="1090"/>
      <c r="Y18" s="1090"/>
      <c r="Z18" s="1090"/>
      <c r="AA18" s="1090"/>
      <c r="AB18" s="1090"/>
      <c r="AC18" s="1090"/>
      <c r="AD18" s="1090"/>
      <c r="AE18" s="1090"/>
      <c r="AF18" s="1090"/>
      <c r="AG18" s="1090"/>
      <c r="AH18" s="1090"/>
      <c r="AI18" s="1090"/>
      <c r="AJ18" s="1090"/>
      <c r="AK18" s="1090"/>
      <c r="AL18" s="1090"/>
      <c r="AM18" s="1090"/>
      <c r="AN18" s="1090"/>
      <c r="AO18" s="1090"/>
      <c r="AP18" s="1090"/>
      <c r="AQ18" s="1090"/>
      <c r="AR18" s="1090"/>
      <c r="AS18" s="1090"/>
      <c r="AT18" s="1090"/>
      <c r="AU18" s="1090"/>
      <c r="AV18" s="1090"/>
      <c r="AW18" s="1090"/>
      <c r="AX18" s="1090"/>
      <c r="AY18" s="1090"/>
      <c r="AZ18" s="1090"/>
      <c r="BA18" s="1090"/>
      <c r="BB18" s="1090"/>
      <c r="BC18" s="1090"/>
      <c r="BD18" s="1090"/>
      <c r="BE18" s="1090"/>
      <c r="BF18" s="1090"/>
      <c r="BG18" s="1090"/>
      <c r="BH18" s="1090"/>
      <c r="BI18" s="1090"/>
      <c r="BJ18" s="1090"/>
      <c r="BK18" s="1090"/>
      <c r="BL18" s="1090"/>
      <c r="BM18" s="1090"/>
      <c r="BN18" s="1090"/>
      <c r="BO18" s="1090"/>
      <c r="BP18" s="1090"/>
      <c r="BQ18" s="1090"/>
      <c r="BR18" s="1090"/>
      <c r="BS18" s="1090"/>
      <c r="BT18" s="1090"/>
      <c r="BU18" s="1090"/>
    </row>
    <row r="19" spans="1:73" x14ac:dyDescent="0.25">
      <c r="A19" s="1090"/>
      <c r="B19" s="1090"/>
      <c r="C19" s="1090"/>
      <c r="D19" s="1090"/>
      <c r="E19" s="1090"/>
      <c r="F19" s="1090"/>
      <c r="G19" s="1090"/>
      <c r="H19" s="1090"/>
      <c r="I19" s="1090"/>
      <c r="J19" s="1090"/>
      <c r="K19" s="1090"/>
      <c r="L19" s="1090"/>
      <c r="M19" s="1090"/>
      <c r="N19" s="1090"/>
      <c r="O19" s="1090"/>
      <c r="P19" s="1090"/>
      <c r="Q19" s="1090"/>
      <c r="R19" s="1090"/>
      <c r="S19" s="1090"/>
      <c r="T19" s="1090"/>
      <c r="U19" s="1090"/>
      <c r="V19" s="1452">
        <f t="shared" si="4"/>
        <v>0.25</v>
      </c>
      <c r="W19" s="1104">
        <f t="shared" ca="1" si="3"/>
        <v>4.416596311981742</v>
      </c>
      <c r="X19" s="1090"/>
      <c r="Y19" s="1090"/>
      <c r="Z19" s="1090"/>
      <c r="AA19" s="1090"/>
      <c r="AB19" s="1090"/>
      <c r="AC19" s="1090"/>
      <c r="AD19" s="1090"/>
      <c r="AE19" s="1090"/>
      <c r="AF19" s="1090"/>
      <c r="AG19" s="1090"/>
      <c r="AH19" s="1090"/>
      <c r="AI19" s="1090"/>
      <c r="AJ19" s="1090"/>
      <c r="AK19" s="1090"/>
      <c r="AL19" s="1090"/>
      <c r="AM19" s="1090"/>
      <c r="AN19" s="1090"/>
      <c r="AO19" s="1090"/>
      <c r="AP19" s="1090"/>
      <c r="AQ19" s="1090"/>
      <c r="AR19" s="1090"/>
      <c r="AS19" s="1090"/>
      <c r="AT19" s="1090"/>
      <c r="AU19" s="1090"/>
      <c r="AV19" s="1090"/>
      <c r="AW19" s="1090"/>
      <c r="AX19" s="1090"/>
      <c r="AY19" s="1090"/>
      <c r="AZ19" s="1090"/>
      <c r="BA19" s="1090"/>
      <c r="BB19" s="1090"/>
      <c r="BC19" s="1090"/>
      <c r="BD19" s="1090"/>
      <c r="BE19" s="1090"/>
      <c r="BF19" s="1090"/>
      <c r="BG19" s="1090"/>
      <c r="BH19" s="1090"/>
      <c r="BI19" s="1090"/>
      <c r="BJ19" s="1090"/>
      <c r="BK19" s="1090"/>
      <c r="BL19" s="1090"/>
      <c r="BM19" s="1090"/>
      <c r="BN19" s="1090"/>
      <c r="BO19" s="1090"/>
      <c r="BP19" s="1090"/>
      <c r="BQ19" s="1090"/>
      <c r="BR19" s="1090"/>
      <c r="BS19" s="1090"/>
      <c r="BT19" s="1090"/>
      <c r="BU19" s="1090"/>
    </row>
    <row r="20" spans="1:73" x14ac:dyDescent="0.25">
      <c r="A20" s="1090"/>
      <c r="B20" s="1090"/>
      <c r="C20" s="1090"/>
      <c r="D20" s="1090"/>
      <c r="E20" s="1090"/>
      <c r="F20" s="1090"/>
      <c r="G20" s="1090"/>
      <c r="H20" s="1090"/>
      <c r="I20" s="1090"/>
      <c r="J20" s="1090"/>
      <c r="K20" s="1090"/>
      <c r="L20" s="1090"/>
      <c r="M20" s="1090"/>
      <c r="N20" s="1090"/>
      <c r="O20" s="1090"/>
      <c r="P20" s="1090"/>
      <c r="Q20" s="1090"/>
      <c r="R20" s="1090"/>
      <c r="S20" s="1090"/>
      <c r="T20" s="1090"/>
      <c r="U20" s="1090"/>
      <c r="V20" s="1452">
        <f t="shared" si="4"/>
        <v>0.3</v>
      </c>
      <c r="W20" s="1104">
        <f t="shared" ca="1" si="3"/>
        <v>4.4340704538091416</v>
      </c>
      <c r="X20" s="1090"/>
      <c r="Y20" s="1090"/>
      <c r="Z20" s="1090"/>
      <c r="AA20" s="1090"/>
      <c r="AB20" s="1090"/>
      <c r="AC20" s="1090"/>
      <c r="AD20" s="1090"/>
      <c r="AE20" s="1090"/>
      <c r="AF20" s="1090"/>
      <c r="AG20" s="1090"/>
      <c r="AH20" s="1090"/>
      <c r="AI20" s="1090"/>
      <c r="AJ20" s="1090"/>
      <c r="AK20" s="1090"/>
      <c r="AL20" s="1090"/>
      <c r="AM20" s="1090"/>
      <c r="AN20" s="1090"/>
      <c r="AO20" s="1090"/>
      <c r="AP20" s="1090"/>
      <c r="AQ20" s="1090"/>
      <c r="AR20" s="1090"/>
      <c r="AS20" s="1090"/>
      <c r="AT20" s="1090"/>
      <c r="AU20" s="1090"/>
      <c r="AV20" s="1090"/>
      <c r="AW20" s="1090"/>
      <c r="AX20" s="1090"/>
      <c r="AY20" s="1090"/>
      <c r="AZ20" s="1090"/>
      <c r="BA20" s="1090"/>
      <c r="BB20" s="1090"/>
      <c r="BC20" s="1090"/>
      <c r="BD20" s="1090"/>
      <c r="BE20" s="1090"/>
      <c r="BF20" s="1090"/>
      <c r="BG20" s="1090"/>
      <c r="BH20" s="1090"/>
      <c r="BI20" s="1090"/>
      <c r="BJ20" s="1090"/>
      <c r="BK20" s="1090"/>
      <c r="BL20" s="1090"/>
      <c r="BM20" s="1090"/>
      <c r="BN20" s="1090"/>
      <c r="BO20" s="1090"/>
      <c r="BP20" s="1090"/>
      <c r="BQ20" s="1090"/>
      <c r="BR20" s="1090"/>
      <c r="BS20" s="1090"/>
      <c r="BT20" s="1090"/>
      <c r="BU20" s="1090"/>
    </row>
    <row r="21" spans="1:73" x14ac:dyDescent="0.25">
      <c r="A21" s="1090"/>
      <c r="B21" s="1090"/>
      <c r="C21" s="1090"/>
      <c r="D21" s="1090"/>
      <c r="E21" s="1090"/>
      <c r="F21" s="1090"/>
      <c r="G21" s="1090"/>
      <c r="H21" s="1090"/>
      <c r="I21" s="1090"/>
      <c r="J21" s="1090"/>
      <c r="K21" s="1090"/>
      <c r="L21" s="1090"/>
      <c r="M21" s="1090"/>
      <c r="N21" s="1090"/>
      <c r="O21" s="1090"/>
      <c r="P21" s="1090"/>
      <c r="Q21" s="1090"/>
      <c r="R21" s="1090"/>
      <c r="S21" s="1090"/>
      <c r="T21" s="1090"/>
      <c r="U21" s="1090"/>
      <c r="V21" s="1452">
        <f t="shared" si="4"/>
        <v>0.35</v>
      </c>
      <c r="W21" s="1104">
        <f t="shared" ca="1" si="3"/>
        <v>4.4465779542848622</v>
      </c>
      <c r="X21" s="1090"/>
      <c r="Y21" s="1090"/>
      <c r="Z21" s="1090"/>
      <c r="AA21" s="1090"/>
      <c r="AB21" s="1090"/>
      <c r="AC21" s="1090"/>
      <c r="AD21" s="1090"/>
      <c r="AE21" s="1090"/>
      <c r="AF21" s="1090"/>
      <c r="AG21" s="1090"/>
      <c r="AH21" s="1090"/>
      <c r="AI21" s="1090"/>
      <c r="AJ21" s="1090"/>
      <c r="AK21" s="1090"/>
      <c r="AL21" s="1090"/>
      <c r="AM21" s="1090"/>
      <c r="AN21" s="1090"/>
      <c r="AO21" s="1090"/>
      <c r="AP21" s="1090"/>
      <c r="AQ21" s="1090"/>
      <c r="AR21" s="1090"/>
      <c r="AS21" s="1090"/>
      <c r="AT21" s="1090"/>
      <c r="AU21" s="1090"/>
      <c r="AV21" s="1090"/>
      <c r="AW21" s="1090"/>
      <c r="AX21" s="1090"/>
      <c r="AY21" s="1090"/>
      <c r="AZ21" s="1090"/>
      <c r="BA21" s="1090"/>
      <c r="BB21" s="1090"/>
      <c r="BC21" s="1090"/>
      <c r="BD21" s="1090"/>
      <c r="BE21" s="1090"/>
      <c r="BF21" s="1090"/>
      <c r="BG21" s="1090"/>
      <c r="BH21" s="1090"/>
      <c r="BI21" s="1090"/>
      <c r="BJ21" s="1090"/>
      <c r="BK21" s="1090"/>
      <c r="BL21" s="1090"/>
      <c r="BM21" s="1090"/>
      <c r="BN21" s="1090"/>
      <c r="BO21" s="1090"/>
      <c r="BP21" s="1090"/>
      <c r="BQ21" s="1090"/>
      <c r="BR21" s="1090"/>
      <c r="BS21" s="1090"/>
      <c r="BT21" s="1090"/>
      <c r="BU21" s="1090"/>
    </row>
    <row r="22" spans="1:73" x14ac:dyDescent="0.25">
      <c r="A22" s="1090"/>
      <c r="B22" s="1090"/>
      <c r="C22" s="1090"/>
      <c r="D22" s="1090"/>
      <c r="E22" s="1090"/>
      <c r="F22" s="1090"/>
      <c r="G22" s="1090"/>
      <c r="H22" s="1090"/>
      <c r="I22" s="1090"/>
      <c r="J22" s="1090"/>
      <c r="K22" s="1090"/>
      <c r="L22" s="1090"/>
      <c r="M22" s="1090"/>
      <c r="N22" s="1090"/>
      <c r="O22" s="1090"/>
      <c r="P22" s="1090"/>
      <c r="Q22" s="1090"/>
      <c r="R22" s="1090"/>
      <c r="S22" s="1090"/>
      <c r="T22" s="1090"/>
      <c r="U22" s="1090"/>
      <c r="V22" s="1452">
        <f t="shared" si="4"/>
        <v>0.39999999999999997</v>
      </c>
      <c r="W22" s="1104">
        <f t="shared" ca="1" si="3"/>
        <v>4.4582747972943233</v>
      </c>
      <c r="X22" s="1090"/>
      <c r="Y22" s="1090"/>
      <c r="Z22" s="1090"/>
      <c r="AA22" s="1090"/>
      <c r="AB22" s="1090"/>
      <c r="AC22" s="1090"/>
      <c r="AD22" s="1090"/>
      <c r="AE22" s="1090"/>
      <c r="AF22" s="1090"/>
      <c r="AG22" s="1090"/>
      <c r="AH22" s="1090"/>
      <c r="AI22" s="1090"/>
      <c r="AJ22" s="1090"/>
      <c r="AK22" s="1090"/>
      <c r="AL22" s="1090"/>
      <c r="AM22" s="1090"/>
      <c r="AN22" s="1090"/>
      <c r="AO22" s="1090"/>
      <c r="AP22" s="1090"/>
      <c r="AQ22" s="1090"/>
      <c r="AR22" s="1090"/>
      <c r="AS22" s="1090"/>
      <c r="AT22" s="1090"/>
      <c r="AU22" s="1090"/>
      <c r="AV22" s="1090"/>
      <c r="AW22" s="1090"/>
      <c r="AX22" s="1090"/>
      <c r="AY22" s="1090"/>
      <c r="AZ22" s="1090"/>
      <c r="BA22" s="1090"/>
      <c r="BB22" s="1090"/>
      <c r="BC22" s="1090"/>
      <c r="BD22" s="1090"/>
      <c r="BE22" s="1090"/>
      <c r="BF22" s="1090"/>
      <c r="BG22" s="1090"/>
      <c r="BH22" s="1090"/>
      <c r="BI22" s="1090"/>
      <c r="BJ22" s="1090"/>
      <c r="BK22" s="1090"/>
      <c r="BL22" s="1090"/>
      <c r="BM22" s="1090"/>
      <c r="BN22" s="1090"/>
      <c r="BO22" s="1090"/>
      <c r="BP22" s="1090"/>
      <c r="BQ22" s="1090"/>
      <c r="BR22" s="1090"/>
      <c r="BS22" s="1090"/>
      <c r="BT22" s="1090"/>
      <c r="BU22" s="1090"/>
    </row>
    <row r="23" spans="1:73" x14ac:dyDescent="0.25">
      <c r="A23" s="1090"/>
      <c r="B23" s="1090"/>
      <c r="C23" s="1090"/>
      <c r="D23" s="1090"/>
      <c r="E23" s="1090"/>
      <c r="F23" s="1090"/>
      <c r="G23" s="1090"/>
      <c r="H23" s="1090"/>
      <c r="I23" s="1090"/>
      <c r="J23" s="1090"/>
      <c r="K23" s="1090"/>
      <c r="L23" s="1090"/>
      <c r="M23" s="1090"/>
      <c r="N23" s="1090"/>
      <c r="O23" s="1090"/>
      <c r="P23" s="1090"/>
      <c r="Q23" s="1090"/>
      <c r="R23" s="1090"/>
      <c r="S23" s="1090"/>
      <c r="T23" s="1090"/>
      <c r="U23" s="1090"/>
      <c r="V23" s="1452">
        <f t="shared" si="4"/>
        <v>0.44999999999999996</v>
      </c>
      <c r="W23" s="1104">
        <f t="shared" ca="1" si="3"/>
        <v>4.4714802261230062</v>
      </c>
      <c r="X23" s="1090"/>
      <c r="Y23" s="1090"/>
      <c r="Z23" s="1090"/>
      <c r="AA23" s="1090"/>
      <c r="AB23" s="1090"/>
      <c r="AC23" s="1090"/>
      <c r="AD23" s="1090"/>
      <c r="AE23" s="1090"/>
      <c r="AF23" s="1090"/>
      <c r="AG23" s="1090"/>
      <c r="AH23" s="1090"/>
      <c r="AI23" s="1090"/>
      <c r="AJ23" s="1090"/>
      <c r="AK23" s="1090"/>
      <c r="AL23" s="1090"/>
      <c r="AM23" s="1090"/>
      <c r="AN23" s="1090"/>
      <c r="AO23" s="1090"/>
      <c r="AP23" s="1090"/>
      <c r="AQ23" s="1090"/>
      <c r="AR23" s="1090"/>
      <c r="AS23" s="1090"/>
      <c r="AT23" s="1090"/>
      <c r="AU23" s="1090"/>
      <c r="AV23" s="1090"/>
      <c r="AW23" s="1090"/>
      <c r="AX23" s="1090"/>
      <c r="AY23" s="1090"/>
      <c r="AZ23" s="1090"/>
      <c r="BA23" s="1090"/>
      <c r="BB23" s="1090"/>
      <c r="BC23" s="1090"/>
      <c r="BD23" s="1090"/>
      <c r="BE23" s="1090"/>
      <c r="BF23" s="1090"/>
      <c r="BG23" s="1090"/>
      <c r="BH23" s="1090"/>
      <c r="BI23" s="1090"/>
      <c r="BJ23" s="1090"/>
      <c r="BK23" s="1090"/>
      <c r="BL23" s="1090"/>
      <c r="BM23" s="1090"/>
      <c r="BN23" s="1090"/>
      <c r="BO23" s="1090"/>
      <c r="BP23" s="1090"/>
      <c r="BQ23" s="1090"/>
      <c r="BR23" s="1090"/>
      <c r="BS23" s="1090"/>
      <c r="BT23" s="1090"/>
      <c r="BU23" s="1090"/>
    </row>
    <row r="24" spans="1:73" x14ac:dyDescent="0.25">
      <c r="A24" s="1090"/>
      <c r="B24" s="1090"/>
      <c r="C24" s="1090"/>
      <c r="D24" s="1090"/>
      <c r="E24" s="1090"/>
      <c r="F24" s="1090"/>
      <c r="G24" s="1090"/>
      <c r="H24" s="1090"/>
      <c r="I24" s="1090"/>
      <c r="J24" s="1090"/>
      <c r="K24" s="1090"/>
      <c r="L24" s="1090"/>
      <c r="M24" s="1090"/>
      <c r="N24" s="1090"/>
      <c r="O24" s="1090"/>
      <c r="P24" s="1090"/>
      <c r="Q24" s="1090"/>
      <c r="R24" s="1090"/>
      <c r="S24" s="1090"/>
      <c r="T24" s="1090"/>
      <c r="U24" s="1090"/>
      <c r="V24" s="1453">
        <f t="shared" si="4"/>
        <v>0.49999999999999994</v>
      </c>
      <c r="W24" s="1454">
        <f t="shared" ca="1" si="3"/>
        <v>4.4819287616493959</v>
      </c>
      <c r="X24" s="1090"/>
      <c r="Y24" s="1090"/>
      <c r="Z24" s="1090"/>
      <c r="AA24" s="1090"/>
      <c r="AB24" s="1090"/>
      <c r="AC24" s="1090"/>
      <c r="AD24" s="1090"/>
      <c r="AE24" s="1090"/>
      <c r="AF24" s="1090"/>
      <c r="AG24" s="1090"/>
      <c r="AH24" s="1090"/>
      <c r="AI24" s="1090"/>
      <c r="AJ24" s="1090"/>
      <c r="AK24" s="1090"/>
      <c r="AL24" s="1090"/>
      <c r="AM24" s="1090"/>
      <c r="AN24" s="1090"/>
      <c r="AO24" s="1090"/>
      <c r="AP24" s="1090"/>
      <c r="AQ24" s="1090"/>
      <c r="AR24" s="1090"/>
      <c r="AS24" s="1090"/>
      <c r="AT24" s="1090"/>
      <c r="AU24" s="1090"/>
      <c r="AV24" s="1090"/>
      <c r="AW24" s="1090"/>
      <c r="AX24" s="1090"/>
      <c r="AY24" s="1090"/>
      <c r="AZ24" s="1090"/>
      <c r="BA24" s="1090"/>
      <c r="BB24" s="1090"/>
      <c r="BC24" s="1090"/>
      <c r="BD24" s="1090"/>
      <c r="BE24" s="1090"/>
      <c r="BF24" s="1090"/>
      <c r="BG24" s="1090"/>
      <c r="BH24" s="1090"/>
      <c r="BI24" s="1090"/>
      <c r="BJ24" s="1090"/>
      <c r="BK24" s="1090"/>
      <c r="BL24" s="1090"/>
      <c r="BM24" s="1090"/>
      <c r="BN24" s="1090"/>
      <c r="BO24" s="1090"/>
      <c r="BP24" s="1090"/>
      <c r="BQ24" s="1090"/>
      <c r="BR24" s="1090"/>
      <c r="BS24" s="1090"/>
      <c r="BT24" s="1090"/>
      <c r="BU24" s="1090"/>
    </row>
    <row r="25" spans="1:73" x14ac:dyDescent="0.25">
      <c r="A25" s="1090"/>
      <c r="B25" s="1090"/>
      <c r="C25" s="1090"/>
      <c r="D25" s="1090"/>
      <c r="E25" s="1090"/>
      <c r="F25" s="1090"/>
      <c r="G25" s="1090"/>
      <c r="H25" s="1090"/>
      <c r="I25" s="1090"/>
      <c r="J25" s="1090"/>
      <c r="K25" s="1090"/>
      <c r="L25" s="1090"/>
      <c r="M25" s="1090"/>
      <c r="N25" s="1090"/>
      <c r="O25" s="1090"/>
      <c r="P25" s="1090"/>
      <c r="Q25" s="1090"/>
      <c r="R25" s="1090"/>
      <c r="S25" s="1090"/>
      <c r="T25" s="1090"/>
      <c r="U25" s="1090"/>
      <c r="V25" s="1452">
        <f t="shared" si="4"/>
        <v>0.54999999999999993</v>
      </c>
      <c r="W25" s="1104">
        <f t="shared" ca="1" si="3"/>
        <v>4.4948432576460213</v>
      </c>
      <c r="X25" s="1090"/>
      <c r="Y25" s="1090"/>
      <c r="Z25" s="1090"/>
      <c r="AA25" s="1090"/>
      <c r="AB25" s="1090"/>
      <c r="AC25" s="1090"/>
      <c r="AD25" s="1090"/>
      <c r="AE25" s="1090"/>
      <c r="AF25" s="1090"/>
      <c r="AG25" s="1090"/>
      <c r="AH25" s="1090"/>
      <c r="AI25" s="1090"/>
      <c r="AJ25" s="1090"/>
      <c r="AK25" s="1090"/>
      <c r="AL25" s="1090"/>
      <c r="AM25" s="1090"/>
      <c r="AN25" s="1090"/>
      <c r="AO25" s="1090"/>
      <c r="AP25" s="1090"/>
      <c r="AQ25" s="1090"/>
      <c r="AR25" s="1090"/>
      <c r="AS25" s="1090"/>
      <c r="AT25" s="1090"/>
      <c r="AU25" s="1090"/>
      <c r="AV25" s="1090"/>
      <c r="AW25" s="1090"/>
      <c r="AX25" s="1090"/>
      <c r="AY25" s="1090"/>
      <c r="AZ25" s="1090"/>
      <c r="BA25" s="1090"/>
      <c r="BB25" s="1090"/>
      <c r="BC25" s="1090"/>
      <c r="BD25" s="1090"/>
      <c r="BE25" s="1090"/>
      <c r="BF25" s="1090"/>
      <c r="BG25" s="1090"/>
      <c r="BH25" s="1090"/>
      <c r="BI25" s="1090"/>
      <c r="BJ25" s="1090"/>
      <c r="BK25" s="1090"/>
      <c r="BL25" s="1090"/>
      <c r="BM25" s="1090"/>
      <c r="BN25" s="1090"/>
      <c r="BO25" s="1090"/>
      <c r="BP25" s="1090"/>
      <c r="BQ25" s="1090"/>
      <c r="BR25" s="1090"/>
      <c r="BS25" s="1090"/>
      <c r="BT25" s="1090"/>
      <c r="BU25" s="1090"/>
    </row>
    <row r="26" spans="1:73" x14ac:dyDescent="0.25">
      <c r="A26" s="1090"/>
      <c r="B26" s="1090"/>
      <c r="C26" s="1090"/>
      <c r="D26" s="1090"/>
      <c r="E26" s="1090"/>
      <c r="F26" s="1090"/>
      <c r="G26" s="1090"/>
      <c r="H26" s="1090"/>
      <c r="I26" s="1090"/>
      <c r="J26" s="1090"/>
      <c r="K26" s="1090"/>
      <c r="L26" s="1090"/>
      <c r="M26" s="1090"/>
      <c r="N26" s="1090"/>
      <c r="O26" s="1090"/>
      <c r="P26" s="1090"/>
      <c r="Q26" s="1090"/>
      <c r="R26" s="1090"/>
      <c r="S26" s="1090"/>
      <c r="T26" s="1090"/>
      <c r="U26" s="1090"/>
      <c r="V26" s="1452">
        <f t="shared" si="4"/>
        <v>0.6</v>
      </c>
      <c r="W26" s="1104">
        <f t="shared" ca="1" si="3"/>
        <v>4.506192878563791</v>
      </c>
      <c r="X26" s="1090"/>
      <c r="Y26" s="1090"/>
      <c r="Z26" s="1090"/>
      <c r="AA26" s="1090"/>
      <c r="AB26" s="1090"/>
      <c r="AC26" s="1090"/>
      <c r="AD26" s="1090"/>
      <c r="AE26" s="1090"/>
      <c r="AF26" s="1090"/>
      <c r="AG26" s="1090"/>
      <c r="AH26" s="1090"/>
      <c r="AI26" s="1090"/>
      <c r="AJ26" s="1090"/>
      <c r="AK26" s="1090"/>
      <c r="AL26" s="1090"/>
      <c r="AM26" s="1090"/>
      <c r="AN26" s="1090"/>
      <c r="AO26" s="1090"/>
      <c r="AP26" s="1090"/>
      <c r="AQ26" s="1090"/>
      <c r="AR26" s="1090"/>
      <c r="AS26" s="1090"/>
      <c r="AT26" s="1090"/>
      <c r="AU26" s="1090"/>
      <c r="AV26" s="1090"/>
      <c r="AW26" s="1090"/>
      <c r="AX26" s="1090"/>
      <c r="AY26" s="1090"/>
      <c r="AZ26" s="1090"/>
      <c r="BA26" s="1090"/>
      <c r="BB26" s="1090"/>
      <c r="BC26" s="1090"/>
      <c r="BD26" s="1090"/>
      <c r="BE26" s="1090"/>
      <c r="BF26" s="1090"/>
      <c r="BG26" s="1090"/>
      <c r="BH26" s="1090"/>
      <c r="BI26" s="1090"/>
      <c r="BJ26" s="1090"/>
      <c r="BK26" s="1090"/>
      <c r="BL26" s="1090"/>
      <c r="BM26" s="1090"/>
      <c r="BN26" s="1090"/>
      <c r="BO26" s="1090"/>
      <c r="BP26" s="1090"/>
      <c r="BQ26" s="1090"/>
      <c r="BR26" s="1090"/>
      <c r="BS26" s="1090"/>
      <c r="BT26" s="1090"/>
      <c r="BU26" s="1090"/>
    </row>
    <row r="27" spans="1:73" x14ac:dyDescent="0.25">
      <c r="A27" s="1090"/>
      <c r="B27" s="1090"/>
      <c r="C27" s="1090"/>
      <c r="D27" s="1090"/>
      <c r="E27" s="1090"/>
      <c r="F27" s="1090"/>
      <c r="G27" s="1090"/>
      <c r="H27" s="1090"/>
      <c r="I27" s="1090"/>
      <c r="J27" s="1090"/>
      <c r="K27" s="1090"/>
      <c r="L27" s="1090"/>
      <c r="M27" s="1090"/>
      <c r="N27" s="1090"/>
      <c r="O27" s="1090"/>
      <c r="P27" s="1090"/>
      <c r="Q27" s="1090"/>
      <c r="R27" s="1090"/>
      <c r="S27" s="1090"/>
      <c r="T27" s="1090"/>
      <c r="U27" s="1090"/>
      <c r="V27" s="1452">
        <f t="shared" si="4"/>
        <v>0.65</v>
      </c>
      <c r="W27" s="1104">
        <f t="shared" ca="1" si="3"/>
        <v>4.5197103419842826</v>
      </c>
      <c r="X27" s="1090"/>
      <c r="Y27" s="1090"/>
      <c r="Z27" s="1090"/>
      <c r="AA27" s="1090"/>
      <c r="AB27" s="1090"/>
      <c r="AC27" s="1090"/>
      <c r="AD27" s="1090"/>
      <c r="AE27" s="1090"/>
      <c r="AF27" s="1090"/>
      <c r="AG27" s="1090"/>
      <c r="AH27" s="1090"/>
      <c r="AI27" s="1090"/>
      <c r="AJ27" s="1090"/>
      <c r="AK27" s="1090"/>
      <c r="AL27" s="1090"/>
      <c r="AM27" s="1090"/>
      <c r="AN27" s="1090"/>
      <c r="AO27" s="1090"/>
      <c r="AP27" s="1090"/>
      <c r="AQ27" s="1090"/>
      <c r="AR27" s="1090"/>
      <c r="AS27" s="1090"/>
      <c r="AT27" s="1090"/>
      <c r="AU27" s="1090"/>
      <c r="AV27" s="1090"/>
      <c r="AW27" s="1090"/>
      <c r="AX27" s="1090"/>
      <c r="AY27" s="1090"/>
      <c r="AZ27" s="1090"/>
      <c r="BA27" s="1090"/>
      <c r="BB27" s="1090"/>
      <c r="BC27" s="1090"/>
      <c r="BD27" s="1090"/>
      <c r="BE27" s="1090"/>
      <c r="BF27" s="1090"/>
      <c r="BG27" s="1090"/>
      <c r="BH27" s="1090"/>
      <c r="BI27" s="1090"/>
      <c r="BJ27" s="1090"/>
      <c r="BK27" s="1090"/>
      <c r="BL27" s="1090"/>
      <c r="BM27" s="1090"/>
      <c r="BN27" s="1090"/>
      <c r="BO27" s="1090"/>
      <c r="BP27" s="1090"/>
      <c r="BQ27" s="1090"/>
      <c r="BR27" s="1090"/>
      <c r="BS27" s="1090"/>
      <c r="BT27" s="1090"/>
      <c r="BU27" s="1090"/>
    </row>
    <row r="28" spans="1:73" x14ac:dyDescent="0.25">
      <c r="A28" s="1090"/>
      <c r="B28" s="1090"/>
      <c r="C28" s="1090"/>
      <c r="D28" s="1090"/>
      <c r="E28" s="1090"/>
      <c r="F28" s="1090"/>
      <c r="G28" s="1090"/>
      <c r="H28" s="1090"/>
      <c r="I28" s="1090"/>
      <c r="J28" s="1090"/>
      <c r="K28" s="1090"/>
      <c r="L28" s="1090"/>
      <c r="M28" s="1090"/>
      <c r="N28" s="1090"/>
      <c r="O28" s="1090"/>
      <c r="P28" s="1090"/>
      <c r="Q28" s="1090"/>
      <c r="R28" s="1090"/>
      <c r="S28" s="1090"/>
      <c r="T28" s="1090"/>
      <c r="U28" s="1090"/>
      <c r="V28" s="1452">
        <f t="shared" si="4"/>
        <v>0.70000000000000007</v>
      </c>
      <c r="W28" s="1104">
        <f t="shared" ca="1" si="3"/>
        <v>4.5317669091156239</v>
      </c>
      <c r="X28" s="1090"/>
      <c r="Y28" s="1090"/>
      <c r="Z28" s="1090"/>
      <c r="AA28" s="1090"/>
      <c r="AB28" s="1090"/>
      <c r="AC28" s="1090"/>
      <c r="AD28" s="1090"/>
      <c r="AE28" s="1090"/>
      <c r="AF28" s="1090"/>
      <c r="AG28" s="1090"/>
      <c r="AH28" s="1090"/>
      <c r="AI28" s="1090"/>
      <c r="AJ28" s="1090"/>
      <c r="AK28" s="1090"/>
      <c r="AL28" s="1090"/>
      <c r="AM28" s="1090"/>
      <c r="AN28" s="1090"/>
      <c r="AO28" s="1090"/>
      <c r="AP28" s="1090"/>
      <c r="AQ28" s="1090"/>
      <c r="AR28" s="1090"/>
      <c r="AS28" s="1090"/>
      <c r="AT28" s="1090"/>
      <c r="AU28" s="1090"/>
      <c r="AV28" s="1090"/>
      <c r="AW28" s="1090"/>
      <c r="AX28" s="1090"/>
      <c r="AY28" s="1090"/>
      <c r="AZ28" s="1090"/>
      <c r="BA28" s="1090"/>
      <c r="BB28" s="1090"/>
      <c r="BC28" s="1090"/>
      <c r="BD28" s="1090"/>
      <c r="BE28" s="1090"/>
      <c r="BF28" s="1090"/>
      <c r="BG28" s="1090"/>
      <c r="BH28" s="1090"/>
      <c r="BI28" s="1090"/>
      <c r="BJ28" s="1090"/>
      <c r="BK28" s="1090"/>
      <c r="BL28" s="1090"/>
      <c r="BM28" s="1090"/>
      <c r="BN28" s="1090"/>
      <c r="BO28" s="1090"/>
      <c r="BP28" s="1090"/>
      <c r="BQ28" s="1090"/>
      <c r="BR28" s="1090"/>
      <c r="BS28" s="1090"/>
      <c r="BT28" s="1090"/>
      <c r="BU28" s="1090"/>
    </row>
    <row r="29" spans="1:73" x14ac:dyDescent="0.25">
      <c r="A29" s="1090"/>
      <c r="B29" s="1090"/>
      <c r="C29" s="1090"/>
      <c r="D29" s="1090"/>
      <c r="E29" s="1090"/>
      <c r="F29" s="1090"/>
      <c r="G29" s="1090"/>
      <c r="H29" s="1090"/>
      <c r="I29" s="1090"/>
      <c r="J29" s="1090"/>
      <c r="K29" s="1090"/>
      <c r="L29" s="1090"/>
      <c r="M29" s="1090"/>
      <c r="N29" s="1090"/>
      <c r="O29" s="1090"/>
      <c r="P29" s="1090"/>
      <c r="Q29" s="1090"/>
      <c r="R29" s="1090"/>
      <c r="S29" s="1090"/>
      <c r="T29" s="1090"/>
      <c r="U29" s="1090"/>
      <c r="V29" s="1452">
        <f t="shared" si="4"/>
        <v>0.75000000000000011</v>
      </c>
      <c r="W29" s="1104">
        <f t="shared" ca="1" si="3"/>
        <v>4.5482786476837864</v>
      </c>
      <c r="X29" s="1090"/>
      <c r="Y29" s="1090"/>
      <c r="Z29" s="1090"/>
      <c r="AA29" s="1090"/>
      <c r="AB29" s="1090"/>
      <c r="AC29" s="1090"/>
      <c r="AD29" s="1090"/>
      <c r="AE29" s="1090"/>
      <c r="AF29" s="1090"/>
      <c r="AG29" s="1090"/>
      <c r="AH29" s="1090"/>
      <c r="AI29" s="1090"/>
      <c r="AJ29" s="1090"/>
      <c r="AK29" s="1090"/>
      <c r="AL29" s="1090"/>
      <c r="AM29" s="1090"/>
      <c r="AN29" s="1090"/>
      <c r="AO29" s="1090"/>
      <c r="AP29" s="1090"/>
      <c r="AQ29" s="1090"/>
      <c r="AR29" s="1090"/>
      <c r="AS29" s="1090"/>
      <c r="AT29" s="1090"/>
      <c r="AU29" s="1090"/>
      <c r="AV29" s="1090"/>
      <c r="AW29" s="1090"/>
      <c r="AX29" s="1090"/>
      <c r="AY29" s="1090"/>
      <c r="AZ29" s="1090"/>
      <c r="BA29" s="1090"/>
      <c r="BB29" s="1090"/>
      <c r="BC29" s="1090"/>
      <c r="BD29" s="1090"/>
      <c r="BE29" s="1090"/>
      <c r="BF29" s="1090"/>
      <c r="BG29" s="1090"/>
      <c r="BH29" s="1090"/>
      <c r="BI29" s="1090"/>
      <c r="BJ29" s="1090"/>
      <c r="BK29" s="1090"/>
      <c r="BL29" s="1090"/>
      <c r="BM29" s="1090"/>
      <c r="BN29" s="1090"/>
      <c r="BO29" s="1090"/>
      <c r="BP29" s="1090"/>
      <c r="BQ29" s="1090"/>
      <c r="BR29" s="1090"/>
      <c r="BS29" s="1090"/>
      <c r="BT29" s="1090"/>
      <c r="BU29" s="1090"/>
    </row>
    <row r="30" spans="1:73" x14ac:dyDescent="0.25">
      <c r="A30" s="1090"/>
      <c r="B30" s="1090"/>
      <c r="C30" s="1090"/>
      <c r="D30" s="1090"/>
      <c r="E30" s="1090"/>
      <c r="F30" s="1091"/>
      <c r="G30" s="1090"/>
      <c r="H30" s="1090"/>
      <c r="I30" s="1090"/>
      <c r="J30" s="1090"/>
      <c r="K30" s="1090"/>
      <c r="L30" s="1090"/>
      <c r="M30" s="1090"/>
      <c r="N30" s="1090"/>
      <c r="O30" s="1090"/>
      <c r="P30" s="1090"/>
      <c r="Q30" s="1090"/>
      <c r="R30" s="1090"/>
      <c r="S30" s="1090"/>
      <c r="T30" s="1090"/>
      <c r="U30" s="1090"/>
      <c r="V30" s="1452">
        <f t="shared" si="4"/>
        <v>0.80000000000000016</v>
      </c>
      <c r="W30" s="1104">
        <f t="shared" ca="1" si="3"/>
        <v>4.5656451000382718</v>
      </c>
      <c r="X30" s="1090"/>
      <c r="Y30" s="1090"/>
      <c r="Z30" s="1090"/>
      <c r="AA30" s="1090"/>
      <c r="AB30" s="1090"/>
      <c r="AC30" s="1090"/>
      <c r="AD30" s="1090"/>
      <c r="AE30" s="1090"/>
      <c r="AF30" s="1090"/>
      <c r="AG30" s="1090"/>
      <c r="AH30" s="1090"/>
      <c r="AI30" s="1090"/>
      <c r="AJ30" s="1090"/>
      <c r="AK30" s="1090"/>
      <c r="AL30" s="1090"/>
      <c r="AM30" s="1090"/>
      <c r="AN30" s="1090"/>
      <c r="AO30" s="1090"/>
      <c r="AP30" s="1090"/>
      <c r="AQ30" s="1090"/>
      <c r="AR30" s="1090"/>
      <c r="AS30" s="1090"/>
      <c r="AT30" s="1090"/>
      <c r="AU30" s="1090"/>
      <c r="AV30" s="1090"/>
      <c r="AW30" s="1090"/>
      <c r="AX30" s="1090"/>
      <c r="AY30" s="1090"/>
      <c r="AZ30" s="1090"/>
      <c r="BA30" s="1090"/>
      <c r="BB30" s="1090"/>
      <c r="BC30" s="1090"/>
      <c r="BD30" s="1090"/>
      <c r="BE30" s="1090"/>
      <c r="BF30" s="1090"/>
      <c r="BG30" s="1090"/>
      <c r="BH30" s="1090"/>
      <c r="BI30" s="1090"/>
      <c r="BJ30" s="1090"/>
      <c r="BK30" s="1090"/>
      <c r="BL30" s="1090"/>
      <c r="BM30" s="1090"/>
      <c r="BN30" s="1090"/>
      <c r="BO30" s="1090"/>
      <c r="BP30" s="1090"/>
      <c r="BQ30" s="1090"/>
      <c r="BR30" s="1090"/>
      <c r="BS30" s="1090"/>
      <c r="BT30" s="1090"/>
      <c r="BU30" s="1090"/>
    </row>
    <row r="31" spans="1:73" x14ac:dyDescent="0.25">
      <c r="A31" s="1090"/>
      <c r="B31" s="1090"/>
      <c r="C31" s="1090"/>
      <c r="D31" s="1090"/>
      <c r="E31" s="1090"/>
      <c r="F31" s="1090"/>
      <c r="G31" s="1090"/>
      <c r="H31" s="1090"/>
      <c r="I31" s="1090"/>
      <c r="J31" s="1090"/>
      <c r="K31" s="1090"/>
      <c r="L31" s="1090"/>
      <c r="M31" s="1090"/>
      <c r="N31" s="1090"/>
      <c r="O31" s="1090"/>
      <c r="P31" s="1090"/>
      <c r="Q31" s="1090"/>
      <c r="R31" s="1090"/>
      <c r="S31" s="1090"/>
      <c r="T31" s="1090"/>
      <c r="U31" s="1090"/>
      <c r="V31" s="1452">
        <f t="shared" si="4"/>
        <v>0.8500000000000002</v>
      </c>
      <c r="W31" s="1104">
        <f t="shared" ca="1" si="3"/>
        <v>4.5829419974024139</v>
      </c>
      <c r="X31" s="1090"/>
      <c r="Y31" s="1090"/>
      <c r="Z31" s="1090"/>
      <c r="AA31" s="1090"/>
      <c r="AB31" s="1090"/>
      <c r="AC31" s="1090"/>
      <c r="AD31" s="1090"/>
      <c r="AE31" s="1090"/>
      <c r="AF31" s="1090"/>
      <c r="AG31" s="1090"/>
      <c r="AH31" s="1090"/>
      <c r="AI31" s="1090"/>
      <c r="AJ31" s="1090"/>
      <c r="AK31" s="1090"/>
      <c r="AL31" s="1090"/>
      <c r="AM31" s="1090"/>
      <c r="AN31" s="1090"/>
      <c r="AO31" s="1090"/>
      <c r="AP31" s="1090"/>
      <c r="AQ31" s="1090"/>
      <c r="AR31" s="1090"/>
      <c r="AS31" s="1090"/>
      <c r="AT31" s="1090"/>
      <c r="AU31" s="1090"/>
      <c r="AV31" s="1090"/>
      <c r="AW31" s="1090"/>
      <c r="AX31" s="1090"/>
      <c r="AY31" s="1090"/>
      <c r="AZ31" s="1090"/>
      <c r="BA31" s="1090"/>
      <c r="BB31" s="1090"/>
      <c r="BC31" s="1090"/>
      <c r="BD31" s="1090"/>
      <c r="BE31" s="1090"/>
      <c r="BF31" s="1090"/>
      <c r="BG31" s="1090"/>
      <c r="BH31" s="1090"/>
      <c r="BI31" s="1090"/>
      <c r="BJ31" s="1090"/>
      <c r="BK31" s="1090"/>
      <c r="BL31" s="1090"/>
      <c r="BM31" s="1090"/>
      <c r="BN31" s="1090"/>
      <c r="BO31" s="1090"/>
      <c r="BP31" s="1090"/>
      <c r="BQ31" s="1090"/>
      <c r="BR31" s="1090"/>
      <c r="BS31" s="1090"/>
      <c r="BT31" s="1090"/>
      <c r="BU31" s="1090"/>
    </row>
    <row r="32" spans="1:73" x14ac:dyDescent="0.25">
      <c r="A32" s="1090"/>
      <c r="B32" s="1090"/>
      <c r="C32" s="1090"/>
      <c r="D32" s="1090"/>
      <c r="E32" s="1090"/>
      <c r="F32" s="1090"/>
      <c r="G32" s="1090"/>
      <c r="H32" s="1090"/>
      <c r="I32" s="1090"/>
      <c r="J32" s="1090"/>
      <c r="K32" s="1090"/>
      <c r="L32" s="1090"/>
      <c r="M32" s="1090"/>
      <c r="N32" s="1090"/>
      <c r="O32" s="1090"/>
      <c r="P32" s="1090"/>
      <c r="Q32" s="1090"/>
      <c r="R32" s="1090"/>
      <c r="S32" s="1090"/>
      <c r="T32" s="1090"/>
      <c r="U32" s="1090"/>
      <c r="V32" s="1452">
        <f t="shared" si="4"/>
        <v>0.90000000000000024</v>
      </c>
      <c r="W32" s="1104">
        <f t="shared" ca="1" si="3"/>
        <v>4.6043067436873359</v>
      </c>
      <c r="X32" s="1090"/>
      <c r="Y32" s="1090"/>
      <c r="Z32" s="1090"/>
      <c r="AA32" s="1090"/>
      <c r="AB32" s="1090"/>
      <c r="AC32" s="1090"/>
      <c r="AD32" s="1090"/>
      <c r="AE32" s="1090"/>
      <c r="AF32" s="1090"/>
      <c r="AG32" s="1090"/>
      <c r="AH32" s="1090"/>
      <c r="AI32" s="1090"/>
      <c r="AJ32" s="1090"/>
      <c r="AK32" s="1090"/>
      <c r="AL32" s="1090"/>
      <c r="AM32" s="1090"/>
      <c r="AN32" s="1090"/>
      <c r="AO32" s="1090"/>
      <c r="AP32" s="1090"/>
      <c r="AQ32" s="1090"/>
      <c r="AR32" s="1090"/>
      <c r="AS32" s="1090"/>
      <c r="AT32" s="1090"/>
      <c r="AU32" s="1090"/>
      <c r="AV32" s="1090"/>
      <c r="AW32" s="1090"/>
      <c r="AX32" s="1090"/>
      <c r="AY32" s="1090"/>
      <c r="AZ32" s="1090"/>
      <c r="BA32" s="1090"/>
      <c r="BB32" s="1090"/>
      <c r="BC32" s="1090"/>
      <c r="BD32" s="1090"/>
      <c r="BE32" s="1090"/>
      <c r="BF32" s="1090"/>
      <c r="BG32" s="1090"/>
      <c r="BH32" s="1090"/>
      <c r="BI32" s="1090"/>
      <c r="BJ32" s="1090"/>
      <c r="BK32" s="1090"/>
      <c r="BL32" s="1090"/>
      <c r="BM32" s="1090"/>
      <c r="BN32" s="1090"/>
      <c r="BO32" s="1090"/>
      <c r="BP32" s="1090"/>
      <c r="BQ32" s="1090"/>
      <c r="BR32" s="1090"/>
      <c r="BS32" s="1090"/>
      <c r="BT32" s="1090"/>
      <c r="BU32" s="1090"/>
    </row>
    <row r="33" spans="1:73" x14ac:dyDescent="0.25">
      <c r="A33" s="1090"/>
      <c r="B33" s="1090"/>
      <c r="C33" s="1090"/>
      <c r="D33" s="1090"/>
      <c r="E33" s="1090"/>
      <c r="F33" s="1090"/>
      <c r="G33" s="1090"/>
      <c r="H33" s="1090"/>
      <c r="I33" s="1090"/>
      <c r="J33" s="1090"/>
      <c r="K33" s="1090"/>
      <c r="L33" s="1090"/>
      <c r="M33" s="1090"/>
      <c r="N33" s="1090"/>
      <c r="O33" s="1090"/>
      <c r="P33" s="1090"/>
      <c r="Q33" s="1090"/>
      <c r="R33" s="1090"/>
      <c r="S33" s="1090"/>
      <c r="T33" s="1090"/>
      <c r="U33" s="1090"/>
      <c r="V33" s="1453">
        <f t="shared" si="4"/>
        <v>0.95000000000000029</v>
      </c>
      <c r="W33" s="1454">
        <f t="shared" ca="1" si="3"/>
        <v>4.637235407427716</v>
      </c>
      <c r="X33" s="1090"/>
      <c r="Y33" s="1090"/>
      <c r="Z33" s="1090"/>
      <c r="AA33" s="1090"/>
      <c r="AB33" s="1090"/>
      <c r="AC33" s="1090"/>
      <c r="AD33" s="1090"/>
      <c r="AE33" s="1090"/>
      <c r="AF33" s="1090"/>
      <c r="AG33" s="1090"/>
      <c r="AH33" s="1090"/>
      <c r="AI33" s="1090"/>
      <c r="AJ33" s="1090"/>
      <c r="AK33" s="1090"/>
      <c r="AL33" s="1090"/>
      <c r="AM33" s="1090"/>
      <c r="AN33" s="1090"/>
      <c r="AO33" s="1090"/>
      <c r="AP33" s="1090"/>
      <c r="AQ33" s="1090"/>
      <c r="AR33" s="1090"/>
      <c r="AS33" s="1090"/>
      <c r="AT33" s="1090"/>
      <c r="AU33" s="1090"/>
      <c r="AV33" s="1090"/>
      <c r="AW33" s="1090"/>
      <c r="AX33" s="1090"/>
      <c r="AY33" s="1090"/>
      <c r="AZ33" s="1090"/>
      <c r="BA33" s="1090"/>
      <c r="BB33" s="1090"/>
      <c r="BC33" s="1090"/>
      <c r="BD33" s="1090"/>
      <c r="BE33" s="1090"/>
      <c r="BF33" s="1090"/>
      <c r="BG33" s="1090"/>
      <c r="BH33" s="1090"/>
      <c r="BI33" s="1090"/>
      <c r="BJ33" s="1090"/>
      <c r="BK33" s="1090"/>
      <c r="BL33" s="1090"/>
      <c r="BM33" s="1090"/>
      <c r="BN33" s="1090"/>
      <c r="BO33" s="1090"/>
      <c r="BP33" s="1090"/>
      <c r="BQ33" s="1090"/>
      <c r="BR33" s="1090"/>
      <c r="BS33" s="1090"/>
      <c r="BT33" s="1090"/>
      <c r="BU33" s="1090"/>
    </row>
    <row r="34" spans="1:73" x14ac:dyDescent="0.25">
      <c r="A34" s="1090"/>
      <c r="B34" s="1090"/>
      <c r="C34" s="1090"/>
      <c r="D34" s="1090"/>
      <c r="E34" s="1090"/>
      <c r="F34" s="1090"/>
      <c r="G34" s="1090"/>
      <c r="H34" s="1090"/>
      <c r="I34" s="1090"/>
      <c r="J34" s="1090"/>
      <c r="K34" s="1090"/>
      <c r="L34" s="1090"/>
      <c r="M34" s="1090"/>
      <c r="N34" s="1090"/>
      <c r="O34" s="1090"/>
      <c r="P34" s="1090"/>
      <c r="Q34" s="1090"/>
      <c r="R34" s="1090"/>
      <c r="S34" s="1090"/>
      <c r="T34" s="1090"/>
      <c r="U34" s="1090"/>
      <c r="V34" s="1452">
        <v>1</v>
      </c>
      <c r="W34" s="1104">
        <f ca="1">+MAX(OFFSET($B$251:$B$2250,0,$C$194))*$C$198</f>
        <v>4.6972236512727443</v>
      </c>
      <c r="X34" s="1090"/>
      <c r="Y34" s="1090"/>
      <c r="Z34" s="1090"/>
      <c r="AA34" s="1090"/>
      <c r="AB34" s="1090"/>
      <c r="AC34" s="1090"/>
      <c r="AD34" s="1090"/>
      <c r="AE34" s="1090"/>
      <c r="AF34" s="1090"/>
      <c r="AG34" s="1090"/>
      <c r="AH34" s="1090"/>
      <c r="AI34" s="1090"/>
      <c r="AJ34" s="1090"/>
      <c r="AK34" s="1090"/>
      <c r="AL34" s="1090"/>
      <c r="AM34" s="1090"/>
      <c r="AN34" s="1090"/>
      <c r="AO34" s="1090"/>
      <c r="AP34" s="1090"/>
      <c r="AQ34" s="1090"/>
      <c r="AR34" s="1090"/>
      <c r="AS34" s="1090"/>
      <c r="AT34" s="1090"/>
      <c r="AU34" s="1090"/>
      <c r="AV34" s="1090"/>
      <c r="AW34" s="1090"/>
      <c r="AX34" s="1090"/>
      <c r="AY34" s="1090"/>
      <c r="AZ34" s="1090"/>
      <c r="BA34" s="1090"/>
      <c r="BB34" s="1090"/>
      <c r="BC34" s="1090"/>
      <c r="BD34" s="1090"/>
      <c r="BE34" s="1090"/>
      <c r="BF34" s="1090"/>
      <c r="BG34" s="1090"/>
      <c r="BH34" s="1090"/>
      <c r="BI34" s="1090"/>
      <c r="BJ34" s="1090"/>
      <c r="BK34" s="1090"/>
      <c r="BL34" s="1090"/>
      <c r="BM34" s="1090"/>
      <c r="BN34" s="1090"/>
      <c r="BO34" s="1090"/>
      <c r="BP34" s="1090"/>
      <c r="BQ34" s="1090"/>
      <c r="BR34" s="1090"/>
      <c r="BS34" s="1090"/>
      <c r="BT34" s="1090"/>
      <c r="BU34" s="1090"/>
    </row>
    <row r="35" spans="1:73" ht="13" x14ac:dyDescent="0.3">
      <c r="A35" s="1090"/>
      <c r="B35" s="1090"/>
      <c r="C35" s="1090"/>
      <c r="D35" s="1090"/>
      <c r="E35" s="1090"/>
      <c r="F35" s="1090"/>
      <c r="G35" s="1090"/>
      <c r="H35" s="1090"/>
      <c r="I35" s="1090"/>
      <c r="J35" s="1090"/>
      <c r="K35" s="1090"/>
      <c r="L35" s="1090"/>
      <c r="M35" s="1225"/>
      <c r="N35" s="1090"/>
      <c r="O35" s="1090"/>
      <c r="P35" s="1090"/>
      <c r="Q35" s="1090"/>
      <c r="R35" s="1090"/>
      <c r="S35" s="1090"/>
      <c r="T35" s="1090"/>
      <c r="U35" s="1090"/>
      <c r="V35" s="1090"/>
      <c r="W35" s="1090"/>
      <c r="X35" s="1090"/>
      <c r="Y35" s="1090"/>
      <c r="Z35" s="1090"/>
      <c r="AA35" s="1090"/>
      <c r="AB35" s="1090"/>
      <c r="AC35" s="1090"/>
      <c r="AD35" s="1090"/>
      <c r="AE35" s="1090"/>
      <c r="AF35" s="1090"/>
      <c r="AG35" s="1090"/>
      <c r="AH35" s="1090"/>
      <c r="AI35" s="1090"/>
      <c r="AJ35" s="1090"/>
      <c r="AK35" s="1090"/>
      <c r="AL35" s="1090"/>
      <c r="AM35" s="1090"/>
      <c r="AN35" s="1090"/>
      <c r="AO35" s="1090"/>
      <c r="AP35" s="1090"/>
      <c r="AQ35" s="1090"/>
      <c r="AR35" s="1090"/>
      <c r="AS35" s="1090"/>
      <c r="AT35" s="1090"/>
      <c r="AU35" s="1090"/>
      <c r="AV35" s="1090"/>
      <c r="AW35" s="1090"/>
      <c r="AX35" s="1090"/>
      <c r="AY35" s="1090"/>
      <c r="AZ35" s="1090"/>
      <c r="BA35" s="1090"/>
      <c r="BB35" s="1090"/>
      <c r="BC35" s="1090"/>
      <c r="BD35" s="1090"/>
      <c r="BE35" s="1090"/>
      <c r="BF35" s="1090"/>
      <c r="BG35" s="1090"/>
      <c r="BH35" s="1090"/>
      <c r="BI35" s="1090"/>
      <c r="BJ35" s="1090"/>
      <c r="BK35" s="1090"/>
      <c r="BL35" s="1090"/>
      <c r="BM35" s="1090"/>
      <c r="BN35" s="1090"/>
      <c r="BO35" s="1090"/>
      <c r="BP35" s="1090"/>
      <c r="BQ35" s="1090"/>
      <c r="BR35" s="1090"/>
      <c r="BS35" s="1090"/>
      <c r="BT35" s="1090"/>
      <c r="BU35" s="1090"/>
    </row>
    <row r="36" spans="1:73" x14ac:dyDescent="0.25">
      <c r="A36" s="1090"/>
      <c r="B36" s="1090"/>
      <c r="C36" s="1090"/>
      <c r="D36" s="1090"/>
      <c r="E36" s="1090"/>
      <c r="F36" s="1090"/>
      <c r="G36" s="1090"/>
      <c r="H36" s="1090"/>
      <c r="I36" s="1090"/>
      <c r="J36" s="1090"/>
      <c r="K36" s="1090"/>
      <c r="L36" s="1090"/>
      <c r="M36" s="1090"/>
      <c r="N36" s="1090"/>
      <c r="O36" s="1090"/>
      <c r="P36" s="1090"/>
      <c r="Q36" s="1090"/>
      <c r="R36" s="1090"/>
      <c r="S36" s="1090"/>
      <c r="T36" s="1090"/>
      <c r="U36" s="1090"/>
      <c r="V36" s="1090"/>
      <c r="W36" s="1090"/>
      <c r="X36" s="1090"/>
      <c r="Y36" s="1090"/>
      <c r="Z36" s="1090"/>
      <c r="AA36" s="1090"/>
      <c r="AB36" s="1090"/>
      <c r="AC36" s="1090"/>
      <c r="AD36" s="1090"/>
      <c r="AE36" s="1090"/>
      <c r="AF36" s="1090"/>
      <c r="AG36" s="1090"/>
      <c r="AH36" s="1090"/>
      <c r="AI36" s="1090"/>
      <c r="AJ36" s="1090"/>
      <c r="AK36" s="1090"/>
      <c r="AL36" s="1090"/>
      <c r="AM36" s="1090"/>
      <c r="AN36" s="1090"/>
      <c r="AO36" s="1090"/>
      <c r="AP36" s="1090"/>
      <c r="AQ36" s="1090"/>
      <c r="AR36" s="1090"/>
      <c r="AS36" s="1090"/>
      <c r="AT36" s="1090"/>
      <c r="AU36" s="1090"/>
      <c r="AV36" s="1090"/>
      <c r="AW36" s="1090"/>
      <c r="AX36" s="1090"/>
      <c r="AY36" s="1090"/>
      <c r="AZ36" s="1090"/>
      <c r="BA36" s="1090"/>
      <c r="BB36" s="1090"/>
      <c r="BC36" s="1090"/>
      <c r="BD36" s="1090"/>
      <c r="BE36" s="1090"/>
      <c r="BF36" s="1090"/>
      <c r="BG36" s="1090"/>
      <c r="BH36" s="1090"/>
      <c r="BI36" s="1090"/>
      <c r="BJ36" s="1090"/>
      <c r="BK36" s="1090"/>
      <c r="BL36" s="1090"/>
      <c r="BM36" s="1090"/>
      <c r="BN36" s="1090"/>
      <c r="BO36" s="1090"/>
      <c r="BP36" s="1090"/>
      <c r="BQ36" s="1090"/>
      <c r="BR36" s="1090"/>
      <c r="BS36" s="1090"/>
      <c r="BT36" s="1090"/>
      <c r="BU36" s="1090"/>
    </row>
    <row r="37" spans="1:73" x14ac:dyDescent="0.25">
      <c r="A37" s="1090"/>
      <c r="B37" s="1090"/>
      <c r="C37" s="1090"/>
      <c r="D37" s="1090"/>
      <c r="E37" s="1090"/>
      <c r="F37" s="1090"/>
      <c r="G37" s="1090"/>
      <c r="H37" s="1090"/>
      <c r="I37" s="1090"/>
      <c r="J37" s="1090"/>
      <c r="K37" s="1090"/>
      <c r="L37" s="1090"/>
      <c r="M37" s="1090"/>
      <c r="N37" s="1090"/>
      <c r="O37" s="1090"/>
      <c r="P37" s="1090"/>
      <c r="Q37" s="1090"/>
      <c r="R37" s="1090"/>
      <c r="S37" s="1090"/>
      <c r="T37" s="1090"/>
      <c r="U37" s="1090"/>
      <c r="V37" s="1090"/>
      <c r="W37" s="1090"/>
      <c r="X37" s="1090"/>
      <c r="Y37" s="1090"/>
      <c r="Z37" s="1090"/>
      <c r="AA37" s="1090"/>
      <c r="AB37" s="1090"/>
      <c r="AC37" s="1090"/>
      <c r="AD37" s="1090"/>
      <c r="AE37" s="1090"/>
      <c r="AF37" s="1090"/>
      <c r="AG37" s="1090"/>
      <c r="AH37" s="1090"/>
      <c r="AI37" s="1090"/>
      <c r="AJ37" s="1090"/>
      <c r="AK37" s="1090"/>
      <c r="AL37" s="1090"/>
      <c r="AM37" s="1090"/>
      <c r="AN37" s="1090"/>
      <c r="AO37" s="1090"/>
      <c r="AP37" s="1090"/>
      <c r="AQ37" s="1090"/>
      <c r="AR37" s="1090"/>
      <c r="AS37" s="1090"/>
      <c r="AT37" s="1090"/>
      <c r="AU37" s="1090"/>
      <c r="AV37" s="1090"/>
      <c r="AW37" s="1090"/>
      <c r="AX37" s="1090"/>
      <c r="AY37" s="1090"/>
      <c r="AZ37" s="1090"/>
      <c r="BA37" s="1090"/>
      <c r="BB37" s="1090"/>
      <c r="BC37" s="1090"/>
      <c r="BD37" s="1090"/>
      <c r="BE37" s="1090"/>
      <c r="BF37" s="1090"/>
      <c r="BG37" s="1090"/>
      <c r="BH37" s="1090"/>
      <c r="BI37" s="1090"/>
      <c r="BJ37" s="1090"/>
      <c r="BK37" s="1090"/>
      <c r="BL37" s="1090"/>
      <c r="BM37" s="1090"/>
      <c r="BN37" s="1090"/>
      <c r="BO37" s="1090"/>
      <c r="BP37" s="1090"/>
      <c r="BQ37" s="1090"/>
      <c r="BR37" s="1090"/>
      <c r="BS37" s="1090"/>
      <c r="BT37" s="1090"/>
      <c r="BU37" s="1090"/>
    </row>
    <row r="38" spans="1:73" x14ac:dyDescent="0.25">
      <c r="A38" s="1090"/>
      <c r="B38" s="1090"/>
      <c r="C38" s="1090"/>
      <c r="D38" s="1090"/>
      <c r="E38" s="1090"/>
      <c r="F38" s="1090"/>
      <c r="G38" s="1090"/>
      <c r="H38" s="1090"/>
      <c r="I38" s="1090"/>
      <c r="J38" s="1090"/>
      <c r="K38" s="1090"/>
      <c r="L38" s="1090"/>
      <c r="M38" s="1090"/>
      <c r="N38" s="1090"/>
      <c r="O38" s="1090"/>
      <c r="P38" s="1090"/>
      <c r="Q38" s="1090"/>
      <c r="R38" s="1090"/>
      <c r="S38" s="1090"/>
      <c r="T38" s="1090"/>
      <c r="U38" s="1090"/>
      <c r="V38" s="1090"/>
      <c r="W38" s="1090"/>
      <c r="X38" s="1090"/>
      <c r="Y38" s="1090"/>
      <c r="Z38" s="1090"/>
      <c r="AA38" s="1090"/>
      <c r="AB38" s="1090"/>
      <c r="AC38" s="1090"/>
      <c r="AD38" s="1090"/>
      <c r="AE38" s="1090"/>
      <c r="AF38" s="1090"/>
      <c r="AG38" s="1090"/>
      <c r="AH38" s="1090"/>
      <c r="AI38" s="1090"/>
      <c r="AJ38" s="1090"/>
      <c r="AK38" s="1090"/>
      <c r="AL38" s="1090"/>
      <c r="AM38" s="1090"/>
      <c r="AN38" s="1090"/>
      <c r="AO38" s="1090"/>
      <c r="AP38" s="1090"/>
      <c r="AQ38" s="1090"/>
      <c r="AR38" s="1090"/>
      <c r="AS38" s="1090"/>
      <c r="AT38" s="1090"/>
      <c r="AU38" s="1090"/>
      <c r="AV38" s="1090"/>
      <c r="AW38" s="1090"/>
      <c r="AX38" s="1090"/>
      <c r="AY38" s="1090"/>
      <c r="AZ38" s="1090"/>
      <c r="BA38" s="1090"/>
      <c r="BB38" s="1090"/>
      <c r="BC38" s="1090"/>
      <c r="BD38" s="1090"/>
      <c r="BE38" s="1090"/>
      <c r="BF38" s="1090"/>
      <c r="BG38" s="1090"/>
      <c r="BH38" s="1090"/>
      <c r="BI38" s="1090"/>
      <c r="BJ38" s="1090"/>
      <c r="BK38" s="1090"/>
      <c r="BL38" s="1090"/>
      <c r="BM38" s="1090"/>
      <c r="BN38" s="1090"/>
      <c r="BO38" s="1090"/>
      <c r="BP38" s="1090"/>
      <c r="BQ38" s="1090"/>
      <c r="BR38" s="1090"/>
      <c r="BS38" s="1090"/>
      <c r="BT38" s="1090"/>
      <c r="BU38" s="1090"/>
    </row>
    <row r="39" spans="1:73" x14ac:dyDescent="0.25">
      <c r="A39" s="1090"/>
      <c r="B39" s="1090"/>
      <c r="C39" s="1090"/>
      <c r="D39" s="1090"/>
      <c r="E39" s="1090"/>
      <c r="F39" s="1090"/>
      <c r="G39" s="1090"/>
      <c r="H39" s="1090"/>
      <c r="I39" s="1090"/>
      <c r="J39" s="1090"/>
      <c r="K39" s="1090"/>
      <c r="L39" s="1090"/>
      <c r="M39" s="1090"/>
      <c r="N39" s="1090"/>
      <c r="O39" s="1090"/>
      <c r="P39" s="1090"/>
      <c r="Q39" s="1090"/>
      <c r="R39" s="1090"/>
      <c r="S39" s="1090"/>
      <c r="T39" s="1090"/>
      <c r="U39" s="1090"/>
      <c r="V39" s="1090"/>
      <c r="W39" s="1090"/>
      <c r="X39" s="1090"/>
      <c r="Y39" s="1090"/>
      <c r="Z39" s="1090"/>
      <c r="AA39" s="1090"/>
      <c r="AB39" s="1090"/>
      <c r="AC39" s="1090"/>
      <c r="AD39" s="1090"/>
      <c r="AE39" s="1090"/>
      <c r="AF39" s="1090"/>
      <c r="AG39" s="1090"/>
      <c r="AH39" s="1090"/>
      <c r="AI39" s="1090"/>
      <c r="AJ39" s="1090"/>
      <c r="AK39" s="1090"/>
      <c r="AL39" s="1090"/>
      <c r="AM39" s="1090"/>
      <c r="AN39" s="1090"/>
      <c r="AO39" s="1090"/>
      <c r="AP39" s="1090"/>
      <c r="AQ39" s="1090"/>
      <c r="AR39" s="1090"/>
      <c r="AS39" s="1090"/>
      <c r="AT39" s="1090"/>
      <c r="AU39" s="1090"/>
      <c r="AV39" s="1090"/>
      <c r="AW39" s="1090"/>
      <c r="AX39" s="1090"/>
      <c r="AY39" s="1090"/>
      <c r="AZ39" s="1090"/>
      <c r="BA39" s="1090"/>
      <c r="BB39" s="1090"/>
      <c r="BC39" s="1090"/>
      <c r="BD39" s="1090"/>
      <c r="BE39" s="1090"/>
      <c r="BF39" s="1090"/>
      <c r="BG39" s="1090"/>
      <c r="BH39" s="1090"/>
      <c r="BI39" s="1090"/>
      <c r="BJ39" s="1090"/>
      <c r="BK39" s="1090"/>
      <c r="BL39" s="1090"/>
      <c r="BM39" s="1090"/>
      <c r="BN39" s="1090"/>
      <c r="BO39" s="1090"/>
      <c r="BP39" s="1090"/>
      <c r="BQ39" s="1090"/>
      <c r="BR39" s="1090"/>
      <c r="BS39" s="1090"/>
      <c r="BT39" s="1090"/>
      <c r="BU39" s="1090"/>
    </row>
    <row r="40" spans="1:73" x14ac:dyDescent="0.25">
      <c r="A40" s="1090"/>
      <c r="B40" s="1090"/>
      <c r="C40" s="1090"/>
      <c r="D40" s="1090"/>
      <c r="E40" s="1090"/>
      <c r="F40" s="1090"/>
      <c r="G40" s="1090"/>
      <c r="H40" s="1090"/>
      <c r="I40" s="1090"/>
      <c r="J40" s="1090"/>
      <c r="K40" s="1090"/>
      <c r="L40" s="1090"/>
      <c r="M40" s="1090"/>
      <c r="N40" s="1090"/>
      <c r="O40" s="1090"/>
      <c r="P40" s="1090"/>
      <c r="Q40" s="1090"/>
      <c r="R40" s="1090"/>
      <c r="S40" s="1090"/>
      <c r="T40" s="1090"/>
      <c r="U40" s="1090"/>
      <c r="V40" s="1090"/>
      <c r="W40" s="1090"/>
      <c r="X40" s="1090"/>
      <c r="Y40" s="1090"/>
      <c r="Z40" s="1090"/>
      <c r="AA40" s="1090"/>
      <c r="AB40" s="1090"/>
      <c r="AC40" s="1090"/>
      <c r="AD40" s="1090"/>
      <c r="AE40" s="1090"/>
      <c r="AF40" s="1090"/>
      <c r="AG40" s="1090"/>
      <c r="AH40" s="1090"/>
      <c r="AI40" s="1090"/>
      <c r="AJ40" s="1090"/>
      <c r="AK40" s="1090"/>
      <c r="AL40" s="1090"/>
      <c r="AM40" s="1090"/>
      <c r="AN40" s="1090"/>
      <c r="AO40" s="1090"/>
      <c r="AP40" s="1090"/>
      <c r="AQ40" s="1090"/>
      <c r="AR40" s="1090"/>
      <c r="AS40" s="1090"/>
      <c r="AT40" s="1090"/>
      <c r="AU40" s="1090"/>
      <c r="AV40" s="1090"/>
      <c r="AW40" s="1090"/>
      <c r="AX40" s="1090"/>
      <c r="AY40" s="1090"/>
      <c r="AZ40" s="1090"/>
      <c r="BA40" s="1090"/>
      <c r="BB40" s="1090"/>
      <c r="BC40" s="1090"/>
      <c r="BD40" s="1090"/>
      <c r="BE40" s="1090"/>
      <c r="BF40" s="1090"/>
      <c r="BG40" s="1090"/>
      <c r="BH40" s="1090"/>
      <c r="BI40" s="1090"/>
      <c r="BJ40" s="1090"/>
      <c r="BK40" s="1090"/>
      <c r="BL40" s="1090"/>
      <c r="BM40" s="1090"/>
      <c r="BN40" s="1090"/>
      <c r="BO40" s="1090"/>
      <c r="BP40" s="1090"/>
      <c r="BQ40" s="1090"/>
      <c r="BR40" s="1090"/>
      <c r="BS40" s="1090"/>
      <c r="BT40" s="1090"/>
      <c r="BU40" s="1090"/>
    </row>
    <row r="41" spans="1:73" x14ac:dyDescent="0.25">
      <c r="A41" s="1090"/>
      <c r="B41" s="1090"/>
      <c r="C41" s="1090"/>
      <c r="D41" s="1090"/>
      <c r="E41" s="1090"/>
      <c r="F41" s="1090"/>
      <c r="G41" s="1090"/>
      <c r="H41" s="1090"/>
      <c r="I41" s="1090"/>
      <c r="J41" s="1090"/>
      <c r="K41" s="1090"/>
      <c r="L41" s="1090"/>
      <c r="M41" s="1090"/>
      <c r="N41" s="1090"/>
      <c r="O41" s="1090"/>
      <c r="P41" s="1090"/>
      <c r="Q41" s="1090"/>
      <c r="R41" s="1090"/>
      <c r="S41" s="1090"/>
      <c r="T41" s="1090"/>
      <c r="U41" s="1090"/>
      <c r="V41" s="1090"/>
      <c r="W41" s="1090"/>
      <c r="X41" s="1090"/>
      <c r="Y41" s="1090"/>
      <c r="Z41" s="1090"/>
      <c r="AA41" s="1090"/>
      <c r="AB41" s="1090"/>
      <c r="AC41" s="1090"/>
      <c r="AD41" s="1090"/>
      <c r="AE41" s="1090"/>
      <c r="AF41" s="1090"/>
      <c r="AG41" s="1090"/>
      <c r="AH41" s="1090"/>
      <c r="AI41" s="1090"/>
      <c r="AJ41" s="1090"/>
      <c r="AK41" s="1090"/>
      <c r="AL41" s="1090"/>
      <c r="AM41" s="1090"/>
      <c r="AN41" s="1090"/>
      <c r="AO41" s="1090"/>
      <c r="AP41" s="1090"/>
      <c r="AQ41" s="1090"/>
      <c r="AR41" s="1090"/>
      <c r="AS41" s="1090"/>
      <c r="AT41" s="1090"/>
      <c r="AU41" s="1090"/>
      <c r="AV41" s="1090"/>
      <c r="AW41" s="1090"/>
      <c r="AX41" s="1090"/>
      <c r="AY41" s="1090"/>
      <c r="AZ41" s="1090"/>
      <c r="BA41" s="1090"/>
      <c r="BB41" s="1090"/>
      <c r="BC41" s="1090"/>
      <c r="BD41" s="1090"/>
      <c r="BE41" s="1090"/>
      <c r="BF41" s="1090"/>
      <c r="BG41" s="1090"/>
      <c r="BH41" s="1090"/>
      <c r="BI41" s="1090"/>
      <c r="BJ41" s="1090"/>
      <c r="BK41" s="1090"/>
      <c r="BL41" s="1090"/>
      <c r="BM41" s="1090"/>
      <c r="BN41" s="1090"/>
      <c r="BO41" s="1090"/>
      <c r="BP41" s="1090"/>
      <c r="BQ41" s="1090"/>
      <c r="BR41" s="1090"/>
      <c r="BS41" s="1090"/>
      <c r="BT41" s="1090"/>
      <c r="BU41" s="1090"/>
    </row>
    <row r="42" spans="1:73" x14ac:dyDescent="0.25">
      <c r="A42" s="1090"/>
      <c r="B42" s="1090"/>
      <c r="C42" s="1090"/>
      <c r="D42" s="1090"/>
      <c r="E42" s="1090"/>
      <c r="F42" s="1090"/>
      <c r="G42" s="1090"/>
      <c r="H42" s="1090"/>
      <c r="I42" s="1090"/>
      <c r="J42" s="1090"/>
      <c r="K42" s="1090"/>
      <c r="L42" s="1090"/>
      <c r="M42" s="1090"/>
      <c r="N42" s="1090"/>
      <c r="O42" s="1090"/>
      <c r="P42" s="1090"/>
      <c r="Q42" s="1090"/>
      <c r="R42" s="1090"/>
      <c r="S42" s="1090"/>
      <c r="T42" s="1090"/>
      <c r="U42" s="1090"/>
      <c r="V42" s="1090"/>
      <c r="W42" s="1090"/>
      <c r="X42" s="1090"/>
      <c r="Y42" s="1090"/>
      <c r="Z42" s="1090"/>
      <c r="AA42" s="1090"/>
      <c r="AB42" s="1090"/>
      <c r="AC42" s="1090"/>
      <c r="AD42" s="1090"/>
      <c r="AE42" s="1090"/>
      <c r="AF42" s="1090"/>
      <c r="AG42" s="1090"/>
      <c r="AH42" s="1090"/>
      <c r="AI42" s="1090"/>
      <c r="AJ42" s="1090"/>
      <c r="AK42" s="1090"/>
      <c r="AL42" s="1090"/>
      <c r="AM42" s="1090"/>
      <c r="AN42" s="1090"/>
      <c r="AO42" s="1090"/>
      <c r="AP42" s="1090"/>
      <c r="AQ42" s="1090"/>
      <c r="AR42" s="1090"/>
      <c r="AS42" s="1090"/>
      <c r="AT42" s="1090"/>
      <c r="AU42" s="1090"/>
      <c r="AV42" s="1090"/>
      <c r="AW42" s="1090"/>
      <c r="AX42" s="1090"/>
      <c r="AY42" s="1090"/>
      <c r="AZ42" s="1090"/>
      <c r="BA42" s="1090"/>
      <c r="BB42" s="1090"/>
      <c r="BC42" s="1090"/>
      <c r="BD42" s="1090"/>
      <c r="BE42" s="1090"/>
      <c r="BF42" s="1090"/>
      <c r="BG42" s="1090"/>
      <c r="BH42" s="1090"/>
      <c r="BI42" s="1090"/>
      <c r="BJ42" s="1090"/>
      <c r="BK42" s="1090"/>
      <c r="BL42" s="1090"/>
      <c r="BM42" s="1090"/>
      <c r="BN42" s="1090"/>
      <c r="BO42" s="1090"/>
      <c r="BP42" s="1090"/>
      <c r="BQ42" s="1090"/>
      <c r="BR42" s="1090"/>
      <c r="BS42" s="1090"/>
      <c r="BT42" s="1090"/>
      <c r="BU42" s="1090"/>
    </row>
    <row r="43" spans="1:73" x14ac:dyDescent="0.25">
      <c r="A43" s="1090"/>
      <c r="B43" s="1090"/>
      <c r="C43" s="1090"/>
      <c r="D43" s="1090"/>
      <c r="E43" s="1090"/>
      <c r="F43" s="1090"/>
      <c r="G43" s="1090"/>
      <c r="H43" s="1090"/>
      <c r="I43" s="1090"/>
      <c r="J43" s="1090"/>
      <c r="K43" s="1090"/>
      <c r="L43" s="1090"/>
      <c r="M43" s="1090"/>
      <c r="N43" s="1090"/>
      <c r="O43" s="1090"/>
      <c r="P43" s="1090"/>
      <c r="Q43" s="1090"/>
      <c r="R43" s="1090"/>
      <c r="S43" s="1090"/>
      <c r="T43" s="1090"/>
      <c r="U43" s="1090"/>
      <c r="V43" s="1090"/>
      <c r="W43" s="1090"/>
      <c r="X43" s="1090"/>
      <c r="Y43" s="1090"/>
      <c r="Z43" s="1090"/>
      <c r="AA43" s="1090"/>
      <c r="AB43" s="1090"/>
      <c r="AC43" s="1090"/>
      <c r="AD43" s="1090"/>
      <c r="AE43" s="1090"/>
      <c r="AF43" s="1090"/>
      <c r="AG43" s="1090"/>
      <c r="AH43" s="1090"/>
      <c r="AI43" s="1090"/>
      <c r="AJ43" s="1090"/>
      <c r="AK43" s="1090"/>
      <c r="AL43" s="1090"/>
      <c r="AM43" s="1090"/>
      <c r="AN43" s="1090"/>
      <c r="AO43" s="1090"/>
      <c r="AP43" s="1090"/>
      <c r="AQ43" s="1090"/>
      <c r="AR43" s="1090"/>
      <c r="AS43" s="1090"/>
      <c r="AT43" s="1090"/>
      <c r="AU43" s="1090"/>
      <c r="AV43" s="1090"/>
      <c r="AW43" s="1090"/>
      <c r="AX43" s="1090"/>
      <c r="AY43" s="1090"/>
      <c r="AZ43" s="1090"/>
      <c r="BA43" s="1090"/>
      <c r="BB43" s="1090"/>
      <c r="BC43" s="1090"/>
      <c r="BD43" s="1090"/>
      <c r="BE43" s="1090"/>
      <c r="BF43" s="1090"/>
      <c r="BG43" s="1090"/>
      <c r="BH43" s="1090"/>
      <c r="BI43" s="1090"/>
      <c r="BJ43" s="1090"/>
      <c r="BK43" s="1090"/>
      <c r="BL43" s="1090"/>
      <c r="BM43" s="1090"/>
      <c r="BN43" s="1090"/>
      <c r="BO43" s="1090"/>
      <c r="BP43" s="1090"/>
      <c r="BQ43" s="1090"/>
      <c r="BR43" s="1090"/>
      <c r="BS43" s="1090"/>
      <c r="BT43" s="1090"/>
      <c r="BU43" s="1090"/>
    </row>
    <row r="44" spans="1:73" x14ac:dyDescent="0.25">
      <c r="A44" s="1090"/>
      <c r="B44" s="1090"/>
      <c r="C44" s="1090"/>
      <c r="D44" s="1090"/>
      <c r="E44" s="1090"/>
      <c r="F44" s="1090"/>
      <c r="G44" s="1090"/>
      <c r="H44" s="1090"/>
      <c r="I44" s="1090"/>
      <c r="J44" s="1090"/>
      <c r="K44" s="1090"/>
      <c r="L44" s="1090"/>
      <c r="M44" s="1090"/>
      <c r="N44" s="1090"/>
      <c r="O44" s="1090"/>
      <c r="P44" s="1090"/>
      <c r="Q44" s="1090"/>
      <c r="R44" s="1090"/>
      <c r="S44" s="1090"/>
      <c r="T44" s="1090"/>
      <c r="U44" s="1090"/>
      <c r="V44" s="1090"/>
      <c r="W44" s="1090"/>
      <c r="X44" s="1090"/>
      <c r="Y44" s="1090"/>
      <c r="Z44" s="1090"/>
      <c r="AA44" s="1090"/>
      <c r="AB44" s="1090"/>
      <c r="AC44" s="1090"/>
      <c r="AD44" s="1090"/>
      <c r="AE44" s="1090"/>
      <c r="AF44" s="1090"/>
      <c r="AG44" s="1090"/>
      <c r="AH44" s="1090"/>
      <c r="AI44" s="1090"/>
      <c r="AJ44" s="1090"/>
      <c r="AK44" s="1090"/>
      <c r="AL44" s="1090"/>
      <c r="AM44" s="1090"/>
      <c r="AN44" s="1090"/>
      <c r="AO44" s="1090"/>
      <c r="AP44" s="1090"/>
      <c r="AQ44" s="1090"/>
      <c r="AR44" s="1090"/>
      <c r="AS44" s="1090"/>
      <c r="AT44" s="1090"/>
      <c r="AU44" s="1090"/>
      <c r="AV44" s="1090"/>
      <c r="AW44" s="1090"/>
      <c r="AX44" s="1090"/>
      <c r="AY44" s="1090"/>
      <c r="AZ44" s="1090"/>
      <c r="BA44" s="1090"/>
      <c r="BB44" s="1090"/>
      <c r="BC44" s="1090"/>
      <c r="BD44" s="1090"/>
      <c r="BE44" s="1090"/>
      <c r="BF44" s="1090"/>
      <c r="BG44" s="1090"/>
      <c r="BH44" s="1090"/>
      <c r="BI44" s="1090"/>
      <c r="BJ44" s="1090"/>
      <c r="BK44" s="1090"/>
      <c r="BL44" s="1090"/>
      <c r="BM44" s="1090"/>
      <c r="BN44" s="1090"/>
      <c r="BO44" s="1090"/>
      <c r="BP44" s="1090"/>
      <c r="BQ44" s="1090"/>
      <c r="BR44" s="1090"/>
      <c r="BS44" s="1090"/>
      <c r="BT44" s="1090"/>
      <c r="BU44" s="1090"/>
    </row>
    <row r="45" spans="1:73" ht="13.5" thickBot="1" x14ac:dyDescent="0.35">
      <c r="A45" s="1090"/>
      <c r="B45" s="1188" t="s">
        <v>1320</v>
      </c>
      <c r="C45" s="1188"/>
      <c r="D45" s="1188"/>
      <c r="E45" s="1188"/>
      <c r="F45" s="1188"/>
      <c r="G45" s="1188"/>
      <c r="H45" s="1188"/>
      <c r="I45" s="1188"/>
      <c r="J45" s="1188"/>
      <c r="K45" s="1188"/>
      <c r="L45" s="1188"/>
      <c r="M45" s="1188"/>
      <c r="N45" s="1188"/>
      <c r="O45" s="1188"/>
      <c r="P45" s="1188"/>
      <c r="Q45" s="1188"/>
      <c r="R45" s="1188"/>
      <c r="S45" s="1188"/>
      <c r="T45" s="1188"/>
      <c r="U45" s="1188"/>
      <c r="V45" s="1188"/>
      <c r="W45" s="1188"/>
      <c r="X45" s="1188"/>
      <c r="Y45" s="1090"/>
      <c r="Z45" s="1090"/>
      <c r="AA45" s="1090"/>
      <c r="AB45" s="1090"/>
      <c r="AC45" s="1090"/>
      <c r="AD45" s="1090"/>
      <c r="AE45" s="1090"/>
      <c r="AF45" s="1090"/>
      <c r="AG45" s="1090"/>
      <c r="AH45" s="1090"/>
      <c r="AI45" s="1090"/>
      <c r="AJ45" s="1090"/>
      <c r="AK45" s="1090"/>
      <c r="AL45" s="1090"/>
      <c r="AM45" s="1090"/>
      <c r="AN45" s="1090"/>
      <c r="AO45" s="1090"/>
      <c r="AP45" s="1090"/>
      <c r="AQ45" s="1090"/>
      <c r="AR45" s="1090"/>
      <c r="AS45" s="1090"/>
      <c r="AT45" s="1090"/>
      <c r="AU45" s="1090"/>
      <c r="AV45" s="1090"/>
      <c r="AW45" s="1090"/>
      <c r="AX45" s="1090"/>
      <c r="AY45" s="1090"/>
      <c r="AZ45" s="1090"/>
      <c r="BA45" s="1090"/>
      <c r="BB45" s="1090"/>
      <c r="BC45" s="1090"/>
      <c r="BD45" s="1090"/>
      <c r="BE45" s="1090"/>
      <c r="BF45" s="1090"/>
      <c r="BG45" s="1090"/>
      <c r="BH45" s="1090"/>
      <c r="BI45" s="1090"/>
      <c r="BJ45" s="1090"/>
      <c r="BK45" s="1090"/>
      <c r="BL45" s="1090"/>
      <c r="BM45" s="1090"/>
      <c r="BN45" s="1090"/>
      <c r="BO45" s="1090"/>
      <c r="BP45" s="1090"/>
      <c r="BQ45" s="1090"/>
      <c r="BR45" s="1090"/>
      <c r="BS45" s="1090"/>
      <c r="BT45" s="1090"/>
      <c r="BU45" s="1090"/>
    </row>
    <row r="46" spans="1:73" ht="13" thickTop="1" x14ac:dyDescent="0.25">
      <c r="A46" s="1090"/>
      <c r="B46" s="1090"/>
      <c r="C46" s="1090"/>
      <c r="D46" s="1090"/>
      <c r="E46" s="1090"/>
      <c r="F46" s="1090"/>
      <c r="G46" s="1090"/>
      <c r="H46" s="1090"/>
      <c r="I46" s="1090"/>
      <c r="J46" s="1090"/>
      <c r="K46" s="1090"/>
      <c r="L46" s="1090"/>
      <c r="M46" s="1090"/>
      <c r="N46" s="1090"/>
      <c r="O46" s="1090"/>
      <c r="P46" s="1090"/>
      <c r="Q46" s="1090"/>
      <c r="R46" s="1090"/>
      <c r="S46" s="1090"/>
      <c r="T46" s="1090"/>
      <c r="U46" s="1090"/>
      <c r="V46" s="1090"/>
      <c r="W46" s="1090"/>
      <c r="X46" s="1090"/>
      <c r="Y46" s="1090"/>
      <c r="Z46" s="1090"/>
      <c r="AA46" s="1090"/>
      <c r="AB46" s="1090"/>
      <c r="AC46" s="1090"/>
      <c r="AD46" s="1090"/>
      <c r="AE46" s="1090"/>
      <c r="AF46" s="1090"/>
      <c r="AG46" s="1090"/>
      <c r="AH46" s="1090"/>
      <c r="AI46" s="1090"/>
      <c r="AJ46" s="1090"/>
      <c r="AK46" s="1090"/>
      <c r="AL46" s="1090"/>
      <c r="AM46" s="1090"/>
      <c r="AN46" s="1090"/>
      <c r="AO46" s="1090"/>
      <c r="AP46" s="1090"/>
      <c r="AQ46" s="1090"/>
      <c r="AR46" s="1090"/>
      <c r="AS46" s="1090"/>
      <c r="AT46" s="1090"/>
      <c r="AU46" s="1090"/>
      <c r="AV46" s="1090"/>
      <c r="AW46" s="1090"/>
      <c r="AX46" s="1090"/>
      <c r="AY46" s="1090"/>
      <c r="AZ46" s="1090"/>
      <c r="BA46" s="1090"/>
      <c r="BB46" s="1090"/>
      <c r="BC46" s="1090"/>
      <c r="BD46" s="1090"/>
      <c r="BE46" s="1090"/>
      <c r="BF46" s="1090"/>
      <c r="BG46" s="1090"/>
      <c r="BH46" s="1090"/>
      <c r="BI46" s="1090"/>
      <c r="BJ46" s="1090"/>
      <c r="BK46" s="1090"/>
      <c r="BL46" s="1090"/>
      <c r="BM46" s="1090"/>
      <c r="BN46" s="1090"/>
      <c r="BO46" s="1090"/>
      <c r="BP46" s="1090"/>
      <c r="BQ46" s="1090"/>
      <c r="BR46" s="1090"/>
      <c r="BS46" s="1090"/>
      <c r="BT46" s="1090"/>
      <c r="BU46" s="1090"/>
    </row>
    <row r="47" spans="1:73" x14ac:dyDescent="0.25">
      <c r="A47" s="1090"/>
      <c r="B47" s="1105" t="s">
        <v>1152</v>
      </c>
      <c r="C47" s="1090"/>
      <c r="D47" s="1090"/>
      <c r="E47" s="1090"/>
      <c r="F47" s="1090"/>
      <c r="G47" s="1090"/>
      <c r="H47" s="1090"/>
      <c r="I47" s="1090"/>
      <c r="J47" s="1090"/>
      <c r="K47" s="1090"/>
      <c r="L47" s="1090"/>
      <c r="M47" s="1090"/>
      <c r="N47" s="1090"/>
      <c r="O47" s="1090"/>
      <c r="P47" s="1090"/>
      <c r="Q47" s="1090"/>
      <c r="R47" s="1090"/>
      <c r="S47" s="1090"/>
      <c r="T47" s="1090"/>
      <c r="U47" s="1090"/>
      <c r="V47" s="1090"/>
      <c r="W47" s="1090"/>
      <c r="X47" s="1090"/>
      <c r="Y47" s="1090"/>
      <c r="Z47" s="1090"/>
      <c r="AA47" s="1090"/>
      <c r="AB47" s="1090"/>
      <c r="AC47" s="1090"/>
      <c r="AD47" s="1090"/>
      <c r="AE47" s="1090"/>
      <c r="AF47" s="1090"/>
      <c r="AG47" s="1090"/>
      <c r="AH47" s="1090"/>
      <c r="AI47" s="1090"/>
      <c r="AJ47" s="1090"/>
      <c r="AK47" s="1090"/>
      <c r="AL47" s="1090"/>
      <c r="AM47" s="1090"/>
      <c r="AN47" s="1090"/>
      <c r="AO47" s="1090"/>
      <c r="AP47" s="1090"/>
      <c r="AQ47" s="1090"/>
      <c r="AR47" s="1090"/>
      <c r="AS47" s="1090"/>
      <c r="AT47" s="1090"/>
      <c r="AU47" s="1090"/>
      <c r="AV47" s="1090"/>
      <c r="AW47" s="1090"/>
      <c r="AX47" s="1090"/>
      <c r="AY47" s="1090"/>
      <c r="AZ47" s="1090"/>
      <c r="BA47" s="1090"/>
      <c r="BB47" s="1090"/>
      <c r="BC47" s="1090"/>
      <c r="BD47" s="1090"/>
      <c r="BE47" s="1090"/>
      <c r="BF47" s="1090"/>
      <c r="BG47" s="1090"/>
      <c r="BH47" s="1090"/>
      <c r="BI47" s="1090"/>
      <c r="BJ47" s="1090"/>
      <c r="BK47" s="1090"/>
      <c r="BL47" s="1090"/>
      <c r="BM47" s="1090"/>
      <c r="BN47" s="1090"/>
      <c r="BO47" s="1090"/>
      <c r="BP47" s="1090"/>
      <c r="BQ47" s="1090"/>
      <c r="BR47" s="1090"/>
      <c r="BS47" s="1090"/>
      <c r="BT47" s="1090"/>
      <c r="BU47" s="1090"/>
    </row>
    <row r="48" spans="1:73" x14ac:dyDescent="0.25">
      <c r="A48" s="1090"/>
      <c r="B48" s="1093">
        <v>1</v>
      </c>
      <c r="C48" s="1095">
        <f t="shared" ref="C48:E48" ca="1" si="5">+OFFSET(C50,$B$48,0)</f>
        <v>1</v>
      </c>
      <c r="D48" s="1095">
        <f t="shared" ca="1" si="5"/>
        <v>1</v>
      </c>
      <c r="E48" s="1095">
        <f t="shared" ca="1" si="5"/>
        <v>1</v>
      </c>
      <c r="F48" s="1095">
        <f ca="1">+OFFSET(F50,$B$48,0)</f>
        <v>1</v>
      </c>
      <c r="G48" s="1095">
        <f ca="1">+OFFSET(G50,$B$48,0)</f>
        <v>1</v>
      </c>
      <c r="H48" s="1095">
        <f ca="1">+OFFSET(H50,$B$48,0)</f>
        <v>1</v>
      </c>
      <c r="I48" s="1095">
        <f ca="1">+OFFSET(I50,$B$48,0)</f>
        <v>1</v>
      </c>
      <c r="J48" s="1090"/>
      <c r="K48" s="1107">
        <f ca="1">+'Cash Flow Analysis'!F118</f>
        <v>4.4824477404691674</v>
      </c>
      <c r="L48" s="1107">
        <f ca="1">+'Cash Flow Analysis'!Q118</f>
        <v>0</v>
      </c>
      <c r="M48" s="1107">
        <f ca="1">+'Cash Flow Analysis'!L118</f>
        <v>1.4628936520036421E-3</v>
      </c>
      <c r="N48" s="1107">
        <f ca="1">+'Cash Flow Analysis'!H117</f>
        <v>0.12660122405571292</v>
      </c>
      <c r="O48" s="1107">
        <f ca="1">+'Cash Flow Analysis'!I117</f>
        <v>3.8391561664007375E-2</v>
      </c>
      <c r="P48" s="1107">
        <f ca="1">+'Cash Flow Analysis'!J117</f>
        <v>1.9136315463353638E-2</v>
      </c>
      <c r="Q48" s="1107">
        <f ca="1">+'Cash Flow Analysis'!K117</f>
        <v>1.3035857655690258E-3</v>
      </c>
      <c r="R48" s="1107">
        <f ca="1">+'Cash Flow Analysis'!M117</f>
        <v>1.45689312506103E-3</v>
      </c>
      <c r="S48" s="1107">
        <f ca="1">+'Cash Flow Analysis'!N117</f>
        <v>0.23132576245804806</v>
      </c>
      <c r="T48" s="1107">
        <f ca="1">+'Cash Flow Analysis'!O117</f>
        <v>3.9660070019776885</v>
      </c>
      <c r="U48" s="1107">
        <f ca="1">+'Cash Flow Analysis'!P117</f>
        <v>0</v>
      </c>
      <c r="V48" s="1107">
        <f ca="1">+'Cash Flow Analysis'!R117</f>
        <v>9.4523053561131991E-3</v>
      </c>
      <c r="W48" s="1107">
        <f ca="1">+'Cash Flow Analysis'!S117</f>
        <v>7.5411049199456293E-2</v>
      </c>
      <c r="X48" s="1107">
        <f ca="1">+'Cash Flow Analysis'!X117</f>
        <v>1.0707643856206782E-2</v>
      </c>
      <c r="Y48" s="1107">
        <f ca="1">+'Cash Flow Analysis'!Z117</f>
        <v>4.1172911999507716E-3</v>
      </c>
      <c r="Z48" s="1090"/>
      <c r="AA48" s="1090"/>
      <c r="AB48" s="1090"/>
      <c r="AC48" s="1090"/>
      <c r="AD48" s="1090"/>
      <c r="AE48" s="1090"/>
      <c r="AF48" s="1090"/>
      <c r="AG48" s="1090"/>
      <c r="AH48" s="1090"/>
      <c r="AI48" s="1090"/>
      <c r="AJ48" s="1090"/>
      <c r="AK48" s="1090"/>
      <c r="AL48" s="1090"/>
      <c r="AM48" s="1090"/>
      <c r="AN48" s="1090"/>
      <c r="AO48" s="1090"/>
      <c r="AP48" s="1090"/>
      <c r="AQ48" s="1090"/>
      <c r="AR48" s="1090"/>
      <c r="AS48" s="1090"/>
      <c r="AT48" s="1090"/>
      <c r="AU48" s="1090"/>
      <c r="AV48" s="1090"/>
      <c r="AW48" s="1090"/>
      <c r="AX48" s="1090"/>
      <c r="AY48" s="1090"/>
      <c r="AZ48" s="1090"/>
      <c r="BA48" s="1090"/>
      <c r="BB48" s="1090"/>
      <c r="BC48" s="1090"/>
      <c r="BD48" s="1090"/>
      <c r="BE48" s="1090"/>
      <c r="BF48" s="1090"/>
      <c r="BG48" s="1090"/>
      <c r="BH48" s="1090"/>
      <c r="BI48" s="1090"/>
      <c r="BJ48" s="1090"/>
      <c r="BK48" s="1090"/>
      <c r="BL48" s="1090"/>
      <c r="BM48" s="1090"/>
      <c r="BN48" s="1090"/>
      <c r="BO48" s="1090"/>
      <c r="BP48" s="1090"/>
      <c r="BQ48" s="1090"/>
      <c r="BR48" s="1090"/>
      <c r="BS48" s="1090"/>
      <c r="BT48" s="1090"/>
      <c r="BU48" s="1090"/>
    </row>
    <row r="49" spans="1:73" ht="13" x14ac:dyDescent="0.3">
      <c r="A49" s="1090"/>
      <c r="B49" s="1092"/>
      <c r="C49" s="1092"/>
      <c r="D49" s="1092"/>
      <c r="E49" s="1092"/>
      <c r="F49" s="1092"/>
      <c r="G49" s="1092"/>
      <c r="H49" s="1092"/>
      <c r="I49" s="1092"/>
      <c r="J49" s="1092"/>
      <c r="K49" s="1092"/>
      <c r="L49" s="1092"/>
      <c r="M49" s="1092"/>
      <c r="N49" s="1090"/>
      <c r="O49" s="1090"/>
      <c r="P49" s="1090"/>
      <c r="Q49" s="1090"/>
      <c r="R49" s="1090"/>
      <c r="S49" s="1090"/>
      <c r="T49" s="1090"/>
      <c r="U49" s="1090"/>
      <c r="V49" s="1090"/>
      <c r="W49" s="1090"/>
      <c r="X49" s="1090"/>
      <c r="Y49" s="1090"/>
      <c r="Z49" s="1090"/>
      <c r="AA49" s="1090"/>
      <c r="AB49" s="1090"/>
      <c r="AC49" s="1090"/>
      <c r="AD49" s="1090"/>
      <c r="AE49" s="1090"/>
      <c r="AF49" s="1090"/>
      <c r="AG49" s="1090"/>
      <c r="AH49" s="1090"/>
      <c r="AI49" s="1090"/>
      <c r="AJ49" s="1090"/>
      <c r="AK49" s="1090"/>
      <c r="AL49" s="1090"/>
      <c r="AM49" s="1090"/>
      <c r="AN49" s="1090"/>
      <c r="AO49" s="1090"/>
      <c r="AP49" s="1090"/>
      <c r="AQ49" s="1090"/>
      <c r="AR49" s="1090"/>
      <c r="AS49" s="1090"/>
      <c r="AT49" s="1090"/>
      <c r="AU49" s="1090"/>
      <c r="AV49" s="1090"/>
      <c r="AW49" s="1090"/>
      <c r="AX49" s="1090"/>
      <c r="AY49" s="1090"/>
      <c r="AZ49" s="1090"/>
      <c r="BA49" s="1090"/>
      <c r="BB49" s="1090"/>
      <c r="BC49" s="1090"/>
      <c r="BD49" s="1090"/>
      <c r="BE49" s="1090"/>
      <c r="BF49" s="1090"/>
      <c r="BG49" s="1090"/>
      <c r="BH49" s="1090"/>
      <c r="BI49" s="1090"/>
      <c r="BJ49" s="1090"/>
      <c r="BK49" s="1090"/>
      <c r="BL49" s="1090"/>
      <c r="BM49" s="1090"/>
      <c r="BN49" s="1090"/>
      <c r="BO49" s="1090"/>
      <c r="BP49" s="1090"/>
      <c r="BQ49" s="1090"/>
      <c r="BR49" s="1090"/>
      <c r="BS49" s="1090"/>
      <c r="BT49" s="1090"/>
      <c r="BU49" s="1090"/>
    </row>
    <row r="50" spans="1:73" ht="52" x14ac:dyDescent="0.3">
      <c r="A50" s="1090"/>
      <c r="B50" s="1101" t="s">
        <v>1136</v>
      </c>
      <c r="C50" s="1101" t="s">
        <v>1321</v>
      </c>
      <c r="D50" s="1101" t="s">
        <v>1322</v>
      </c>
      <c r="E50" s="1101" t="s">
        <v>1323</v>
      </c>
      <c r="F50" s="1101" t="s">
        <v>1324</v>
      </c>
      <c r="G50" s="1101" t="s">
        <v>1325</v>
      </c>
      <c r="H50" s="1101" t="s">
        <v>1341</v>
      </c>
      <c r="I50" s="1101" t="s">
        <v>1340</v>
      </c>
      <c r="J50" s="1090"/>
      <c r="K50" s="1101" t="s">
        <v>1342</v>
      </c>
      <c r="L50" s="1101" t="s">
        <v>1326</v>
      </c>
      <c r="M50" s="1101" t="s">
        <v>1327</v>
      </c>
      <c r="N50" s="1101" t="s">
        <v>1328</v>
      </c>
      <c r="O50" s="1101" t="s">
        <v>1329</v>
      </c>
      <c r="P50" s="1101" t="s">
        <v>1330</v>
      </c>
      <c r="Q50" s="1101" t="s">
        <v>1331</v>
      </c>
      <c r="R50" s="1101" t="s">
        <v>1332</v>
      </c>
      <c r="S50" s="1101" t="s">
        <v>1333</v>
      </c>
      <c r="T50" s="1101" t="s">
        <v>1334</v>
      </c>
      <c r="U50" s="1101" t="s">
        <v>1335</v>
      </c>
      <c r="V50" s="1101" t="s">
        <v>1336</v>
      </c>
      <c r="W50" s="1101" t="s">
        <v>1337</v>
      </c>
      <c r="X50" s="1101" t="s">
        <v>1338</v>
      </c>
      <c r="Y50" s="1101" t="s">
        <v>1339</v>
      </c>
      <c r="Z50" s="1090"/>
      <c r="AA50" s="1090"/>
      <c r="AB50" s="1090"/>
      <c r="AC50" s="1090"/>
      <c r="AD50" s="1090"/>
      <c r="AE50" s="1090"/>
      <c r="AF50" s="1090"/>
      <c r="AG50" s="1090"/>
      <c r="AH50" s="1090"/>
      <c r="AI50" s="1090"/>
      <c r="AJ50" s="1090"/>
      <c r="AK50" s="1090"/>
      <c r="AL50" s="1090"/>
      <c r="AM50" s="1090"/>
      <c r="AN50" s="1090"/>
      <c r="AO50" s="1090"/>
      <c r="AP50" s="1090"/>
      <c r="AQ50" s="1090"/>
      <c r="AR50" s="1090"/>
      <c r="AS50" s="1090"/>
      <c r="AT50" s="1090"/>
      <c r="AU50" s="1090"/>
      <c r="AV50" s="1090"/>
      <c r="AW50" s="1090"/>
      <c r="AX50" s="1090"/>
      <c r="AY50" s="1090"/>
      <c r="AZ50" s="1090"/>
      <c r="BA50" s="1090"/>
      <c r="BB50" s="1090"/>
      <c r="BC50" s="1090"/>
      <c r="BD50" s="1090"/>
      <c r="BE50" s="1090"/>
      <c r="BF50" s="1090"/>
      <c r="BG50" s="1090"/>
      <c r="BH50" s="1090"/>
      <c r="BI50" s="1090"/>
      <c r="BJ50" s="1090"/>
      <c r="BK50" s="1090"/>
      <c r="BL50" s="1090"/>
      <c r="BM50" s="1090"/>
      <c r="BN50" s="1090"/>
      <c r="BO50" s="1090"/>
      <c r="BP50" s="1090"/>
      <c r="BQ50" s="1090"/>
      <c r="BR50" s="1090"/>
      <c r="BS50" s="1090"/>
      <c r="BT50" s="1090"/>
      <c r="BU50" s="1090"/>
    </row>
    <row r="51" spans="1:73" x14ac:dyDescent="0.25">
      <c r="A51" s="1090"/>
      <c r="B51" s="1102">
        <v>1</v>
      </c>
      <c r="C51" s="1095">
        <v>1</v>
      </c>
      <c r="D51" s="1095">
        <v>1</v>
      </c>
      <c r="E51" s="1095">
        <v>1</v>
      </c>
      <c r="F51" s="1095">
        <v>1</v>
      </c>
      <c r="G51" s="1095">
        <v>1</v>
      </c>
      <c r="H51" s="1095">
        <v>1</v>
      </c>
      <c r="I51" s="1095">
        <v>1</v>
      </c>
      <c r="J51" s="1090"/>
      <c r="K51" s="1108">
        <v>4.4824477404691674</v>
      </c>
      <c r="L51" s="1109">
        <v>0</v>
      </c>
      <c r="M51" s="1109">
        <v>1.4628936520036421E-3</v>
      </c>
      <c r="N51" s="1109">
        <v>0.12660122405571292</v>
      </c>
      <c r="O51" s="1109">
        <v>3.8391561664007375E-2</v>
      </c>
      <c r="P51" s="1109">
        <v>1.9136315463353638E-2</v>
      </c>
      <c r="Q51" s="1109">
        <v>1.3035857655690258E-3</v>
      </c>
      <c r="R51" s="1109">
        <v>1.45689312506103E-3</v>
      </c>
      <c r="S51" s="1109">
        <v>0.23132576245804806</v>
      </c>
      <c r="T51" s="1109">
        <v>3.9660070019776885</v>
      </c>
      <c r="U51" s="1109">
        <v>0</v>
      </c>
      <c r="V51" s="1109">
        <v>9.4523053561131991E-3</v>
      </c>
      <c r="W51" s="1109">
        <v>7.5411049199456293E-2</v>
      </c>
      <c r="X51" s="1109">
        <v>1.0707643856206782E-2</v>
      </c>
      <c r="Y51" s="1109">
        <v>4.1172911999507716E-3</v>
      </c>
      <c r="Z51" s="1224"/>
      <c r="AA51" s="1090"/>
      <c r="AB51" s="1090"/>
      <c r="AC51" s="1090"/>
      <c r="AD51" s="1090"/>
      <c r="AE51" s="1090"/>
      <c r="AF51" s="1090"/>
      <c r="AG51" s="1090"/>
      <c r="AH51" s="1090"/>
      <c r="AI51" s="1090"/>
      <c r="AJ51" s="1090"/>
      <c r="AK51" s="1090"/>
      <c r="AL51" s="1090"/>
      <c r="AM51" s="1090"/>
      <c r="AN51" s="1090"/>
      <c r="AO51" s="1090"/>
      <c r="AP51" s="1090"/>
      <c r="AQ51" s="1090"/>
      <c r="AR51" s="1090"/>
      <c r="AS51" s="1090"/>
      <c r="AT51" s="1090"/>
      <c r="AU51" s="1090"/>
      <c r="AV51" s="1090"/>
      <c r="AW51" s="1090"/>
      <c r="AX51" s="1090"/>
      <c r="AY51" s="1090"/>
      <c r="AZ51" s="1090"/>
      <c r="BA51" s="1090"/>
      <c r="BB51" s="1090"/>
      <c r="BC51" s="1090"/>
      <c r="BD51" s="1090"/>
      <c r="BE51" s="1090"/>
      <c r="BF51" s="1090"/>
      <c r="BG51" s="1090"/>
      <c r="BH51" s="1090"/>
      <c r="BI51" s="1090"/>
      <c r="BJ51" s="1090"/>
      <c r="BK51" s="1090"/>
      <c r="BL51" s="1090"/>
      <c r="BM51" s="1090"/>
      <c r="BN51" s="1090"/>
      <c r="BO51" s="1090"/>
      <c r="BP51" s="1090"/>
      <c r="BQ51" s="1090"/>
      <c r="BR51" s="1090"/>
      <c r="BS51" s="1090"/>
      <c r="BT51" s="1090"/>
      <c r="BU51" s="1090"/>
    </row>
    <row r="52" spans="1:73" x14ac:dyDescent="0.25">
      <c r="A52" s="1090"/>
      <c r="B52" s="1110">
        <f>+B51+1</f>
        <v>2</v>
      </c>
      <c r="C52" s="1111">
        <f>+F3</f>
        <v>1.05</v>
      </c>
      <c r="D52" s="1111">
        <v>1</v>
      </c>
      <c r="E52" s="1111">
        <v>1</v>
      </c>
      <c r="F52" s="1111">
        <v>1</v>
      </c>
      <c r="G52" s="1111">
        <v>1</v>
      </c>
      <c r="H52" s="1111">
        <v>1</v>
      </c>
      <c r="I52" s="1111">
        <v>1</v>
      </c>
      <c r="J52" s="1090"/>
      <c r="K52" s="1108">
        <v>4.4594650627509109</v>
      </c>
      <c r="L52" s="1109">
        <v>0</v>
      </c>
      <c r="M52" s="1109">
        <v>1.3932320495272778E-3</v>
      </c>
      <c r="N52" s="1109">
        <v>0.12057259433877419</v>
      </c>
      <c r="O52" s="1109">
        <v>3.6563392060959397E-2</v>
      </c>
      <c r="P52" s="1109">
        <v>1.9086202560393586E-2</v>
      </c>
      <c r="Q52" s="1109">
        <v>1.2415102529228816E-3</v>
      </c>
      <c r="R52" s="1109">
        <v>1.3875172619628854E-3</v>
      </c>
      <c r="S52" s="1109">
        <v>0.22031024996004578</v>
      </c>
      <c r="T52" s="1109">
        <v>3.966007001977689</v>
      </c>
      <c r="U52" s="1109">
        <v>0</v>
      </c>
      <c r="V52" s="1109">
        <v>9.4523053561131956E-3</v>
      </c>
      <c r="W52" s="1109">
        <v>7.1820046856625019E-2</v>
      </c>
      <c r="X52" s="1109">
        <v>1.0496244460710341E-2</v>
      </c>
      <c r="Y52" s="1109">
        <v>3.9212297142388296E-3</v>
      </c>
      <c r="Z52" s="1224"/>
      <c r="AA52" s="1090"/>
      <c r="AB52" s="1090"/>
      <c r="AC52" s="1090"/>
      <c r="AD52" s="1090"/>
      <c r="AE52" s="1090"/>
      <c r="AF52" s="1090"/>
      <c r="AG52" s="1090"/>
      <c r="AH52" s="1090"/>
      <c r="AI52" s="1090"/>
      <c r="AJ52" s="1090"/>
      <c r="AK52" s="1090"/>
      <c r="AL52" s="1090"/>
      <c r="AM52" s="1090"/>
      <c r="AN52" s="1090"/>
      <c r="AO52" s="1090"/>
      <c r="AP52" s="1090"/>
      <c r="AQ52" s="1090"/>
      <c r="AR52" s="1090"/>
      <c r="AS52" s="1090"/>
      <c r="AT52" s="1090"/>
      <c r="AU52" s="1090"/>
      <c r="AV52" s="1090"/>
      <c r="AW52" s="1090"/>
      <c r="AX52" s="1090"/>
      <c r="AY52" s="1090"/>
      <c r="AZ52" s="1090"/>
      <c r="BA52" s="1090"/>
      <c r="BB52" s="1090"/>
      <c r="BC52" s="1090"/>
      <c r="BD52" s="1090"/>
      <c r="BE52" s="1090"/>
      <c r="BF52" s="1090"/>
      <c r="BG52" s="1090"/>
      <c r="BH52" s="1090"/>
      <c r="BI52" s="1090"/>
      <c r="BJ52" s="1090"/>
      <c r="BK52" s="1090"/>
      <c r="BL52" s="1090"/>
      <c r="BM52" s="1090"/>
      <c r="BN52" s="1090"/>
      <c r="BO52" s="1090"/>
      <c r="BP52" s="1090"/>
      <c r="BQ52" s="1090"/>
      <c r="BR52" s="1090"/>
      <c r="BS52" s="1090"/>
      <c r="BT52" s="1090"/>
      <c r="BU52" s="1090"/>
    </row>
    <row r="53" spans="1:73" x14ac:dyDescent="0.25">
      <c r="A53" s="1090"/>
      <c r="B53" s="1110">
        <f t="shared" ref="B53:B70" si="6">+B52+1</f>
        <v>3</v>
      </c>
      <c r="C53" s="1111">
        <f>+G3</f>
        <v>0.95</v>
      </c>
      <c r="D53" s="1111">
        <v>1</v>
      </c>
      <c r="E53" s="1111">
        <v>1</v>
      </c>
      <c r="F53" s="1111">
        <v>1</v>
      </c>
      <c r="G53" s="1111">
        <v>1</v>
      </c>
      <c r="H53" s="1111">
        <v>1</v>
      </c>
      <c r="I53" s="1111">
        <v>1</v>
      </c>
      <c r="J53" s="1090"/>
      <c r="K53" s="1108">
        <v>4.507849647420926</v>
      </c>
      <c r="L53" s="1109">
        <v>0</v>
      </c>
      <c r="M53" s="1109">
        <v>1.5398880547406759E-3</v>
      </c>
      <c r="N53" s="1109">
        <v>0.13326444637443463</v>
      </c>
      <c r="O53" s="1109">
        <v>4.0412170172639338E-2</v>
      </c>
      <c r="P53" s="1109">
        <v>1.9191703408730543E-2</v>
      </c>
      <c r="Q53" s="1109">
        <v>1.3721955427042376E-3</v>
      </c>
      <c r="R53" s="1109">
        <v>1.5335717105905576E-3</v>
      </c>
      <c r="S53" s="1109">
        <v>0.24350080258741905</v>
      </c>
      <c r="T53" s="1109">
        <v>3.9660070019776912</v>
      </c>
      <c r="U53" s="1109">
        <v>0</v>
      </c>
      <c r="V53" s="1109">
        <v>9.4523053561131956E-3</v>
      </c>
      <c r="W53" s="1109">
        <v>7.9380051788901354E-2</v>
      </c>
      <c r="X53" s="1109">
        <v>1.0941295819650754E-2</v>
      </c>
      <c r="Y53" s="1109">
        <v>4.3339907367902861E-3</v>
      </c>
      <c r="Z53" s="1224"/>
      <c r="AA53" s="1090"/>
      <c r="AB53" s="1090"/>
      <c r="AC53" s="1090"/>
      <c r="AD53" s="1090"/>
      <c r="AE53" s="1090"/>
      <c r="AF53" s="1090"/>
      <c r="AG53" s="1090"/>
      <c r="AH53" s="1090"/>
      <c r="AI53" s="1090"/>
      <c r="AJ53" s="1090"/>
      <c r="AK53" s="1090"/>
      <c r="AL53" s="1090"/>
      <c r="AM53" s="1090"/>
      <c r="AN53" s="1090"/>
      <c r="AO53" s="1090"/>
      <c r="AP53" s="1090"/>
      <c r="AQ53" s="1090"/>
      <c r="AR53" s="1090"/>
      <c r="AS53" s="1090"/>
      <c r="AT53" s="1090"/>
      <c r="AU53" s="1090"/>
      <c r="AV53" s="1090"/>
      <c r="AW53" s="1090"/>
      <c r="AX53" s="1090"/>
      <c r="AY53" s="1090"/>
      <c r="AZ53" s="1090"/>
      <c r="BA53" s="1090"/>
      <c r="BB53" s="1090"/>
      <c r="BC53" s="1090"/>
      <c r="BD53" s="1090"/>
      <c r="BE53" s="1090"/>
      <c r="BF53" s="1090"/>
      <c r="BG53" s="1090"/>
      <c r="BH53" s="1090"/>
      <c r="BI53" s="1090"/>
      <c r="BJ53" s="1090"/>
      <c r="BK53" s="1090"/>
      <c r="BL53" s="1090"/>
      <c r="BM53" s="1090"/>
      <c r="BN53" s="1090"/>
      <c r="BO53" s="1090"/>
      <c r="BP53" s="1090"/>
      <c r="BQ53" s="1090"/>
      <c r="BR53" s="1090"/>
      <c r="BS53" s="1090"/>
      <c r="BT53" s="1090"/>
      <c r="BU53" s="1090"/>
    </row>
    <row r="54" spans="1:73" x14ac:dyDescent="0.25">
      <c r="A54" s="1090"/>
      <c r="B54" s="1102">
        <f t="shared" si="6"/>
        <v>4</v>
      </c>
      <c r="C54" s="1095">
        <v>1</v>
      </c>
      <c r="D54" s="1095">
        <f>+F4</f>
        <v>1.05</v>
      </c>
      <c r="E54" s="1095">
        <v>1</v>
      </c>
      <c r="F54" s="1095">
        <v>1</v>
      </c>
      <c r="G54" s="1095">
        <v>1</v>
      </c>
      <c r="H54" s="1095">
        <v>1</v>
      </c>
      <c r="I54" s="1095">
        <v>1</v>
      </c>
      <c r="J54" s="1090"/>
      <c r="K54" s="1108">
        <v>4.4742432312590292</v>
      </c>
      <c r="L54" s="1109">
        <v>0</v>
      </c>
      <c r="M54" s="1109">
        <v>1.4346205110403114E-3</v>
      </c>
      <c r="N54" s="1109">
        <v>0.12415441990904451</v>
      </c>
      <c r="O54" s="1109">
        <v>3.7649573322447304E-2</v>
      </c>
      <c r="P54" s="1109">
        <v>1.9121055705856416E-2</v>
      </c>
      <c r="Q54" s="1109">
        <v>1.2783915458407199E-3</v>
      </c>
      <c r="R54" s="1109">
        <v>1.4287359554424857E-3</v>
      </c>
      <c r="S54" s="1109">
        <v>0.22797145569276162</v>
      </c>
      <c r="T54" s="1109">
        <v>3.966007001977689</v>
      </c>
      <c r="U54" s="1109">
        <v>0</v>
      </c>
      <c r="V54" s="1109">
        <v>9.4523053561131956E-3</v>
      </c>
      <c r="W54" s="1109">
        <v>7.3953590401074978E-2</v>
      </c>
      <c r="X54" s="1109">
        <v>1.062360501488817E-2</v>
      </c>
      <c r="Y54" s="1109">
        <v>4.03771688891056E-3</v>
      </c>
      <c r="Z54" s="1224"/>
      <c r="AA54" s="1090"/>
      <c r="AB54" s="1090"/>
      <c r="AC54" s="1090"/>
      <c r="AD54" s="1090"/>
      <c r="AE54" s="1090"/>
      <c r="AF54" s="1090"/>
      <c r="AG54" s="1090"/>
      <c r="AH54" s="1090"/>
      <c r="AI54" s="1090"/>
      <c r="AJ54" s="1090"/>
      <c r="AK54" s="1090"/>
      <c r="AL54" s="1090"/>
      <c r="AM54" s="1090"/>
      <c r="AN54" s="1090"/>
      <c r="AO54" s="1090"/>
      <c r="AP54" s="1090"/>
      <c r="AQ54" s="1090"/>
      <c r="AR54" s="1090"/>
      <c r="AS54" s="1090"/>
      <c r="AT54" s="1090"/>
      <c r="AU54" s="1090"/>
      <c r="AV54" s="1090"/>
      <c r="AW54" s="1090"/>
      <c r="AX54" s="1090"/>
      <c r="AY54" s="1090"/>
      <c r="AZ54" s="1090"/>
      <c r="BA54" s="1090"/>
      <c r="BB54" s="1090"/>
      <c r="BC54" s="1090"/>
      <c r="BD54" s="1090"/>
      <c r="BE54" s="1090"/>
      <c r="BF54" s="1090"/>
      <c r="BG54" s="1090"/>
      <c r="BH54" s="1090"/>
      <c r="BI54" s="1090"/>
      <c r="BJ54" s="1090"/>
      <c r="BK54" s="1090"/>
      <c r="BL54" s="1090"/>
      <c r="BM54" s="1090"/>
      <c r="BN54" s="1090"/>
      <c r="BO54" s="1090"/>
      <c r="BP54" s="1090"/>
      <c r="BQ54" s="1090"/>
      <c r="BR54" s="1090"/>
      <c r="BS54" s="1090"/>
      <c r="BT54" s="1090"/>
      <c r="BU54" s="1090"/>
    </row>
    <row r="55" spans="1:73" x14ac:dyDescent="0.25">
      <c r="A55" s="1090"/>
      <c r="B55" s="1102">
        <f t="shared" si="6"/>
        <v>5</v>
      </c>
      <c r="C55" s="1095">
        <v>1</v>
      </c>
      <c r="D55" s="1095">
        <f>+G4</f>
        <v>0.95</v>
      </c>
      <c r="E55" s="1095">
        <v>1</v>
      </c>
      <c r="F55" s="1095">
        <v>1</v>
      </c>
      <c r="G55" s="1095">
        <v>1</v>
      </c>
      <c r="H55" s="1095">
        <v>1</v>
      </c>
      <c r="I55" s="1095">
        <v>1</v>
      </c>
      <c r="J55" s="1090"/>
      <c r="K55" s="1108">
        <v>4.4913240547112334</v>
      </c>
      <c r="L55" s="1109">
        <v>0</v>
      </c>
      <c r="M55" s="1109">
        <v>1.4932183326750168E-3</v>
      </c>
      <c r="N55" s="1109">
        <v>0.1292255718248323</v>
      </c>
      <c r="O55" s="1109">
        <v>3.9187389745113495E-2</v>
      </c>
      <c r="P55" s="1109">
        <v>1.9153028276096246E-2</v>
      </c>
      <c r="Q55" s="1109">
        <v>1.3306081140592849E-3</v>
      </c>
      <c r="R55" s="1109">
        <v>1.4870934193403071E-3</v>
      </c>
      <c r="S55" s="1109">
        <v>0.23499947095962551</v>
      </c>
      <c r="T55" s="1109">
        <v>3.9660070019776912</v>
      </c>
      <c r="U55" s="1109">
        <v>0</v>
      </c>
      <c r="V55" s="1109">
        <v>9.4523053561131956E-3</v>
      </c>
      <c r="W55" s="1109">
        <v>7.6974263301133966E-2</v>
      </c>
      <c r="X55" s="1109">
        <v>1.0797900532634828E-2</v>
      </c>
      <c r="Y55" s="1109">
        <v>4.2026395372674052E-3</v>
      </c>
      <c r="Z55" s="1224"/>
      <c r="AA55" s="1090"/>
      <c r="AB55" s="1090"/>
      <c r="AC55" s="1090"/>
      <c r="AD55" s="1090"/>
      <c r="AE55" s="1090"/>
      <c r="AF55" s="1090"/>
      <c r="AG55" s="1090"/>
      <c r="AH55" s="1090"/>
      <c r="AI55" s="1090"/>
      <c r="AJ55" s="1090"/>
      <c r="AK55" s="1090"/>
      <c r="AL55" s="1090"/>
      <c r="AM55" s="1090"/>
      <c r="AN55" s="1090"/>
      <c r="AO55" s="1090"/>
      <c r="AP55" s="1090"/>
      <c r="AQ55" s="1090"/>
      <c r="AR55" s="1090"/>
      <c r="AS55" s="1090"/>
      <c r="AT55" s="1090"/>
      <c r="AU55" s="1090"/>
      <c r="AV55" s="1090"/>
      <c r="AW55" s="1090"/>
      <c r="AX55" s="1090"/>
      <c r="AY55" s="1090"/>
      <c r="AZ55" s="1090"/>
      <c r="BA55" s="1090"/>
      <c r="BB55" s="1090"/>
      <c r="BC55" s="1090"/>
      <c r="BD55" s="1090"/>
      <c r="BE55" s="1090"/>
      <c r="BF55" s="1090"/>
      <c r="BG55" s="1090"/>
      <c r="BH55" s="1090"/>
      <c r="BI55" s="1090"/>
      <c r="BJ55" s="1090"/>
      <c r="BK55" s="1090"/>
      <c r="BL55" s="1090"/>
      <c r="BM55" s="1090"/>
      <c r="BN55" s="1090"/>
      <c r="BO55" s="1090"/>
      <c r="BP55" s="1090"/>
      <c r="BQ55" s="1090"/>
      <c r="BR55" s="1090"/>
      <c r="BS55" s="1090"/>
      <c r="BT55" s="1090"/>
      <c r="BU55" s="1090"/>
    </row>
    <row r="56" spans="1:73" x14ac:dyDescent="0.25">
      <c r="A56" s="1090"/>
      <c r="B56" s="1110">
        <f t="shared" si="6"/>
        <v>6</v>
      </c>
      <c r="C56" s="1111">
        <v>1</v>
      </c>
      <c r="D56" s="1111">
        <v>1</v>
      </c>
      <c r="E56" s="1111">
        <f>+F5</f>
        <v>0.95</v>
      </c>
      <c r="F56" s="1111">
        <v>1</v>
      </c>
      <c r="G56" s="1111">
        <v>1</v>
      </c>
      <c r="H56" s="1111">
        <v>1</v>
      </c>
      <c r="I56" s="1111">
        <v>1</v>
      </c>
      <c r="J56" s="1090"/>
      <c r="K56" s="1108">
        <v>4.4770681758335655</v>
      </c>
      <c r="L56" s="1109">
        <v>0</v>
      </c>
      <c r="M56" s="1109">
        <v>1.6246570818719767E-3</v>
      </c>
      <c r="N56" s="1109">
        <v>0.1212069410993028</v>
      </c>
      <c r="O56" s="1109">
        <v>3.8733364799989255E-2</v>
      </c>
      <c r="P56" s="1109">
        <v>1.8429014029401326E-2</v>
      </c>
      <c r="Q56" s="1109">
        <v>1.2480419860370572E-3</v>
      </c>
      <c r="R56" s="1109">
        <v>1.6179930304018471E-3</v>
      </c>
      <c r="S56" s="1109">
        <v>0.23132576245804801</v>
      </c>
      <c r="T56" s="1109">
        <v>3.9679342232086481</v>
      </c>
      <c r="U56" s="1109">
        <v>0</v>
      </c>
      <c r="V56" s="1109">
        <v>9.4523053561131939E-3</v>
      </c>
      <c r="W56" s="1109">
        <v>7.4722921455485938E-2</v>
      </c>
      <c r="X56" s="1109">
        <v>9.4496936601692842E-3</v>
      </c>
      <c r="Y56" s="1109">
        <v>4.5725718318398566E-3</v>
      </c>
      <c r="Z56" s="1224"/>
      <c r="AA56" s="1090"/>
      <c r="AB56" s="1090"/>
      <c r="AC56" s="1090"/>
      <c r="AD56" s="1090"/>
      <c r="AE56" s="1090"/>
      <c r="AF56" s="1090"/>
      <c r="AG56" s="1090"/>
      <c r="AH56" s="1090"/>
      <c r="AI56" s="1090"/>
      <c r="AJ56" s="1090"/>
      <c r="AK56" s="1090"/>
      <c r="AL56" s="1090"/>
      <c r="AM56" s="1090"/>
      <c r="AN56" s="1090"/>
      <c r="AO56" s="1090"/>
      <c r="AP56" s="1090"/>
      <c r="AQ56" s="1090"/>
      <c r="AR56" s="1090"/>
      <c r="AS56" s="1090"/>
      <c r="AT56" s="1090"/>
      <c r="AU56" s="1090"/>
      <c r="AV56" s="1090"/>
      <c r="AW56" s="1090"/>
      <c r="AX56" s="1090"/>
      <c r="AY56" s="1090"/>
      <c r="AZ56" s="1090"/>
      <c r="BA56" s="1090"/>
      <c r="BB56" s="1090"/>
      <c r="BC56" s="1090"/>
      <c r="BD56" s="1090"/>
      <c r="BE56" s="1090"/>
      <c r="BF56" s="1090"/>
      <c r="BG56" s="1090"/>
      <c r="BH56" s="1090"/>
      <c r="BI56" s="1090"/>
      <c r="BJ56" s="1090"/>
      <c r="BK56" s="1090"/>
      <c r="BL56" s="1090"/>
      <c r="BM56" s="1090"/>
      <c r="BN56" s="1090"/>
      <c r="BO56" s="1090"/>
      <c r="BP56" s="1090"/>
      <c r="BQ56" s="1090"/>
      <c r="BR56" s="1090"/>
      <c r="BS56" s="1090"/>
      <c r="BT56" s="1090"/>
      <c r="BU56" s="1090"/>
    </row>
    <row r="57" spans="1:73" x14ac:dyDescent="0.25">
      <c r="A57" s="1090"/>
      <c r="B57" s="1110">
        <f t="shared" si="6"/>
        <v>7</v>
      </c>
      <c r="C57" s="1111">
        <v>1</v>
      </c>
      <c r="D57" s="1111">
        <v>1</v>
      </c>
      <c r="E57" s="1111">
        <f>+G5</f>
        <v>1.05</v>
      </c>
      <c r="F57" s="1111">
        <v>1</v>
      </c>
      <c r="G57" s="1111">
        <v>1</v>
      </c>
      <c r="H57" s="1111">
        <v>1</v>
      </c>
      <c r="I57" s="1111">
        <v>1</v>
      </c>
      <c r="J57" s="1090"/>
      <c r="K57" s="1108">
        <v>4.4880113781737547</v>
      </c>
      <c r="L57" s="1109">
        <v>0</v>
      </c>
      <c r="M57" s="1109">
        <v>1.3161637615137778E-3</v>
      </c>
      <c r="N57" s="1109">
        <v>0.13205539451012635</v>
      </c>
      <c r="O57" s="1109">
        <v>3.8047061518909263E-2</v>
      </c>
      <c r="P57" s="1109">
        <v>1.9837775989702225E-2</v>
      </c>
      <c r="Q57" s="1109">
        <v>1.3597461938776147E-3</v>
      </c>
      <c r="R57" s="1109">
        <v>1.3107650942210214E-3</v>
      </c>
      <c r="S57" s="1109">
        <v>0.23132576245804831</v>
      </c>
      <c r="T57" s="1109">
        <v>3.9641263479012356</v>
      </c>
      <c r="U57" s="1109">
        <v>0</v>
      </c>
      <c r="V57" s="1109">
        <v>9.4523053561131991E-3</v>
      </c>
      <c r="W57" s="1109">
        <v>7.6089012374387546E-2</v>
      </c>
      <c r="X57" s="1109">
        <v>1.2019048310192496E-2</v>
      </c>
      <c r="Y57" s="1109">
        <v>3.704322228449517E-3</v>
      </c>
      <c r="Z57" s="1224"/>
      <c r="AA57" s="1090"/>
      <c r="AB57" s="1090"/>
      <c r="AC57" s="1090"/>
      <c r="AD57" s="1090"/>
      <c r="AE57" s="1090"/>
      <c r="AF57" s="1090"/>
      <c r="AG57" s="1090"/>
      <c r="AH57" s="1090"/>
      <c r="AI57" s="1090"/>
      <c r="AJ57" s="1090"/>
      <c r="AK57" s="1090"/>
      <c r="AL57" s="1090"/>
      <c r="AM57" s="1090"/>
      <c r="AN57" s="1090"/>
      <c r="AO57" s="1090"/>
      <c r="AP57" s="1090"/>
      <c r="AQ57" s="1090"/>
      <c r="AR57" s="1090"/>
      <c r="AS57" s="1090"/>
      <c r="AT57" s="1090"/>
      <c r="AU57" s="1090"/>
      <c r="AV57" s="1090"/>
      <c r="AW57" s="1090"/>
      <c r="AX57" s="1090"/>
      <c r="AY57" s="1090"/>
      <c r="AZ57" s="1090"/>
      <c r="BA57" s="1090"/>
      <c r="BB57" s="1090"/>
      <c r="BC57" s="1090"/>
      <c r="BD57" s="1090"/>
      <c r="BE57" s="1090"/>
      <c r="BF57" s="1090"/>
      <c r="BG57" s="1090"/>
      <c r="BH57" s="1090"/>
      <c r="BI57" s="1090"/>
      <c r="BJ57" s="1090"/>
      <c r="BK57" s="1090"/>
      <c r="BL57" s="1090"/>
      <c r="BM57" s="1090"/>
      <c r="BN57" s="1090"/>
      <c r="BO57" s="1090"/>
      <c r="BP57" s="1090"/>
      <c r="BQ57" s="1090"/>
      <c r="BR57" s="1090"/>
      <c r="BS57" s="1090"/>
      <c r="BT57" s="1090"/>
      <c r="BU57" s="1090"/>
    </row>
    <row r="58" spans="1:73" x14ac:dyDescent="0.25">
      <c r="A58" s="1090"/>
      <c r="B58" s="1102">
        <f t="shared" si="6"/>
        <v>8</v>
      </c>
      <c r="C58" s="1095">
        <v>1</v>
      </c>
      <c r="D58" s="1095">
        <v>1</v>
      </c>
      <c r="E58" s="1095">
        <v>1</v>
      </c>
      <c r="F58" s="1095">
        <f>+F6</f>
        <v>0.95</v>
      </c>
      <c r="G58" s="1095">
        <v>1</v>
      </c>
      <c r="H58" s="1095">
        <v>1</v>
      </c>
      <c r="I58" s="1095">
        <v>1</v>
      </c>
      <c r="J58" s="1090"/>
      <c r="K58" s="1108">
        <v>4.262659649683866</v>
      </c>
      <c r="L58" s="1109">
        <v>0</v>
      </c>
      <c r="M58" s="1109">
        <v>1.3900489957505903E-3</v>
      </c>
      <c r="N58" s="1109">
        <v>0.12027116285292727</v>
      </c>
      <c r="O58" s="1109">
        <v>3.6471983580806985E-2</v>
      </c>
      <c r="P58" s="1109">
        <v>1.8198702143621532E-2</v>
      </c>
      <c r="Q58" s="1109">
        <v>1.3035857655690258E-3</v>
      </c>
      <c r="R58" s="1109">
        <v>1.3840484688079783E-3</v>
      </c>
      <c r="S58" s="1109">
        <v>0.22350782519218079</v>
      </c>
      <c r="T58" s="1109">
        <v>3.7677066518788069</v>
      </c>
      <c r="U58" s="1109">
        <v>0</v>
      </c>
      <c r="V58" s="1109">
        <v>9.4523053561131991E-3</v>
      </c>
      <c r="W58" s="1109">
        <v>7.1640496739483472E-2</v>
      </c>
      <c r="X58" s="1109">
        <v>1.0201510061346284E-2</v>
      </c>
      <c r="Y58" s="1109">
        <v>3.9114266399532345E-3</v>
      </c>
      <c r="Z58" s="1224"/>
      <c r="AA58" s="1090"/>
      <c r="AB58" s="1090"/>
      <c r="AC58" s="1090"/>
      <c r="AD58" s="1090"/>
      <c r="AE58" s="1090"/>
      <c r="AF58" s="1090"/>
      <c r="AG58" s="1090"/>
      <c r="AH58" s="1090"/>
      <c r="AI58" s="1090"/>
      <c r="AJ58" s="1090"/>
      <c r="AK58" s="1090"/>
      <c r="AL58" s="1090"/>
      <c r="AM58" s="1090"/>
      <c r="AN58" s="1090"/>
      <c r="AO58" s="1090"/>
      <c r="AP58" s="1090"/>
      <c r="AQ58" s="1090"/>
      <c r="AR58" s="1090"/>
      <c r="AS58" s="1090"/>
      <c r="AT58" s="1090"/>
      <c r="AU58" s="1090"/>
      <c r="AV58" s="1090"/>
      <c r="AW58" s="1090"/>
      <c r="AX58" s="1090"/>
      <c r="AY58" s="1090"/>
      <c r="AZ58" s="1090"/>
      <c r="BA58" s="1090"/>
      <c r="BB58" s="1090"/>
      <c r="BC58" s="1090"/>
      <c r="BD58" s="1090"/>
      <c r="BE58" s="1090"/>
      <c r="BF58" s="1090"/>
      <c r="BG58" s="1090"/>
      <c r="BH58" s="1090"/>
      <c r="BI58" s="1090"/>
      <c r="BJ58" s="1090"/>
      <c r="BK58" s="1090"/>
      <c r="BL58" s="1090"/>
      <c r="BM58" s="1090"/>
      <c r="BN58" s="1090"/>
      <c r="BO58" s="1090"/>
      <c r="BP58" s="1090"/>
      <c r="BQ58" s="1090"/>
      <c r="BR58" s="1090"/>
      <c r="BS58" s="1090"/>
      <c r="BT58" s="1090"/>
      <c r="BU58" s="1090"/>
    </row>
    <row r="59" spans="1:73" x14ac:dyDescent="0.25">
      <c r="A59" s="1090"/>
      <c r="B59" s="1102">
        <f t="shared" si="6"/>
        <v>9</v>
      </c>
      <c r="C59" s="1095">
        <v>1</v>
      </c>
      <c r="D59" s="1095">
        <v>1</v>
      </c>
      <c r="E59" s="1095">
        <v>1</v>
      </c>
      <c r="F59" s="1095">
        <f>+G6</f>
        <v>1.05</v>
      </c>
      <c r="G59" s="1095">
        <v>1</v>
      </c>
      <c r="H59" s="1095">
        <v>1</v>
      </c>
      <c r="I59" s="1095">
        <v>1</v>
      </c>
      <c r="J59" s="1090"/>
      <c r="K59" s="1108">
        <v>4.7022358312544688</v>
      </c>
      <c r="L59" s="1109">
        <v>0</v>
      </c>
      <c r="M59" s="1109">
        <v>1.5357383082566941E-3</v>
      </c>
      <c r="N59" s="1109">
        <v>0.13293128525849862</v>
      </c>
      <c r="O59" s="1109">
        <v>4.0311139747207736E-2</v>
      </c>
      <c r="P59" s="1109">
        <v>2.0073928783085754E-2</v>
      </c>
      <c r="Q59" s="1109">
        <v>1.3035857655690258E-3</v>
      </c>
      <c r="R59" s="1109">
        <v>1.529737781314082E-3</v>
      </c>
      <c r="S59" s="1109">
        <v>0.23914369972391572</v>
      </c>
      <c r="T59" s="1109">
        <v>4.1643073520765741</v>
      </c>
      <c r="U59" s="1109">
        <v>0</v>
      </c>
      <c r="V59" s="1109">
        <v>9.4523053561131991E-3</v>
      </c>
      <c r="W59" s="1109">
        <v>7.9181601659429127E-2</v>
      </c>
      <c r="X59" s="1109">
        <v>1.1213777651067658E-2</v>
      </c>
      <c r="Y59" s="1109">
        <v>4.323155759948313E-3</v>
      </c>
      <c r="Z59" s="1224"/>
      <c r="AA59" s="1090"/>
      <c r="AB59" s="1090"/>
      <c r="AC59" s="1090"/>
      <c r="AD59" s="1090"/>
      <c r="AE59" s="1090"/>
      <c r="AF59" s="1090"/>
      <c r="AG59" s="1090"/>
      <c r="AH59" s="1090"/>
      <c r="AI59" s="1090"/>
      <c r="AJ59" s="1090"/>
      <c r="AK59" s="1090"/>
      <c r="AL59" s="1090"/>
      <c r="AM59" s="1090"/>
      <c r="AN59" s="1090"/>
      <c r="AO59" s="1090"/>
      <c r="AP59" s="1090"/>
      <c r="AQ59" s="1090"/>
      <c r="AR59" s="1090"/>
      <c r="AS59" s="1090"/>
      <c r="AT59" s="1090"/>
      <c r="AU59" s="1090"/>
      <c r="AV59" s="1090"/>
      <c r="AW59" s="1090"/>
      <c r="AX59" s="1090"/>
      <c r="AY59" s="1090"/>
      <c r="AZ59" s="1090"/>
      <c r="BA59" s="1090"/>
      <c r="BB59" s="1090"/>
      <c r="BC59" s="1090"/>
      <c r="BD59" s="1090"/>
      <c r="BE59" s="1090"/>
      <c r="BF59" s="1090"/>
      <c r="BG59" s="1090"/>
      <c r="BH59" s="1090"/>
      <c r="BI59" s="1090"/>
      <c r="BJ59" s="1090"/>
      <c r="BK59" s="1090"/>
      <c r="BL59" s="1090"/>
      <c r="BM59" s="1090"/>
      <c r="BN59" s="1090"/>
      <c r="BO59" s="1090"/>
      <c r="BP59" s="1090"/>
      <c r="BQ59" s="1090"/>
      <c r="BR59" s="1090"/>
      <c r="BS59" s="1090"/>
      <c r="BT59" s="1090"/>
      <c r="BU59" s="1090"/>
    </row>
    <row r="60" spans="1:73" x14ac:dyDescent="0.25">
      <c r="A60" s="1090"/>
      <c r="B60" s="1110">
        <f t="shared" si="6"/>
        <v>10</v>
      </c>
      <c r="C60" s="1111">
        <v>1</v>
      </c>
      <c r="D60" s="1111">
        <v>1</v>
      </c>
      <c r="E60" s="1111">
        <v>1</v>
      </c>
      <c r="F60" s="1111">
        <v>1</v>
      </c>
      <c r="G60" s="1111">
        <f>+F7</f>
        <v>0.95</v>
      </c>
      <c r="H60" s="1111">
        <v>1</v>
      </c>
      <c r="I60" s="1111">
        <v>1</v>
      </c>
      <c r="J60" s="1090"/>
      <c r="K60" s="1108">
        <v>4.4824477404691674</v>
      </c>
      <c r="L60" s="1109">
        <v>0</v>
      </c>
      <c r="M60" s="1109">
        <v>1.4628936520036421E-3</v>
      </c>
      <c r="N60" s="1109">
        <v>0.12660122405571292</v>
      </c>
      <c r="O60" s="1109">
        <v>3.8391561664007375E-2</v>
      </c>
      <c r="P60" s="1109">
        <v>1.9136315463353638E-2</v>
      </c>
      <c r="Q60" s="1109">
        <v>1.3035857655690258E-3</v>
      </c>
      <c r="R60" s="1109">
        <v>1.45689312506103E-3</v>
      </c>
      <c r="S60" s="1109">
        <v>0.23132576245804806</v>
      </c>
      <c r="T60" s="1109">
        <v>3.9660070019776885</v>
      </c>
      <c r="U60" s="1109">
        <v>0</v>
      </c>
      <c r="V60" s="1109">
        <v>9.4523053561131991E-3</v>
      </c>
      <c r="W60" s="1109">
        <v>7.5411049199456293E-2</v>
      </c>
      <c r="X60" s="1109">
        <v>1.0707643856206782E-2</v>
      </c>
      <c r="Y60" s="1109">
        <v>4.1172911999507716E-3</v>
      </c>
      <c r="Z60" s="1224"/>
      <c r="AA60" s="1090"/>
      <c r="AB60" s="1090"/>
      <c r="AC60" s="1090"/>
      <c r="AD60" s="1090"/>
      <c r="AE60" s="1090"/>
      <c r="AF60" s="1090"/>
      <c r="AG60" s="1090"/>
      <c r="AH60" s="1090"/>
      <c r="AI60" s="1090"/>
      <c r="AJ60" s="1090"/>
      <c r="AK60" s="1090"/>
      <c r="AL60" s="1090"/>
      <c r="AM60" s="1090"/>
      <c r="AN60" s="1090"/>
      <c r="AO60" s="1090"/>
      <c r="AP60" s="1090"/>
      <c r="AQ60" s="1090"/>
      <c r="AR60" s="1090"/>
      <c r="AS60" s="1090"/>
      <c r="AT60" s="1090"/>
      <c r="AU60" s="1090"/>
      <c r="AV60" s="1090"/>
      <c r="AW60" s="1090"/>
      <c r="AX60" s="1090"/>
      <c r="AY60" s="1090"/>
      <c r="AZ60" s="1090"/>
      <c r="BA60" s="1090"/>
      <c r="BB60" s="1090"/>
      <c r="BC60" s="1090"/>
      <c r="BD60" s="1090"/>
      <c r="BE60" s="1090"/>
      <c r="BF60" s="1090"/>
      <c r="BG60" s="1090"/>
      <c r="BH60" s="1090"/>
      <c r="BI60" s="1090"/>
      <c r="BJ60" s="1090"/>
      <c r="BK60" s="1090"/>
      <c r="BL60" s="1090"/>
      <c r="BM60" s="1090"/>
      <c r="BN60" s="1090"/>
      <c r="BO60" s="1090"/>
      <c r="BP60" s="1090"/>
      <c r="BQ60" s="1090"/>
      <c r="BR60" s="1090"/>
      <c r="BS60" s="1090"/>
      <c r="BT60" s="1090"/>
      <c r="BU60" s="1090"/>
    </row>
    <row r="61" spans="1:73" x14ac:dyDescent="0.25">
      <c r="A61" s="1090"/>
      <c r="B61" s="1110">
        <f t="shared" si="6"/>
        <v>11</v>
      </c>
      <c r="C61" s="1111">
        <v>1</v>
      </c>
      <c r="D61" s="1111">
        <v>1</v>
      </c>
      <c r="E61" s="1111">
        <v>1</v>
      </c>
      <c r="F61" s="1111">
        <v>1</v>
      </c>
      <c r="G61" s="1111">
        <f>+G6</f>
        <v>1.05</v>
      </c>
      <c r="H61" s="1111">
        <v>1</v>
      </c>
      <c r="I61" s="1111">
        <v>1</v>
      </c>
      <c r="J61" s="1090"/>
      <c r="K61" s="1108">
        <v>4.4824477404691674</v>
      </c>
      <c r="L61" s="1109">
        <v>0</v>
      </c>
      <c r="M61" s="1109">
        <v>1.4628936520036421E-3</v>
      </c>
      <c r="N61" s="1109">
        <v>0.12660122405571292</v>
      </c>
      <c r="O61" s="1109">
        <v>3.8391561664007375E-2</v>
      </c>
      <c r="P61" s="1109">
        <v>1.9136315463353638E-2</v>
      </c>
      <c r="Q61" s="1109">
        <v>1.3035857655690258E-3</v>
      </c>
      <c r="R61" s="1109">
        <v>1.45689312506103E-3</v>
      </c>
      <c r="S61" s="1109">
        <v>0.23132576245804806</v>
      </c>
      <c r="T61" s="1109">
        <v>3.9660070019776885</v>
      </c>
      <c r="U61" s="1109">
        <v>0</v>
      </c>
      <c r="V61" s="1109">
        <v>9.4523053561131991E-3</v>
      </c>
      <c r="W61" s="1109">
        <v>7.5411049199456293E-2</v>
      </c>
      <c r="X61" s="1109">
        <v>1.0707643856206782E-2</v>
      </c>
      <c r="Y61" s="1109">
        <v>4.1172911999507716E-3</v>
      </c>
      <c r="Z61" s="1224"/>
      <c r="AA61" s="1090"/>
      <c r="AB61" s="1090"/>
      <c r="AC61" s="1090"/>
      <c r="AD61" s="1090"/>
      <c r="AE61" s="1090"/>
      <c r="AF61" s="1090"/>
      <c r="AG61" s="1090"/>
      <c r="AH61" s="1090"/>
      <c r="AI61" s="1090"/>
      <c r="AJ61" s="1090"/>
      <c r="AK61" s="1090"/>
      <c r="AL61" s="1090"/>
      <c r="AM61" s="1090"/>
      <c r="AN61" s="1090"/>
      <c r="AO61" s="1090"/>
      <c r="AP61" s="1090"/>
      <c r="AQ61" s="1090"/>
      <c r="AR61" s="1090"/>
      <c r="AS61" s="1090"/>
      <c r="AT61" s="1090"/>
      <c r="AU61" s="1090"/>
      <c r="AV61" s="1090"/>
      <c r="AW61" s="1090"/>
      <c r="AX61" s="1090"/>
      <c r="AY61" s="1090"/>
      <c r="AZ61" s="1090"/>
      <c r="BA61" s="1090"/>
      <c r="BB61" s="1090"/>
      <c r="BC61" s="1090"/>
      <c r="BD61" s="1090"/>
      <c r="BE61" s="1090"/>
      <c r="BF61" s="1090"/>
      <c r="BG61" s="1090"/>
      <c r="BH61" s="1090"/>
      <c r="BI61" s="1090"/>
      <c r="BJ61" s="1090"/>
      <c r="BK61" s="1090"/>
      <c r="BL61" s="1090"/>
      <c r="BM61" s="1090"/>
      <c r="BN61" s="1090"/>
      <c r="BO61" s="1090"/>
      <c r="BP61" s="1090"/>
      <c r="BQ61" s="1090"/>
      <c r="BR61" s="1090"/>
      <c r="BS61" s="1090"/>
      <c r="BT61" s="1090"/>
      <c r="BU61" s="1090"/>
    </row>
    <row r="62" spans="1:73" x14ac:dyDescent="0.25">
      <c r="A62" s="1090"/>
      <c r="B62" s="1102">
        <f t="shared" si="6"/>
        <v>12</v>
      </c>
      <c r="C62" s="1095">
        <v>1</v>
      </c>
      <c r="D62" s="1095">
        <v>1</v>
      </c>
      <c r="E62" s="1095">
        <v>1</v>
      </c>
      <c r="F62" s="1095">
        <v>1</v>
      </c>
      <c r="G62" s="1095">
        <v>1</v>
      </c>
      <c r="H62" s="1095">
        <f>+F8</f>
        <v>0.95</v>
      </c>
      <c r="I62" s="1095">
        <v>1</v>
      </c>
      <c r="J62" s="1090"/>
      <c r="K62" s="1108">
        <v>4.468439739112223</v>
      </c>
      <c r="L62" s="1109">
        <v>0</v>
      </c>
      <c r="M62" s="1109">
        <v>1.38974896940346E-3</v>
      </c>
      <c r="N62" s="1109">
        <v>0.12024509113761588</v>
      </c>
      <c r="O62" s="1109">
        <v>3.8391561664007375E-2</v>
      </c>
      <c r="P62" s="1109">
        <v>1.9119074872944421E-2</v>
      </c>
      <c r="Q62" s="1109">
        <v>1.3035857655690258E-3</v>
      </c>
      <c r="R62" s="1109">
        <v>1.3837484424608479E-3</v>
      </c>
      <c r="S62" s="1109">
        <v>0.2275360410907378</v>
      </c>
      <c r="T62" s="1109">
        <v>3.9660070019776885</v>
      </c>
      <c r="U62" s="1109">
        <v>0</v>
      </c>
      <c r="V62" s="1109">
        <v>9.4523053561131991E-3</v>
      </c>
      <c r="W62" s="1109">
        <v>7.1624966910125765E-2</v>
      </c>
      <c r="X62" s="1109">
        <v>1.0855532121771063E-2</v>
      </c>
      <c r="Y62" s="1109">
        <v>3.9105787425903144E-3</v>
      </c>
      <c r="Z62" s="1224"/>
      <c r="AA62" s="1090"/>
      <c r="AB62" s="1090"/>
      <c r="AC62" s="1090"/>
      <c r="AD62" s="1090"/>
      <c r="AE62" s="1090"/>
      <c r="AF62" s="1090"/>
      <c r="AG62" s="1090"/>
      <c r="AH62" s="1090"/>
      <c r="AI62" s="1090"/>
      <c r="AJ62" s="1090"/>
      <c r="AK62" s="1090"/>
      <c r="AL62" s="1090"/>
      <c r="AM62" s="1090"/>
      <c r="AN62" s="1090"/>
      <c r="AO62" s="1090"/>
      <c r="AP62" s="1090"/>
      <c r="AQ62" s="1090"/>
      <c r="AR62" s="1090"/>
      <c r="AS62" s="1090"/>
      <c r="AT62" s="1090"/>
      <c r="AU62" s="1090"/>
      <c r="AV62" s="1090"/>
      <c r="AW62" s="1090"/>
      <c r="AX62" s="1090"/>
      <c r="AY62" s="1090"/>
      <c r="AZ62" s="1090"/>
      <c r="BA62" s="1090"/>
      <c r="BB62" s="1090"/>
      <c r="BC62" s="1090"/>
      <c r="BD62" s="1090"/>
      <c r="BE62" s="1090"/>
      <c r="BF62" s="1090"/>
      <c r="BG62" s="1090"/>
      <c r="BH62" s="1090"/>
      <c r="BI62" s="1090"/>
      <c r="BJ62" s="1090"/>
      <c r="BK62" s="1090"/>
      <c r="BL62" s="1090"/>
      <c r="BM62" s="1090"/>
      <c r="BN62" s="1090"/>
      <c r="BO62" s="1090"/>
      <c r="BP62" s="1090"/>
      <c r="BQ62" s="1090"/>
      <c r="BR62" s="1090"/>
      <c r="BS62" s="1090"/>
      <c r="BT62" s="1090"/>
      <c r="BU62" s="1090"/>
    </row>
    <row r="63" spans="1:73" x14ac:dyDescent="0.25">
      <c r="A63" s="1090"/>
      <c r="B63" s="1102">
        <f t="shared" si="6"/>
        <v>13</v>
      </c>
      <c r="C63" s="1095">
        <v>1</v>
      </c>
      <c r="D63" s="1095">
        <v>1</v>
      </c>
      <c r="E63" s="1095">
        <v>1</v>
      </c>
      <c r="F63" s="1095">
        <v>1</v>
      </c>
      <c r="G63" s="1095">
        <v>1</v>
      </c>
      <c r="H63" s="1095">
        <f>+G8</f>
        <v>1.05</v>
      </c>
      <c r="I63" s="1095">
        <v>1</v>
      </c>
      <c r="J63" s="1090"/>
      <c r="K63" s="1108">
        <v>4.4964557418261117</v>
      </c>
      <c r="L63" s="1109">
        <v>0</v>
      </c>
      <c r="M63" s="1109">
        <v>1.5360383346038245E-3</v>
      </c>
      <c r="N63" s="1109">
        <v>0.13295735697380995</v>
      </c>
      <c r="O63" s="1109">
        <v>3.8391561664007375E-2</v>
      </c>
      <c r="P63" s="1109">
        <v>1.915355605376285E-2</v>
      </c>
      <c r="Q63" s="1109">
        <v>1.3035857655690258E-3</v>
      </c>
      <c r="R63" s="1109">
        <v>1.5300378076612119E-3</v>
      </c>
      <c r="S63" s="1109">
        <v>0.23511548382535824</v>
      </c>
      <c r="T63" s="1109">
        <v>3.9660070019776885</v>
      </c>
      <c r="U63" s="1109">
        <v>0</v>
      </c>
      <c r="V63" s="1109">
        <v>9.4523053561131991E-3</v>
      </c>
      <c r="W63" s="1109">
        <v>7.9197131488786793E-2</v>
      </c>
      <c r="X63" s="1109">
        <v>1.0559755590642343E-2</v>
      </c>
      <c r="Y63" s="1109">
        <v>4.3240036573112288E-3</v>
      </c>
      <c r="Z63" s="1224"/>
      <c r="AA63" s="1090"/>
      <c r="AB63" s="1090"/>
      <c r="AC63" s="1090"/>
      <c r="AD63" s="1090"/>
      <c r="AE63" s="1090"/>
      <c r="AF63" s="1090"/>
      <c r="AG63" s="1090"/>
      <c r="AH63" s="1090"/>
      <c r="AI63" s="1090"/>
      <c r="AJ63" s="1090"/>
      <c r="AK63" s="1090"/>
      <c r="AL63" s="1090"/>
      <c r="AM63" s="1090"/>
      <c r="AN63" s="1090"/>
      <c r="AO63" s="1090"/>
      <c r="AP63" s="1090"/>
      <c r="AQ63" s="1090"/>
      <c r="AR63" s="1090"/>
      <c r="AS63" s="1090"/>
      <c r="AT63" s="1090"/>
      <c r="AU63" s="1090"/>
      <c r="AV63" s="1090"/>
      <c r="AW63" s="1090"/>
      <c r="AX63" s="1090"/>
      <c r="AY63" s="1090"/>
      <c r="AZ63" s="1090"/>
      <c r="BA63" s="1090"/>
      <c r="BB63" s="1090"/>
      <c r="BC63" s="1090"/>
      <c r="BD63" s="1090"/>
      <c r="BE63" s="1090"/>
      <c r="BF63" s="1090"/>
      <c r="BG63" s="1090"/>
      <c r="BH63" s="1090"/>
      <c r="BI63" s="1090"/>
      <c r="BJ63" s="1090"/>
      <c r="BK63" s="1090"/>
      <c r="BL63" s="1090"/>
      <c r="BM63" s="1090"/>
      <c r="BN63" s="1090"/>
      <c r="BO63" s="1090"/>
      <c r="BP63" s="1090"/>
      <c r="BQ63" s="1090"/>
      <c r="BR63" s="1090"/>
      <c r="BS63" s="1090"/>
      <c r="BT63" s="1090"/>
      <c r="BU63" s="1090"/>
    </row>
    <row r="64" spans="1:73" x14ac:dyDescent="0.25">
      <c r="A64" s="1090"/>
      <c r="B64" s="1110">
        <f t="shared" si="6"/>
        <v>14</v>
      </c>
      <c r="C64" s="1095">
        <v>1</v>
      </c>
      <c r="D64" s="1095">
        <v>1</v>
      </c>
      <c r="E64" s="1095">
        <v>1</v>
      </c>
      <c r="F64" s="1095">
        <v>1</v>
      </c>
      <c r="G64" s="1095">
        <v>1</v>
      </c>
      <c r="H64" s="1095">
        <v>1</v>
      </c>
      <c r="I64" s="1095">
        <f>+F9</f>
        <v>0.95</v>
      </c>
      <c r="J64" s="1090"/>
      <c r="K64" s="1108">
        <v>4.4708105951578627</v>
      </c>
      <c r="L64" s="1109">
        <v>0</v>
      </c>
      <c r="M64" s="1109">
        <v>1.4628936520036421E-3</v>
      </c>
      <c r="N64" s="1109">
        <v>0.12660122405571292</v>
      </c>
      <c r="O64" s="1109">
        <v>3.8391561664007375E-2</v>
      </c>
      <c r="P64" s="1109">
        <v>1.9083696915245578E-2</v>
      </c>
      <c r="Q64" s="1109">
        <v>1.3035857655690258E-3</v>
      </c>
      <c r="R64" s="1109">
        <v>1.45689312506103E-3</v>
      </c>
      <c r="S64" s="1109">
        <v>0.21975947433514567</v>
      </c>
      <c r="T64" s="1109">
        <v>3.9660070019776885</v>
      </c>
      <c r="U64" s="1109">
        <v>0</v>
      </c>
      <c r="V64" s="1109">
        <v>9.4523053561131991E-3</v>
      </c>
      <c r="W64" s="1109">
        <v>7.5411049199456293E-2</v>
      </c>
      <c r="X64" s="1109">
        <v>1.0689405215911872E-2</v>
      </c>
      <c r="Y64" s="1109">
        <v>4.1172911999507716E-3</v>
      </c>
      <c r="Z64" s="1224"/>
      <c r="AA64" s="1090"/>
      <c r="AB64" s="1090"/>
      <c r="AC64" s="1090"/>
      <c r="AD64" s="1090"/>
      <c r="AE64" s="1090"/>
      <c r="AF64" s="1090"/>
      <c r="AG64" s="1090"/>
      <c r="AH64" s="1090"/>
      <c r="AI64" s="1090"/>
      <c r="AJ64" s="1090"/>
      <c r="AK64" s="1090"/>
      <c r="AL64" s="1090"/>
      <c r="AM64" s="1090"/>
      <c r="AN64" s="1090"/>
      <c r="AO64" s="1090"/>
      <c r="AP64" s="1090"/>
      <c r="AQ64" s="1090"/>
      <c r="AR64" s="1090"/>
      <c r="AS64" s="1090"/>
      <c r="AT64" s="1090"/>
      <c r="AU64" s="1090"/>
      <c r="AV64" s="1090"/>
      <c r="AW64" s="1090"/>
      <c r="AX64" s="1090"/>
      <c r="AY64" s="1090"/>
      <c r="AZ64" s="1090"/>
      <c r="BA64" s="1090"/>
      <c r="BB64" s="1090"/>
      <c r="BC64" s="1090"/>
      <c r="BD64" s="1090"/>
      <c r="BE64" s="1090"/>
      <c r="BF64" s="1090"/>
      <c r="BG64" s="1090"/>
      <c r="BH64" s="1090"/>
      <c r="BI64" s="1090"/>
      <c r="BJ64" s="1090"/>
      <c r="BK64" s="1090"/>
      <c r="BL64" s="1090"/>
      <c r="BM64" s="1090"/>
      <c r="BN64" s="1090"/>
      <c r="BO64" s="1090"/>
      <c r="BP64" s="1090"/>
      <c r="BQ64" s="1090"/>
      <c r="BR64" s="1090"/>
      <c r="BS64" s="1090"/>
      <c r="BT64" s="1090"/>
      <c r="BU64" s="1090"/>
    </row>
    <row r="65" spans="1:73" ht="13" thickBot="1" x14ac:dyDescent="0.3">
      <c r="A65" s="1090"/>
      <c r="B65" s="1213">
        <f t="shared" si="6"/>
        <v>15</v>
      </c>
      <c r="C65" s="1214">
        <v>1</v>
      </c>
      <c r="D65" s="1214">
        <v>1</v>
      </c>
      <c r="E65" s="1214">
        <v>1</v>
      </c>
      <c r="F65" s="1214">
        <v>1</v>
      </c>
      <c r="G65" s="1214">
        <v>1</v>
      </c>
      <c r="H65" s="1214">
        <v>1</v>
      </c>
      <c r="I65" s="1214">
        <f>+G9</f>
        <v>1.05</v>
      </c>
      <c r="J65" s="1215"/>
      <c r="K65" s="1216">
        <v>4.4940848857804729</v>
      </c>
      <c r="L65" s="1217">
        <v>0</v>
      </c>
      <c r="M65" s="1217">
        <v>1.4628936520036421E-3</v>
      </c>
      <c r="N65" s="1217">
        <v>0.12660122405571292</v>
      </c>
      <c r="O65" s="1217">
        <v>3.8391561664007375E-2</v>
      </c>
      <c r="P65" s="1217">
        <v>1.9188934011461694E-2</v>
      </c>
      <c r="Q65" s="1217">
        <v>1.3035857655690258E-3</v>
      </c>
      <c r="R65" s="1217">
        <v>1.45689312506103E-3</v>
      </c>
      <c r="S65" s="1217">
        <v>0.24289205058095054</v>
      </c>
      <c r="T65" s="1217">
        <v>3.9660070019776885</v>
      </c>
      <c r="U65" s="1217">
        <v>0</v>
      </c>
      <c r="V65" s="1217">
        <v>9.4523053561131991E-3</v>
      </c>
      <c r="W65" s="1217">
        <v>7.5411049199456293E-2</v>
      </c>
      <c r="X65" s="1217">
        <v>1.0725882496501665E-2</v>
      </c>
      <c r="Y65" s="1217">
        <v>4.1172911999507716E-3</v>
      </c>
      <c r="Z65" s="1224"/>
      <c r="AA65" s="1090"/>
      <c r="AB65" s="1090"/>
      <c r="AC65" s="1090"/>
      <c r="AD65" s="1090"/>
      <c r="AE65" s="1090"/>
      <c r="AF65" s="1090"/>
      <c r="AG65" s="1090"/>
      <c r="AH65" s="1090"/>
      <c r="AI65" s="1090"/>
      <c r="AJ65" s="1090"/>
      <c r="AK65" s="1090"/>
      <c r="AL65" s="1090"/>
      <c r="AM65" s="1090"/>
      <c r="AN65" s="1090"/>
      <c r="AO65" s="1090"/>
      <c r="AP65" s="1090"/>
      <c r="AQ65" s="1090"/>
      <c r="AR65" s="1090"/>
      <c r="AS65" s="1090"/>
      <c r="AT65" s="1090"/>
      <c r="AU65" s="1090"/>
      <c r="AV65" s="1090"/>
      <c r="AW65" s="1090"/>
      <c r="AX65" s="1090"/>
      <c r="AY65" s="1090"/>
      <c r="AZ65" s="1090"/>
      <c r="BA65" s="1090"/>
      <c r="BB65" s="1090"/>
      <c r="BC65" s="1090"/>
      <c r="BD65" s="1090"/>
      <c r="BE65" s="1090"/>
      <c r="BF65" s="1090"/>
      <c r="BG65" s="1090"/>
      <c r="BH65" s="1090"/>
      <c r="BI65" s="1090"/>
      <c r="BJ65" s="1090"/>
      <c r="BK65" s="1090"/>
      <c r="BL65" s="1090"/>
      <c r="BM65" s="1090"/>
      <c r="BN65" s="1090"/>
      <c r="BO65" s="1090"/>
      <c r="BP65" s="1090"/>
      <c r="BQ65" s="1090"/>
      <c r="BR65" s="1090"/>
      <c r="BS65" s="1090"/>
      <c r="BT65" s="1090"/>
      <c r="BU65" s="1090"/>
    </row>
    <row r="66" spans="1:73" ht="13" thickTop="1" x14ac:dyDescent="0.25">
      <c r="A66" s="1090"/>
      <c r="B66" s="1209">
        <f t="shared" si="6"/>
        <v>16</v>
      </c>
      <c r="C66" s="1210">
        <f>(C$72=1)*$F$3
+(C$72=2)
+(C$72=3)
+(C$72=4)
+(C$72=5)</f>
        <v>1</v>
      </c>
      <c r="D66" s="1210">
        <v>1</v>
      </c>
      <c r="E66" s="1210">
        <v>1</v>
      </c>
      <c r="F66" s="1210">
        <f>(F$72=1)*$F$6
+(F$72=2)
+(F$72=3)
+(F$72=4)
+(F$72=5)</f>
        <v>0.95</v>
      </c>
      <c r="G66" s="1210">
        <f>(G$72=1)*$F$7
+(G$72=2)
+(G$72=3)
+(G$72=4)
+(G$72=5)</f>
        <v>1</v>
      </c>
      <c r="H66" s="1210">
        <f>(H$72=1)*$F$8
+(H$72=2)
+(H$72=3)
+(H$72=4)
+(H$72=5)</f>
        <v>1</v>
      </c>
      <c r="I66" s="1210">
        <f>(I$72=1)*$F$9
+(I$72=2)
+(I$72=3)
+(I$72=4)
+(I$72=5)</f>
        <v>1</v>
      </c>
      <c r="J66" s="1090"/>
      <c r="K66" s="1211">
        <v>4.262659649683866</v>
      </c>
      <c r="L66" s="1212">
        <v>0</v>
      </c>
      <c r="M66" s="1212">
        <v>1.3900489957505903E-3</v>
      </c>
      <c r="N66" s="1212">
        <v>0.12027116285292727</v>
      </c>
      <c r="O66" s="1212">
        <v>3.6471983580806985E-2</v>
      </c>
      <c r="P66" s="1212">
        <v>1.8198702143621532E-2</v>
      </c>
      <c r="Q66" s="1212">
        <v>1.3035857655690258E-3</v>
      </c>
      <c r="R66" s="1212">
        <v>1.3840484688079783E-3</v>
      </c>
      <c r="S66" s="1212">
        <v>0.22350782519218079</v>
      </c>
      <c r="T66" s="1212">
        <v>3.7677066518788069</v>
      </c>
      <c r="U66" s="1212">
        <v>0</v>
      </c>
      <c r="V66" s="1212">
        <v>9.4523053561131991E-3</v>
      </c>
      <c r="W66" s="1212">
        <v>7.1640496739483472E-2</v>
      </c>
      <c r="X66" s="1212">
        <v>1.0201510061346284E-2</v>
      </c>
      <c r="Y66" s="1212">
        <v>3.9114266399532345E-3</v>
      </c>
      <c r="Z66" s="1224"/>
      <c r="AA66" s="1090"/>
      <c r="AB66" s="1090"/>
      <c r="AC66" s="1090"/>
      <c r="AD66" s="1090"/>
      <c r="AE66" s="1090"/>
      <c r="AF66" s="1090"/>
      <c r="AG66" s="1090"/>
      <c r="AH66" s="1090"/>
      <c r="AI66" s="1090"/>
      <c r="AJ66" s="1090"/>
      <c r="AK66" s="1090"/>
      <c r="AL66" s="1090"/>
      <c r="AM66" s="1090"/>
      <c r="AN66" s="1090"/>
      <c r="AO66" s="1090"/>
      <c r="AP66" s="1090"/>
      <c r="AQ66" s="1090"/>
      <c r="AR66" s="1090"/>
      <c r="AS66" s="1090"/>
      <c r="AT66" s="1090"/>
      <c r="AU66" s="1090"/>
      <c r="AV66" s="1090"/>
      <c r="AW66" s="1090"/>
      <c r="AX66" s="1090"/>
      <c r="AY66" s="1090"/>
      <c r="AZ66" s="1090"/>
      <c r="BA66" s="1090"/>
      <c r="BB66" s="1090"/>
      <c r="BC66" s="1090"/>
      <c r="BD66" s="1090"/>
      <c r="BE66" s="1090"/>
      <c r="BF66" s="1090"/>
      <c r="BG66" s="1090"/>
      <c r="BH66" s="1090"/>
      <c r="BI66" s="1090"/>
      <c r="BJ66" s="1090"/>
      <c r="BK66" s="1090"/>
      <c r="BL66" s="1090"/>
      <c r="BM66" s="1090"/>
      <c r="BN66" s="1090"/>
      <c r="BO66" s="1090"/>
      <c r="BP66" s="1090"/>
      <c r="BQ66" s="1090"/>
      <c r="BR66" s="1090"/>
      <c r="BS66" s="1090"/>
      <c r="BT66" s="1090"/>
      <c r="BU66" s="1090"/>
    </row>
    <row r="67" spans="1:73" x14ac:dyDescent="0.25">
      <c r="A67" s="1090"/>
      <c r="B67" s="1102">
        <f t="shared" si="6"/>
        <v>17</v>
      </c>
      <c r="C67" s="1210">
        <f>(C$72=1)*$F$3
+(C$72=2)*$F$3
+(C$72=3)
+(C$72=4)
+(C$72=5)</f>
        <v>1.05</v>
      </c>
      <c r="D67" s="1095">
        <v>1</v>
      </c>
      <c r="E67" s="1095">
        <v>1</v>
      </c>
      <c r="F67" s="1210">
        <f>(F$72=1)*$F$6
+(F$72=2)*$F$6
+(F$72=3)
+(F$72=4)
+(F$72=5)</f>
        <v>0.95</v>
      </c>
      <c r="G67" s="1210">
        <f>(G$72=1)*$F$7
+(G$72=2)*$F$7
+(G$72=3)
+(G$72=4)
+(G$72=5)</f>
        <v>1</v>
      </c>
      <c r="H67" s="1210">
        <f>(H$72=1)*$F$8
+(H$72=2)*$F$8
+(H$72=3)
+(H$72=4)
+(H$72=5)</f>
        <v>1</v>
      </c>
      <c r="I67" s="1210">
        <f>(I$72=1)*$F$9
+(I$72=2)*$F$9
+(I$72=3)
+(I$72=4)
+(I$72=5)</f>
        <v>1</v>
      </c>
      <c r="J67" s="1090"/>
      <c r="K67" s="1108">
        <v>4.240642354154228</v>
      </c>
      <c r="L67" s="1109">
        <v>0</v>
      </c>
      <c r="M67" s="1109">
        <v>1.3238561864291334E-3</v>
      </c>
      <c r="N67" s="1109">
        <v>0.11454396462183548</v>
      </c>
      <c r="O67" s="1109">
        <v>3.4735222457911406E-2</v>
      </c>
      <c r="P67" s="1109">
        <v>1.8150282867551049E-2</v>
      </c>
      <c r="Q67" s="1109">
        <v>1.2415102529228816E-3</v>
      </c>
      <c r="R67" s="1109">
        <v>1.3181413988647406E-3</v>
      </c>
      <c r="S67" s="1109">
        <v>0.21286459542112454</v>
      </c>
      <c r="T67" s="1109">
        <v>3.7677066518788047</v>
      </c>
      <c r="U67" s="1109">
        <v>0</v>
      </c>
      <c r="V67" s="1109">
        <v>9.4523053561131956E-3</v>
      </c>
      <c r="W67" s="1109">
        <v>6.8229044513793774E-2</v>
      </c>
      <c r="X67" s="1109">
        <v>9.9993233432086725E-3</v>
      </c>
      <c r="Y67" s="1109">
        <v>3.7251682285268884E-3</v>
      </c>
      <c r="Z67" s="1224"/>
      <c r="AA67" s="1090"/>
      <c r="AB67" s="1090"/>
      <c r="AC67" s="1090"/>
      <c r="AD67" s="1090"/>
      <c r="AE67" s="1090"/>
      <c r="AF67" s="1090"/>
      <c r="AG67" s="1090"/>
      <c r="AH67" s="1090"/>
      <c r="AI67" s="1090"/>
      <c r="AJ67" s="1090"/>
      <c r="AK67" s="1090"/>
      <c r="AL67" s="1090"/>
      <c r="AM67" s="1090"/>
      <c r="AN67" s="1090"/>
      <c r="AO67" s="1090"/>
      <c r="AP67" s="1090"/>
      <c r="AQ67" s="1090"/>
      <c r="AR67" s="1090"/>
      <c r="AS67" s="1090"/>
      <c r="AT67" s="1090"/>
      <c r="AU67" s="1090"/>
      <c r="AV67" s="1090"/>
      <c r="AW67" s="1090"/>
      <c r="AX67" s="1090"/>
      <c r="AY67" s="1090"/>
      <c r="AZ67" s="1090"/>
      <c r="BA67" s="1090"/>
      <c r="BB67" s="1090"/>
      <c r="BC67" s="1090"/>
      <c r="BD67" s="1090"/>
      <c r="BE67" s="1090"/>
      <c r="BF67" s="1090"/>
      <c r="BG67" s="1090"/>
      <c r="BH67" s="1090"/>
      <c r="BI67" s="1090"/>
      <c r="BJ67" s="1090"/>
      <c r="BK67" s="1090"/>
      <c r="BL67" s="1090"/>
      <c r="BM67" s="1090"/>
      <c r="BN67" s="1090"/>
      <c r="BO67" s="1090"/>
      <c r="BP67" s="1090"/>
      <c r="BQ67" s="1090"/>
      <c r="BR67" s="1090"/>
      <c r="BS67" s="1090"/>
      <c r="BT67" s="1090"/>
      <c r="BU67" s="1090"/>
    </row>
    <row r="68" spans="1:73" x14ac:dyDescent="0.25">
      <c r="A68" s="1090"/>
      <c r="B68" s="1110">
        <f t="shared" si="6"/>
        <v>18</v>
      </c>
      <c r="C68" s="1210">
        <f>(C$72=1)*$F$3
+(C$72=2)*$F$3
+(C$72=3)*$F$3
+(C$72=4)
+(C$72=5)</f>
        <v>1.05</v>
      </c>
      <c r="D68" s="1095">
        <v>1</v>
      </c>
      <c r="E68" s="1095">
        <v>1</v>
      </c>
      <c r="F68" s="1210">
        <f>(F$72=1)*$F$6
+(F$72=2)*$F$6
+(F$72=3)*$F$6
+(F$72=4)
+(F$72=5)</f>
        <v>0.95</v>
      </c>
      <c r="G68" s="1210">
        <f>(G$72=1)*$F$7
+(G$72=2)*$F$7
+(G$72=3)*$F$7
+(G$72=4)
+(G$72=5)</f>
        <v>1</v>
      </c>
      <c r="H68" s="1210">
        <f>(H$72=1)*$F$8
+(H$72=2)*$F$8
+(H$72=3)*$F$8
+(H$72=4)
+(H$72=5)</f>
        <v>0.95</v>
      </c>
      <c r="I68" s="1210">
        <f>(I$72=1)*$F$9
+(I$72=2)*$F$9
+(I$72=3)*$F$9
+(I$72=4)
+(I$72=5)</f>
        <v>1</v>
      </c>
      <c r="J68" s="1090"/>
      <c r="K68" s="1108">
        <v>4.2279657120548553</v>
      </c>
      <c r="L68" s="1109">
        <v>0</v>
      </c>
      <c r="M68" s="1109">
        <v>1.2576633771076767E-3</v>
      </c>
      <c r="N68" s="1109">
        <v>0.10879193618568524</v>
      </c>
      <c r="O68" s="1109">
        <v>3.4735222457911406E-2</v>
      </c>
      <c r="P68" s="1109">
        <v>1.8134680870618682E-2</v>
      </c>
      <c r="Q68" s="1109">
        <v>1.2415102529228816E-3</v>
      </c>
      <c r="R68" s="1109">
        <v>1.2519485895432841E-3</v>
      </c>
      <c r="S68" s="1109">
        <v>0.20943505967183426</v>
      </c>
      <c r="T68" s="1109">
        <v>3.7677066518788047</v>
      </c>
      <c r="U68" s="1109">
        <v>0</v>
      </c>
      <c r="V68" s="1109">
        <v>9.4523053561131956E-3</v>
      </c>
      <c r="W68" s="1109">
        <v>6.4802801974430072E-2</v>
      </c>
      <c r="X68" s="1109">
        <v>1.0133155898295436E-2</v>
      </c>
      <c r="Y68" s="1109">
        <v>3.5381022958025253E-3</v>
      </c>
      <c r="Z68" s="1224"/>
      <c r="AA68" s="1090"/>
      <c r="AB68" s="1090"/>
      <c r="AC68" s="1090"/>
      <c r="AD68" s="1090"/>
      <c r="AE68" s="1090"/>
      <c r="AF68" s="1090"/>
      <c r="AG68" s="1090"/>
      <c r="AH68" s="1090"/>
      <c r="AI68" s="1090"/>
      <c r="AJ68" s="1090"/>
      <c r="AK68" s="1090"/>
      <c r="AL68" s="1090"/>
      <c r="AM68" s="1090"/>
      <c r="AN68" s="1090"/>
      <c r="AO68" s="1090"/>
      <c r="AP68" s="1090"/>
      <c r="AQ68" s="1090"/>
      <c r="AR68" s="1090"/>
      <c r="AS68" s="1090"/>
      <c r="AT68" s="1090"/>
      <c r="AU68" s="1090"/>
      <c r="AV68" s="1090"/>
      <c r="AW68" s="1090"/>
      <c r="AX68" s="1090"/>
      <c r="AY68" s="1090"/>
      <c r="AZ68" s="1090"/>
      <c r="BA68" s="1090"/>
      <c r="BB68" s="1090"/>
      <c r="BC68" s="1090"/>
      <c r="BD68" s="1090"/>
      <c r="BE68" s="1090"/>
      <c r="BF68" s="1090"/>
      <c r="BG68" s="1090"/>
      <c r="BH68" s="1090"/>
      <c r="BI68" s="1090"/>
      <c r="BJ68" s="1090"/>
      <c r="BK68" s="1090"/>
      <c r="BL68" s="1090"/>
      <c r="BM68" s="1090"/>
      <c r="BN68" s="1090"/>
      <c r="BO68" s="1090"/>
      <c r="BP68" s="1090"/>
      <c r="BQ68" s="1090"/>
      <c r="BR68" s="1090"/>
      <c r="BS68" s="1090"/>
      <c r="BT68" s="1090"/>
      <c r="BU68" s="1090"/>
    </row>
    <row r="69" spans="1:73" x14ac:dyDescent="0.25">
      <c r="A69" s="1090"/>
      <c r="B69" s="1110">
        <f t="shared" si="6"/>
        <v>19</v>
      </c>
      <c r="C69" s="1210">
        <f>(C$72=1)*$F$3
+(C$72=2)*$F$3
+(C$72=3)*$F$3
+(C$72=4)*$F$3
+(C$72=5)</f>
        <v>1.05</v>
      </c>
      <c r="D69" s="1095">
        <v>1</v>
      </c>
      <c r="E69" s="1095">
        <v>1</v>
      </c>
      <c r="F69" s="1210">
        <f>(F$72=1)*$F$6
+(F$72=2)*$F$6
+(F$72=3)*$F$6
+(F$72=4)*$F$6
+(F$72=5)</f>
        <v>0.95</v>
      </c>
      <c r="G69" s="1210">
        <f>(G$72=1)*$F$7
+(G$72=2)*$F$7
+(G$72=3)*$F$7
+(G$72=4)*$F$7
+(G$72=5)</f>
        <v>1</v>
      </c>
      <c r="H69" s="1210">
        <f>(H$72=1)*$F$8
+(H$72=2)*$F$8
+(H$72=3)*$F$8
+(H$72=4)*$F$8
+(H$72=5)</f>
        <v>0.95</v>
      </c>
      <c r="I69" s="1210">
        <f>(I$72=1)*$F$9
+(I$72=2)*$F$9
+(I$72=3)*$F$9
+(I$72=4)*$F$9
+(I$72=5)</f>
        <v>0.95</v>
      </c>
      <c r="J69" s="1090"/>
      <c r="K69" s="1108">
        <v>4.2174298072045477</v>
      </c>
      <c r="L69" s="1109">
        <v>0</v>
      </c>
      <c r="M69" s="1109">
        <v>1.2576633771076767E-3</v>
      </c>
      <c r="N69" s="1109">
        <v>0.10879193618568524</v>
      </c>
      <c r="O69" s="1109">
        <v>3.4735222457911406E-2</v>
      </c>
      <c r="P69" s="1109">
        <v>1.8087041694394835E-2</v>
      </c>
      <c r="Q69" s="1109">
        <v>1.2415102529228816E-3</v>
      </c>
      <c r="R69" s="1109">
        <v>1.2519485895432841E-3</v>
      </c>
      <c r="S69" s="1109">
        <v>0.19896330668824252</v>
      </c>
      <c r="T69" s="1109">
        <v>3.7677066518788047</v>
      </c>
      <c r="U69" s="1109">
        <v>0</v>
      </c>
      <c r="V69" s="1109">
        <v>9.4523053561131956E-3</v>
      </c>
      <c r="W69" s="1109">
        <v>6.4802801974430072E-2</v>
      </c>
      <c r="X69" s="1109">
        <v>1.0116643207802424E-2</v>
      </c>
      <c r="Y69" s="1109">
        <v>3.5381022958025253E-3</v>
      </c>
      <c r="Z69" s="1224"/>
      <c r="AA69" s="1090"/>
      <c r="AB69" s="1090"/>
      <c r="AC69" s="1090"/>
      <c r="AD69" s="1090"/>
      <c r="AE69" s="1090"/>
      <c r="AF69" s="1090"/>
      <c r="AG69" s="1090"/>
      <c r="AH69" s="1090"/>
      <c r="AI69" s="1090"/>
      <c r="AJ69" s="1090"/>
      <c r="AK69" s="1090"/>
      <c r="AL69" s="1090"/>
      <c r="AM69" s="1090"/>
      <c r="AN69" s="1090"/>
      <c r="AO69" s="1090"/>
      <c r="AP69" s="1090"/>
      <c r="AQ69" s="1090"/>
      <c r="AR69" s="1090"/>
      <c r="AS69" s="1090"/>
      <c r="AT69" s="1090"/>
      <c r="AU69" s="1090"/>
      <c r="AV69" s="1090"/>
      <c r="AW69" s="1090"/>
      <c r="AX69" s="1090"/>
      <c r="AY69" s="1090"/>
      <c r="AZ69" s="1090"/>
      <c r="BA69" s="1090"/>
      <c r="BB69" s="1090"/>
      <c r="BC69" s="1090"/>
      <c r="BD69" s="1090"/>
      <c r="BE69" s="1090"/>
      <c r="BF69" s="1090"/>
      <c r="BG69" s="1090"/>
      <c r="BH69" s="1090"/>
      <c r="BI69" s="1090"/>
      <c r="BJ69" s="1090"/>
      <c r="BK69" s="1090"/>
      <c r="BL69" s="1090"/>
      <c r="BM69" s="1090"/>
      <c r="BN69" s="1090"/>
      <c r="BO69" s="1090"/>
      <c r="BP69" s="1090"/>
      <c r="BQ69" s="1090"/>
      <c r="BR69" s="1090"/>
      <c r="BS69" s="1090"/>
      <c r="BT69" s="1090"/>
      <c r="BU69" s="1090"/>
    </row>
    <row r="70" spans="1:73" x14ac:dyDescent="0.25">
      <c r="A70" s="1090"/>
      <c r="B70" s="1102">
        <f t="shared" si="6"/>
        <v>20</v>
      </c>
      <c r="C70" s="1210">
        <f>(C$72=1)*$F$3
+(C$72=2)*$F$3
+(C$72=3)*$F$3
+(C$72=4)*$F$3
+(C$72=5)*$F$3</f>
        <v>1.05</v>
      </c>
      <c r="D70" s="1095">
        <v>1</v>
      </c>
      <c r="E70" s="1095">
        <v>1</v>
      </c>
      <c r="F70" s="1210">
        <f>(F$72=1)*$F$6
+(F$72=2)*$F$6
+(F$72=3)*$F$6
+(F$72=4)*$F$6
+(F$72=5)*$F$6</f>
        <v>0.95</v>
      </c>
      <c r="G70" s="1210">
        <f>(G$72=1)*$F$7
+(G$72=2)*$F$7
+(G$72=3)*$F$7
+(G$72=4)*$F$7
+(G$72=5)*$F$7</f>
        <v>0.95</v>
      </c>
      <c r="H70" s="1210">
        <f>(H$72=1)*$F$8
+(H$72=2)*$F$8
+(H$72=3)*$F$8
+(H$72=4)*$F$8
+(H$72=5)*$F$8</f>
        <v>0.95</v>
      </c>
      <c r="I70" s="1210">
        <f>(I$72=1)*$F$9
+(I$72=2)*$F$9
+(I$72=3)*$F$9
+(I$72=4)*$F$9
+(I$72=5)*$F$9</f>
        <v>0.95</v>
      </c>
      <c r="J70" s="1090"/>
      <c r="K70" s="1108">
        <v>4.2174298072045477</v>
      </c>
      <c r="L70" s="1109">
        <v>0</v>
      </c>
      <c r="M70" s="1109">
        <v>1.2576633771076767E-3</v>
      </c>
      <c r="N70" s="1109">
        <v>0.10879193618568524</v>
      </c>
      <c r="O70" s="1109">
        <v>3.4735222457911406E-2</v>
      </c>
      <c r="P70" s="1109">
        <v>1.8087041694394835E-2</v>
      </c>
      <c r="Q70" s="1109">
        <v>1.2415102529228816E-3</v>
      </c>
      <c r="R70" s="1109">
        <v>1.2519485895432841E-3</v>
      </c>
      <c r="S70" s="1109">
        <v>0.19896330668824252</v>
      </c>
      <c r="T70" s="1109">
        <v>3.7677066518788047</v>
      </c>
      <c r="U70" s="1109">
        <v>0</v>
      </c>
      <c r="V70" s="1109">
        <v>9.4523053561131956E-3</v>
      </c>
      <c r="W70" s="1109">
        <v>6.4802801974430072E-2</v>
      </c>
      <c r="X70" s="1109">
        <v>1.0116643207802424E-2</v>
      </c>
      <c r="Y70" s="1109">
        <v>3.5381022958025253E-3</v>
      </c>
      <c r="Z70" s="1224"/>
      <c r="AA70" s="1090"/>
      <c r="AB70" s="1090"/>
      <c r="AC70" s="1090"/>
      <c r="AD70" s="1090"/>
      <c r="AE70" s="1090"/>
      <c r="AF70" s="1090"/>
      <c r="AG70" s="1090"/>
      <c r="AH70" s="1090"/>
      <c r="AI70" s="1090"/>
      <c r="AJ70" s="1090"/>
      <c r="AK70" s="1090"/>
      <c r="AL70" s="1090"/>
      <c r="AM70" s="1090"/>
      <c r="AN70" s="1090"/>
      <c r="AO70" s="1090"/>
      <c r="AP70" s="1090"/>
      <c r="AQ70" s="1090"/>
      <c r="AR70" s="1090"/>
      <c r="AS70" s="1090"/>
      <c r="AT70" s="1090"/>
      <c r="AU70" s="1090"/>
      <c r="AV70" s="1090"/>
      <c r="AW70" s="1090"/>
      <c r="AX70" s="1090"/>
      <c r="AY70" s="1090"/>
      <c r="AZ70" s="1090"/>
      <c r="BA70" s="1090"/>
      <c r="BB70" s="1090"/>
      <c r="BC70" s="1090"/>
      <c r="BD70" s="1090"/>
      <c r="BE70" s="1090"/>
      <c r="BF70" s="1090"/>
      <c r="BG70" s="1090"/>
      <c r="BH70" s="1090"/>
      <c r="BI70" s="1090"/>
      <c r="BJ70" s="1090"/>
      <c r="BK70" s="1090"/>
      <c r="BL70" s="1090"/>
      <c r="BM70" s="1090"/>
      <c r="BN70" s="1090"/>
      <c r="BO70" s="1090"/>
      <c r="BP70" s="1090"/>
      <c r="BQ70" s="1090"/>
      <c r="BR70" s="1090"/>
      <c r="BS70" s="1090"/>
      <c r="BT70" s="1090"/>
      <c r="BU70" s="1090"/>
    </row>
    <row r="71" spans="1:73" x14ac:dyDescent="0.25">
      <c r="A71" s="1090"/>
      <c r="B71" s="1090"/>
      <c r="C71" s="1090"/>
      <c r="D71" s="1090"/>
      <c r="E71" s="1090"/>
      <c r="F71" s="1090"/>
      <c r="G71" s="1090"/>
      <c r="H71" s="1090"/>
      <c r="I71" s="1090"/>
      <c r="J71" s="1090"/>
      <c r="K71" s="1090"/>
      <c r="L71" s="1090"/>
      <c r="M71" s="1090"/>
      <c r="N71" s="1090"/>
      <c r="O71" s="1090"/>
      <c r="P71" s="1090"/>
      <c r="Q71" s="1090"/>
      <c r="R71" s="1090"/>
      <c r="S71" s="1090"/>
      <c r="T71" s="1090"/>
      <c r="U71" s="1090"/>
      <c r="V71" s="1090"/>
      <c r="W71" s="1090"/>
      <c r="X71" s="1090"/>
      <c r="Y71" s="1090"/>
      <c r="Z71" s="1090"/>
      <c r="AA71" s="1090"/>
      <c r="AB71" s="1090"/>
      <c r="AC71" s="1090"/>
      <c r="AD71" s="1090"/>
      <c r="AE71" s="1090"/>
      <c r="AF71" s="1090"/>
      <c r="AG71" s="1090"/>
      <c r="AH71" s="1090"/>
      <c r="AI71" s="1090"/>
      <c r="AJ71" s="1090"/>
      <c r="AK71" s="1090"/>
      <c r="AL71" s="1090"/>
      <c r="AM71" s="1090"/>
      <c r="AN71" s="1090"/>
      <c r="AO71" s="1090"/>
      <c r="AP71" s="1090"/>
      <c r="AQ71" s="1090"/>
      <c r="AR71" s="1090"/>
      <c r="AS71" s="1090"/>
      <c r="AT71" s="1090"/>
      <c r="AU71" s="1090"/>
      <c r="AV71" s="1090"/>
      <c r="AW71" s="1090"/>
      <c r="AX71" s="1090"/>
      <c r="AY71" s="1090"/>
      <c r="AZ71" s="1090"/>
      <c r="BA71" s="1090"/>
      <c r="BB71" s="1090"/>
      <c r="BC71" s="1090"/>
      <c r="BD71" s="1090"/>
      <c r="BE71" s="1090"/>
      <c r="BF71" s="1090"/>
      <c r="BG71" s="1090"/>
      <c r="BH71" s="1090"/>
      <c r="BI71" s="1090"/>
      <c r="BJ71" s="1090"/>
      <c r="BK71" s="1090"/>
      <c r="BL71" s="1090"/>
      <c r="BM71" s="1090"/>
      <c r="BN71" s="1090"/>
      <c r="BO71" s="1090"/>
      <c r="BP71" s="1090"/>
      <c r="BQ71" s="1090"/>
      <c r="BR71" s="1090"/>
      <c r="BS71" s="1090"/>
      <c r="BT71" s="1090"/>
      <c r="BU71" s="1090"/>
    </row>
    <row r="72" spans="1:73" x14ac:dyDescent="0.25">
      <c r="A72" s="1090"/>
      <c r="B72" s="1218" t="s">
        <v>1182</v>
      </c>
      <c r="C72" s="1094">
        <f>6-RANK($N$101,($N$101,$N$104:$N$107))</f>
        <v>2</v>
      </c>
      <c r="D72" s="1219"/>
      <c r="E72" s="1219"/>
      <c r="F72" s="1094">
        <f>6-RANK($N$104,($N$101,$N$104:$N$107))</f>
        <v>1</v>
      </c>
      <c r="G72" s="1094">
        <f>6-RANK($N$105,($N$101,$N$104:$N$107))</f>
        <v>5</v>
      </c>
      <c r="H72" s="1094">
        <f>6-RANK($N$106,($N$101,$N$104:$N$107))</f>
        <v>3</v>
      </c>
      <c r="I72" s="1094">
        <f>6-RANK($N$107,($N$101,$N$104:$N$107))</f>
        <v>4</v>
      </c>
      <c r="J72" s="1090"/>
      <c r="K72" s="1090"/>
      <c r="L72" s="1090"/>
      <c r="M72" s="1090"/>
      <c r="N72" s="1090"/>
      <c r="O72" s="1090"/>
      <c r="P72" s="1090"/>
      <c r="Q72" s="1090"/>
      <c r="R72" s="1090"/>
      <c r="S72" s="1090"/>
      <c r="T72" s="1090"/>
      <c r="U72" s="1090"/>
      <c r="V72" s="1090"/>
      <c r="W72" s="1090"/>
      <c r="X72" s="1090"/>
      <c r="Y72" s="1090"/>
      <c r="Z72" s="1090"/>
      <c r="AA72" s="1090"/>
      <c r="AB72" s="1090"/>
      <c r="AC72" s="1090"/>
      <c r="AD72" s="1090"/>
      <c r="AE72" s="1090"/>
      <c r="AF72" s="1090"/>
      <c r="AG72" s="1090"/>
      <c r="AH72" s="1090"/>
      <c r="AI72" s="1090"/>
      <c r="AJ72" s="1090"/>
      <c r="AK72" s="1090"/>
      <c r="AL72" s="1090"/>
      <c r="AM72" s="1090"/>
      <c r="AN72" s="1090"/>
      <c r="AO72" s="1090"/>
      <c r="AP72" s="1090"/>
      <c r="AQ72" s="1090"/>
      <c r="AR72" s="1090"/>
      <c r="AS72" s="1090"/>
      <c r="AT72" s="1090"/>
      <c r="AU72" s="1090"/>
      <c r="AV72" s="1090"/>
      <c r="AW72" s="1090"/>
      <c r="AX72" s="1090"/>
      <c r="AY72" s="1090"/>
      <c r="AZ72" s="1090"/>
      <c r="BA72" s="1090"/>
      <c r="BB72" s="1090"/>
      <c r="BC72" s="1090"/>
      <c r="BD72" s="1090"/>
      <c r="BE72" s="1090"/>
      <c r="BF72" s="1090"/>
      <c r="BG72" s="1090"/>
      <c r="BH72" s="1090"/>
      <c r="BI72" s="1090"/>
      <c r="BJ72" s="1090"/>
      <c r="BK72" s="1090"/>
      <c r="BL72" s="1090"/>
      <c r="BM72" s="1090"/>
      <c r="BN72" s="1090"/>
      <c r="BO72" s="1090"/>
      <c r="BP72" s="1090"/>
      <c r="BQ72" s="1090"/>
      <c r="BR72" s="1090"/>
      <c r="BS72" s="1090"/>
      <c r="BT72" s="1090"/>
      <c r="BU72" s="1090"/>
    </row>
    <row r="73" spans="1:73" x14ac:dyDescent="0.25">
      <c r="A73" s="1090"/>
      <c r="B73" s="1090"/>
      <c r="C73" s="1090"/>
      <c r="D73" s="1090"/>
      <c r="E73" s="1090"/>
      <c r="F73" s="1090"/>
      <c r="G73" s="1090"/>
      <c r="H73" s="1090"/>
      <c r="I73" s="1090"/>
      <c r="J73" s="1090"/>
      <c r="K73" s="1090"/>
      <c r="L73" s="1090"/>
      <c r="M73" s="1090"/>
      <c r="N73" s="1090"/>
      <c r="O73" s="1090"/>
      <c r="P73" s="1090"/>
      <c r="Q73" s="1090"/>
      <c r="R73" s="1090"/>
      <c r="S73" s="1090"/>
      <c r="T73" s="1090"/>
      <c r="U73" s="1090"/>
      <c r="V73" s="1090"/>
      <c r="W73" s="1090"/>
      <c r="X73" s="1090"/>
      <c r="Y73" s="1090"/>
      <c r="Z73" s="1090"/>
      <c r="AA73" s="1090"/>
      <c r="AB73" s="1090"/>
      <c r="AC73" s="1090"/>
      <c r="AD73" s="1090"/>
      <c r="AE73" s="1090"/>
      <c r="AF73" s="1090"/>
      <c r="AG73" s="1090"/>
      <c r="AH73" s="1090"/>
      <c r="AI73" s="1090"/>
      <c r="AJ73" s="1090"/>
      <c r="AK73" s="1090"/>
      <c r="AL73" s="1090"/>
      <c r="AM73" s="1090"/>
      <c r="AN73" s="1090"/>
      <c r="AO73" s="1090"/>
      <c r="AP73" s="1090"/>
      <c r="AQ73" s="1090"/>
      <c r="AR73" s="1090"/>
      <c r="AS73" s="1090"/>
      <c r="AT73" s="1090"/>
      <c r="AU73" s="1090"/>
      <c r="AV73" s="1090"/>
      <c r="AW73" s="1090"/>
      <c r="AX73" s="1090"/>
      <c r="AY73" s="1090"/>
      <c r="AZ73" s="1090"/>
      <c r="BA73" s="1090"/>
      <c r="BB73" s="1090"/>
      <c r="BC73" s="1090"/>
      <c r="BD73" s="1090"/>
      <c r="BE73" s="1090"/>
      <c r="BF73" s="1090"/>
      <c r="BG73" s="1090"/>
      <c r="BH73" s="1090"/>
      <c r="BI73" s="1090"/>
      <c r="BJ73" s="1090"/>
      <c r="BK73" s="1090"/>
      <c r="BL73" s="1090"/>
      <c r="BM73" s="1090"/>
      <c r="BN73" s="1090"/>
      <c r="BO73" s="1090"/>
      <c r="BP73" s="1090"/>
      <c r="BQ73" s="1090"/>
      <c r="BR73" s="1090"/>
      <c r="BS73" s="1090"/>
      <c r="BT73" s="1090"/>
      <c r="BU73" s="1090"/>
    </row>
    <row r="74" spans="1:73" ht="13" x14ac:dyDescent="0.3">
      <c r="A74" s="1090"/>
      <c r="B74" s="1092" t="s">
        <v>1146</v>
      </c>
      <c r="C74" s="1090"/>
      <c r="D74" s="1090"/>
      <c r="E74" s="1090"/>
      <c r="F74" s="1090"/>
      <c r="G74" s="1090"/>
      <c r="H74" s="1090"/>
      <c r="I74" s="1090"/>
      <c r="J74" s="1090"/>
      <c r="K74" s="1090"/>
      <c r="L74" s="1090"/>
      <c r="M74" s="1090"/>
      <c r="N74" s="1090"/>
      <c r="O74" s="1090"/>
      <c r="P74" s="1090"/>
      <c r="Q74" s="1090"/>
      <c r="R74" s="1090"/>
      <c r="S74" s="1090"/>
      <c r="T74" s="1090"/>
      <c r="U74" s="1090"/>
      <c r="V74" s="1090"/>
      <c r="W74" s="1090"/>
      <c r="X74" s="1090"/>
      <c r="Y74" s="1090"/>
      <c r="Z74" s="1090"/>
      <c r="AA74" s="1090"/>
      <c r="AB74" s="1090"/>
      <c r="AC74" s="1090"/>
      <c r="AD74" s="1090"/>
      <c r="AE74" s="1090"/>
      <c r="AF74" s="1090"/>
      <c r="AG74" s="1090"/>
      <c r="AH74" s="1090"/>
      <c r="AI74" s="1090"/>
      <c r="AJ74" s="1090"/>
      <c r="AK74" s="1090"/>
      <c r="AL74" s="1090"/>
      <c r="AM74" s="1090"/>
      <c r="AN74" s="1090"/>
      <c r="AO74" s="1090"/>
      <c r="AP74" s="1090"/>
      <c r="AQ74" s="1090"/>
      <c r="AR74" s="1090"/>
      <c r="AS74" s="1090"/>
      <c r="AT74" s="1090"/>
      <c r="AU74" s="1090"/>
      <c r="AV74" s="1090"/>
      <c r="AW74" s="1090"/>
      <c r="AX74" s="1090"/>
      <c r="AY74" s="1090"/>
      <c r="AZ74" s="1090"/>
      <c r="BA74" s="1090"/>
      <c r="BB74" s="1090"/>
      <c r="BC74" s="1090"/>
      <c r="BD74" s="1090"/>
      <c r="BE74" s="1090"/>
      <c r="BF74" s="1090"/>
      <c r="BG74" s="1090"/>
      <c r="BH74" s="1090"/>
      <c r="BI74" s="1090"/>
      <c r="BJ74" s="1090"/>
      <c r="BK74" s="1090"/>
      <c r="BL74" s="1090"/>
      <c r="BM74" s="1090"/>
      <c r="BN74" s="1090"/>
      <c r="BO74" s="1090"/>
      <c r="BP74" s="1090"/>
      <c r="BQ74" s="1090"/>
      <c r="BR74" s="1090"/>
      <c r="BS74" s="1090"/>
      <c r="BT74" s="1090"/>
      <c r="BU74" s="1090"/>
    </row>
    <row r="75" spans="1:73" x14ac:dyDescent="0.25">
      <c r="A75" s="1090"/>
      <c r="B75" s="1090"/>
      <c r="C75" s="1090"/>
      <c r="D75" s="1090"/>
      <c r="E75" s="1090"/>
      <c r="F75" s="1090"/>
      <c r="G75" s="1090"/>
      <c r="H75" s="1090"/>
      <c r="I75" s="1090"/>
      <c r="J75" s="1090"/>
      <c r="K75" s="1090"/>
      <c r="L75" s="1090"/>
      <c r="M75" s="1090"/>
      <c r="N75" s="1090"/>
      <c r="O75" s="1090"/>
      <c r="P75" s="1090"/>
      <c r="Q75" s="1090"/>
      <c r="R75" s="1090"/>
      <c r="S75" s="1090"/>
      <c r="T75" s="1090"/>
      <c r="U75" s="1090"/>
      <c r="V75" s="1090"/>
      <c r="W75" s="1090"/>
      <c r="X75" s="1090"/>
      <c r="Y75" s="1090"/>
      <c r="Z75" s="1090"/>
      <c r="AA75" s="1090"/>
      <c r="AB75" s="1090"/>
      <c r="AC75" s="1090"/>
      <c r="AD75" s="1090"/>
      <c r="AE75" s="1090"/>
      <c r="AF75" s="1090"/>
      <c r="AG75" s="1090"/>
      <c r="AH75" s="1090"/>
      <c r="AI75" s="1090"/>
      <c r="AJ75" s="1090"/>
      <c r="AK75" s="1090"/>
      <c r="AL75" s="1090"/>
      <c r="AM75" s="1090"/>
      <c r="AN75" s="1090"/>
      <c r="AO75" s="1090"/>
      <c r="AP75" s="1090"/>
      <c r="AQ75" s="1090"/>
      <c r="AR75" s="1090"/>
      <c r="AS75" s="1090"/>
      <c r="AT75" s="1090"/>
      <c r="AU75" s="1090"/>
      <c r="AV75" s="1090"/>
      <c r="AW75" s="1090"/>
      <c r="AX75" s="1090"/>
      <c r="AY75" s="1090"/>
      <c r="AZ75" s="1090"/>
      <c r="BA75" s="1090"/>
      <c r="BB75" s="1090"/>
      <c r="BC75" s="1090"/>
      <c r="BD75" s="1090"/>
      <c r="BE75" s="1090"/>
      <c r="BF75" s="1090"/>
      <c r="BG75" s="1090"/>
      <c r="BH75" s="1090"/>
      <c r="BI75" s="1090"/>
      <c r="BJ75" s="1090"/>
      <c r="BK75" s="1090"/>
      <c r="BL75" s="1090"/>
      <c r="BM75" s="1090"/>
      <c r="BN75" s="1090"/>
      <c r="BO75" s="1090"/>
      <c r="BP75" s="1090"/>
      <c r="BQ75" s="1090"/>
      <c r="BR75" s="1090"/>
      <c r="BS75" s="1090"/>
      <c r="BT75" s="1090"/>
      <c r="BU75" s="1090"/>
    </row>
    <row r="76" spans="1:73" ht="52" x14ac:dyDescent="0.3">
      <c r="A76" s="1090"/>
      <c r="B76" s="1101" t="s">
        <v>1143</v>
      </c>
      <c r="C76" s="1101" t="s">
        <v>1144</v>
      </c>
      <c r="D76" s="1101" t="s">
        <v>1145</v>
      </c>
      <c r="E76" s="1101" t="s">
        <v>1132</v>
      </c>
      <c r="F76" s="1101" t="s">
        <v>1133</v>
      </c>
      <c r="G76" s="1101" t="s">
        <v>992</v>
      </c>
      <c r="H76" s="1101" t="s">
        <v>122</v>
      </c>
      <c r="I76" s="1101" t="s">
        <v>123</v>
      </c>
      <c r="J76" s="1101" t="s">
        <v>1171</v>
      </c>
      <c r="K76" s="1101" t="s">
        <v>135</v>
      </c>
      <c r="L76" s="1101" t="s">
        <v>84</v>
      </c>
      <c r="M76" s="1101" t="s">
        <v>136</v>
      </c>
      <c r="N76" s="1101" t="s">
        <v>1131</v>
      </c>
      <c r="O76" s="1101" t="s">
        <v>137</v>
      </c>
      <c r="P76" s="1101" t="s">
        <v>138</v>
      </c>
      <c r="Q76" s="1101" t="s">
        <v>139</v>
      </c>
      <c r="R76" s="1101" t="s">
        <v>1137</v>
      </c>
      <c r="S76" s="1101" t="s">
        <v>45</v>
      </c>
      <c r="T76" s="1090"/>
      <c r="U76" s="1090"/>
      <c r="V76" s="1090"/>
      <c r="W76" s="1090"/>
      <c r="X76" s="1090"/>
      <c r="Y76" s="1090"/>
      <c r="Z76" s="1090"/>
      <c r="AA76" s="1090"/>
      <c r="AB76" s="1090"/>
      <c r="AC76" s="1090"/>
      <c r="AD76" s="1090"/>
      <c r="AE76" s="1090"/>
      <c r="AF76" s="1090"/>
      <c r="AG76" s="1090"/>
      <c r="AH76" s="1090"/>
      <c r="AI76" s="1090"/>
      <c r="AJ76" s="1090"/>
      <c r="AK76" s="1090"/>
      <c r="AL76" s="1090"/>
      <c r="AM76" s="1090"/>
      <c r="AN76" s="1090"/>
      <c r="AO76" s="1090"/>
      <c r="AP76" s="1090"/>
      <c r="AQ76" s="1090"/>
      <c r="AR76" s="1090"/>
      <c r="AS76" s="1090"/>
      <c r="AT76" s="1090"/>
      <c r="AU76" s="1090"/>
      <c r="AV76" s="1090"/>
      <c r="AW76" s="1090"/>
      <c r="AX76" s="1090"/>
      <c r="AY76" s="1090"/>
      <c r="AZ76" s="1090"/>
      <c r="BA76" s="1090"/>
      <c r="BB76" s="1090"/>
      <c r="BC76" s="1090"/>
      <c r="BD76" s="1090"/>
      <c r="BE76" s="1090"/>
      <c r="BF76" s="1090"/>
      <c r="BG76" s="1090"/>
      <c r="BH76" s="1090"/>
      <c r="BI76" s="1090"/>
      <c r="BJ76" s="1090"/>
      <c r="BK76" s="1090"/>
      <c r="BL76" s="1090"/>
      <c r="BM76" s="1090"/>
      <c r="BN76" s="1090"/>
      <c r="BO76" s="1090"/>
      <c r="BP76" s="1090"/>
      <c r="BQ76" s="1090"/>
      <c r="BR76" s="1090"/>
      <c r="BS76" s="1090"/>
      <c r="BT76" s="1090"/>
      <c r="BU76" s="1090"/>
    </row>
    <row r="77" spans="1:73" x14ac:dyDescent="0.25">
      <c r="A77" s="1090"/>
      <c r="B77" s="1094" t="str">
        <f>+$B$3</f>
        <v>Operating Capacity Factor</v>
      </c>
      <c r="C77" s="1103">
        <f ca="1">+H3</f>
        <v>1.0185</v>
      </c>
      <c r="D77" s="1103" t="str">
        <f ca="1">+B77&amp;" = "&amp;C77*100&amp;"%"</f>
        <v>Operating Capacity Factor = 101.85%</v>
      </c>
      <c r="E77" s="1107">
        <f t="shared" ref="E77:S77" si="7">+K52</f>
        <v>4.4594650627509109</v>
      </c>
      <c r="F77" s="1107">
        <f t="shared" si="7"/>
        <v>0</v>
      </c>
      <c r="G77" s="1107">
        <f t="shared" si="7"/>
        <v>1.3932320495272778E-3</v>
      </c>
      <c r="H77" s="1107">
        <f t="shared" si="7"/>
        <v>0.12057259433877419</v>
      </c>
      <c r="I77" s="1107">
        <f t="shared" si="7"/>
        <v>3.6563392060959397E-2</v>
      </c>
      <c r="J77" s="1107">
        <f t="shared" si="7"/>
        <v>1.9086202560393586E-2</v>
      </c>
      <c r="K77" s="1107">
        <f t="shared" si="7"/>
        <v>1.2415102529228816E-3</v>
      </c>
      <c r="L77" s="1107">
        <f t="shared" si="7"/>
        <v>1.3875172619628854E-3</v>
      </c>
      <c r="M77" s="1107">
        <f t="shared" si="7"/>
        <v>0.22031024996004578</v>
      </c>
      <c r="N77" s="1107">
        <f t="shared" si="7"/>
        <v>3.966007001977689</v>
      </c>
      <c r="O77" s="1107">
        <f t="shared" si="7"/>
        <v>0</v>
      </c>
      <c r="P77" s="1107">
        <f t="shared" si="7"/>
        <v>9.4523053561131956E-3</v>
      </c>
      <c r="Q77" s="1107">
        <f t="shared" si="7"/>
        <v>7.1820046856625019E-2</v>
      </c>
      <c r="R77" s="1107">
        <f t="shared" si="7"/>
        <v>1.0496244460710341E-2</v>
      </c>
      <c r="S77" s="1107">
        <f t="shared" si="7"/>
        <v>3.9212297142388296E-3</v>
      </c>
      <c r="T77" s="1090"/>
      <c r="U77" s="1090"/>
      <c r="V77" s="1090"/>
      <c r="W77" s="1090"/>
      <c r="X77" s="1090"/>
      <c r="Y77" s="1090"/>
      <c r="Z77" s="1090"/>
      <c r="AA77" s="1090"/>
      <c r="AB77" s="1090"/>
      <c r="AC77" s="1090"/>
      <c r="AD77" s="1090"/>
      <c r="AE77" s="1090"/>
      <c r="AF77" s="1090"/>
      <c r="AG77" s="1090"/>
      <c r="AH77" s="1090"/>
      <c r="AI77" s="1090"/>
      <c r="AJ77" s="1090"/>
      <c r="AK77" s="1090"/>
      <c r="AL77" s="1090"/>
      <c r="AM77" s="1090"/>
      <c r="AN77" s="1090"/>
      <c r="AO77" s="1090"/>
      <c r="AP77" s="1090"/>
      <c r="AQ77" s="1090"/>
      <c r="AR77" s="1090"/>
      <c r="AS77" s="1090"/>
      <c r="AT77" s="1090"/>
      <c r="AU77" s="1090"/>
      <c r="AV77" s="1090"/>
      <c r="AW77" s="1090"/>
      <c r="AX77" s="1090"/>
      <c r="AY77" s="1090"/>
      <c r="AZ77" s="1090"/>
      <c r="BA77" s="1090"/>
      <c r="BB77" s="1090"/>
      <c r="BC77" s="1090"/>
      <c r="BD77" s="1090"/>
      <c r="BE77" s="1090"/>
      <c r="BF77" s="1090"/>
      <c r="BG77" s="1090"/>
      <c r="BH77" s="1090"/>
      <c r="BI77" s="1090"/>
      <c r="BJ77" s="1090"/>
      <c r="BK77" s="1090"/>
      <c r="BL77" s="1090"/>
      <c r="BM77" s="1090"/>
      <c r="BN77" s="1090"/>
      <c r="BO77" s="1090"/>
      <c r="BP77" s="1090"/>
      <c r="BQ77" s="1090"/>
      <c r="BR77" s="1090"/>
      <c r="BS77" s="1090"/>
      <c r="BT77" s="1090"/>
      <c r="BU77" s="1090"/>
    </row>
    <row r="78" spans="1:73" x14ac:dyDescent="0.25">
      <c r="A78" s="1090"/>
      <c r="B78" s="1094" t="str">
        <f t="shared" ref="B78:B79" si="8">+$B$3</f>
        <v>Operating Capacity Factor</v>
      </c>
      <c r="C78" s="1103">
        <f ca="1">+C3</f>
        <v>0.97</v>
      </c>
      <c r="D78" s="1094" t="str">
        <f t="shared" ref="D78:D79" ca="1" si="9">+B78&amp;" = "&amp;C78*100&amp;"%"</f>
        <v>Operating Capacity Factor = 97%</v>
      </c>
      <c r="E78" s="1107">
        <f t="shared" ref="E78:S78" si="10">+K$51</f>
        <v>4.4824477404691674</v>
      </c>
      <c r="F78" s="1107">
        <f t="shared" si="10"/>
        <v>0</v>
      </c>
      <c r="G78" s="1107">
        <f t="shared" si="10"/>
        <v>1.4628936520036421E-3</v>
      </c>
      <c r="H78" s="1107">
        <f t="shared" si="10"/>
        <v>0.12660122405571292</v>
      </c>
      <c r="I78" s="1107">
        <f t="shared" si="10"/>
        <v>3.8391561664007375E-2</v>
      </c>
      <c r="J78" s="1107">
        <f t="shared" si="10"/>
        <v>1.9136315463353638E-2</v>
      </c>
      <c r="K78" s="1107">
        <f t="shared" si="10"/>
        <v>1.3035857655690258E-3</v>
      </c>
      <c r="L78" s="1107">
        <f t="shared" si="10"/>
        <v>1.45689312506103E-3</v>
      </c>
      <c r="M78" s="1107">
        <f t="shared" si="10"/>
        <v>0.23132576245804806</v>
      </c>
      <c r="N78" s="1107">
        <f t="shared" si="10"/>
        <v>3.9660070019776885</v>
      </c>
      <c r="O78" s="1107">
        <f t="shared" si="10"/>
        <v>0</v>
      </c>
      <c r="P78" s="1107">
        <f t="shared" si="10"/>
        <v>9.4523053561131991E-3</v>
      </c>
      <c r="Q78" s="1107">
        <f t="shared" si="10"/>
        <v>7.5411049199456293E-2</v>
      </c>
      <c r="R78" s="1107">
        <f t="shared" si="10"/>
        <v>1.0707643856206782E-2</v>
      </c>
      <c r="S78" s="1107">
        <f t="shared" si="10"/>
        <v>4.1172911999507716E-3</v>
      </c>
      <c r="T78" s="1090"/>
      <c r="U78" s="1090"/>
      <c r="V78" s="1090"/>
      <c r="W78" s="1090"/>
      <c r="X78" s="1090"/>
      <c r="Y78" s="1090"/>
      <c r="Z78" s="1090"/>
      <c r="AA78" s="1090"/>
      <c r="AB78" s="1090"/>
      <c r="AC78" s="1090"/>
      <c r="AD78" s="1090"/>
      <c r="AE78" s="1090"/>
      <c r="AF78" s="1090"/>
      <c r="AG78" s="1090"/>
      <c r="AH78" s="1090"/>
      <c r="AI78" s="1090"/>
      <c r="AJ78" s="1090"/>
      <c r="AK78" s="1090"/>
      <c r="AL78" s="1090"/>
      <c r="AM78" s="1090"/>
      <c r="AN78" s="1090"/>
      <c r="AO78" s="1090"/>
      <c r="AP78" s="1090"/>
      <c r="AQ78" s="1090"/>
      <c r="AR78" s="1090"/>
      <c r="AS78" s="1090"/>
      <c r="AT78" s="1090"/>
      <c r="AU78" s="1090"/>
      <c r="AV78" s="1090"/>
      <c r="AW78" s="1090"/>
      <c r="AX78" s="1090"/>
      <c r="AY78" s="1090"/>
      <c r="AZ78" s="1090"/>
      <c r="BA78" s="1090"/>
      <c r="BB78" s="1090"/>
      <c r="BC78" s="1090"/>
      <c r="BD78" s="1090"/>
      <c r="BE78" s="1090"/>
      <c r="BF78" s="1090"/>
      <c r="BG78" s="1090"/>
      <c r="BH78" s="1090"/>
      <c r="BI78" s="1090"/>
      <c r="BJ78" s="1090"/>
      <c r="BK78" s="1090"/>
      <c r="BL78" s="1090"/>
      <c r="BM78" s="1090"/>
      <c r="BN78" s="1090"/>
      <c r="BO78" s="1090"/>
      <c r="BP78" s="1090"/>
      <c r="BQ78" s="1090"/>
      <c r="BR78" s="1090"/>
      <c r="BS78" s="1090"/>
      <c r="BT78" s="1090"/>
      <c r="BU78" s="1090"/>
    </row>
    <row r="79" spans="1:73" x14ac:dyDescent="0.25">
      <c r="A79" s="1090"/>
      <c r="B79" s="1094" t="str">
        <f t="shared" si="8"/>
        <v>Operating Capacity Factor</v>
      </c>
      <c r="C79" s="1103">
        <f ca="1">+I3</f>
        <v>0.92149999999999999</v>
      </c>
      <c r="D79" s="1094" t="str">
        <f t="shared" ca="1" si="9"/>
        <v>Operating Capacity Factor = 92.15%</v>
      </c>
      <c r="E79" s="1107">
        <f t="shared" ref="E79:S80" si="11">+K53</f>
        <v>4.507849647420926</v>
      </c>
      <c r="F79" s="1107">
        <f t="shared" si="11"/>
        <v>0</v>
      </c>
      <c r="G79" s="1107">
        <f t="shared" si="11"/>
        <v>1.5398880547406759E-3</v>
      </c>
      <c r="H79" s="1107">
        <f t="shared" si="11"/>
        <v>0.13326444637443463</v>
      </c>
      <c r="I79" s="1107">
        <f t="shared" si="11"/>
        <v>4.0412170172639338E-2</v>
      </c>
      <c r="J79" s="1107">
        <f t="shared" si="11"/>
        <v>1.9191703408730543E-2</v>
      </c>
      <c r="K79" s="1107">
        <f t="shared" si="11"/>
        <v>1.3721955427042376E-3</v>
      </c>
      <c r="L79" s="1107">
        <f t="shared" si="11"/>
        <v>1.5335717105905576E-3</v>
      </c>
      <c r="M79" s="1107">
        <f t="shared" si="11"/>
        <v>0.24350080258741905</v>
      </c>
      <c r="N79" s="1107">
        <f t="shared" si="11"/>
        <v>3.9660070019776912</v>
      </c>
      <c r="O79" s="1107">
        <f t="shared" si="11"/>
        <v>0</v>
      </c>
      <c r="P79" s="1107">
        <f t="shared" si="11"/>
        <v>9.4523053561131956E-3</v>
      </c>
      <c r="Q79" s="1107">
        <f t="shared" si="11"/>
        <v>7.9380051788901354E-2</v>
      </c>
      <c r="R79" s="1107">
        <f t="shared" si="11"/>
        <v>1.0941295819650754E-2</v>
      </c>
      <c r="S79" s="1107">
        <f t="shared" si="11"/>
        <v>4.3339907367902861E-3</v>
      </c>
      <c r="T79" s="1090"/>
      <c r="U79" s="1090"/>
      <c r="V79" s="1090"/>
      <c r="W79" s="1090"/>
      <c r="X79" s="1090"/>
      <c r="Y79" s="1090"/>
      <c r="Z79" s="1090"/>
      <c r="AA79" s="1090"/>
      <c r="AB79" s="1090"/>
      <c r="AC79" s="1090"/>
      <c r="AD79" s="1090"/>
      <c r="AE79" s="1090"/>
      <c r="AF79" s="1090"/>
      <c r="AG79" s="1090"/>
      <c r="AH79" s="1090"/>
      <c r="AI79" s="1090"/>
      <c r="AJ79" s="1090"/>
      <c r="AK79" s="1090"/>
      <c r="AL79" s="1090"/>
      <c r="AM79" s="1090"/>
      <c r="AN79" s="1090"/>
      <c r="AO79" s="1090"/>
      <c r="AP79" s="1090"/>
      <c r="AQ79" s="1090"/>
      <c r="AR79" s="1090"/>
      <c r="AS79" s="1090"/>
      <c r="AT79" s="1090"/>
      <c r="AU79" s="1090"/>
      <c r="AV79" s="1090"/>
      <c r="AW79" s="1090"/>
      <c r="AX79" s="1090"/>
      <c r="AY79" s="1090"/>
      <c r="AZ79" s="1090"/>
      <c r="BA79" s="1090"/>
      <c r="BB79" s="1090"/>
      <c r="BC79" s="1090"/>
      <c r="BD79" s="1090"/>
      <c r="BE79" s="1090"/>
      <c r="BF79" s="1090"/>
      <c r="BG79" s="1090"/>
      <c r="BH79" s="1090"/>
      <c r="BI79" s="1090"/>
      <c r="BJ79" s="1090"/>
      <c r="BK79" s="1090"/>
      <c r="BL79" s="1090"/>
      <c r="BM79" s="1090"/>
      <c r="BN79" s="1090"/>
      <c r="BO79" s="1090"/>
      <c r="BP79" s="1090"/>
      <c r="BQ79" s="1090"/>
      <c r="BR79" s="1090"/>
      <c r="BS79" s="1090"/>
      <c r="BT79" s="1090"/>
      <c r="BU79" s="1090"/>
    </row>
    <row r="80" spans="1:73" x14ac:dyDescent="0.25">
      <c r="A80" s="1090"/>
      <c r="B80" s="1094" t="str">
        <f>+$B$4</f>
        <v>Plant Design Capacity (kg of H2/day)</v>
      </c>
      <c r="C80" s="1112">
        <f ca="1">ROUND(H4,0)</f>
        <v>52500</v>
      </c>
      <c r="D80" s="1094" t="str">
        <f ca="1">+B80&amp;" = "&amp;TEXT(C80,"0,000")</f>
        <v>Plant Design Capacity (kg of H2/day) = 52,500</v>
      </c>
      <c r="E80" s="1107">
        <f t="shared" si="11"/>
        <v>4.4742432312590292</v>
      </c>
      <c r="F80" s="1107">
        <f t="shared" si="11"/>
        <v>0</v>
      </c>
      <c r="G80" s="1107">
        <f t="shared" si="11"/>
        <v>1.4346205110403114E-3</v>
      </c>
      <c r="H80" s="1107">
        <f t="shared" si="11"/>
        <v>0.12415441990904451</v>
      </c>
      <c r="I80" s="1107">
        <f t="shared" si="11"/>
        <v>3.7649573322447304E-2</v>
      </c>
      <c r="J80" s="1107">
        <f t="shared" si="11"/>
        <v>1.9121055705856416E-2</v>
      </c>
      <c r="K80" s="1107">
        <f t="shared" si="11"/>
        <v>1.2783915458407199E-3</v>
      </c>
      <c r="L80" s="1107">
        <f t="shared" si="11"/>
        <v>1.4287359554424857E-3</v>
      </c>
      <c r="M80" s="1107">
        <f t="shared" si="11"/>
        <v>0.22797145569276162</v>
      </c>
      <c r="N80" s="1107">
        <f t="shared" si="11"/>
        <v>3.966007001977689</v>
      </c>
      <c r="O80" s="1107">
        <f t="shared" si="11"/>
        <v>0</v>
      </c>
      <c r="P80" s="1107">
        <f t="shared" si="11"/>
        <v>9.4523053561131956E-3</v>
      </c>
      <c r="Q80" s="1107">
        <f t="shared" si="11"/>
        <v>7.3953590401074978E-2</v>
      </c>
      <c r="R80" s="1107">
        <f t="shared" si="11"/>
        <v>1.062360501488817E-2</v>
      </c>
      <c r="S80" s="1107">
        <f t="shared" si="11"/>
        <v>4.03771688891056E-3</v>
      </c>
      <c r="T80" s="1090"/>
      <c r="U80" s="1090"/>
      <c r="V80" s="1090"/>
      <c r="W80" s="1090"/>
      <c r="X80" s="1090"/>
      <c r="Y80" s="1090"/>
      <c r="Z80" s="1090"/>
      <c r="AA80" s="1090"/>
      <c r="AB80" s="1090"/>
      <c r="AC80" s="1090"/>
      <c r="AD80" s="1090"/>
      <c r="AE80" s="1090"/>
      <c r="AF80" s="1090"/>
      <c r="AG80" s="1090"/>
      <c r="AH80" s="1090"/>
      <c r="AI80" s="1090"/>
      <c r="AJ80" s="1090"/>
      <c r="AK80" s="1090"/>
      <c r="AL80" s="1090"/>
      <c r="AM80" s="1090"/>
      <c r="AN80" s="1090"/>
      <c r="AO80" s="1090"/>
      <c r="AP80" s="1090"/>
      <c r="AQ80" s="1090"/>
      <c r="AR80" s="1090"/>
      <c r="AS80" s="1090"/>
      <c r="AT80" s="1090"/>
      <c r="AU80" s="1090"/>
      <c r="AV80" s="1090"/>
      <c r="AW80" s="1090"/>
      <c r="AX80" s="1090"/>
      <c r="AY80" s="1090"/>
      <c r="AZ80" s="1090"/>
      <c r="BA80" s="1090"/>
      <c r="BB80" s="1090"/>
      <c r="BC80" s="1090"/>
      <c r="BD80" s="1090"/>
      <c r="BE80" s="1090"/>
      <c r="BF80" s="1090"/>
      <c r="BG80" s="1090"/>
      <c r="BH80" s="1090"/>
      <c r="BI80" s="1090"/>
      <c r="BJ80" s="1090"/>
      <c r="BK80" s="1090"/>
      <c r="BL80" s="1090"/>
      <c r="BM80" s="1090"/>
      <c r="BN80" s="1090"/>
      <c r="BO80" s="1090"/>
      <c r="BP80" s="1090"/>
      <c r="BQ80" s="1090"/>
      <c r="BR80" s="1090"/>
      <c r="BS80" s="1090"/>
      <c r="BT80" s="1090"/>
      <c r="BU80" s="1090"/>
    </row>
    <row r="81" spans="1:73" x14ac:dyDescent="0.25">
      <c r="A81" s="1090"/>
      <c r="B81" s="1094" t="str">
        <f t="shared" ref="B81:B82" si="12">+$B$4</f>
        <v>Plant Design Capacity (kg of H2/day)</v>
      </c>
      <c r="C81" s="1112">
        <f ca="1">+ROUND(C4,0)</f>
        <v>50000</v>
      </c>
      <c r="D81" s="1094" t="str">
        <f t="shared" ref="D81:D82" ca="1" si="13">+B81&amp;" = "&amp;TEXT(C81,"0,000")</f>
        <v>Plant Design Capacity (kg of H2/day) = 50,000</v>
      </c>
      <c r="E81" s="1107">
        <f t="shared" ref="E81:S81" si="14">+K$51</f>
        <v>4.4824477404691674</v>
      </c>
      <c r="F81" s="1107">
        <f t="shared" si="14"/>
        <v>0</v>
      </c>
      <c r="G81" s="1107">
        <f t="shared" si="14"/>
        <v>1.4628936520036421E-3</v>
      </c>
      <c r="H81" s="1107">
        <f t="shared" si="14"/>
        <v>0.12660122405571292</v>
      </c>
      <c r="I81" s="1107">
        <f t="shared" si="14"/>
        <v>3.8391561664007375E-2</v>
      </c>
      <c r="J81" s="1107">
        <f t="shared" si="14"/>
        <v>1.9136315463353638E-2</v>
      </c>
      <c r="K81" s="1107">
        <f t="shared" si="14"/>
        <v>1.3035857655690258E-3</v>
      </c>
      <c r="L81" s="1107">
        <f t="shared" si="14"/>
        <v>1.45689312506103E-3</v>
      </c>
      <c r="M81" s="1107">
        <f t="shared" si="14"/>
        <v>0.23132576245804806</v>
      </c>
      <c r="N81" s="1107">
        <f t="shared" si="14"/>
        <v>3.9660070019776885</v>
      </c>
      <c r="O81" s="1107">
        <f t="shared" si="14"/>
        <v>0</v>
      </c>
      <c r="P81" s="1107">
        <f t="shared" si="14"/>
        <v>9.4523053561131991E-3</v>
      </c>
      <c r="Q81" s="1107">
        <f t="shared" si="14"/>
        <v>7.5411049199456293E-2</v>
      </c>
      <c r="R81" s="1107">
        <f t="shared" si="14"/>
        <v>1.0707643856206782E-2</v>
      </c>
      <c r="S81" s="1107">
        <f t="shared" si="14"/>
        <v>4.1172911999507716E-3</v>
      </c>
      <c r="T81" s="1090"/>
      <c r="U81" s="1090"/>
      <c r="V81" s="1090"/>
      <c r="W81" s="1090"/>
      <c r="X81" s="1090"/>
      <c r="Y81" s="1090"/>
      <c r="Z81" s="1090"/>
      <c r="AA81" s="1090"/>
      <c r="AB81" s="1090"/>
      <c r="AC81" s="1090"/>
      <c r="AD81" s="1090"/>
      <c r="AE81" s="1090"/>
      <c r="AF81" s="1090"/>
      <c r="AG81" s="1090"/>
      <c r="AH81" s="1090"/>
      <c r="AI81" s="1090"/>
      <c r="AJ81" s="1090"/>
      <c r="AK81" s="1090"/>
      <c r="AL81" s="1090"/>
      <c r="AM81" s="1090"/>
      <c r="AN81" s="1090"/>
      <c r="AO81" s="1090"/>
      <c r="AP81" s="1090"/>
      <c r="AQ81" s="1090"/>
      <c r="AR81" s="1090"/>
      <c r="AS81" s="1090"/>
      <c r="AT81" s="1090"/>
      <c r="AU81" s="1090"/>
      <c r="AV81" s="1090"/>
      <c r="AW81" s="1090"/>
      <c r="AX81" s="1090"/>
      <c r="AY81" s="1090"/>
      <c r="AZ81" s="1090"/>
      <c r="BA81" s="1090"/>
      <c r="BB81" s="1090"/>
      <c r="BC81" s="1090"/>
      <c r="BD81" s="1090"/>
      <c r="BE81" s="1090"/>
      <c r="BF81" s="1090"/>
      <c r="BG81" s="1090"/>
      <c r="BH81" s="1090"/>
      <c r="BI81" s="1090"/>
      <c r="BJ81" s="1090"/>
      <c r="BK81" s="1090"/>
      <c r="BL81" s="1090"/>
      <c r="BM81" s="1090"/>
      <c r="BN81" s="1090"/>
      <c r="BO81" s="1090"/>
      <c r="BP81" s="1090"/>
      <c r="BQ81" s="1090"/>
      <c r="BR81" s="1090"/>
      <c r="BS81" s="1090"/>
      <c r="BT81" s="1090"/>
      <c r="BU81" s="1090"/>
    </row>
    <row r="82" spans="1:73" x14ac:dyDescent="0.25">
      <c r="A82" s="1090"/>
      <c r="B82" s="1094" t="str">
        <f t="shared" si="12"/>
        <v>Plant Design Capacity (kg of H2/day)</v>
      </c>
      <c r="C82" s="1112">
        <f ca="1">ROUND(I4,0)</f>
        <v>47500</v>
      </c>
      <c r="D82" s="1094" t="str">
        <f t="shared" ca="1" si="13"/>
        <v>Plant Design Capacity (kg of H2/day) = 47,500</v>
      </c>
      <c r="E82" s="1107">
        <f t="shared" ref="E82:S83" si="15">+K55</f>
        <v>4.4913240547112334</v>
      </c>
      <c r="F82" s="1107">
        <f t="shared" si="15"/>
        <v>0</v>
      </c>
      <c r="G82" s="1107">
        <f t="shared" si="15"/>
        <v>1.4932183326750168E-3</v>
      </c>
      <c r="H82" s="1107">
        <f t="shared" si="15"/>
        <v>0.1292255718248323</v>
      </c>
      <c r="I82" s="1107">
        <f t="shared" si="15"/>
        <v>3.9187389745113495E-2</v>
      </c>
      <c r="J82" s="1107">
        <f t="shared" si="15"/>
        <v>1.9153028276096246E-2</v>
      </c>
      <c r="K82" s="1107">
        <f t="shared" si="15"/>
        <v>1.3306081140592849E-3</v>
      </c>
      <c r="L82" s="1107">
        <f t="shared" si="15"/>
        <v>1.4870934193403071E-3</v>
      </c>
      <c r="M82" s="1107">
        <f t="shared" si="15"/>
        <v>0.23499947095962551</v>
      </c>
      <c r="N82" s="1107">
        <f t="shared" si="15"/>
        <v>3.9660070019776912</v>
      </c>
      <c r="O82" s="1107">
        <f t="shared" si="15"/>
        <v>0</v>
      </c>
      <c r="P82" s="1107">
        <f t="shared" si="15"/>
        <v>9.4523053561131956E-3</v>
      </c>
      <c r="Q82" s="1107">
        <f t="shared" si="15"/>
        <v>7.6974263301133966E-2</v>
      </c>
      <c r="R82" s="1107">
        <f t="shared" si="15"/>
        <v>1.0797900532634828E-2</v>
      </c>
      <c r="S82" s="1107">
        <f t="shared" si="15"/>
        <v>4.2026395372674052E-3</v>
      </c>
      <c r="T82" s="1090"/>
      <c r="U82" s="1090"/>
      <c r="V82" s="1090"/>
      <c r="W82" s="1090"/>
      <c r="X82" s="1090"/>
      <c r="Y82" s="1090"/>
      <c r="Z82" s="1090"/>
      <c r="AA82" s="1090"/>
      <c r="AB82" s="1090"/>
      <c r="AC82" s="1090"/>
      <c r="AD82" s="1090"/>
      <c r="AE82" s="1090"/>
      <c r="AF82" s="1090"/>
      <c r="AG82" s="1090"/>
      <c r="AH82" s="1090"/>
      <c r="AI82" s="1090"/>
      <c r="AJ82" s="1090"/>
      <c r="AK82" s="1090"/>
      <c r="AL82" s="1090"/>
      <c r="AM82" s="1090"/>
      <c r="AN82" s="1090"/>
      <c r="AO82" s="1090"/>
      <c r="AP82" s="1090"/>
      <c r="AQ82" s="1090"/>
      <c r="AR82" s="1090"/>
      <c r="AS82" s="1090"/>
      <c r="AT82" s="1090"/>
      <c r="AU82" s="1090"/>
      <c r="AV82" s="1090"/>
      <c r="AW82" s="1090"/>
      <c r="AX82" s="1090"/>
      <c r="AY82" s="1090"/>
      <c r="AZ82" s="1090"/>
      <c r="BA82" s="1090"/>
      <c r="BB82" s="1090"/>
      <c r="BC82" s="1090"/>
      <c r="BD82" s="1090"/>
      <c r="BE82" s="1090"/>
      <c r="BF82" s="1090"/>
      <c r="BG82" s="1090"/>
      <c r="BH82" s="1090"/>
      <c r="BI82" s="1090"/>
      <c r="BJ82" s="1090"/>
      <c r="BK82" s="1090"/>
      <c r="BL82" s="1090"/>
      <c r="BM82" s="1090"/>
      <c r="BN82" s="1090"/>
      <c r="BO82" s="1090"/>
      <c r="BP82" s="1090"/>
      <c r="BQ82" s="1090"/>
      <c r="BR82" s="1090"/>
      <c r="BS82" s="1090"/>
      <c r="BT82" s="1090"/>
      <c r="BU82" s="1090"/>
    </row>
    <row r="83" spans="1:73" x14ac:dyDescent="0.25">
      <c r="A83" s="1090"/>
      <c r="B83" s="1094" t="str">
        <f>+$B$5</f>
        <v>After-tax Real IRR</v>
      </c>
      <c r="C83" s="1103">
        <f ca="1">+ROUND(H5,2)</f>
        <v>0.08</v>
      </c>
      <c r="D83" s="1094" t="str">
        <f t="shared" ref="D83:D85" ca="1" si="16">+B83&amp;" = "&amp;C83*100&amp;"%"</f>
        <v>After-tax Real IRR = 8%</v>
      </c>
      <c r="E83" s="1107">
        <f t="shared" si="15"/>
        <v>4.4770681758335655</v>
      </c>
      <c r="F83" s="1107">
        <f t="shared" si="15"/>
        <v>0</v>
      </c>
      <c r="G83" s="1107">
        <f t="shared" si="15"/>
        <v>1.6246570818719767E-3</v>
      </c>
      <c r="H83" s="1107">
        <f t="shared" si="15"/>
        <v>0.1212069410993028</v>
      </c>
      <c r="I83" s="1107">
        <f t="shared" si="15"/>
        <v>3.8733364799989255E-2</v>
      </c>
      <c r="J83" s="1107">
        <f t="shared" si="15"/>
        <v>1.8429014029401326E-2</v>
      </c>
      <c r="K83" s="1107">
        <f t="shared" si="15"/>
        <v>1.2480419860370572E-3</v>
      </c>
      <c r="L83" s="1107">
        <f t="shared" si="15"/>
        <v>1.6179930304018471E-3</v>
      </c>
      <c r="M83" s="1107">
        <f t="shared" si="15"/>
        <v>0.23132576245804801</v>
      </c>
      <c r="N83" s="1107">
        <f t="shared" si="15"/>
        <v>3.9679342232086481</v>
      </c>
      <c r="O83" s="1107">
        <f t="shared" si="15"/>
        <v>0</v>
      </c>
      <c r="P83" s="1107">
        <f t="shared" si="15"/>
        <v>9.4523053561131939E-3</v>
      </c>
      <c r="Q83" s="1107">
        <f t="shared" si="15"/>
        <v>7.4722921455485938E-2</v>
      </c>
      <c r="R83" s="1107">
        <f t="shared" si="15"/>
        <v>9.4496936601692842E-3</v>
      </c>
      <c r="S83" s="1107">
        <f t="shared" si="15"/>
        <v>4.5725718318398566E-3</v>
      </c>
      <c r="T83" s="1090"/>
      <c r="U83" s="1090"/>
      <c r="V83" s="1090"/>
      <c r="W83" s="1090"/>
      <c r="X83" s="1090"/>
      <c r="Y83" s="1090"/>
      <c r="Z83" s="1090"/>
      <c r="AA83" s="1090"/>
      <c r="AB83" s="1090"/>
      <c r="AC83" s="1090"/>
      <c r="AD83" s="1090"/>
      <c r="AE83" s="1090"/>
      <c r="AF83" s="1090"/>
      <c r="AG83" s="1090"/>
      <c r="AH83" s="1090"/>
      <c r="AI83" s="1090"/>
      <c r="AJ83" s="1090"/>
      <c r="AK83" s="1090"/>
      <c r="AL83" s="1090"/>
      <c r="AM83" s="1090"/>
      <c r="AN83" s="1090"/>
      <c r="AO83" s="1090"/>
      <c r="AP83" s="1090"/>
      <c r="AQ83" s="1090"/>
      <c r="AR83" s="1090"/>
      <c r="AS83" s="1090"/>
      <c r="AT83" s="1090"/>
      <c r="AU83" s="1090"/>
      <c r="AV83" s="1090"/>
      <c r="AW83" s="1090"/>
      <c r="AX83" s="1090"/>
      <c r="AY83" s="1090"/>
      <c r="AZ83" s="1090"/>
      <c r="BA83" s="1090"/>
      <c r="BB83" s="1090"/>
      <c r="BC83" s="1090"/>
      <c r="BD83" s="1090"/>
      <c r="BE83" s="1090"/>
      <c r="BF83" s="1090"/>
      <c r="BG83" s="1090"/>
      <c r="BH83" s="1090"/>
      <c r="BI83" s="1090"/>
      <c r="BJ83" s="1090"/>
      <c r="BK83" s="1090"/>
      <c r="BL83" s="1090"/>
      <c r="BM83" s="1090"/>
      <c r="BN83" s="1090"/>
      <c r="BO83" s="1090"/>
      <c r="BP83" s="1090"/>
      <c r="BQ83" s="1090"/>
      <c r="BR83" s="1090"/>
      <c r="BS83" s="1090"/>
      <c r="BT83" s="1090"/>
      <c r="BU83" s="1090"/>
    </row>
    <row r="84" spans="1:73" x14ac:dyDescent="0.25">
      <c r="A84" s="1090"/>
      <c r="B84" s="1094" t="str">
        <f t="shared" ref="B84:B85" si="17">+$B$5</f>
        <v>After-tax Real IRR</v>
      </c>
      <c r="C84" s="1103">
        <f ca="1">ROUND(C5,2)</f>
        <v>0.08</v>
      </c>
      <c r="D84" s="1094" t="str">
        <f t="shared" ca="1" si="16"/>
        <v>After-tax Real IRR = 8%</v>
      </c>
      <c r="E84" s="1107">
        <f t="shared" ref="E84:S84" si="18">+K$51</f>
        <v>4.4824477404691674</v>
      </c>
      <c r="F84" s="1107">
        <f t="shared" si="18"/>
        <v>0</v>
      </c>
      <c r="G84" s="1107">
        <f t="shared" si="18"/>
        <v>1.4628936520036421E-3</v>
      </c>
      <c r="H84" s="1107">
        <f t="shared" si="18"/>
        <v>0.12660122405571292</v>
      </c>
      <c r="I84" s="1107">
        <f t="shared" si="18"/>
        <v>3.8391561664007375E-2</v>
      </c>
      <c r="J84" s="1107">
        <f t="shared" si="18"/>
        <v>1.9136315463353638E-2</v>
      </c>
      <c r="K84" s="1107">
        <f t="shared" si="18"/>
        <v>1.3035857655690258E-3</v>
      </c>
      <c r="L84" s="1107">
        <f t="shared" si="18"/>
        <v>1.45689312506103E-3</v>
      </c>
      <c r="M84" s="1107">
        <f t="shared" si="18"/>
        <v>0.23132576245804806</v>
      </c>
      <c r="N84" s="1107">
        <f t="shared" si="18"/>
        <v>3.9660070019776885</v>
      </c>
      <c r="O84" s="1107">
        <f t="shared" si="18"/>
        <v>0</v>
      </c>
      <c r="P84" s="1107">
        <f t="shared" si="18"/>
        <v>9.4523053561131991E-3</v>
      </c>
      <c r="Q84" s="1107">
        <f t="shared" si="18"/>
        <v>7.5411049199456293E-2</v>
      </c>
      <c r="R84" s="1107">
        <f t="shared" si="18"/>
        <v>1.0707643856206782E-2</v>
      </c>
      <c r="S84" s="1107">
        <f t="shared" si="18"/>
        <v>4.1172911999507716E-3</v>
      </c>
      <c r="T84" s="1090"/>
      <c r="U84" s="1090"/>
      <c r="V84" s="1090"/>
      <c r="W84" s="1090"/>
      <c r="X84" s="1090"/>
      <c r="Y84" s="1090"/>
      <c r="Z84" s="1090"/>
      <c r="AA84" s="1090"/>
      <c r="AB84" s="1090"/>
      <c r="AC84" s="1090"/>
      <c r="AD84" s="1090"/>
      <c r="AE84" s="1090"/>
      <c r="AF84" s="1090"/>
      <c r="AG84" s="1090"/>
      <c r="AH84" s="1090"/>
      <c r="AI84" s="1090"/>
      <c r="AJ84" s="1090"/>
      <c r="AK84" s="1090"/>
      <c r="AL84" s="1090"/>
      <c r="AM84" s="1090"/>
      <c r="AN84" s="1090"/>
      <c r="AO84" s="1090"/>
      <c r="AP84" s="1090"/>
      <c r="AQ84" s="1090"/>
      <c r="AR84" s="1090"/>
      <c r="AS84" s="1090"/>
      <c r="AT84" s="1090"/>
      <c r="AU84" s="1090"/>
      <c r="AV84" s="1090"/>
      <c r="AW84" s="1090"/>
      <c r="AX84" s="1090"/>
      <c r="AY84" s="1090"/>
      <c r="AZ84" s="1090"/>
      <c r="BA84" s="1090"/>
      <c r="BB84" s="1090"/>
      <c r="BC84" s="1090"/>
      <c r="BD84" s="1090"/>
      <c r="BE84" s="1090"/>
      <c r="BF84" s="1090"/>
      <c r="BG84" s="1090"/>
      <c r="BH84" s="1090"/>
      <c r="BI84" s="1090"/>
      <c r="BJ84" s="1090"/>
      <c r="BK84" s="1090"/>
      <c r="BL84" s="1090"/>
      <c r="BM84" s="1090"/>
      <c r="BN84" s="1090"/>
      <c r="BO84" s="1090"/>
      <c r="BP84" s="1090"/>
      <c r="BQ84" s="1090"/>
      <c r="BR84" s="1090"/>
      <c r="BS84" s="1090"/>
      <c r="BT84" s="1090"/>
      <c r="BU84" s="1090"/>
    </row>
    <row r="85" spans="1:73" x14ac:dyDescent="0.25">
      <c r="A85" s="1090"/>
      <c r="B85" s="1094" t="str">
        <f t="shared" si="17"/>
        <v>After-tax Real IRR</v>
      </c>
      <c r="C85" s="1103">
        <f ca="1">ROUND(I5,2)</f>
        <v>0.08</v>
      </c>
      <c r="D85" s="1094" t="str">
        <f t="shared" ca="1" si="16"/>
        <v>After-tax Real IRR = 8%</v>
      </c>
      <c r="E85" s="1107">
        <f t="shared" ref="E85:S86" si="19">+K57</f>
        <v>4.4880113781737547</v>
      </c>
      <c r="F85" s="1107">
        <f t="shared" si="19"/>
        <v>0</v>
      </c>
      <c r="G85" s="1107">
        <f t="shared" si="19"/>
        <v>1.3161637615137778E-3</v>
      </c>
      <c r="H85" s="1107">
        <f t="shared" si="19"/>
        <v>0.13205539451012635</v>
      </c>
      <c r="I85" s="1107">
        <f t="shared" si="19"/>
        <v>3.8047061518909263E-2</v>
      </c>
      <c r="J85" s="1107">
        <f t="shared" si="19"/>
        <v>1.9837775989702225E-2</v>
      </c>
      <c r="K85" s="1107">
        <f t="shared" si="19"/>
        <v>1.3597461938776147E-3</v>
      </c>
      <c r="L85" s="1107">
        <f t="shared" si="19"/>
        <v>1.3107650942210214E-3</v>
      </c>
      <c r="M85" s="1107">
        <f t="shared" si="19"/>
        <v>0.23132576245804831</v>
      </c>
      <c r="N85" s="1107">
        <f t="shared" si="19"/>
        <v>3.9641263479012356</v>
      </c>
      <c r="O85" s="1107">
        <f t="shared" si="19"/>
        <v>0</v>
      </c>
      <c r="P85" s="1107">
        <f t="shared" si="19"/>
        <v>9.4523053561131991E-3</v>
      </c>
      <c r="Q85" s="1107">
        <f t="shared" si="19"/>
        <v>7.6089012374387546E-2</v>
      </c>
      <c r="R85" s="1107">
        <f t="shared" si="19"/>
        <v>1.2019048310192496E-2</v>
      </c>
      <c r="S85" s="1107">
        <f t="shared" si="19"/>
        <v>3.704322228449517E-3</v>
      </c>
      <c r="T85" s="1090"/>
      <c r="U85" s="1090"/>
      <c r="V85" s="1090"/>
      <c r="W85" s="1090"/>
      <c r="X85" s="1090"/>
      <c r="Y85" s="1090"/>
      <c r="Z85" s="1090"/>
      <c r="AA85" s="1090"/>
      <c r="AB85" s="1090"/>
      <c r="AC85" s="1090"/>
      <c r="AD85" s="1090"/>
      <c r="AE85" s="1090"/>
      <c r="AF85" s="1090"/>
      <c r="AG85" s="1090"/>
      <c r="AH85" s="1090"/>
      <c r="AI85" s="1090"/>
      <c r="AJ85" s="1090"/>
      <c r="AK85" s="1090"/>
      <c r="AL85" s="1090"/>
      <c r="AM85" s="1090"/>
      <c r="AN85" s="1090"/>
      <c r="AO85" s="1090"/>
      <c r="AP85" s="1090"/>
      <c r="AQ85" s="1090"/>
      <c r="AR85" s="1090"/>
      <c r="AS85" s="1090"/>
      <c r="AT85" s="1090"/>
      <c r="AU85" s="1090"/>
      <c r="AV85" s="1090"/>
      <c r="AW85" s="1090"/>
      <c r="AX85" s="1090"/>
      <c r="AY85" s="1090"/>
      <c r="AZ85" s="1090"/>
      <c r="BA85" s="1090"/>
      <c r="BB85" s="1090"/>
      <c r="BC85" s="1090"/>
      <c r="BD85" s="1090"/>
      <c r="BE85" s="1090"/>
      <c r="BF85" s="1090"/>
      <c r="BG85" s="1090"/>
      <c r="BH85" s="1090"/>
      <c r="BI85" s="1090"/>
      <c r="BJ85" s="1090"/>
      <c r="BK85" s="1090"/>
      <c r="BL85" s="1090"/>
      <c r="BM85" s="1090"/>
      <c r="BN85" s="1090"/>
      <c r="BO85" s="1090"/>
      <c r="BP85" s="1090"/>
      <c r="BQ85" s="1090"/>
      <c r="BR85" s="1090"/>
      <c r="BS85" s="1090"/>
      <c r="BT85" s="1090"/>
      <c r="BU85" s="1090"/>
    </row>
    <row r="86" spans="1:73" x14ac:dyDescent="0.25">
      <c r="A86" s="1090"/>
      <c r="B86" s="1094" t="str">
        <f>+$B$6</f>
        <v>Feedstock Consumption (% of baseline)</v>
      </c>
      <c r="C86" s="1094">
        <f>+ROUND(H6,3)</f>
        <v>0.95</v>
      </c>
      <c r="D86" s="1093" t="str">
        <f>+B86&amp;" = "&amp;C86*100&amp;"%"</f>
        <v>Feedstock Consumption (% of baseline) = 95%</v>
      </c>
      <c r="E86" s="1115">
        <f t="shared" si="19"/>
        <v>4.262659649683866</v>
      </c>
      <c r="F86" s="1107">
        <f t="shared" si="19"/>
        <v>0</v>
      </c>
      <c r="G86" s="1107">
        <f t="shared" si="19"/>
        <v>1.3900489957505903E-3</v>
      </c>
      <c r="H86" s="1107">
        <f t="shared" si="19"/>
        <v>0.12027116285292727</v>
      </c>
      <c r="I86" s="1107">
        <f t="shared" si="19"/>
        <v>3.6471983580806985E-2</v>
      </c>
      <c r="J86" s="1107">
        <f t="shared" si="19"/>
        <v>1.8198702143621532E-2</v>
      </c>
      <c r="K86" s="1107">
        <f t="shared" si="19"/>
        <v>1.3035857655690258E-3</v>
      </c>
      <c r="L86" s="1107">
        <f t="shared" si="19"/>
        <v>1.3840484688079783E-3</v>
      </c>
      <c r="M86" s="1107">
        <f t="shared" si="19"/>
        <v>0.22350782519218079</v>
      </c>
      <c r="N86" s="1107">
        <f t="shared" si="19"/>
        <v>3.7677066518788069</v>
      </c>
      <c r="O86" s="1107">
        <f t="shared" si="19"/>
        <v>0</v>
      </c>
      <c r="P86" s="1107">
        <f t="shared" si="19"/>
        <v>9.4523053561131991E-3</v>
      </c>
      <c r="Q86" s="1107">
        <f t="shared" si="19"/>
        <v>7.1640496739483472E-2</v>
      </c>
      <c r="R86" s="1107">
        <f t="shared" si="19"/>
        <v>1.0201510061346284E-2</v>
      </c>
      <c r="S86" s="1107">
        <f t="shared" si="19"/>
        <v>3.9114266399532345E-3</v>
      </c>
      <c r="T86" s="1090"/>
      <c r="U86" s="1090"/>
      <c r="V86" s="1090"/>
      <c r="W86" s="1090"/>
      <c r="X86" s="1090"/>
      <c r="Y86" s="1090"/>
      <c r="Z86" s="1090"/>
      <c r="AA86" s="1090"/>
      <c r="AB86" s="1090"/>
      <c r="AC86" s="1090"/>
      <c r="AD86" s="1090"/>
      <c r="AE86" s="1090"/>
      <c r="AF86" s="1090"/>
      <c r="AG86" s="1090"/>
      <c r="AH86" s="1090"/>
      <c r="AI86" s="1090"/>
      <c r="AJ86" s="1090"/>
      <c r="AK86" s="1090"/>
      <c r="AL86" s="1090"/>
      <c r="AM86" s="1090"/>
      <c r="AN86" s="1090"/>
      <c r="AO86" s="1090"/>
      <c r="AP86" s="1090"/>
      <c r="AQ86" s="1090"/>
      <c r="AR86" s="1090"/>
      <c r="AS86" s="1090"/>
      <c r="AT86" s="1090"/>
      <c r="AU86" s="1090"/>
      <c r="AV86" s="1090"/>
      <c r="AW86" s="1090"/>
      <c r="AX86" s="1090"/>
      <c r="AY86" s="1090"/>
      <c r="AZ86" s="1090"/>
      <c r="BA86" s="1090"/>
      <c r="BB86" s="1090"/>
      <c r="BC86" s="1090"/>
      <c r="BD86" s="1090"/>
      <c r="BE86" s="1090"/>
      <c r="BF86" s="1090"/>
      <c r="BG86" s="1090"/>
      <c r="BH86" s="1090"/>
      <c r="BI86" s="1090"/>
      <c r="BJ86" s="1090"/>
      <c r="BK86" s="1090"/>
      <c r="BL86" s="1090"/>
      <c r="BM86" s="1090"/>
      <c r="BN86" s="1090"/>
      <c r="BO86" s="1090"/>
      <c r="BP86" s="1090"/>
      <c r="BQ86" s="1090"/>
      <c r="BR86" s="1090"/>
      <c r="BS86" s="1090"/>
      <c r="BT86" s="1090"/>
      <c r="BU86" s="1090"/>
    </row>
    <row r="87" spans="1:73" x14ac:dyDescent="0.25">
      <c r="A87" s="1090"/>
      <c r="B87" s="1094" t="str">
        <f t="shared" ref="B87:B88" si="20">+$B$6</f>
        <v>Feedstock Consumption (% of baseline)</v>
      </c>
      <c r="C87" s="1094">
        <f>+ROUND(C6,3)</f>
        <v>1</v>
      </c>
      <c r="D87" s="1093" t="str">
        <f>+B87&amp;" = "&amp;C87*100&amp;"%"</f>
        <v>Feedstock Consumption (% of baseline) = 100%</v>
      </c>
      <c r="E87" s="1115">
        <f t="shared" ref="E87:S87" si="21">+K$51</f>
        <v>4.4824477404691674</v>
      </c>
      <c r="F87" s="1107">
        <f t="shared" si="21"/>
        <v>0</v>
      </c>
      <c r="G87" s="1107">
        <f t="shared" si="21"/>
        <v>1.4628936520036421E-3</v>
      </c>
      <c r="H87" s="1107">
        <f t="shared" si="21"/>
        <v>0.12660122405571292</v>
      </c>
      <c r="I87" s="1107">
        <f t="shared" si="21"/>
        <v>3.8391561664007375E-2</v>
      </c>
      <c r="J87" s="1107">
        <f t="shared" si="21"/>
        <v>1.9136315463353638E-2</v>
      </c>
      <c r="K87" s="1107">
        <f t="shared" si="21"/>
        <v>1.3035857655690258E-3</v>
      </c>
      <c r="L87" s="1107">
        <f t="shared" si="21"/>
        <v>1.45689312506103E-3</v>
      </c>
      <c r="M87" s="1107">
        <f t="shared" si="21"/>
        <v>0.23132576245804806</v>
      </c>
      <c r="N87" s="1107">
        <f t="shared" si="21"/>
        <v>3.9660070019776885</v>
      </c>
      <c r="O87" s="1107">
        <f t="shared" si="21"/>
        <v>0</v>
      </c>
      <c r="P87" s="1107">
        <f t="shared" si="21"/>
        <v>9.4523053561131991E-3</v>
      </c>
      <c r="Q87" s="1107">
        <f t="shared" si="21"/>
        <v>7.5411049199456293E-2</v>
      </c>
      <c r="R87" s="1107">
        <f t="shared" si="21"/>
        <v>1.0707643856206782E-2</v>
      </c>
      <c r="S87" s="1107">
        <f t="shared" si="21"/>
        <v>4.1172911999507716E-3</v>
      </c>
      <c r="T87" s="1090"/>
      <c r="U87" s="1090"/>
      <c r="V87" s="1090"/>
      <c r="W87" s="1090"/>
      <c r="X87" s="1090"/>
      <c r="Y87" s="1090"/>
      <c r="Z87" s="1090"/>
      <c r="AA87" s="1090"/>
      <c r="AB87" s="1090"/>
      <c r="AC87" s="1090"/>
      <c r="AD87" s="1090"/>
      <c r="AE87" s="1090"/>
      <c r="AF87" s="1090"/>
      <c r="AG87" s="1090"/>
      <c r="AH87" s="1090"/>
      <c r="AI87" s="1090"/>
      <c r="AJ87" s="1090"/>
      <c r="AK87" s="1090"/>
      <c r="AL87" s="1090"/>
      <c r="AM87" s="1090"/>
      <c r="AN87" s="1090"/>
      <c r="AO87" s="1090"/>
      <c r="AP87" s="1090"/>
      <c r="AQ87" s="1090"/>
      <c r="AR87" s="1090"/>
      <c r="AS87" s="1090"/>
      <c r="AT87" s="1090"/>
      <c r="AU87" s="1090"/>
      <c r="AV87" s="1090"/>
      <c r="AW87" s="1090"/>
      <c r="AX87" s="1090"/>
      <c r="AY87" s="1090"/>
      <c r="AZ87" s="1090"/>
      <c r="BA87" s="1090"/>
      <c r="BB87" s="1090"/>
      <c r="BC87" s="1090"/>
      <c r="BD87" s="1090"/>
      <c r="BE87" s="1090"/>
      <c r="BF87" s="1090"/>
      <c r="BG87" s="1090"/>
      <c r="BH87" s="1090"/>
      <c r="BI87" s="1090"/>
      <c r="BJ87" s="1090"/>
      <c r="BK87" s="1090"/>
      <c r="BL87" s="1090"/>
      <c r="BM87" s="1090"/>
      <c r="BN87" s="1090"/>
      <c r="BO87" s="1090"/>
      <c r="BP87" s="1090"/>
      <c r="BQ87" s="1090"/>
      <c r="BR87" s="1090"/>
      <c r="BS87" s="1090"/>
      <c r="BT87" s="1090"/>
      <c r="BU87" s="1090"/>
    </row>
    <row r="88" spans="1:73" x14ac:dyDescent="0.25">
      <c r="A88" s="1090"/>
      <c r="B88" s="1094" t="str">
        <f t="shared" si="20"/>
        <v>Feedstock Consumption (% of baseline)</v>
      </c>
      <c r="C88" s="1094">
        <f>+ROUND(I6,3)</f>
        <v>1.05</v>
      </c>
      <c r="D88" s="1093" t="str">
        <f>+B88&amp;" = "&amp;C88*100&amp;"%"</f>
        <v>Feedstock Consumption (% of baseline) = 105%</v>
      </c>
      <c r="E88" s="1115">
        <f t="shared" ref="E88:S89" si="22">+K59</f>
        <v>4.7022358312544688</v>
      </c>
      <c r="F88" s="1107">
        <f t="shared" si="22"/>
        <v>0</v>
      </c>
      <c r="G88" s="1107">
        <f t="shared" si="22"/>
        <v>1.5357383082566941E-3</v>
      </c>
      <c r="H88" s="1107">
        <f t="shared" si="22"/>
        <v>0.13293128525849862</v>
      </c>
      <c r="I88" s="1107">
        <f t="shared" si="22"/>
        <v>4.0311139747207736E-2</v>
      </c>
      <c r="J88" s="1107">
        <f t="shared" si="22"/>
        <v>2.0073928783085754E-2</v>
      </c>
      <c r="K88" s="1107">
        <f t="shared" si="22"/>
        <v>1.3035857655690258E-3</v>
      </c>
      <c r="L88" s="1107">
        <f t="shared" si="22"/>
        <v>1.529737781314082E-3</v>
      </c>
      <c r="M88" s="1107">
        <f t="shared" si="22"/>
        <v>0.23914369972391572</v>
      </c>
      <c r="N88" s="1107">
        <f t="shared" si="22"/>
        <v>4.1643073520765741</v>
      </c>
      <c r="O88" s="1107">
        <f t="shared" si="22"/>
        <v>0</v>
      </c>
      <c r="P88" s="1107">
        <f t="shared" si="22"/>
        <v>9.4523053561131991E-3</v>
      </c>
      <c r="Q88" s="1107">
        <f t="shared" si="22"/>
        <v>7.9181601659429127E-2</v>
      </c>
      <c r="R88" s="1107">
        <f t="shared" si="22"/>
        <v>1.1213777651067658E-2</v>
      </c>
      <c r="S88" s="1107">
        <f t="shared" si="22"/>
        <v>4.323155759948313E-3</v>
      </c>
      <c r="T88" s="1090"/>
      <c r="U88" s="1090"/>
      <c r="V88" s="1090"/>
      <c r="W88" s="1090"/>
      <c r="X88" s="1090"/>
      <c r="Y88" s="1090"/>
      <c r="Z88" s="1090"/>
      <c r="AA88" s="1090"/>
      <c r="AB88" s="1090"/>
      <c r="AC88" s="1090"/>
      <c r="AD88" s="1090"/>
      <c r="AE88" s="1090"/>
      <c r="AF88" s="1090"/>
      <c r="AG88" s="1090"/>
      <c r="AH88" s="1090"/>
      <c r="AI88" s="1090"/>
      <c r="AJ88" s="1090"/>
      <c r="AK88" s="1090"/>
      <c r="AL88" s="1090"/>
      <c r="AM88" s="1090"/>
      <c r="AN88" s="1090"/>
      <c r="AO88" s="1090"/>
      <c r="AP88" s="1090"/>
      <c r="AQ88" s="1090"/>
      <c r="AR88" s="1090"/>
      <c r="AS88" s="1090"/>
      <c r="AT88" s="1090"/>
      <c r="AU88" s="1090"/>
      <c r="AV88" s="1090"/>
      <c r="AW88" s="1090"/>
      <c r="AX88" s="1090"/>
      <c r="AY88" s="1090"/>
      <c r="AZ88" s="1090"/>
      <c r="BA88" s="1090"/>
      <c r="BB88" s="1090"/>
      <c r="BC88" s="1090"/>
      <c r="BD88" s="1090"/>
      <c r="BE88" s="1090"/>
      <c r="BF88" s="1090"/>
      <c r="BG88" s="1090"/>
      <c r="BH88" s="1090"/>
      <c r="BI88" s="1090"/>
      <c r="BJ88" s="1090"/>
      <c r="BK88" s="1090"/>
      <c r="BL88" s="1090"/>
      <c r="BM88" s="1090"/>
      <c r="BN88" s="1090"/>
      <c r="BO88" s="1090"/>
      <c r="BP88" s="1090"/>
      <c r="BQ88" s="1090"/>
      <c r="BR88" s="1090"/>
      <c r="BS88" s="1090"/>
      <c r="BT88" s="1090"/>
      <c r="BU88" s="1090"/>
    </row>
    <row r="89" spans="1:73" x14ac:dyDescent="0.25">
      <c r="A89" s="1090"/>
      <c r="B89" s="1094" t="str">
        <f>+$B$7</f>
        <v>Utilities Consumption (% of baseline)</v>
      </c>
      <c r="C89" s="1094">
        <f>+ROUND(H7,3)</f>
        <v>0.95</v>
      </c>
      <c r="D89" s="1093" t="str">
        <f t="shared" ref="D89:D91" si="23">+B89&amp;" = "&amp;C89*100&amp;"%"</f>
        <v>Utilities Consumption (% of baseline) = 95%</v>
      </c>
      <c r="E89" s="1115">
        <f t="shared" si="22"/>
        <v>4.4824477404691674</v>
      </c>
      <c r="F89" s="1115">
        <f t="shared" si="22"/>
        <v>0</v>
      </c>
      <c r="G89" s="1115">
        <f t="shared" si="22"/>
        <v>1.4628936520036421E-3</v>
      </c>
      <c r="H89" s="1115">
        <f t="shared" si="22"/>
        <v>0.12660122405571292</v>
      </c>
      <c r="I89" s="1115">
        <f t="shared" si="22"/>
        <v>3.8391561664007375E-2</v>
      </c>
      <c r="J89" s="1115">
        <f t="shared" si="22"/>
        <v>1.9136315463353638E-2</v>
      </c>
      <c r="K89" s="1115">
        <f t="shared" si="22"/>
        <v>1.3035857655690258E-3</v>
      </c>
      <c r="L89" s="1115">
        <f t="shared" si="22"/>
        <v>1.45689312506103E-3</v>
      </c>
      <c r="M89" s="1115">
        <f t="shared" si="22"/>
        <v>0.23132576245804806</v>
      </c>
      <c r="N89" s="1115">
        <f t="shared" si="22"/>
        <v>3.9660070019776885</v>
      </c>
      <c r="O89" s="1115">
        <f t="shared" si="22"/>
        <v>0</v>
      </c>
      <c r="P89" s="1115">
        <f t="shared" si="22"/>
        <v>9.4523053561131991E-3</v>
      </c>
      <c r="Q89" s="1115">
        <f t="shared" si="22"/>
        <v>7.5411049199456293E-2</v>
      </c>
      <c r="R89" s="1115">
        <f t="shared" si="22"/>
        <v>1.0707643856206782E-2</v>
      </c>
      <c r="S89" s="1115">
        <f t="shared" si="22"/>
        <v>4.1172911999507716E-3</v>
      </c>
      <c r="T89" s="1090"/>
      <c r="U89" s="1090"/>
      <c r="V89" s="1090"/>
      <c r="W89" s="1090"/>
      <c r="X89" s="1090"/>
      <c r="Y89" s="1090"/>
      <c r="Z89" s="1090"/>
      <c r="AA89" s="1090"/>
      <c r="AB89" s="1090"/>
      <c r="AC89" s="1090"/>
      <c r="AD89" s="1090"/>
      <c r="AE89" s="1090"/>
      <c r="AF89" s="1090"/>
      <c r="AG89" s="1090"/>
      <c r="AH89" s="1090"/>
      <c r="AI89" s="1090"/>
      <c r="AJ89" s="1090"/>
      <c r="AK89" s="1090"/>
      <c r="AL89" s="1090"/>
      <c r="AM89" s="1090"/>
      <c r="AN89" s="1090"/>
      <c r="AO89" s="1090"/>
      <c r="AP89" s="1090"/>
      <c r="AQ89" s="1090"/>
      <c r="AR89" s="1090"/>
      <c r="AS89" s="1090"/>
      <c r="AT89" s="1090"/>
      <c r="AU89" s="1090"/>
      <c r="AV89" s="1090"/>
      <c r="AW89" s="1090"/>
      <c r="AX89" s="1090"/>
      <c r="AY89" s="1090"/>
      <c r="AZ89" s="1090"/>
      <c r="BA89" s="1090"/>
      <c r="BB89" s="1090"/>
      <c r="BC89" s="1090"/>
      <c r="BD89" s="1090"/>
      <c r="BE89" s="1090"/>
      <c r="BF89" s="1090"/>
      <c r="BG89" s="1090"/>
      <c r="BH89" s="1090"/>
      <c r="BI89" s="1090"/>
      <c r="BJ89" s="1090"/>
      <c r="BK89" s="1090"/>
      <c r="BL89" s="1090"/>
      <c r="BM89" s="1090"/>
      <c r="BN89" s="1090"/>
      <c r="BO89" s="1090"/>
      <c r="BP89" s="1090"/>
      <c r="BQ89" s="1090"/>
      <c r="BR89" s="1090"/>
      <c r="BS89" s="1090"/>
      <c r="BT89" s="1090"/>
      <c r="BU89" s="1090"/>
    </row>
    <row r="90" spans="1:73" x14ac:dyDescent="0.25">
      <c r="A90" s="1090"/>
      <c r="B90" s="1094" t="str">
        <f t="shared" ref="B90:B91" si="24">+$B$7</f>
        <v>Utilities Consumption (% of baseline)</v>
      </c>
      <c r="C90" s="1094">
        <f>+ROUND(C7,3)</f>
        <v>1</v>
      </c>
      <c r="D90" s="1093" t="str">
        <f t="shared" si="23"/>
        <v>Utilities Consumption (% of baseline) = 100%</v>
      </c>
      <c r="E90" s="1115">
        <f>+K$51</f>
        <v>4.4824477404691674</v>
      </c>
      <c r="F90" s="1115">
        <f t="shared" ref="F90:S90" si="25">+L$51</f>
        <v>0</v>
      </c>
      <c r="G90" s="1115">
        <f t="shared" si="25"/>
        <v>1.4628936520036421E-3</v>
      </c>
      <c r="H90" s="1115">
        <f t="shared" si="25"/>
        <v>0.12660122405571292</v>
      </c>
      <c r="I90" s="1115">
        <f t="shared" si="25"/>
        <v>3.8391561664007375E-2</v>
      </c>
      <c r="J90" s="1115">
        <f t="shared" si="25"/>
        <v>1.9136315463353638E-2</v>
      </c>
      <c r="K90" s="1115">
        <f t="shared" si="25"/>
        <v>1.3035857655690258E-3</v>
      </c>
      <c r="L90" s="1115">
        <f t="shared" si="25"/>
        <v>1.45689312506103E-3</v>
      </c>
      <c r="M90" s="1115">
        <f t="shared" si="25"/>
        <v>0.23132576245804806</v>
      </c>
      <c r="N90" s="1115">
        <f t="shared" si="25"/>
        <v>3.9660070019776885</v>
      </c>
      <c r="O90" s="1115">
        <f t="shared" si="25"/>
        <v>0</v>
      </c>
      <c r="P90" s="1115">
        <f t="shared" si="25"/>
        <v>9.4523053561131991E-3</v>
      </c>
      <c r="Q90" s="1115">
        <f t="shared" si="25"/>
        <v>7.5411049199456293E-2</v>
      </c>
      <c r="R90" s="1115">
        <f t="shared" si="25"/>
        <v>1.0707643856206782E-2</v>
      </c>
      <c r="S90" s="1115">
        <f t="shared" si="25"/>
        <v>4.1172911999507716E-3</v>
      </c>
      <c r="T90" s="1090"/>
      <c r="U90" s="1090"/>
      <c r="V90" s="1090"/>
      <c r="W90" s="1090"/>
      <c r="X90" s="1090"/>
      <c r="Y90" s="1090"/>
      <c r="Z90" s="1090"/>
      <c r="AA90" s="1090"/>
      <c r="AB90" s="1090"/>
      <c r="AC90" s="1090"/>
      <c r="AD90" s="1090"/>
      <c r="AE90" s="1090"/>
      <c r="AF90" s="1090"/>
      <c r="AG90" s="1090"/>
      <c r="AH90" s="1090"/>
      <c r="AI90" s="1090"/>
      <c r="AJ90" s="1090"/>
      <c r="AK90" s="1090"/>
      <c r="AL90" s="1090"/>
      <c r="AM90" s="1090"/>
      <c r="AN90" s="1090"/>
      <c r="AO90" s="1090"/>
      <c r="AP90" s="1090"/>
      <c r="AQ90" s="1090"/>
      <c r="AR90" s="1090"/>
      <c r="AS90" s="1090"/>
      <c r="AT90" s="1090"/>
      <c r="AU90" s="1090"/>
      <c r="AV90" s="1090"/>
      <c r="AW90" s="1090"/>
      <c r="AX90" s="1090"/>
      <c r="AY90" s="1090"/>
      <c r="AZ90" s="1090"/>
      <c r="BA90" s="1090"/>
      <c r="BB90" s="1090"/>
      <c r="BC90" s="1090"/>
      <c r="BD90" s="1090"/>
      <c r="BE90" s="1090"/>
      <c r="BF90" s="1090"/>
      <c r="BG90" s="1090"/>
      <c r="BH90" s="1090"/>
      <c r="BI90" s="1090"/>
      <c r="BJ90" s="1090"/>
      <c r="BK90" s="1090"/>
      <c r="BL90" s="1090"/>
      <c r="BM90" s="1090"/>
      <c r="BN90" s="1090"/>
      <c r="BO90" s="1090"/>
      <c r="BP90" s="1090"/>
      <c r="BQ90" s="1090"/>
      <c r="BR90" s="1090"/>
      <c r="BS90" s="1090"/>
      <c r="BT90" s="1090"/>
      <c r="BU90" s="1090"/>
    </row>
    <row r="91" spans="1:73" x14ac:dyDescent="0.25">
      <c r="A91" s="1090"/>
      <c r="B91" s="1094" t="str">
        <f t="shared" si="24"/>
        <v>Utilities Consumption (% of baseline)</v>
      </c>
      <c r="C91" s="1094">
        <f>+ROUND(I7,3)</f>
        <v>1.05</v>
      </c>
      <c r="D91" s="1093" t="str">
        <f t="shared" si="23"/>
        <v>Utilities Consumption (% of baseline) = 105%</v>
      </c>
      <c r="E91" s="1115">
        <f t="shared" ref="E91:S92" si="26">+K61</f>
        <v>4.4824477404691674</v>
      </c>
      <c r="F91" s="1115">
        <f t="shared" si="26"/>
        <v>0</v>
      </c>
      <c r="G91" s="1115">
        <f t="shared" si="26"/>
        <v>1.4628936520036421E-3</v>
      </c>
      <c r="H91" s="1115">
        <f t="shared" si="26"/>
        <v>0.12660122405571292</v>
      </c>
      <c r="I91" s="1115">
        <f t="shared" si="26"/>
        <v>3.8391561664007375E-2</v>
      </c>
      <c r="J91" s="1115">
        <f t="shared" si="26"/>
        <v>1.9136315463353638E-2</v>
      </c>
      <c r="K91" s="1115">
        <f t="shared" si="26"/>
        <v>1.3035857655690258E-3</v>
      </c>
      <c r="L91" s="1115">
        <f t="shared" si="26"/>
        <v>1.45689312506103E-3</v>
      </c>
      <c r="M91" s="1115">
        <f t="shared" si="26"/>
        <v>0.23132576245804806</v>
      </c>
      <c r="N91" s="1115">
        <f t="shared" si="26"/>
        <v>3.9660070019776885</v>
      </c>
      <c r="O91" s="1115">
        <f t="shared" si="26"/>
        <v>0</v>
      </c>
      <c r="P91" s="1115">
        <f t="shared" si="26"/>
        <v>9.4523053561131991E-3</v>
      </c>
      <c r="Q91" s="1115">
        <f t="shared" si="26"/>
        <v>7.5411049199456293E-2</v>
      </c>
      <c r="R91" s="1115">
        <f t="shared" si="26"/>
        <v>1.0707643856206782E-2</v>
      </c>
      <c r="S91" s="1115">
        <f t="shared" si="26"/>
        <v>4.1172911999507716E-3</v>
      </c>
      <c r="T91" s="1090"/>
      <c r="U91" s="1090"/>
      <c r="V91" s="1090"/>
      <c r="W91" s="1090"/>
      <c r="X91" s="1090"/>
      <c r="Y91" s="1090"/>
      <c r="Z91" s="1090"/>
      <c r="AA91" s="1090"/>
      <c r="AB91" s="1090"/>
      <c r="AC91" s="1090"/>
      <c r="AD91" s="1090"/>
      <c r="AE91" s="1090"/>
      <c r="AF91" s="1090"/>
      <c r="AG91" s="1090"/>
      <c r="AH91" s="1090"/>
      <c r="AI91" s="1090"/>
      <c r="AJ91" s="1090"/>
      <c r="AK91" s="1090"/>
      <c r="AL91" s="1090"/>
      <c r="AM91" s="1090"/>
      <c r="AN91" s="1090"/>
      <c r="AO91" s="1090"/>
      <c r="AP91" s="1090"/>
      <c r="AQ91" s="1090"/>
      <c r="AR91" s="1090"/>
      <c r="AS91" s="1090"/>
      <c r="AT91" s="1090"/>
      <c r="AU91" s="1090"/>
      <c r="AV91" s="1090"/>
      <c r="AW91" s="1090"/>
      <c r="AX91" s="1090"/>
      <c r="AY91" s="1090"/>
      <c r="AZ91" s="1090"/>
      <c r="BA91" s="1090"/>
      <c r="BB91" s="1090"/>
      <c r="BC91" s="1090"/>
      <c r="BD91" s="1090"/>
      <c r="BE91" s="1090"/>
      <c r="BF91" s="1090"/>
      <c r="BG91" s="1090"/>
      <c r="BH91" s="1090"/>
      <c r="BI91" s="1090"/>
      <c r="BJ91" s="1090"/>
      <c r="BK91" s="1090"/>
      <c r="BL91" s="1090"/>
      <c r="BM91" s="1090"/>
      <c r="BN91" s="1090"/>
      <c r="BO91" s="1090"/>
      <c r="BP91" s="1090"/>
      <c r="BQ91" s="1090"/>
      <c r="BR91" s="1090"/>
      <c r="BS91" s="1090"/>
      <c r="BT91" s="1090"/>
      <c r="BU91" s="1090"/>
    </row>
    <row r="92" spans="1:73" x14ac:dyDescent="0.25">
      <c r="A92" s="1090"/>
      <c r="B92" s="1094" t="str">
        <f>+$B$8</f>
        <v>Total Capital Investment</v>
      </c>
      <c r="C92" s="1112">
        <f ca="1">+ROUND(H8,0)</f>
        <v>63733165</v>
      </c>
      <c r="D92" s="1094" t="str">
        <f t="shared" ref="D92:D97" ca="1" si="27">+B92&amp;" = "&amp;TEXT(C92/1000,"$0,000K")</f>
        <v>Total Capital Investment = $63,733K</v>
      </c>
      <c r="E92" s="1107">
        <f t="shared" si="26"/>
        <v>4.468439739112223</v>
      </c>
      <c r="F92" s="1107">
        <f t="shared" si="26"/>
        <v>0</v>
      </c>
      <c r="G92" s="1107">
        <f t="shared" si="26"/>
        <v>1.38974896940346E-3</v>
      </c>
      <c r="H92" s="1107">
        <f t="shared" si="26"/>
        <v>0.12024509113761588</v>
      </c>
      <c r="I92" s="1107">
        <f t="shared" si="26"/>
        <v>3.8391561664007375E-2</v>
      </c>
      <c r="J92" s="1107">
        <f t="shared" si="26"/>
        <v>1.9119074872944421E-2</v>
      </c>
      <c r="K92" s="1107">
        <f t="shared" si="26"/>
        <v>1.3035857655690258E-3</v>
      </c>
      <c r="L92" s="1107">
        <f t="shared" si="26"/>
        <v>1.3837484424608479E-3</v>
      </c>
      <c r="M92" s="1107">
        <f t="shared" si="26"/>
        <v>0.2275360410907378</v>
      </c>
      <c r="N92" s="1107">
        <f t="shared" si="26"/>
        <v>3.9660070019776885</v>
      </c>
      <c r="O92" s="1107">
        <f t="shared" si="26"/>
        <v>0</v>
      </c>
      <c r="P92" s="1107">
        <f t="shared" si="26"/>
        <v>9.4523053561131991E-3</v>
      </c>
      <c r="Q92" s="1107">
        <f t="shared" si="26"/>
        <v>7.1624966910125765E-2</v>
      </c>
      <c r="R92" s="1107">
        <f t="shared" si="26"/>
        <v>1.0855532121771063E-2</v>
      </c>
      <c r="S92" s="1107">
        <f t="shared" si="26"/>
        <v>3.9105787425903144E-3</v>
      </c>
      <c r="T92" s="1090"/>
      <c r="U92" s="1090"/>
      <c r="V92" s="1090"/>
      <c r="W92" s="1090"/>
      <c r="X92" s="1090"/>
      <c r="Y92" s="1090"/>
      <c r="Z92" s="1090"/>
      <c r="AA92" s="1090"/>
      <c r="AB92" s="1090"/>
      <c r="AC92" s="1090"/>
      <c r="AD92" s="1090"/>
      <c r="AE92" s="1090"/>
      <c r="AF92" s="1090"/>
      <c r="AG92" s="1090"/>
      <c r="AH92" s="1090"/>
      <c r="AI92" s="1090"/>
      <c r="AJ92" s="1090"/>
      <c r="AK92" s="1090"/>
      <c r="AL92" s="1090"/>
      <c r="AM92" s="1090"/>
      <c r="AN92" s="1090"/>
      <c r="AO92" s="1090"/>
      <c r="AP92" s="1090"/>
      <c r="AQ92" s="1090"/>
      <c r="AR92" s="1090"/>
      <c r="AS92" s="1090"/>
      <c r="AT92" s="1090"/>
      <c r="AU92" s="1090"/>
      <c r="AV92" s="1090"/>
      <c r="AW92" s="1090"/>
      <c r="AX92" s="1090"/>
      <c r="AY92" s="1090"/>
      <c r="AZ92" s="1090"/>
      <c r="BA92" s="1090"/>
      <c r="BB92" s="1090"/>
      <c r="BC92" s="1090"/>
      <c r="BD92" s="1090"/>
      <c r="BE92" s="1090"/>
      <c r="BF92" s="1090"/>
      <c r="BG92" s="1090"/>
      <c r="BH92" s="1090"/>
      <c r="BI92" s="1090"/>
      <c r="BJ92" s="1090"/>
      <c r="BK92" s="1090"/>
      <c r="BL92" s="1090"/>
      <c r="BM92" s="1090"/>
      <c r="BN92" s="1090"/>
      <c r="BO92" s="1090"/>
      <c r="BP92" s="1090"/>
      <c r="BQ92" s="1090"/>
      <c r="BR92" s="1090"/>
      <c r="BS92" s="1090"/>
      <c r="BT92" s="1090"/>
      <c r="BU92" s="1090"/>
    </row>
    <row r="93" spans="1:73" x14ac:dyDescent="0.25">
      <c r="A93" s="1090"/>
      <c r="B93" s="1094" t="str">
        <f t="shared" ref="B93:B94" si="28">+$B$8</f>
        <v>Total Capital Investment</v>
      </c>
      <c r="C93" s="1112">
        <f ca="1">+ROUND(C8,0)</f>
        <v>67087543</v>
      </c>
      <c r="D93" s="1094" t="str">
        <f t="shared" ca="1" si="27"/>
        <v>Total Capital Investment = $67,088K</v>
      </c>
      <c r="E93" s="1107">
        <f t="shared" ref="E93:S93" si="29">+K$51</f>
        <v>4.4824477404691674</v>
      </c>
      <c r="F93" s="1107">
        <f t="shared" si="29"/>
        <v>0</v>
      </c>
      <c r="G93" s="1107">
        <f t="shared" si="29"/>
        <v>1.4628936520036421E-3</v>
      </c>
      <c r="H93" s="1107">
        <f t="shared" si="29"/>
        <v>0.12660122405571292</v>
      </c>
      <c r="I93" s="1107">
        <f t="shared" si="29"/>
        <v>3.8391561664007375E-2</v>
      </c>
      <c r="J93" s="1107">
        <f t="shared" si="29"/>
        <v>1.9136315463353638E-2</v>
      </c>
      <c r="K93" s="1107">
        <f t="shared" si="29"/>
        <v>1.3035857655690258E-3</v>
      </c>
      <c r="L93" s="1107">
        <f t="shared" si="29"/>
        <v>1.45689312506103E-3</v>
      </c>
      <c r="M93" s="1107">
        <f t="shared" si="29"/>
        <v>0.23132576245804806</v>
      </c>
      <c r="N93" s="1107">
        <f t="shared" si="29"/>
        <v>3.9660070019776885</v>
      </c>
      <c r="O93" s="1107">
        <f t="shared" si="29"/>
        <v>0</v>
      </c>
      <c r="P93" s="1107">
        <f t="shared" si="29"/>
        <v>9.4523053561131991E-3</v>
      </c>
      <c r="Q93" s="1107">
        <f t="shared" si="29"/>
        <v>7.5411049199456293E-2</v>
      </c>
      <c r="R93" s="1107">
        <f t="shared" si="29"/>
        <v>1.0707643856206782E-2</v>
      </c>
      <c r="S93" s="1107">
        <f t="shared" si="29"/>
        <v>4.1172911999507716E-3</v>
      </c>
      <c r="T93" s="1090"/>
      <c r="U93" s="1090"/>
      <c r="V93" s="1090"/>
      <c r="W93" s="1090"/>
      <c r="X93" s="1090"/>
      <c r="Y93" s="1090"/>
      <c r="Z93" s="1090"/>
      <c r="AA93" s="1090"/>
      <c r="AB93" s="1090"/>
      <c r="AC93" s="1090"/>
      <c r="AD93" s="1090"/>
      <c r="AE93" s="1090"/>
      <c r="AF93" s="1090"/>
      <c r="AG93" s="1090"/>
      <c r="AH93" s="1090"/>
      <c r="AI93" s="1090"/>
      <c r="AJ93" s="1090"/>
      <c r="AK93" s="1090"/>
      <c r="AL93" s="1090"/>
      <c r="AM93" s="1090"/>
      <c r="AN93" s="1090"/>
      <c r="AO93" s="1090"/>
      <c r="AP93" s="1090"/>
      <c r="AQ93" s="1090"/>
      <c r="AR93" s="1090"/>
      <c r="AS93" s="1090"/>
      <c r="AT93" s="1090"/>
      <c r="AU93" s="1090"/>
      <c r="AV93" s="1090"/>
      <c r="AW93" s="1090"/>
      <c r="AX93" s="1090"/>
      <c r="AY93" s="1090"/>
      <c r="AZ93" s="1090"/>
      <c r="BA93" s="1090"/>
      <c r="BB93" s="1090"/>
      <c r="BC93" s="1090"/>
      <c r="BD93" s="1090"/>
      <c r="BE93" s="1090"/>
      <c r="BF93" s="1090"/>
      <c r="BG93" s="1090"/>
      <c r="BH93" s="1090"/>
      <c r="BI93" s="1090"/>
      <c r="BJ93" s="1090"/>
      <c r="BK93" s="1090"/>
      <c r="BL93" s="1090"/>
      <c r="BM93" s="1090"/>
      <c r="BN93" s="1090"/>
      <c r="BO93" s="1090"/>
      <c r="BP93" s="1090"/>
      <c r="BQ93" s="1090"/>
      <c r="BR93" s="1090"/>
      <c r="BS93" s="1090"/>
      <c r="BT93" s="1090"/>
      <c r="BU93" s="1090"/>
    </row>
    <row r="94" spans="1:73" x14ac:dyDescent="0.25">
      <c r="A94" s="1090"/>
      <c r="B94" s="1094" t="str">
        <f t="shared" si="28"/>
        <v>Total Capital Investment</v>
      </c>
      <c r="C94" s="1112">
        <f ca="1">+ROUND(I8,0)</f>
        <v>70441920</v>
      </c>
      <c r="D94" s="1094" t="str">
        <f t="shared" ca="1" si="27"/>
        <v>Total Capital Investment = $70,442K</v>
      </c>
      <c r="E94" s="1107">
        <f t="shared" ref="E94:S95" si="30">+K63</f>
        <v>4.4964557418261117</v>
      </c>
      <c r="F94" s="1107">
        <f t="shared" si="30"/>
        <v>0</v>
      </c>
      <c r="G94" s="1107">
        <f t="shared" si="30"/>
        <v>1.5360383346038245E-3</v>
      </c>
      <c r="H94" s="1107">
        <f t="shared" si="30"/>
        <v>0.13295735697380995</v>
      </c>
      <c r="I94" s="1107">
        <f t="shared" si="30"/>
        <v>3.8391561664007375E-2</v>
      </c>
      <c r="J94" s="1107">
        <f t="shared" si="30"/>
        <v>1.915355605376285E-2</v>
      </c>
      <c r="K94" s="1107">
        <f t="shared" si="30"/>
        <v>1.3035857655690258E-3</v>
      </c>
      <c r="L94" s="1107">
        <f t="shared" si="30"/>
        <v>1.5300378076612119E-3</v>
      </c>
      <c r="M94" s="1107">
        <f t="shared" si="30"/>
        <v>0.23511548382535824</v>
      </c>
      <c r="N94" s="1107">
        <f t="shared" si="30"/>
        <v>3.9660070019776885</v>
      </c>
      <c r="O94" s="1107">
        <f t="shared" si="30"/>
        <v>0</v>
      </c>
      <c r="P94" s="1107">
        <f t="shared" si="30"/>
        <v>9.4523053561131991E-3</v>
      </c>
      <c r="Q94" s="1107">
        <f t="shared" si="30"/>
        <v>7.9197131488786793E-2</v>
      </c>
      <c r="R94" s="1107">
        <f t="shared" si="30"/>
        <v>1.0559755590642343E-2</v>
      </c>
      <c r="S94" s="1107">
        <f t="shared" si="30"/>
        <v>4.3240036573112288E-3</v>
      </c>
      <c r="T94" s="1090"/>
      <c r="U94" s="1090"/>
      <c r="V94" s="1090"/>
      <c r="W94" s="1090"/>
      <c r="X94" s="1090"/>
      <c r="Y94" s="1090"/>
      <c r="Z94" s="1090"/>
      <c r="AA94" s="1090"/>
      <c r="AB94" s="1090"/>
      <c r="AC94" s="1090"/>
      <c r="AD94" s="1090"/>
      <c r="AE94" s="1090"/>
      <c r="AF94" s="1090"/>
      <c r="AG94" s="1090"/>
      <c r="AH94" s="1090"/>
      <c r="AI94" s="1090"/>
      <c r="AJ94" s="1090"/>
      <c r="AK94" s="1090"/>
      <c r="AL94" s="1090"/>
      <c r="AM94" s="1090"/>
      <c r="AN94" s="1090"/>
      <c r="AO94" s="1090"/>
      <c r="AP94" s="1090"/>
      <c r="AQ94" s="1090"/>
      <c r="AR94" s="1090"/>
      <c r="AS94" s="1090"/>
      <c r="AT94" s="1090"/>
      <c r="AU94" s="1090"/>
      <c r="AV94" s="1090"/>
      <c r="AW94" s="1090"/>
      <c r="AX94" s="1090"/>
      <c r="AY94" s="1090"/>
      <c r="AZ94" s="1090"/>
      <c r="BA94" s="1090"/>
      <c r="BB94" s="1090"/>
      <c r="BC94" s="1090"/>
      <c r="BD94" s="1090"/>
      <c r="BE94" s="1090"/>
      <c r="BF94" s="1090"/>
      <c r="BG94" s="1090"/>
      <c r="BH94" s="1090"/>
      <c r="BI94" s="1090"/>
      <c r="BJ94" s="1090"/>
      <c r="BK94" s="1090"/>
      <c r="BL94" s="1090"/>
      <c r="BM94" s="1090"/>
      <c r="BN94" s="1090"/>
      <c r="BO94" s="1090"/>
      <c r="BP94" s="1090"/>
      <c r="BQ94" s="1090"/>
      <c r="BR94" s="1090"/>
      <c r="BS94" s="1090"/>
      <c r="BT94" s="1090"/>
      <c r="BU94" s="1090"/>
    </row>
    <row r="95" spans="1:73" x14ac:dyDescent="0.25">
      <c r="A95" s="1090"/>
      <c r="B95" s="1094" t="str">
        <f>+$B$9</f>
        <v>Total Fixed Operating Cost</v>
      </c>
      <c r="C95" s="1112">
        <f ca="1">+ROUND(H9,0)</f>
        <v>3890292</v>
      </c>
      <c r="D95" s="1094" t="str">
        <f t="shared" ca="1" si="27"/>
        <v>Total Fixed Operating Cost = $3,890K</v>
      </c>
      <c r="E95" s="1107">
        <f t="shared" si="30"/>
        <v>4.4708105951578627</v>
      </c>
      <c r="F95" s="1107">
        <f t="shared" si="30"/>
        <v>0</v>
      </c>
      <c r="G95" s="1107">
        <f t="shared" si="30"/>
        <v>1.4628936520036421E-3</v>
      </c>
      <c r="H95" s="1107">
        <f t="shared" si="30"/>
        <v>0.12660122405571292</v>
      </c>
      <c r="I95" s="1107">
        <f t="shared" si="30"/>
        <v>3.8391561664007375E-2</v>
      </c>
      <c r="J95" s="1107">
        <f t="shared" si="30"/>
        <v>1.9083696915245578E-2</v>
      </c>
      <c r="K95" s="1107">
        <f t="shared" si="30"/>
        <v>1.3035857655690258E-3</v>
      </c>
      <c r="L95" s="1107">
        <f t="shared" si="30"/>
        <v>1.45689312506103E-3</v>
      </c>
      <c r="M95" s="1107">
        <f t="shared" si="30"/>
        <v>0.21975947433514567</v>
      </c>
      <c r="N95" s="1107">
        <f t="shared" si="30"/>
        <v>3.9660070019776885</v>
      </c>
      <c r="O95" s="1107">
        <f t="shared" si="30"/>
        <v>0</v>
      </c>
      <c r="P95" s="1107">
        <f t="shared" si="30"/>
        <v>9.4523053561131991E-3</v>
      </c>
      <c r="Q95" s="1107">
        <f t="shared" si="30"/>
        <v>7.5411049199456293E-2</v>
      </c>
      <c r="R95" s="1107">
        <f t="shared" si="30"/>
        <v>1.0689405215911872E-2</v>
      </c>
      <c r="S95" s="1107">
        <f t="shared" si="30"/>
        <v>4.1172911999507716E-3</v>
      </c>
      <c r="T95" s="1090"/>
      <c r="U95" s="1090"/>
      <c r="V95" s="1090"/>
      <c r="W95" s="1090"/>
      <c r="X95" s="1090"/>
      <c r="Y95" s="1090"/>
      <c r="Z95" s="1090"/>
      <c r="AA95" s="1090"/>
      <c r="AB95" s="1090"/>
      <c r="AC95" s="1090"/>
      <c r="AD95" s="1090"/>
      <c r="AE95" s="1090"/>
      <c r="AF95" s="1090"/>
      <c r="AG95" s="1090"/>
      <c r="AH95" s="1090"/>
      <c r="AI95" s="1090"/>
      <c r="AJ95" s="1090"/>
      <c r="AK95" s="1090"/>
      <c r="AL95" s="1090"/>
      <c r="AM95" s="1090"/>
      <c r="AN95" s="1090"/>
      <c r="AO95" s="1090"/>
      <c r="AP95" s="1090"/>
      <c r="AQ95" s="1090"/>
      <c r="AR95" s="1090"/>
      <c r="AS95" s="1090"/>
      <c r="AT95" s="1090"/>
      <c r="AU95" s="1090"/>
      <c r="AV95" s="1090"/>
      <c r="AW95" s="1090"/>
      <c r="AX95" s="1090"/>
      <c r="AY95" s="1090"/>
      <c r="AZ95" s="1090"/>
      <c r="BA95" s="1090"/>
      <c r="BB95" s="1090"/>
      <c r="BC95" s="1090"/>
      <c r="BD95" s="1090"/>
      <c r="BE95" s="1090"/>
      <c r="BF95" s="1090"/>
      <c r="BG95" s="1090"/>
      <c r="BH95" s="1090"/>
      <c r="BI95" s="1090"/>
      <c r="BJ95" s="1090"/>
      <c r="BK95" s="1090"/>
      <c r="BL95" s="1090"/>
      <c r="BM95" s="1090"/>
      <c r="BN95" s="1090"/>
      <c r="BO95" s="1090"/>
      <c r="BP95" s="1090"/>
      <c r="BQ95" s="1090"/>
      <c r="BR95" s="1090"/>
      <c r="BS95" s="1090"/>
      <c r="BT95" s="1090"/>
      <c r="BU95" s="1090"/>
    </row>
    <row r="96" spans="1:73" x14ac:dyDescent="0.25">
      <c r="A96" s="1090"/>
      <c r="B96" s="1094" t="str">
        <f t="shared" ref="B96:B97" si="31">+$B$9</f>
        <v>Total Fixed Operating Cost</v>
      </c>
      <c r="C96" s="1112">
        <f ca="1">+ROUND(C9,0)</f>
        <v>4095044</v>
      </c>
      <c r="D96" s="1094" t="str">
        <f t="shared" ca="1" si="27"/>
        <v>Total Fixed Operating Cost = $4,095K</v>
      </c>
      <c r="E96" s="1107">
        <f t="shared" ref="E96:S96" si="32">+K$51</f>
        <v>4.4824477404691674</v>
      </c>
      <c r="F96" s="1107">
        <f t="shared" si="32"/>
        <v>0</v>
      </c>
      <c r="G96" s="1107">
        <f t="shared" si="32"/>
        <v>1.4628936520036421E-3</v>
      </c>
      <c r="H96" s="1107">
        <f t="shared" si="32"/>
        <v>0.12660122405571292</v>
      </c>
      <c r="I96" s="1107">
        <f t="shared" si="32"/>
        <v>3.8391561664007375E-2</v>
      </c>
      <c r="J96" s="1107">
        <f t="shared" si="32"/>
        <v>1.9136315463353638E-2</v>
      </c>
      <c r="K96" s="1107">
        <f t="shared" si="32"/>
        <v>1.3035857655690258E-3</v>
      </c>
      <c r="L96" s="1107">
        <f t="shared" si="32"/>
        <v>1.45689312506103E-3</v>
      </c>
      <c r="M96" s="1107">
        <f t="shared" si="32"/>
        <v>0.23132576245804806</v>
      </c>
      <c r="N96" s="1107">
        <f t="shared" si="32"/>
        <v>3.9660070019776885</v>
      </c>
      <c r="O96" s="1107">
        <f t="shared" si="32"/>
        <v>0</v>
      </c>
      <c r="P96" s="1107">
        <f t="shared" si="32"/>
        <v>9.4523053561131991E-3</v>
      </c>
      <c r="Q96" s="1107">
        <f t="shared" si="32"/>
        <v>7.5411049199456293E-2</v>
      </c>
      <c r="R96" s="1107">
        <f t="shared" si="32"/>
        <v>1.0707643856206782E-2</v>
      </c>
      <c r="S96" s="1107">
        <f t="shared" si="32"/>
        <v>4.1172911999507716E-3</v>
      </c>
      <c r="T96" s="1090"/>
      <c r="U96" s="1090"/>
      <c r="V96" s="1090"/>
      <c r="W96" s="1090"/>
      <c r="X96" s="1090"/>
      <c r="Y96" s="1090"/>
      <c r="Z96" s="1090"/>
      <c r="AA96" s="1090"/>
      <c r="AB96" s="1090"/>
      <c r="AC96" s="1090"/>
      <c r="AD96" s="1090"/>
      <c r="AE96" s="1090"/>
      <c r="AF96" s="1090"/>
      <c r="AG96" s="1090"/>
      <c r="AH96" s="1090"/>
      <c r="AI96" s="1090"/>
      <c r="AJ96" s="1090"/>
      <c r="AK96" s="1090"/>
      <c r="AL96" s="1090"/>
      <c r="AM96" s="1090"/>
      <c r="AN96" s="1090"/>
      <c r="AO96" s="1090"/>
      <c r="AP96" s="1090"/>
      <c r="AQ96" s="1090"/>
      <c r="AR96" s="1090"/>
      <c r="AS96" s="1090"/>
      <c r="AT96" s="1090"/>
      <c r="AU96" s="1090"/>
      <c r="AV96" s="1090"/>
      <c r="AW96" s="1090"/>
      <c r="AX96" s="1090"/>
      <c r="AY96" s="1090"/>
      <c r="AZ96" s="1090"/>
      <c r="BA96" s="1090"/>
      <c r="BB96" s="1090"/>
      <c r="BC96" s="1090"/>
      <c r="BD96" s="1090"/>
      <c r="BE96" s="1090"/>
      <c r="BF96" s="1090"/>
      <c r="BG96" s="1090"/>
      <c r="BH96" s="1090"/>
      <c r="BI96" s="1090"/>
      <c r="BJ96" s="1090"/>
      <c r="BK96" s="1090"/>
      <c r="BL96" s="1090"/>
      <c r="BM96" s="1090"/>
      <c r="BN96" s="1090"/>
      <c r="BO96" s="1090"/>
      <c r="BP96" s="1090"/>
      <c r="BQ96" s="1090"/>
      <c r="BR96" s="1090"/>
      <c r="BS96" s="1090"/>
      <c r="BT96" s="1090"/>
      <c r="BU96" s="1090"/>
    </row>
    <row r="97" spans="1:73" x14ac:dyDescent="0.25">
      <c r="A97" s="1090"/>
      <c r="B97" s="1094" t="str">
        <f t="shared" si="31"/>
        <v>Total Fixed Operating Cost</v>
      </c>
      <c r="C97" s="1112">
        <f ca="1">+ROUND(I9,0)</f>
        <v>4299797</v>
      </c>
      <c r="D97" s="1094" t="str">
        <f t="shared" ca="1" si="27"/>
        <v>Total Fixed Operating Cost = $4,300K</v>
      </c>
      <c r="E97" s="1107">
        <f t="shared" ref="E97:S97" si="33">+K65</f>
        <v>4.4940848857804729</v>
      </c>
      <c r="F97" s="1107">
        <f t="shared" si="33"/>
        <v>0</v>
      </c>
      <c r="G97" s="1107">
        <f t="shared" si="33"/>
        <v>1.4628936520036421E-3</v>
      </c>
      <c r="H97" s="1107">
        <f t="shared" si="33"/>
        <v>0.12660122405571292</v>
      </c>
      <c r="I97" s="1107">
        <f t="shared" si="33"/>
        <v>3.8391561664007375E-2</v>
      </c>
      <c r="J97" s="1107">
        <f t="shared" si="33"/>
        <v>1.9188934011461694E-2</v>
      </c>
      <c r="K97" s="1107">
        <f t="shared" si="33"/>
        <v>1.3035857655690258E-3</v>
      </c>
      <c r="L97" s="1107">
        <f t="shared" si="33"/>
        <v>1.45689312506103E-3</v>
      </c>
      <c r="M97" s="1107">
        <f t="shared" si="33"/>
        <v>0.24289205058095054</v>
      </c>
      <c r="N97" s="1107">
        <f t="shared" si="33"/>
        <v>3.9660070019776885</v>
      </c>
      <c r="O97" s="1107">
        <f t="shared" si="33"/>
        <v>0</v>
      </c>
      <c r="P97" s="1107">
        <f t="shared" si="33"/>
        <v>9.4523053561131991E-3</v>
      </c>
      <c r="Q97" s="1107">
        <f t="shared" si="33"/>
        <v>7.5411049199456293E-2</v>
      </c>
      <c r="R97" s="1107">
        <f t="shared" si="33"/>
        <v>1.0725882496501665E-2</v>
      </c>
      <c r="S97" s="1107">
        <f t="shared" si="33"/>
        <v>4.1172911999507716E-3</v>
      </c>
      <c r="T97" s="1090"/>
      <c r="U97" s="1090"/>
      <c r="V97" s="1090"/>
      <c r="W97" s="1090"/>
      <c r="X97" s="1090"/>
      <c r="Y97" s="1090"/>
      <c r="Z97" s="1090"/>
      <c r="AA97" s="1090"/>
      <c r="AB97" s="1090"/>
      <c r="AC97" s="1090"/>
      <c r="AD97" s="1090"/>
      <c r="AE97" s="1090"/>
      <c r="AF97" s="1090"/>
      <c r="AG97" s="1090"/>
      <c r="AH97" s="1090"/>
      <c r="AI97" s="1090"/>
      <c r="AJ97" s="1090"/>
      <c r="AK97" s="1090"/>
      <c r="AL97" s="1090"/>
      <c r="AM97" s="1090"/>
      <c r="AN97" s="1090"/>
      <c r="AO97" s="1090"/>
      <c r="AP97" s="1090"/>
      <c r="AQ97" s="1090"/>
      <c r="AR97" s="1090"/>
      <c r="AS97" s="1090"/>
      <c r="AT97" s="1090"/>
      <c r="AU97" s="1090"/>
      <c r="AV97" s="1090"/>
      <c r="AW97" s="1090"/>
      <c r="AX97" s="1090"/>
      <c r="AY97" s="1090"/>
      <c r="AZ97" s="1090"/>
      <c r="BA97" s="1090"/>
      <c r="BB97" s="1090"/>
      <c r="BC97" s="1090"/>
      <c r="BD97" s="1090"/>
      <c r="BE97" s="1090"/>
      <c r="BF97" s="1090"/>
      <c r="BG97" s="1090"/>
      <c r="BH97" s="1090"/>
      <c r="BI97" s="1090"/>
      <c r="BJ97" s="1090"/>
      <c r="BK97" s="1090"/>
      <c r="BL97" s="1090"/>
      <c r="BM97" s="1090"/>
      <c r="BN97" s="1090"/>
      <c r="BO97" s="1090"/>
      <c r="BP97" s="1090"/>
      <c r="BQ97" s="1090"/>
      <c r="BR97" s="1090"/>
      <c r="BS97" s="1090"/>
      <c r="BT97" s="1090"/>
      <c r="BU97" s="1090"/>
    </row>
    <row r="98" spans="1:73" x14ac:dyDescent="0.25">
      <c r="A98" s="1090"/>
      <c r="B98" s="1090"/>
      <c r="C98" s="1090"/>
      <c r="D98" s="1090"/>
      <c r="E98" s="1090"/>
      <c r="F98" s="1090"/>
      <c r="G98" s="1090"/>
      <c r="H98" s="1090"/>
      <c r="I98" s="1090"/>
      <c r="J98" s="1090"/>
      <c r="K98" s="1090"/>
      <c r="L98" s="1090"/>
      <c r="M98" s="1090"/>
      <c r="N98" s="1090"/>
      <c r="O98" s="1090"/>
      <c r="P98" s="1090"/>
      <c r="Q98" s="1090"/>
      <c r="R98" s="1090"/>
      <c r="S98" s="1090"/>
      <c r="T98" s="1090"/>
      <c r="U98" s="1090"/>
      <c r="V98" s="1090"/>
      <c r="W98" s="1090"/>
      <c r="X98" s="1090"/>
      <c r="Y98" s="1090"/>
      <c r="Z98" s="1090"/>
      <c r="AA98" s="1090"/>
      <c r="AB98" s="1090"/>
      <c r="AC98" s="1090"/>
      <c r="AD98" s="1090"/>
      <c r="AE98" s="1090"/>
      <c r="AF98" s="1090"/>
      <c r="AG98" s="1090"/>
      <c r="AH98" s="1090"/>
      <c r="AI98" s="1090"/>
      <c r="AJ98" s="1090"/>
      <c r="AK98" s="1090"/>
      <c r="AL98" s="1090"/>
      <c r="AM98" s="1090"/>
      <c r="AN98" s="1090"/>
      <c r="AO98" s="1090"/>
      <c r="AP98" s="1090"/>
      <c r="AQ98" s="1090"/>
      <c r="AR98" s="1090"/>
      <c r="AS98" s="1090"/>
      <c r="AT98" s="1090"/>
      <c r="AU98" s="1090"/>
      <c r="AV98" s="1090"/>
      <c r="AW98" s="1090"/>
      <c r="AX98" s="1090"/>
      <c r="AY98" s="1090"/>
      <c r="AZ98" s="1090"/>
      <c r="BA98" s="1090"/>
      <c r="BB98" s="1090"/>
      <c r="BC98" s="1090"/>
      <c r="BD98" s="1090"/>
      <c r="BE98" s="1090"/>
      <c r="BF98" s="1090"/>
      <c r="BG98" s="1090"/>
      <c r="BH98" s="1090"/>
      <c r="BI98" s="1090"/>
      <c r="BJ98" s="1090"/>
      <c r="BK98" s="1090"/>
      <c r="BL98" s="1090"/>
      <c r="BM98" s="1090"/>
      <c r="BN98" s="1090"/>
      <c r="BO98" s="1090"/>
      <c r="BP98" s="1090"/>
      <c r="BQ98" s="1090"/>
      <c r="BR98" s="1090"/>
      <c r="BS98" s="1090"/>
      <c r="BT98" s="1090"/>
      <c r="BU98" s="1090"/>
    </row>
    <row r="99" spans="1:73" x14ac:dyDescent="0.25">
      <c r="A99" s="1090"/>
      <c r="B99" s="1090"/>
      <c r="C99" s="1090"/>
      <c r="D99" s="1090"/>
      <c r="E99" s="1090"/>
      <c r="F99" s="1090"/>
      <c r="G99" s="1090"/>
      <c r="H99" s="1090"/>
      <c r="I99" s="1090"/>
      <c r="J99" s="1090"/>
      <c r="K99" s="1090"/>
      <c r="L99" s="1090"/>
      <c r="M99" s="1090"/>
      <c r="N99" s="1090"/>
      <c r="O99" s="1090"/>
      <c r="P99" s="1090"/>
      <c r="Q99" s="1090"/>
      <c r="R99" s="1090"/>
      <c r="S99" s="1090"/>
      <c r="T99" s="1090"/>
      <c r="U99" s="1090"/>
      <c r="V99" s="1090"/>
      <c r="W99" s="1090"/>
      <c r="X99" s="1090"/>
      <c r="Y99" s="1090"/>
      <c r="Z99" s="1090"/>
      <c r="AA99" s="1090"/>
      <c r="AB99" s="1090"/>
      <c r="AC99" s="1090"/>
      <c r="AD99" s="1090"/>
      <c r="AE99" s="1090"/>
      <c r="AF99" s="1090"/>
      <c r="AG99" s="1090"/>
      <c r="AH99" s="1090"/>
      <c r="AI99" s="1090"/>
      <c r="AJ99" s="1090"/>
      <c r="AK99" s="1090"/>
      <c r="AL99" s="1090"/>
      <c r="AM99" s="1090"/>
      <c r="AN99" s="1090"/>
      <c r="AO99" s="1090"/>
      <c r="AP99" s="1090"/>
      <c r="AQ99" s="1090"/>
      <c r="AR99" s="1090"/>
      <c r="AS99" s="1090"/>
      <c r="AT99" s="1090"/>
      <c r="AU99" s="1090"/>
      <c r="AV99" s="1090"/>
      <c r="AW99" s="1090"/>
      <c r="AX99" s="1090"/>
      <c r="AY99" s="1090"/>
      <c r="AZ99" s="1090"/>
      <c r="BA99" s="1090"/>
      <c r="BB99" s="1090"/>
      <c r="BC99" s="1090"/>
      <c r="BD99" s="1090"/>
      <c r="BE99" s="1090"/>
      <c r="BF99" s="1090"/>
      <c r="BG99" s="1090"/>
      <c r="BH99" s="1090"/>
      <c r="BI99" s="1090"/>
      <c r="BJ99" s="1090"/>
      <c r="BK99" s="1090"/>
      <c r="BL99" s="1090"/>
      <c r="BM99" s="1090"/>
      <c r="BN99" s="1090"/>
      <c r="BO99" s="1090"/>
      <c r="BP99" s="1090"/>
      <c r="BQ99" s="1090"/>
      <c r="BR99" s="1090"/>
      <c r="BS99" s="1090"/>
      <c r="BT99" s="1090"/>
      <c r="BU99" s="1090"/>
    </row>
    <row r="100" spans="1:73" ht="26" x14ac:dyDescent="0.3">
      <c r="A100" s="1090"/>
      <c r="B100" s="1092" t="s">
        <v>1148</v>
      </c>
      <c r="C100" s="1113" t="s">
        <v>1147</v>
      </c>
      <c r="D100" s="1" t="s">
        <v>1157</v>
      </c>
      <c r="E100" s="1092" t="s">
        <v>1153</v>
      </c>
      <c r="F100" s="1092" t="s">
        <v>1154</v>
      </c>
      <c r="G100" s="1092" t="s">
        <v>1155</v>
      </c>
      <c r="H100" s="1092" t="s">
        <v>1149</v>
      </c>
      <c r="I100" s="1092" t="s">
        <v>1150</v>
      </c>
      <c r="J100" s="1092" t="s">
        <v>1151</v>
      </c>
      <c r="K100" s="1090"/>
      <c r="L100" s="1092" t="s">
        <v>1156</v>
      </c>
      <c r="M100" s="1101" t="s">
        <v>1159</v>
      </c>
      <c r="N100" s="1101" t="s">
        <v>1142</v>
      </c>
      <c r="O100" s="1090"/>
      <c r="P100" s="1090"/>
      <c r="Q100" s="1090"/>
      <c r="R100" s="1090"/>
      <c r="S100" s="1090"/>
      <c r="T100" s="1090"/>
      <c r="U100" s="1090"/>
      <c r="V100" s="1090"/>
      <c r="W100" s="1090"/>
      <c r="X100" s="1090"/>
      <c r="Y100" s="1090"/>
      <c r="Z100" s="1090"/>
      <c r="AA100" s="1090"/>
      <c r="AB100" s="1090"/>
      <c r="AC100" s="1090"/>
      <c r="AD100" s="1090"/>
      <c r="AE100" s="1090"/>
      <c r="AF100" s="1090"/>
      <c r="AG100" s="1090"/>
      <c r="AH100" s="1090"/>
      <c r="AI100" s="1090"/>
      <c r="AJ100" s="1090"/>
      <c r="AK100" s="1090"/>
      <c r="AL100" s="1090"/>
      <c r="AM100" s="1090"/>
      <c r="AN100" s="1090"/>
      <c r="AO100" s="1090"/>
      <c r="AP100" s="1090"/>
      <c r="AQ100" s="1090"/>
      <c r="AR100" s="1090"/>
      <c r="AS100" s="1090"/>
      <c r="AT100" s="1090"/>
      <c r="AU100" s="1090"/>
      <c r="AV100" s="1090"/>
      <c r="AW100" s="1090"/>
      <c r="AX100" s="1090"/>
      <c r="AY100" s="1090"/>
      <c r="AZ100" s="1090"/>
      <c r="BA100" s="1090"/>
      <c r="BB100" s="1090"/>
      <c r="BC100" s="1090"/>
      <c r="BD100" s="1090"/>
      <c r="BE100" s="1090"/>
      <c r="BF100" s="1090"/>
      <c r="BG100" s="1090"/>
      <c r="BH100" s="1090"/>
      <c r="BI100" s="1090"/>
      <c r="BJ100" s="1090"/>
      <c r="BK100" s="1090"/>
      <c r="BL100" s="1090"/>
      <c r="BM100" s="1090"/>
      <c r="BN100" s="1090"/>
      <c r="BO100" s="1090"/>
      <c r="BP100" s="1090"/>
      <c r="BQ100" s="1090"/>
      <c r="BR100" s="1090"/>
      <c r="BS100" s="1090"/>
      <c r="BT100" s="1090"/>
      <c r="BU100" s="1090"/>
    </row>
    <row r="101" spans="1:73" ht="13" x14ac:dyDescent="0.3">
      <c r="A101" s="1090"/>
      <c r="B101" s="1090"/>
      <c r="C101" s="1114">
        <v>1</v>
      </c>
      <c r="D101" s="1094" t="str">
        <f t="shared" ref="D101:D107" ca="1" si="34">OFFSET(L$100,MATCH($C101,$N$101:$N$107,0),0)</f>
        <v>Feedstock Consumption (% of baseline)
(95%, 100%, 105%)</v>
      </c>
      <c r="E101" s="1189">
        <f t="shared" ref="E101:E107" ca="1" si="35">OFFSET(E$76,MATCH($C101,$N$101:$N$107,0)*3-2,0)</f>
        <v>4.262659649683866</v>
      </c>
      <c r="F101" s="1189">
        <f t="shared" ref="F101:F107" si="36">+$K$51</f>
        <v>4.4824477404691674</v>
      </c>
      <c r="G101" s="1189">
        <f t="shared" ref="G101:G107" ca="1" si="37">OFFSET(E$76,MATCH($C101,$N$101:$N$107,0)*3,0)</f>
        <v>4.7022358312544688</v>
      </c>
      <c r="H101" s="1094">
        <f ca="1">+E101</f>
        <v>4.262659649683866</v>
      </c>
      <c r="I101" s="1094">
        <f ca="1">+F101-E101</f>
        <v>0.21978809078530137</v>
      </c>
      <c r="J101" s="1094">
        <f ca="1">+G101-F101</f>
        <v>0.21978809078530137</v>
      </c>
      <c r="K101" s="1090"/>
      <c r="L101" s="1094" t="str">
        <f ca="1">+B3&amp;"
("&amp;TEXT(H3,"0%, ")&amp;TEXT(C3,"0%, ")&amp;TEXT(I3,"0%)")</f>
        <v>Operating Capacity Factor
(102%, 97%, 92%)</v>
      </c>
      <c r="M101" s="1104">
        <f>ABS(K52-K53)+0.000000001</f>
        <v>4.8384585670015051E-2</v>
      </c>
      <c r="N101" s="1094">
        <f t="shared" ref="N101:N107" si="38">+RANK(M101,$M$101:$M$107)</f>
        <v>2</v>
      </c>
      <c r="O101" s="1101"/>
      <c r="P101" s="1090"/>
      <c r="Q101" s="1090"/>
      <c r="R101" s="1090"/>
      <c r="S101" s="1090"/>
      <c r="T101" s="1090"/>
      <c r="U101" s="1090"/>
      <c r="V101" s="1090"/>
      <c r="W101" s="1090"/>
      <c r="X101" s="1090"/>
      <c r="Y101" s="1090"/>
      <c r="Z101" s="1090"/>
      <c r="AA101" s="1090"/>
      <c r="AB101" s="1090"/>
      <c r="AC101" s="1090"/>
      <c r="AD101" s="1090"/>
      <c r="AE101" s="1090"/>
      <c r="AF101" s="1090"/>
      <c r="AG101" s="1090"/>
      <c r="AH101" s="1090"/>
      <c r="AI101" s="1090"/>
      <c r="AJ101" s="1090"/>
      <c r="AK101" s="1090"/>
      <c r="AL101" s="1090"/>
      <c r="AM101" s="1090"/>
      <c r="AN101" s="1090"/>
      <c r="AO101" s="1090"/>
      <c r="AP101" s="1090"/>
      <c r="AQ101" s="1090"/>
      <c r="AR101" s="1090"/>
      <c r="AS101" s="1090"/>
      <c r="AT101" s="1090"/>
      <c r="AU101" s="1090"/>
      <c r="AV101" s="1090"/>
      <c r="AW101" s="1090"/>
      <c r="AX101" s="1090"/>
      <c r="AY101" s="1090"/>
      <c r="AZ101" s="1090"/>
      <c r="BA101" s="1090"/>
      <c r="BB101" s="1090"/>
      <c r="BC101" s="1090"/>
      <c r="BD101" s="1090"/>
      <c r="BE101" s="1090"/>
      <c r="BF101" s="1090"/>
      <c r="BG101" s="1090"/>
      <c r="BH101" s="1090"/>
      <c r="BI101" s="1090"/>
      <c r="BJ101" s="1090"/>
      <c r="BK101" s="1090"/>
      <c r="BL101" s="1090"/>
      <c r="BM101" s="1090"/>
      <c r="BN101" s="1090"/>
      <c r="BO101" s="1090"/>
      <c r="BP101" s="1090"/>
      <c r="BQ101" s="1090"/>
      <c r="BR101" s="1090"/>
      <c r="BS101" s="1090"/>
      <c r="BT101" s="1090"/>
      <c r="BU101" s="1090"/>
    </row>
    <row r="102" spans="1:73" ht="13" x14ac:dyDescent="0.3">
      <c r="A102" s="1090"/>
      <c r="B102" s="1090"/>
      <c r="C102" s="1114">
        <v>2</v>
      </c>
      <c r="D102" s="1094" t="str">
        <f t="shared" ca="1" si="34"/>
        <v>Operating Capacity Factor
(102%, 97%, 92%)</v>
      </c>
      <c r="E102" s="1189">
        <f t="shared" ca="1" si="35"/>
        <v>4.4594650627509109</v>
      </c>
      <c r="F102" s="1189">
        <f t="shared" si="36"/>
        <v>4.4824477404691674</v>
      </c>
      <c r="G102" s="1189">
        <f t="shared" ca="1" si="37"/>
        <v>4.507849647420926</v>
      </c>
      <c r="H102" s="1094">
        <f t="shared" ref="H102:H107" ca="1" si="39">+E102</f>
        <v>4.4594650627509109</v>
      </c>
      <c r="I102" s="1094">
        <f t="shared" ref="I102:I107" ca="1" si="40">+F102-E102</f>
        <v>2.2982677718256461E-2</v>
      </c>
      <c r="J102" s="1094">
        <f t="shared" ref="J102:J107" ca="1" si="41">+G102-F102</f>
        <v>2.540190695175859E-2</v>
      </c>
      <c r="K102" s="1090"/>
      <c r="L102" s="1094" t="str">
        <f ca="1">+B4&amp;"
("&amp;TEXT(H4,"0,000")&amp;", "&amp;TEXT(C4,"0,000")&amp;", "&amp;TEXT(I4,"0,000")&amp;") "</f>
        <v xml:space="preserve">Plant Design Capacity (kg of H2/day)
(52,500, 50,000, 47,500) </v>
      </c>
      <c r="M102" s="1104">
        <f>+ABS(K54-K55)+0.000000002</f>
        <v>1.7080825452204185E-2</v>
      </c>
      <c r="N102" s="1094">
        <f t="shared" si="38"/>
        <v>5</v>
      </c>
      <c r="O102" s="1101"/>
      <c r="P102" s="1090"/>
      <c r="Q102" s="1090"/>
      <c r="R102" s="1090"/>
      <c r="S102" s="1090"/>
      <c r="T102" s="1090"/>
      <c r="U102" s="1090"/>
      <c r="V102" s="1090"/>
      <c r="W102" s="1090"/>
      <c r="X102" s="1090"/>
      <c r="Y102" s="1090"/>
      <c r="Z102" s="1090"/>
      <c r="AA102" s="1090"/>
      <c r="AB102" s="1090"/>
      <c r="AC102" s="1090"/>
      <c r="AD102" s="1090"/>
      <c r="AE102" s="1090"/>
      <c r="AF102" s="1090"/>
      <c r="AG102" s="1090"/>
      <c r="AH102" s="1090"/>
      <c r="AI102" s="1090"/>
      <c r="AJ102" s="1090"/>
      <c r="AK102" s="1090"/>
      <c r="AL102" s="1090"/>
      <c r="AM102" s="1090"/>
      <c r="AN102" s="1090"/>
      <c r="AO102" s="1090"/>
      <c r="AP102" s="1090"/>
      <c r="AQ102" s="1090"/>
      <c r="AR102" s="1090"/>
      <c r="AS102" s="1090"/>
      <c r="AT102" s="1090"/>
      <c r="AU102" s="1090"/>
      <c r="AV102" s="1090"/>
      <c r="AW102" s="1090"/>
      <c r="AX102" s="1090"/>
      <c r="AY102" s="1090"/>
      <c r="AZ102" s="1090"/>
      <c r="BA102" s="1090"/>
      <c r="BB102" s="1090"/>
      <c r="BC102" s="1090"/>
      <c r="BD102" s="1090"/>
      <c r="BE102" s="1090"/>
      <c r="BF102" s="1090"/>
      <c r="BG102" s="1090"/>
      <c r="BH102" s="1090"/>
      <c r="BI102" s="1090"/>
      <c r="BJ102" s="1090"/>
      <c r="BK102" s="1090"/>
      <c r="BL102" s="1090"/>
      <c r="BM102" s="1090"/>
      <c r="BN102" s="1090"/>
      <c r="BO102" s="1090"/>
      <c r="BP102" s="1090"/>
      <c r="BQ102" s="1090"/>
      <c r="BR102" s="1090"/>
      <c r="BS102" s="1090"/>
      <c r="BT102" s="1090"/>
      <c r="BU102" s="1090"/>
    </row>
    <row r="103" spans="1:73" ht="13" x14ac:dyDescent="0.3">
      <c r="A103" s="1090"/>
      <c r="B103" s="1090"/>
      <c r="C103" s="1114">
        <v>3</v>
      </c>
      <c r="D103" s="1094" t="str">
        <f t="shared" ca="1" si="34"/>
        <v xml:space="preserve">Total Capital Investment
($63,733K, $67,088K, $70,442K) </v>
      </c>
      <c r="E103" s="1189">
        <f t="shared" ca="1" si="35"/>
        <v>4.468439739112223</v>
      </c>
      <c r="F103" s="1189">
        <f t="shared" si="36"/>
        <v>4.4824477404691674</v>
      </c>
      <c r="G103" s="1189">
        <f t="shared" ca="1" si="37"/>
        <v>4.4964557418261117</v>
      </c>
      <c r="H103" s="1094">
        <f t="shared" ca="1" si="39"/>
        <v>4.468439739112223</v>
      </c>
      <c r="I103" s="1094">
        <f t="shared" ca="1" si="40"/>
        <v>1.4008001356944355E-2</v>
      </c>
      <c r="J103" s="1094">
        <f t="shared" ca="1" si="41"/>
        <v>1.4008001356944355E-2</v>
      </c>
      <c r="K103" s="1090"/>
      <c r="L103" s="1094" t="str">
        <f ca="1">+B5&amp;"
("&amp;TEXT(H5,"0%, ")&amp;TEXT(C5,"0%, ")&amp;TEXT(I5,"0%)")</f>
        <v>After-tax Real IRR
(8%, 8%, 8%)</v>
      </c>
      <c r="M103" s="1104">
        <f>+ABS(K56-K57)+0.000000003</f>
        <v>1.0943205340189196E-2</v>
      </c>
      <c r="N103" s="1094">
        <f t="shared" si="38"/>
        <v>6</v>
      </c>
      <c r="O103" s="1101"/>
      <c r="P103" s="1090"/>
      <c r="Q103" s="1090"/>
      <c r="R103" s="1090"/>
      <c r="S103" s="1090"/>
      <c r="T103" s="1090"/>
      <c r="U103" s="1090"/>
      <c r="V103" s="1090"/>
      <c r="W103" s="1090"/>
      <c r="X103" s="1090"/>
      <c r="Y103" s="1090"/>
      <c r="Z103" s="1090"/>
      <c r="AA103" s="1090"/>
      <c r="AB103" s="1090"/>
      <c r="AC103" s="1090"/>
      <c r="AD103" s="1090"/>
      <c r="AE103" s="1090"/>
      <c r="AF103" s="1090"/>
      <c r="AG103" s="1090"/>
      <c r="AH103" s="1090"/>
      <c r="AI103" s="1090"/>
      <c r="AJ103" s="1090"/>
      <c r="AK103" s="1090"/>
      <c r="AL103" s="1090"/>
      <c r="AM103" s="1090"/>
      <c r="AN103" s="1090"/>
      <c r="AO103" s="1090"/>
      <c r="AP103" s="1090"/>
      <c r="AQ103" s="1090"/>
      <c r="AR103" s="1090"/>
      <c r="AS103" s="1090"/>
      <c r="AT103" s="1090"/>
      <c r="AU103" s="1090"/>
      <c r="AV103" s="1090"/>
      <c r="AW103" s="1090"/>
      <c r="AX103" s="1090"/>
      <c r="AY103" s="1090"/>
      <c r="AZ103" s="1090"/>
      <c r="BA103" s="1090"/>
      <c r="BB103" s="1090"/>
      <c r="BC103" s="1090"/>
      <c r="BD103" s="1090"/>
      <c r="BE103" s="1090"/>
      <c r="BF103" s="1090"/>
      <c r="BG103" s="1090"/>
      <c r="BH103" s="1090"/>
      <c r="BI103" s="1090"/>
      <c r="BJ103" s="1090"/>
      <c r="BK103" s="1090"/>
      <c r="BL103" s="1090"/>
      <c r="BM103" s="1090"/>
      <c r="BN103" s="1090"/>
      <c r="BO103" s="1090"/>
      <c r="BP103" s="1090"/>
      <c r="BQ103" s="1090"/>
      <c r="BR103" s="1090"/>
      <c r="BS103" s="1090"/>
      <c r="BT103" s="1090"/>
      <c r="BU103" s="1090"/>
    </row>
    <row r="104" spans="1:73" ht="13" x14ac:dyDescent="0.3">
      <c r="A104" s="1090"/>
      <c r="B104" s="1090"/>
      <c r="C104" s="1114">
        <v>4</v>
      </c>
      <c r="D104" s="1094" t="str">
        <f t="shared" ca="1" si="34"/>
        <v xml:space="preserve">Total Fixed Operating Cost
($3,890K, $4,095K, $4,300K) </v>
      </c>
      <c r="E104" s="1189">
        <f t="shared" ca="1" si="35"/>
        <v>4.4708105951578627</v>
      </c>
      <c r="F104" s="1189">
        <f t="shared" si="36"/>
        <v>4.4824477404691674</v>
      </c>
      <c r="G104" s="1189">
        <f t="shared" ca="1" si="37"/>
        <v>4.4940848857804729</v>
      </c>
      <c r="H104" s="1094">
        <f t="shared" ca="1" si="39"/>
        <v>4.4708105951578627</v>
      </c>
      <c r="I104" s="1094">
        <f t="shared" ca="1" si="40"/>
        <v>1.1637145311304664E-2</v>
      </c>
      <c r="J104" s="1094">
        <f t="shared" ca="1" si="41"/>
        <v>1.1637145311305552E-2</v>
      </c>
      <c r="K104" s="1090"/>
      <c r="L104" s="1094" t="str">
        <f>+B6&amp;"
("&amp;TEXT(H6,"0%, ")&amp;TEXT(C6,"0%, ")&amp;TEXT(I6,"0%)")</f>
        <v>Feedstock Consumption (% of baseline)
(95%, 100%, 105%)</v>
      </c>
      <c r="M104" s="1104">
        <f>+ABS(K58-K59)+0.000000004</f>
        <v>0.43957618557060274</v>
      </c>
      <c r="N104" s="1094">
        <f t="shared" si="38"/>
        <v>1</v>
      </c>
      <c r="O104" s="1101"/>
      <c r="P104" s="1090"/>
      <c r="Q104" s="1090"/>
      <c r="R104" s="1090"/>
      <c r="S104" s="1090"/>
      <c r="T104" s="1090"/>
      <c r="U104" s="1090"/>
      <c r="V104" s="1090"/>
      <c r="W104" s="1090"/>
      <c r="X104" s="1090"/>
      <c r="Y104" s="1090"/>
      <c r="Z104" s="1090"/>
      <c r="AA104" s="1090"/>
      <c r="AB104" s="1090"/>
      <c r="AC104" s="1090"/>
      <c r="AD104" s="1090"/>
      <c r="AE104" s="1090"/>
      <c r="AF104" s="1090"/>
      <c r="AG104" s="1090"/>
      <c r="AH104" s="1090"/>
      <c r="AI104" s="1090"/>
      <c r="AJ104" s="1090"/>
      <c r="AK104" s="1090"/>
      <c r="AL104" s="1090"/>
      <c r="AM104" s="1090"/>
      <c r="AN104" s="1090"/>
      <c r="AO104" s="1090"/>
      <c r="AP104" s="1090"/>
      <c r="AQ104" s="1090"/>
      <c r="AR104" s="1090"/>
      <c r="AS104" s="1090"/>
      <c r="AT104" s="1090"/>
      <c r="AU104" s="1090"/>
      <c r="AV104" s="1090"/>
      <c r="AW104" s="1090"/>
      <c r="AX104" s="1090"/>
      <c r="AY104" s="1090"/>
      <c r="AZ104" s="1090"/>
      <c r="BA104" s="1090"/>
      <c r="BB104" s="1090"/>
      <c r="BC104" s="1090"/>
      <c r="BD104" s="1090"/>
      <c r="BE104" s="1090"/>
      <c r="BF104" s="1090"/>
      <c r="BG104" s="1090"/>
      <c r="BH104" s="1090"/>
      <c r="BI104" s="1090"/>
      <c r="BJ104" s="1090"/>
      <c r="BK104" s="1090"/>
      <c r="BL104" s="1090"/>
      <c r="BM104" s="1090"/>
      <c r="BN104" s="1090"/>
      <c r="BO104" s="1090"/>
      <c r="BP104" s="1090"/>
      <c r="BQ104" s="1090"/>
      <c r="BR104" s="1090"/>
      <c r="BS104" s="1090"/>
      <c r="BT104" s="1090"/>
      <c r="BU104" s="1090"/>
    </row>
    <row r="105" spans="1:73" ht="13" x14ac:dyDescent="0.3">
      <c r="A105" s="1090"/>
      <c r="B105" s="1090"/>
      <c r="C105" s="1114">
        <v>5</v>
      </c>
      <c r="D105" s="1094" t="str">
        <f t="shared" ca="1" si="34"/>
        <v xml:space="preserve">Plant Design Capacity (kg of H2/day)
(52,500, 50,000, 47,500) </v>
      </c>
      <c r="E105" s="1189">
        <f t="shared" ca="1" si="35"/>
        <v>4.4742432312590292</v>
      </c>
      <c r="F105" s="1189">
        <f t="shared" si="36"/>
        <v>4.4824477404691674</v>
      </c>
      <c r="G105" s="1189">
        <f t="shared" ca="1" si="37"/>
        <v>4.4913240547112334</v>
      </c>
      <c r="H105" s="1094">
        <f t="shared" ref="H105" ca="1" si="42">+E105</f>
        <v>4.4742432312590292</v>
      </c>
      <c r="I105" s="1094">
        <f t="shared" ref="I105" ca="1" si="43">+F105-E105</f>
        <v>8.2045092101381556E-3</v>
      </c>
      <c r="J105" s="1094">
        <f t="shared" ref="J105" ca="1" si="44">+G105-F105</f>
        <v>8.8763142420660301E-3</v>
      </c>
      <c r="K105" s="1090"/>
      <c r="L105" s="1094" t="str">
        <f>+B7&amp;"
("&amp;TEXT(H7,"0%, ")&amp;TEXT(C7,"0%, ")&amp;TEXT(I7,"0%)")</f>
        <v>Utilities Consumption (% of baseline)
(95%, 100%, 105%)</v>
      </c>
      <c r="M105" s="1104">
        <f>+ABS(K60-K61)+0.000000004</f>
        <v>4.0000000000000002E-9</v>
      </c>
      <c r="N105" s="1094">
        <f t="shared" si="38"/>
        <v>7</v>
      </c>
      <c r="O105" s="1101"/>
      <c r="P105" s="1090"/>
      <c r="Q105" s="1090"/>
      <c r="R105" s="1090"/>
      <c r="S105" s="1090"/>
      <c r="T105" s="1090"/>
      <c r="U105" s="1090"/>
      <c r="V105" s="1090"/>
      <c r="W105" s="1090"/>
      <c r="X105" s="1090"/>
      <c r="Y105" s="1090"/>
      <c r="Z105" s="1090"/>
      <c r="AA105" s="1090"/>
      <c r="AB105" s="1090"/>
      <c r="AC105" s="1090"/>
      <c r="AD105" s="1090"/>
      <c r="AE105" s="1090"/>
      <c r="AF105" s="1090"/>
      <c r="AG105" s="1090"/>
      <c r="AH105" s="1090"/>
      <c r="AI105" s="1090"/>
      <c r="AJ105" s="1090"/>
      <c r="AK105" s="1090"/>
      <c r="AL105" s="1090"/>
      <c r="AM105" s="1090"/>
      <c r="AN105" s="1090"/>
      <c r="AO105" s="1090"/>
      <c r="AP105" s="1090"/>
      <c r="AQ105" s="1090"/>
      <c r="AR105" s="1090"/>
      <c r="AS105" s="1090"/>
      <c r="AT105" s="1090"/>
      <c r="AU105" s="1090"/>
      <c r="AV105" s="1090"/>
      <c r="AW105" s="1090"/>
      <c r="AX105" s="1090"/>
      <c r="AY105" s="1090"/>
      <c r="AZ105" s="1090"/>
      <c r="BA105" s="1090"/>
      <c r="BB105" s="1090"/>
      <c r="BC105" s="1090"/>
      <c r="BD105" s="1090"/>
      <c r="BE105" s="1090"/>
      <c r="BF105" s="1090"/>
      <c r="BG105" s="1090"/>
      <c r="BH105" s="1090"/>
      <c r="BI105" s="1090"/>
      <c r="BJ105" s="1090"/>
      <c r="BK105" s="1090"/>
      <c r="BL105" s="1090"/>
      <c r="BM105" s="1090"/>
      <c r="BN105" s="1090"/>
      <c r="BO105" s="1090"/>
      <c r="BP105" s="1090"/>
      <c r="BQ105" s="1090"/>
      <c r="BR105" s="1090"/>
      <c r="BS105" s="1090"/>
      <c r="BT105" s="1090"/>
      <c r="BU105" s="1090"/>
    </row>
    <row r="106" spans="1:73" ht="13" x14ac:dyDescent="0.3">
      <c r="A106" s="1090"/>
      <c r="B106" s="1090"/>
      <c r="C106" s="1114">
        <v>6</v>
      </c>
      <c r="D106" s="1094" t="str">
        <f t="shared" ca="1" si="34"/>
        <v>After-tax Real IRR
(8%, 8%, 8%)</v>
      </c>
      <c r="E106" s="1189">
        <f t="shared" ca="1" si="35"/>
        <v>4.4770681758335655</v>
      </c>
      <c r="F106" s="1189">
        <f t="shared" si="36"/>
        <v>4.4824477404691674</v>
      </c>
      <c r="G106" s="1189">
        <f t="shared" ca="1" si="37"/>
        <v>4.4880113781737547</v>
      </c>
      <c r="H106" s="1094">
        <f t="shared" ca="1" si="39"/>
        <v>4.4770681758335655</v>
      </c>
      <c r="I106" s="1094">
        <f t="shared" ca="1" si="40"/>
        <v>5.3795646356018523E-3</v>
      </c>
      <c r="J106" s="1094">
        <f t="shared" ca="1" si="41"/>
        <v>5.5636377045873431E-3</v>
      </c>
      <c r="K106" s="1090"/>
      <c r="L106" s="1094" t="str">
        <f ca="1">+B8&amp;"
("&amp;TEXT(H8/1000,"$0,000K")&amp;", "&amp;TEXT(C8/1000,"$0,000K")&amp;", "&amp;TEXT(I8/1000,"$0,000K")&amp;") "</f>
        <v xml:space="preserve">Total Capital Investment
($63,733K, $67,088K, $70,442K) </v>
      </c>
      <c r="M106" s="1104">
        <f>+ABS(K62-K63)+0.000000006</f>
        <v>2.8016008713888711E-2</v>
      </c>
      <c r="N106" s="1094">
        <f t="shared" si="38"/>
        <v>3</v>
      </c>
      <c r="O106" s="1101"/>
      <c r="P106" s="1090"/>
      <c r="Q106" s="1090"/>
      <c r="R106" s="1090"/>
      <c r="S106" s="1090"/>
      <c r="T106" s="1090"/>
      <c r="U106" s="1090"/>
      <c r="V106" s="1090"/>
      <c r="W106" s="1090"/>
      <c r="X106" s="1090"/>
      <c r="Y106" s="1090"/>
      <c r="Z106" s="1090"/>
      <c r="AA106" s="1090"/>
      <c r="AB106" s="1090"/>
      <c r="AC106" s="1090"/>
      <c r="AD106" s="1090"/>
      <c r="AE106" s="1090"/>
      <c r="AF106" s="1090"/>
      <c r="AG106" s="1090"/>
      <c r="AH106" s="1090"/>
      <c r="AI106" s="1090"/>
      <c r="AJ106" s="1090"/>
      <c r="AK106" s="1090"/>
      <c r="AL106" s="1090"/>
      <c r="AM106" s="1090"/>
      <c r="AN106" s="1090"/>
      <c r="AO106" s="1090"/>
      <c r="AP106" s="1090"/>
      <c r="AQ106" s="1090"/>
      <c r="AR106" s="1090"/>
      <c r="AS106" s="1090"/>
      <c r="AT106" s="1090"/>
      <c r="AU106" s="1090"/>
      <c r="AV106" s="1090"/>
      <c r="AW106" s="1090"/>
      <c r="AX106" s="1090"/>
      <c r="AY106" s="1090"/>
      <c r="AZ106" s="1090"/>
      <c r="BA106" s="1090"/>
      <c r="BB106" s="1090"/>
      <c r="BC106" s="1090"/>
      <c r="BD106" s="1090"/>
      <c r="BE106" s="1090"/>
      <c r="BF106" s="1090"/>
      <c r="BG106" s="1090"/>
      <c r="BH106" s="1090"/>
      <c r="BI106" s="1090"/>
      <c r="BJ106" s="1090"/>
      <c r="BK106" s="1090"/>
      <c r="BL106" s="1090"/>
      <c r="BM106" s="1090"/>
      <c r="BN106" s="1090"/>
      <c r="BO106" s="1090"/>
      <c r="BP106" s="1090"/>
      <c r="BQ106" s="1090"/>
      <c r="BR106" s="1090"/>
      <c r="BS106" s="1090"/>
      <c r="BT106" s="1090"/>
      <c r="BU106" s="1090"/>
    </row>
    <row r="107" spans="1:73" ht="13" x14ac:dyDescent="0.3">
      <c r="A107" s="1090"/>
      <c r="B107" s="1090"/>
      <c r="C107" s="1114">
        <v>7</v>
      </c>
      <c r="D107" s="1094" t="str">
        <f t="shared" ca="1" si="34"/>
        <v>Utilities Consumption (% of baseline)
(95%, 100%, 105%)</v>
      </c>
      <c r="E107" s="1189">
        <f t="shared" ca="1" si="35"/>
        <v>4.4824477404691674</v>
      </c>
      <c r="F107" s="1189">
        <f t="shared" si="36"/>
        <v>4.4824477404691674</v>
      </c>
      <c r="G107" s="1189">
        <f t="shared" ca="1" si="37"/>
        <v>4.4824477404691674</v>
      </c>
      <c r="H107" s="1094">
        <f t="shared" ca="1" si="39"/>
        <v>4.4824477404691674</v>
      </c>
      <c r="I107" s="1094">
        <f t="shared" ca="1" si="40"/>
        <v>0</v>
      </c>
      <c r="J107" s="1094">
        <f t="shared" ca="1" si="41"/>
        <v>0</v>
      </c>
      <c r="K107" s="1090"/>
      <c r="L107" s="1094" t="str">
        <f ca="1">+B9&amp;"
("&amp;TEXT(H9/1000,"$0,000K")&amp;", "&amp;TEXT(C9/1000,"$0,000K")&amp;", "&amp;TEXT(I9/1000,"$0,000K")&amp;") "</f>
        <v xml:space="preserve">Total Fixed Operating Cost
($3,890K, $4,095K, $4,300K) </v>
      </c>
      <c r="M107" s="1104">
        <f>+ABS(K64-K65)+0.00000007</f>
        <v>2.3274360622610218E-2</v>
      </c>
      <c r="N107" s="1094">
        <f t="shared" si="38"/>
        <v>4</v>
      </c>
      <c r="O107" s="1101"/>
      <c r="P107" s="1090"/>
      <c r="Q107" s="1090"/>
      <c r="R107" s="1090"/>
      <c r="S107" s="1090"/>
      <c r="T107" s="1090"/>
      <c r="U107" s="1090"/>
      <c r="V107" s="1090"/>
      <c r="W107" s="1090"/>
      <c r="X107" s="1090"/>
      <c r="Y107" s="1090"/>
      <c r="Z107" s="1090"/>
      <c r="AA107" s="1090"/>
      <c r="AB107" s="1090"/>
      <c r="AC107" s="1090"/>
      <c r="AD107" s="1090"/>
      <c r="AE107" s="1090"/>
      <c r="AF107" s="1090"/>
      <c r="AG107" s="1090"/>
      <c r="AH107" s="1090"/>
      <c r="AI107" s="1090"/>
      <c r="AJ107" s="1090"/>
      <c r="AK107" s="1090"/>
      <c r="AL107" s="1090"/>
      <c r="AM107" s="1090"/>
      <c r="AN107" s="1090"/>
      <c r="AO107" s="1090"/>
      <c r="AP107" s="1090"/>
      <c r="AQ107" s="1090"/>
      <c r="AR107" s="1090"/>
      <c r="AS107" s="1090"/>
      <c r="AT107" s="1090"/>
      <c r="AU107" s="1090"/>
      <c r="AV107" s="1090"/>
      <c r="AW107" s="1090"/>
      <c r="AX107" s="1090"/>
      <c r="AY107" s="1090"/>
      <c r="AZ107" s="1090"/>
      <c r="BA107" s="1090"/>
      <c r="BB107" s="1090"/>
      <c r="BC107" s="1090"/>
      <c r="BD107" s="1090"/>
      <c r="BE107" s="1090"/>
      <c r="BF107" s="1090"/>
      <c r="BG107" s="1090"/>
      <c r="BH107" s="1090"/>
      <c r="BI107" s="1090"/>
      <c r="BJ107" s="1090"/>
      <c r="BK107" s="1090"/>
      <c r="BL107" s="1090"/>
      <c r="BM107" s="1090"/>
      <c r="BN107" s="1090"/>
      <c r="BO107" s="1090"/>
      <c r="BP107" s="1090"/>
      <c r="BQ107" s="1090"/>
      <c r="BR107" s="1090"/>
      <c r="BS107" s="1090"/>
      <c r="BT107" s="1090"/>
      <c r="BU107" s="1090"/>
    </row>
    <row r="108" spans="1:73" x14ac:dyDescent="0.25">
      <c r="A108" s="1090"/>
      <c r="B108" s="1090"/>
      <c r="C108" s="1090"/>
      <c r="D108" s="1090"/>
      <c r="E108" s="1090"/>
      <c r="F108" s="1090"/>
      <c r="G108" s="1090"/>
      <c r="H108" s="1090"/>
      <c r="I108" s="1090"/>
      <c r="J108" s="1090"/>
      <c r="K108" s="1090"/>
      <c r="L108" s="1090"/>
      <c r="M108" s="1090"/>
      <c r="N108" s="1090"/>
      <c r="O108" s="1090"/>
      <c r="P108" s="1090"/>
      <c r="Q108" s="1090"/>
      <c r="R108" s="1090"/>
      <c r="S108" s="1090"/>
      <c r="T108" s="1090"/>
      <c r="U108" s="1090"/>
      <c r="V108" s="1090"/>
      <c r="W108" s="1090"/>
      <c r="X108" s="1090"/>
      <c r="Y108" s="1090"/>
      <c r="Z108" s="1090"/>
      <c r="AA108" s="1090"/>
      <c r="AB108" s="1090"/>
      <c r="AC108" s="1090"/>
      <c r="AD108" s="1090"/>
      <c r="AE108" s="1090"/>
      <c r="AF108" s="1090"/>
      <c r="AG108" s="1090"/>
      <c r="AH108" s="1090"/>
      <c r="AI108" s="1090"/>
      <c r="AJ108" s="1090"/>
      <c r="AK108" s="1090"/>
      <c r="AL108" s="1090"/>
      <c r="AM108" s="1090"/>
      <c r="AN108" s="1090"/>
      <c r="AO108" s="1090"/>
      <c r="AP108" s="1090"/>
      <c r="AQ108" s="1090"/>
      <c r="AR108" s="1090"/>
      <c r="AS108" s="1090"/>
      <c r="AT108" s="1090"/>
      <c r="AU108" s="1090"/>
      <c r="AV108" s="1090"/>
      <c r="AW108" s="1090"/>
      <c r="AX108" s="1090"/>
      <c r="AY108" s="1090"/>
      <c r="AZ108" s="1090"/>
      <c r="BA108" s="1090"/>
      <c r="BB108" s="1090"/>
      <c r="BC108" s="1090"/>
      <c r="BD108" s="1090"/>
      <c r="BE108" s="1090"/>
      <c r="BF108" s="1090"/>
      <c r="BG108" s="1090"/>
      <c r="BH108" s="1090"/>
      <c r="BI108" s="1090"/>
      <c r="BJ108" s="1090"/>
      <c r="BK108" s="1090"/>
      <c r="BL108" s="1090"/>
      <c r="BM108" s="1090"/>
      <c r="BN108" s="1090"/>
      <c r="BO108" s="1090"/>
      <c r="BP108" s="1090"/>
      <c r="BQ108" s="1090"/>
      <c r="BR108" s="1090"/>
      <c r="BS108" s="1090"/>
      <c r="BT108" s="1090"/>
      <c r="BU108" s="1090"/>
    </row>
    <row r="109" spans="1:73" x14ac:dyDescent="0.25">
      <c r="A109" s="1090"/>
      <c r="B109" s="1090"/>
      <c r="C109" s="1090"/>
      <c r="D109" s="1090"/>
      <c r="E109" s="1090"/>
      <c r="F109" s="1090"/>
      <c r="G109" s="1090"/>
      <c r="H109" s="1090"/>
      <c r="I109" s="1090"/>
      <c r="J109" s="1090"/>
      <c r="K109" s="1090"/>
      <c r="L109" s="1090"/>
      <c r="M109" s="1090"/>
      <c r="N109" s="1090"/>
      <c r="O109" s="1090"/>
      <c r="P109" s="1090"/>
      <c r="Q109" s="1090"/>
      <c r="R109" s="1090"/>
      <c r="S109" s="1090"/>
      <c r="T109" s="1090"/>
      <c r="U109" s="1090"/>
      <c r="V109" s="1090"/>
      <c r="W109" s="1090"/>
      <c r="X109" s="1090"/>
      <c r="Y109" s="1090"/>
      <c r="Z109" s="1090"/>
      <c r="AA109" s="1090"/>
      <c r="AB109" s="1090"/>
      <c r="AC109" s="1090"/>
      <c r="AD109" s="1090"/>
      <c r="AE109" s="1090"/>
      <c r="AF109" s="1090"/>
      <c r="AG109" s="1090"/>
      <c r="AH109" s="1090"/>
      <c r="AI109" s="1090"/>
      <c r="AJ109" s="1090"/>
      <c r="AK109" s="1090"/>
      <c r="AL109" s="1090"/>
      <c r="AM109" s="1090"/>
      <c r="AN109" s="1090"/>
      <c r="AO109" s="1090"/>
      <c r="AP109" s="1090"/>
      <c r="AQ109" s="1090"/>
      <c r="AR109" s="1090"/>
      <c r="AS109" s="1090"/>
      <c r="AT109" s="1090"/>
      <c r="AU109" s="1090"/>
      <c r="AV109" s="1090"/>
      <c r="AW109" s="1090"/>
      <c r="AX109" s="1090"/>
      <c r="AY109" s="1090"/>
      <c r="AZ109" s="1090"/>
      <c r="BA109" s="1090"/>
      <c r="BB109" s="1090"/>
      <c r="BC109" s="1090"/>
      <c r="BD109" s="1090"/>
      <c r="BE109" s="1090"/>
      <c r="BF109" s="1090"/>
      <c r="BG109" s="1090"/>
      <c r="BH109" s="1090"/>
      <c r="BI109" s="1090"/>
      <c r="BJ109" s="1090"/>
      <c r="BK109" s="1090"/>
      <c r="BL109" s="1090"/>
      <c r="BM109" s="1090"/>
      <c r="BN109" s="1090"/>
      <c r="BO109" s="1090"/>
      <c r="BP109" s="1090"/>
      <c r="BQ109" s="1090"/>
      <c r="BR109" s="1090"/>
      <c r="BS109" s="1090"/>
      <c r="BT109" s="1090"/>
      <c r="BU109" s="1090"/>
    </row>
    <row r="110" spans="1:73" ht="52" x14ac:dyDescent="0.3">
      <c r="A110" s="1090"/>
      <c r="B110" s="1092" t="s">
        <v>1160</v>
      </c>
      <c r="C110" s="1113" t="s">
        <v>1147</v>
      </c>
      <c r="D110" s="1101" t="str">
        <f t="shared" ref="D110:G110" si="45">+D76</f>
        <v>Chart titles</v>
      </c>
      <c r="E110" s="1101" t="s">
        <v>1180</v>
      </c>
      <c r="F110" s="1101" t="s">
        <v>1181</v>
      </c>
      <c r="G110" s="1101" t="str">
        <f t="shared" si="45"/>
        <v>Salvage Value</v>
      </c>
      <c r="H110" s="1101" t="str">
        <f t="shared" ref="H110:S110" si="46">+H76</f>
        <v>Initial Equity Depreciable Capital</v>
      </c>
      <c r="I110" s="1101" t="str">
        <f t="shared" si="46"/>
        <v>Yearly Replacement Costs</v>
      </c>
      <c r="J110" s="1101" t="str">
        <f t="shared" si="46"/>
        <v>Cash for Working Capital Reserve</v>
      </c>
      <c r="K110" s="1101" t="str">
        <f t="shared" si="46"/>
        <v>Other Non-Depreciable Capital Costs</v>
      </c>
      <c r="L110" s="1101" t="str">
        <f t="shared" si="46"/>
        <v>Decommissioning Costs</v>
      </c>
      <c r="M110" s="1101" t="str">
        <f t="shared" si="46"/>
        <v>Fixed Operating Cost</v>
      </c>
      <c r="N110" s="1101" t="str">
        <f t="shared" si="46"/>
        <v>Feedstock Cost</v>
      </c>
      <c r="O110" s="1101" t="str">
        <f t="shared" si="46"/>
        <v>Other Raw Material Cost</v>
      </c>
      <c r="P110" s="1101" t="str">
        <f t="shared" si="46"/>
        <v>Other Variable Operating Costs</v>
      </c>
      <c r="Q110" s="1101" t="str">
        <f t="shared" si="46"/>
        <v>Debt Interest</v>
      </c>
      <c r="R110" s="1101" t="str">
        <f t="shared" si="46"/>
        <v>Taxes</v>
      </c>
      <c r="S110" s="1101" t="str">
        <f t="shared" si="46"/>
        <v>Principal Payment</v>
      </c>
      <c r="T110" s="1090"/>
      <c r="U110" s="1090"/>
      <c r="V110" s="1090"/>
      <c r="W110" s="1090"/>
      <c r="X110" s="1090"/>
      <c r="Y110" s="1090"/>
      <c r="Z110" s="1090"/>
      <c r="AA110" s="1090"/>
      <c r="AB110" s="1090"/>
      <c r="AC110" s="1090"/>
      <c r="AD110" s="1090"/>
      <c r="AE110" s="1090"/>
      <c r="AF110" s="1090"/>
      <c r="AG110" s="1090"/>
      <c r="AH110" s="1090"/>
      <c r="AI110" s="1090"/>
      <c r="AJ110" s="1090"/>
      <c r="AK110" s="1090"/>
      <c r="AL110" s="1090"/>
      <c r="AM110" s="1090"/>
      <c r="AN110" s="1090"/>
      <c r="AO110" s="1090"/>
      <c r="AP110" s="1090"/>
      <c r="AQ110" s="1090"/>
      <c r="AR110" s="1090"/>
      <c r="AS110" s="1090"/>
      <c r="AT110" s="1090"/>
      <c r="AU110" s="1090"/>
      <c r="AV110" s="1090"/>
      <c r="AW110" s="1090"/>
      <c r="AX110" s="1090"/>
      <c r="AY110" s="1090"/>
      <c r="AZ110" s="1090"/>
      <c r="BA110" s="1090"/>
      <c r="BB110" s="1090"/>
      <c r="BC110" s="1090"/>
      <c r="BD110" s="1090"/>
      <c r="BE110" s="1090"/>
      <c r="BF110" s="1090"/>
      <c r="BG110" s="1090"/>
      <c r="BH110" s="1090"/>
      <c r="BI110" s="1090"/>
      <c r="BJ110" s="1090"/>
      <c r="BK110" s="1090"/>
      <c r="BL110" s="1090"/>
      <c r="BM110" s="1090"/>
      <c r="BN110" s="1090"/>
      <c r="BO110" s="1090"/>
      <c r="BP110" s="1090"/>
      <c r="BQ110" s="1090"/>
      <c r="BR110" s="1090"/>
      <c r="BS110" s="1090"/>
      <c r="BT110" s="1090"/>
      <c r="BU110" s="1090"/>
    </row>
    <row r="111" spans="1:73" x14ac:dyDescent="0.25">
      <c r="A111" s="1090"/>
      <c r="B111" s="1090"/>
      <c r="C111" s="1114">
        <v>1</v>
      </c>
      <c r="D111" s="1093" t="s">
        <v>1179</v>
      </c>
      <c r="E111" s="1107">
        <f ca="1">OFFSET(E$76,MATCH($C111,$N$101:$N$107,0)*3-1,0)</f>
        <v>4.4824477404691674</v>
      </c>
      <c r="F111" s="1107">
        <f ca="1">OFFSET(F$76,MATCH($C111,$N$101:$N$107,0)*3-1,0)</f>
        <v>0</v>
      </c>
      <c r="G111" s="1107">
        <f ca="1">OFFSET(G$76,MATCH($C111,$N$101:$N$107,0)*3-1,0)</f>
        <v>1.4628936520036421E-3</v>
      </c>
      <c r="H111" s="1094"/>
      <c r="I111" s="1094"/>
      <c r="J111" s="1094"/>
      <c r="K111" s="1094"/>
      <c r="L111" s="1094"/>
      <c r="M111" s="1094"/>
      <c r="N111" s="1094"/>
      <c r="O111" s="1094"/>
      <c r="P111" s="1094"/>
      <c r="Q111" s="1094"/>
      <c r="R111" s="1094"/>
      <c r="S111" s="1094"/>
      <c r="T111" s="1090"/>
      <c r="U111" s="1090"/>
      <c r="V111" s="1090"/>
      <c r="W111" s="1090"/>
      <c r="X111" s="1090"/>
      <c r="Y111" s="1090"/>
      <c r="Z111" s="1090"/>
      <c r="AA111" s="1090"/>
      <c r="AB111" s="1090"/>
      <c r="AC111" s="1090"/>
      <c r="AD111" s="1090"/>
      <c r="AE111" s="1090"/>
      <c r="AF111" s="1090"/>
      <c r="AG111" s="1090"/>
      <c r="AH111" s="1090"/>
      <c r="AI111" s="1090"/>
      <c r="AJ111" s="1090"/>
      <c r="AK111" s="1090"/>
      <c r="AL111" s="1090"/>
      <c r="AM111" s="1090"/>
      <c r="AN111" s="1090"/>
      <c r="AO111" s="1090"/>
      <c r="AP111" s="1090"/>
      <c r="AQ111" s="1090"/>
      <c r="AR111" s="1090"/>
      <c r="AS111" s="1090"/>
      <c r="AT111" s="1090"/>
      <c r="AU111" s="1090"/>
      <c r="AV111" s="1090"/>
      <c r="AW111" s="1090"/>
      <c r="AX111" s="1090"/>
      <c r="AY111" s="1090"/>
      <c r="AZ111" s="1090"/>
      <c r="BA111" s="1090"/>
      <c r="BB111" s="1090"/>
      <c r="BC111" s="1090"/>
      <c r="BD111" s="1090"/>
      <c r="BE111" s="1090"/>
      <c r="BF111" s="1090"/>
      <c r="BG111" s="1090"/>
      <c r="BH111" s="1090"/>
      <c r="BI111" s="1090"/>
      <c r="BJ111" s="1090"/>
      <c r="BK111" s="1090"/>
      <c r="BL111" s="1090"/>
      <c r="BM111" s="1090"/>
      <c r="BN111" s="1090"/>
      <c r="BO111" s="1090"/>
      <c r="BP111" s="1090"/>
      <c r="BQ111" s="1090"/>
      <c r="BR111" s="1090"/>
      <c r="BS111" s="1090"/>
      <c r="BT111" s="1090"/>
      <c r="BU111" s="1090"/>
    </row>
    <row r="112" spans="1:73" ht="13" x14ac:dyDescent="0.3">
      <c r="A112" s="1090"/>
      <c r="B112" s="1092"/>
      <c r="C112" s="1195"/>
      <c r="D112" s="1196"/>
      <c r="E112" s="1197"/>
      <c r="F112" s="1197"/>
      <c r="G112" s="1197"/>
      <c r="H112" s="1107">
        <f t="shared" ref="H112:S112" ca="1" si="47">OFFSET(H$76,MATCH($C111,$N$101:$N$107,0)*3-1,0)</f>
        <v>0.12660122405571292</v>
      </c>
      <c r="I112" s="1107">
        <f t="shared" ca="1" si="47"/>
        <v>3.8391561664007375E-2</v>
      </c>
      <c r="J112" s="1107">
        <f t="shared" ca="1" si="47"/>
        <v>1.9136315463353638E-2</v>
      </c>
      <c r="K112" s="1107">
        <f t="shared" ca="1" si="47"/>
        <v>1.3035857655690258E-3</v>
      </c>
      <c r="L112" s="1107">
        <f t="shared" ca="1" si="47"/>
        <v>1.45689312506103E-3</v>
      </c>
      <c r="M112" s="1107">
        <f t="shared" ca="1" si="47"/>
        <v>0.23132576245804806</v>
      </c>
      <c r="N112" s="1107">
        <f t="shared" ca="1" si="47"/>
        <v>3.9660070019776885</v>
      </c>
      <c r="O112" s="1107">
        <f t="shared" ca="1" si="47"/>
        <v>0</v>
      </c>
      <c r="P112" s="1107">
        <f t="shared" ca="1" si="47"/>
        <v>9.4523053561131991E-3</v>
      </c>
      <c r="Q112" s="1107">
        <f t="shared" ca="1" si="47"/>
        <v>7.5411049199456293E-2</v>
      </c>
      <c r="R112" s="1107">
        <f t="shared" ca="1" si="47"/>
        <v>1.0707643856206782E-2</v>
      </c>
      <c r="S112" s="1107">
        <f t="shared" ca="1" si="47"/>
        <v>4.1172911999507716E-3</v>
      </c>
      <c r="T112" s="1090"/>
      <c r="U112" s="1090"/>
      <c r="V112" s="1090"/>
      <c r="W112" s="1090"/>
      <c r="X112" s="1090"/>
      <c r="Y112" s="1090"/>
      <c r="Z112" s="1090"/>
      <c r="AA112" s="1090"/>
      <c r="AB112" s="1090"/>
      <c r="AC112" s="1090"/>
      <c r="AD112" s="1090"/>
      <c r="AE112" s="1090"/>
      <c r="AF112" s="1090"/>
      <c r="AG112" s="1090"/>
      <c r="AH112" s="1090"/>
      <c r="AI112" s="1090"/>
      <c r="AJ112" s="1090"/>
      <c r="AK112" s="1090"/>
      <c r="AL112" s="1090"/>
      <c r="AM112" s="1090"/>
      <c r="AN112" s="1090"/>
      <c r="AO112" s="1090"/>
      <c r="AP112" s="1090"/>
      <c r="AQ112" s="1090"/>
      <c r="AR112" s="1090"/>
      <c r="AS112" s="1090"/>
      <c r="AT112" s="1090"/>
      <c r="AU112" s="1090"/>
      <c r="AV112" s="1090"/>
      <c r="AW112" s="1090"/>
      <c r="AX112" s="1090"/>
      <c r="AY112" s="1090"/>
      <c r="AZ112" s="1090"/>
      <c r="BA112" s="1090"/>
      <c r="BB112" s="1090"/>
      <c r="BC112" s="1090"/>
      <c r="BD112" s="1090"/>
      <c r="BE112" s="1090"/>
      <c r="BF112" s="1090"/>
      <c r="BG112" s="1090"/>
      <c r="BH112" s="1090"/>
      <c r="BI112" s="1090"/>
      <c r="BJ112" s="1090"/>
      <c r="BK112" s="1090"/>
      <c r="BL112" s="1090"/>
      <c r="BM112" s="1090"/>
      <c r="BN112" s="1090"/>
      <c r="BO112" s="1090"/>
      <c r="BP112" s="1090"/>
      <c r="BQ112" s="1090"/>
      <c r="BR112" s="1090"/>
      <c r="BS112" s="1090"/>
      <c r="BT112" s="1090"/>
      <c r="BU112" s="1090"/>
    </row>
    <row r="113" spans="1:73" ht="13" x14ac:dyDescent="0.3">
      <c r="A113" s="1090"/>
      <c r="B113" s="1092"/>
      <c r="C113" s="1195"/>
      <c r="D113" s="1196"/>
      <c r="E113" s="1197"/>
      <c r="F113" s="1197"/>
      <c r="G113" s="1197"/>
      <c r="H113" s="1107"/>
      <c r="I113" s="1107"/>
      <c r="J113" s="1107"/>
      <c r="K113" s="1107"/>
      <c r="L113" s="1107"/>
      <c r="M113" s="1107"/>
      <c r="N113" s="1107"/>
      <c r="O113" s="1107"/>
      <c r="P113" s="1107"/>
      <c r="Q113" s="1107"/>
      <c r="R113" s="1107"/>
      <c r="S113" s="1107"/>
      <c r="T113" s="1090"/>
      <c r="U113" s="1090"/>
      <c r="V113" s="1090"/>
      <c r="W113" s="1090"/>
      <c r="X113" s="1090"/>
      <c r="Y113" s="1090"/>
      <c r="Z113" s="1090"/>
      <c r="AA113" s="1090"/>
      <c r="AB113" s="1090"/>
      <c r="AC113" s="1090"/>
      <c r="AD113" s="1090"/>
      <c r="AE113" s="1090"/>
      <c r="AF113" s="1090"/>
      <c r="AG113" s="1090"/>
      <c r="AH113" s="1090"/>
      <c r="AI113" s="1090"/>
      <c r="AJ113" s="1090"/>
      <c r="AK113" s="1090"/>
      <c r="AL113" s="1090"/>
      <c r="AM113" s="1090"/>
      <c r="AN113" s="1090"/>
      <c r="AO113" s="1090"/>
      <c r="AP113" s="1090"/>
      <c r="AQ113" s="1090"/>
      <c r="AR113" s="1090"/>
      <c r="AS113" s="1090"/>
      <c r="AT113" s="1090"/>
      <c r="AU113" s="1090"/>
      <c r="AV113" s="1090"/>
      <c r="AW113" s="1090"/>
      <c r="AX113" s="1090"/>
      <c r="AY113" s="1090"/>
      <c r="AZ113" s="1090"/>
      <c r="BA113" s="1090"/>
      <c r="BB113" s="1090"/>
      <c r="BC113" s="1090"/>
      <c r="BD113" s="1090"/>
      <c r="BE113" s="1090"/>
      <c r="BF113" s="1090"/>
      <c r="BG113" s="1090"/>
      <c r="BH113" s="1090"/>
      <c r="BI113" s="1090"/>
      <c r="BJ113" s="1090"/>
      <c r="BK113" s="1090"/>
      <c r="BL113" s="1090"/>
      <c r="BM113" s="1090"/>
      <c r="BN113" s="1090"/>
      <c r="BO113" s="1090"/>
      <c r="BP113" s="1090"/>
      <c r="BQ113" s="1090"/>
      <c r="BR113" s="1090"/>
      <c r="BS113" s="1090"/>
      <c r="BT113" s="1090"/>
      <c r="BU113" s="1090"/>
    </row>
    <row r="114" spans="1:73" ht="13" x14ac:dyDescent="0.3">
      <c r="A114" s="1090"/>
      <c r="B114" s="1092"/>
      <c r="C114" s="1195"/>
      <c r="D114" s="1197"/>
      <c r="E114" s="1197"/>
      <c r="F114" s="1197"/>
      <c r="G114" s="1197"/>
      <c r="H114" s="1197"/>
      <c r="I114" s="1197"/>
      <c r="J114" s="1197"/>
      <c r="K114" s="1197"/>
      <c r="L114" s="1197"/>
      <c r="M114" s="1197"/>
      <c r="N114" s="1197"/>
      <c r="O114" s="1197"/>
      <c r="P114" s="1197"/>
      <c r="Q114" s="1197"/>
      <c r="R114" s="1197"/>
      <c r="S114" s="1197"/>
      <c r="T114" s="1090"/>
      <c r="U114" s="1090"/>
      <c r="V114" s="1090"/>
      <c r="W114" s="1090"/>
      <c r="X114" s="1090"/>
      <c r="Y114" s="1090"/>
      <c r="Z114" s="1090"/>
      <c r="AA114" s="1090"/>
      <c r="AB114" s="1090"/>
      <c r="AC114" s="1090"/>
      <c r="AD114" s="1090"/>
      <c r="AE114" s="1090"/>
      <c r="AF114" s="1090"/>
      <c r="AG114" s="1090"/>
      <c r="AH114" s="1090"/>
      <c r="AI114" s="1090"/>
      <c r="AJ114" s="1090"/>
      <c r="AK114" s="1090"/>
      <c r="AL114" s="1090"/>
      <c r="AM114" s="1090"/>
      <c r="AN114" s="1090"/>
      <c r="AO114" s="1090"/>
      <c r="AP114" s="1090"/>
      <c r="AQ114" s="1090"/>
      <c r="AR114" s="1090"/>
      <c r="AS114" s="1090"/>
      <c r="AT114" s="1090"/>
      <c r="AU114" s="1090"/>
      <c r="AV114" s="1090"/>
      <c r="AW114" s="1090"/>
      <c r="AX114" s="1090"/>
      <c r="AY114" s="1090"/>
      <c r="AZ114" s="1090"/>
      <c r="BA114" s="1090"/>
      <c r="BB114" s="1090"/>
      <c r="BC114" s="1090"/>
      <c r="BD114" s="1090"/>
      <c r="BE114" s="1090"/>
      <c r="BF114" s="1090"/>
      <c r="BG114" s="1090"/>
      <c r="BH114" s="1090"/>
      <c r="BI114" s="1090"/>
      <c r="BJ114" s="1090"/>
      <c r="BK114" s="1090"/>
      <c r="BL114" s="1090"/>
      <c r="BM114" s="1090"/>
      <c r="BN114" s="1090"/>
      <c r="BO114" s="1090"/>
      <c r="BP114" s="1090"/>
      <c r="BQ114" s="1090"/>
      <c r="BR114" s="1090"/>
      <c r="BS114" s="1090"/>
      <c r="BT114" s="1090"/>
      <c r="BU114" s="1090"/>
    </row>
    <row r="115" spans="1:73" ht="13" x14ac:dyDescent="0.3">
      <c r="A115" s="1090"/>
      <c r="B115" s="1092"/>
      <c r="C115" s="1114">
        <v>1</v>
      </c>
      <c r="D115" s="1094" t="str">
        <f t="shared" ref="D115:G115" ca="1" si="48">OFFSET(D$76,MATCH($C115,$N$101:$N$107,0)*3-2,0)</f>
        <v>Feedstock Consumption (% of baseline) = 95%</v>
      </c>
      <c r="E115" s="1107">
        <f t="shared" ca="1" si="48"/>
        <v>4.262659649683866</v>
      </c>
      <c r="F115" s="1107">
        <f t="shared" ca="1" si="48"/>
        <v>0</v>
      </c>
      <c r="G115" s="1107">
        <f t="shared" ca="1" si="48"/>
        <v>1.3900489957505903E-3</v>
      </c>
      <c r="H115" s="1197"/>
      <c r="I115" s="1197"/>
      <c r="J115" s="1197"/>
      <c r="K115" s="1197"/>
      <c r="L115" s="1197"/>
      <c r="M115" s="1197"/>
      <c r="N115" s="1197"/>
      <c r="O115" s="1197"/>
      <c r="P115" s="1197"/>
      <c r="Q115" s="1197"/>
      <c r="R115" s="1197"/>
      <c r="S115" s="1197"/>
      <c r="T115" s="1090"/>
      <c r="U115" s="1090"/>
      <c r="V115" s="1090"/>
      <c r="W115" s="1090"/>
      <c r="X115" s="1090"/>
      <c r="Y115" s="1090"/>
      <c r="Z115" s="1090"/>
      <c r="AA115" s="1090"/>
      <c r="AB115" s="1090"/>
      <c r="AC115" s="1090"/>
      <c r="AD115" s="1090"/>
      <c r="AE115" s="1090"/>
      <c r="AF115" s="1090"/>
      <c r="AG115" s="1090"/>
      <c r="AH115" s="1090"/>
      <c r="AI115" s="1090"/>
      <c r="AJ115" s="1090"/>
      <c r="AK115" s="1090"/>
      <c r="AL115" s="1090"/>
      <c r="AM115" s="1090"/>
      <c r="AN115" s="1090"/>
      <c r="AO115" s="1090"/>
      <c r="AP115" s="1090"/>
      <c r="AQ115" s="1090"/>
      <c r="AR115" s="1090"/>
      <c r="AS115" s="1090"/>
      <c r="AT115" s="1090"/>
      <c r="AU115" s="1090"/>
      <c r="AV115" s="1090"/>
      <c r="AW115" s="1090"/>
      <c r="AX115" s="1090"/>
      <c r="AY115" s="1090"/>
      <c r="AZ115" s="1090"/>
      <c r="BA115" s="1090"/>
      <c r="BB115" s="1090"/>
      <c r="BC115" s="1090"/>
      <c r="BD115" s="1090"/>
      <c r="BE115" s="1090"/>
      <c r="BF115" s="1090"/>
      <c r="BG115" s="1090"/>
      <c r="BH115" s="1090"/>
      <c r="BI115" s="1090"/>
      <c r="BJ115" s="1090"/>
      <c r="BK115" s="1090"/>
      <c r="BL115" s="1090"/>
      <c r="BM115" s="1090"/>
      <c r="BN115" s="1090"/>
      <c r="BO115" s="1090"/>
      <c r="BP115" s="1090"/>
      <c r="BQ115" s="1090"/>
      <c r="BR115" s="1090"/>
      <c r="BS115" s="1090"/>
      <c r="BT115" s="1090"/>
      <c r="BU115" s="1090"/>
    </row>
    <row r="116" spans="1:73" ht="13" x14ac:dyDescent="0.3">
      <c r="A116" s="1090"/>
      <c r="B116" s="1092"/>
      <c r="C116" s="1094"/>
      <c r="D116" s="1094"/>
      <c r="E116" s="1094"/>
      <c r="F116" s="1094"/>
      <c r="G116" s="1094"/>
      <c r="H116" s="1107">
        <f t="shared" ref="H116:S116" ca="1" si="49">OFFSET(H$76,MATCH($C115,$N$101:$N$107,0)*3-2,0)</f>
        <v>0.12027116285292727</v>
      </c>
      <c r="I116" s="1107">
        <f t="shared" ca="1" si="49"/>
        <v>3.6471983580806985E-2</v>
      </c>
      <c r="J116" s="1107">
        <f t="shared" ca="1" si="49"/>
        <v>1.8198702143621532E-2</v>
      </c>
      <c r="K116" s="1107">
        <f t="shared" ca="1" si="49"/>
        <v>1.3035857655690258E-3</v>
      </c>
      <c r="L116" s="1107">
        <f t="shared" ca="1" si="49"/>
        <v>1.3840484688079783E-3</v>
      </c>
      <c r="M116" s="1107">
        <f t="shared" ca="1" si="49"/>
        <v>0.22350782519218079</v>
      </c>
      <c r="N116" s="1107">
        <f t="shared" ca="1" si="49"/>
        <v>3.7677066518788069</v>
      </c>
      <c r="O116" s="1107">
        <f t="shared" ca="1" si="49"/>
        <v>0</v>
      </c>
      <c r="P116" s="1107">
        <f t="shared" ca="1" si="49"/>
        <v>9.4523053561131991E-3</v>
      </c>
      <c r="Q116" s="1107">
        <f t="shared" ca="1" si="49"/>
        <v>7.1640496739483472E-2</v>
      </c>
      <c r="R116" s="1107">
        <f t="shared" ca="1" si="49"/>
        <v>1.0201510061346284E-2</v>
      </c>
      <c r="S116" s="1107">
        <f t="shared" ca="1" si="49"/>
        <v>3.9114266399532345E-3</v>
      </c>
      <c r="T116" s="1090"/>
      <c r="U116" s="1090"/>
      <c r="V116" s="1090"/>
      <c r="W116" s="1090"/>
      <c r="X116" s="1090"/>
      <c r="Y116" s="1090"/>
      <c r="Z116" s="1090"/>
      <c r="AA116" s="1090"/>
      <c r="AB116" s="1090"/>
      <c r="AC116" s="1090"/>
      <c r="AD116" s="1090"/>
      <c r="AE116" s="1090"/>
      <c r="AF116" s="1090"/>
      <c r="AG116" s="1090"/>
      <c r="AH116" s="1090"/>
      <c r="AI116" s="1090"/>
      <c r="AJ116" s="1090"/>
      <c r="AK116" s="1090"/>
      <c r="AL116" s="1090"/>
      <c r="AM116" s="1090"/>
      <c r="AN116" s="1090"/>
      <c r="AO116" s="1090"/>
      <c r="AP116" s="1090"/>
      <c r="AQ116" s="1090"/>
      <c r="AR116" s="1090"/>
      <c r="AS116" s="1090"/>
      <c r="AT116" s="1090"/>
      <c r="AU116" s="1090"/>
      <c r="AV116" s="1090"/>
      <c r="AW116" s="1090"/>
      <c r="AX116" s="1090"/>
      <c r="AY116" s="1090"/>
      <c r="AZ116" s="1090"/>
      <c r="BA116" s="1090"/>
      <c r="BB116" s="1090"/>
      <c r="BC116" s="1090"/>
      <c r="BD116" s="1090"/>
      <c r="BE116" s="1090"/>
      <c r="BF116" s="1090"/>
      <c r="BG116" s="1090"/>
      <c r="BH116" s="1090"/>
      <c r="BI116" s="1090"/>
      <c r="BJ116" s="1090"/>
      <c r="BK116" s="1090"/>
      <c r="BL116" s="1090"/>
      <c r="BM116" s="1090"/>
      <c r="BN116" s="1090"/>
      <c r="BO116" s="1090"/>
      <c r="BP116" s="1090"/>
      <c r="BQ116" s="1090"/>
      <c r="BR116" s="1090"/>
      <c r="BS116" s="1090"/>
      <c r="BT116" s="1090"/>
      <c r="BU116" s="1090"/>
    </row>
    <row r="117" spans="1:73" ht="13" x14ac:dyDescent="0.3">
      <c r="A117" s="1090"/>
      <c r="B117" s="1092"/>
      <c r="C117" s="1114">
        <v>1</v>
      </c>
      <c r="D117" s="1094" t="str">
        <f t="shared" ref="D117:G117" ca="1" si="50">OFFSET(D$76,MATCH($C117,$N$101:$N$107,0)*3,0)</f>
        <v>Feedstock Consumption (% of baseline) = 105%</v>
      </c>
      <c r="E117" s="1107">
        <f t="shared" ca="1" si="50"/>
        <v>4.7022358312544688</v>
      </c>
      <c r="F117" s="1107">
        <f t="shared" ca="1" si="50"/>
        <v>0</v>
      </c>
      <c r="G117" s="1107">
        <f t="shared" ca="1" si="50"/>
        <v>1.5357383082566941E-3</v>
      </c>
      <c r="H117" s="1094"/>
      <c r="I117" s="1094"/>
      <c r="J117" s="1094"/>
      <c r="K117" s="1094"/>
      <c r="L117" s="1094"/>
      <c r="M117" s="1094"/>
      <c r="N117" s="1094"/>
      <c r="O117" s="1094"/>
      <c r="P117" s="1094"/>
      <c r="Q117" s="1094"/>
      <c r="R117" s="1094"/>
      <c r="S117" s="1094"/>
      <c r="T117" s="1090"/>
      <c r="U117" s="1090"/>
      <c r="V117" s="1090"/>
      <c r="W117" s="1090"/>
      <c r="X117" s="1090"/>
      <c r="Y117" s="1090"/>
      <c r="Z117" s="1090"/>
      <c r="AA117" s="1090"/>
      <c r="AB117" s="1090"/>
      <c r="AC117" s="1090"/>
      <c r="AD117" s="1090"/>
      <c r="AE117" s="1090"/>
      <c r="AF117" s="1090"/>
      <c r="AG117" s="1090"/>
      <c r="AH117" s="1090"/>
      <c r="AI117" s="1090"/>
      <c r="AJ117" s="1090"/>
      <c r="AK117" s="1090"/>
      <c r="AL117" s="1090"/>
      <c r="AM117" s="1090"/>
      <c r="AN117" s="1090"/>
      <c r="AO117" s="1090"/>
      <c r="AP117" s="1090"/>
      <c r="AQ117" s="1090"/>
      <c r="AR117" s="1090"/>
      <c r="AS117" s="1090"/>
      <c r="AT117" s="1090"/>
      <c r="AU117" s="1090"/>
      <c r="AV117" s="1090"/>
      <c r="AW117" s="1090"/>
      <c r="AX117" s="1090"/>
      <c r="AY117" s="1090"/>
      <c r="AZ117" s="1090"/>
      <c r="BA117" s="1090"/>
      <c r="BB117" s="1090"/>
      <c r="BC117" s="1090"/>
      <c r="BD117" s="1090"/>
      <c r="BE117" s="1090"/>
      <c r="BF117" s="1090"/>
      <c r="BG117" s="1090"/>
      <c r="BH117" s="1090"/>
      <c r="BI117" s="1090"/>
      <c r="BJ117" s="1090"/>
      <c r="BK117" s="1090"/>
      <c r="BL117" s="1090"/>
      <c r="BM117" s="1090"/>
      <c r="BN117" s="1090"/>
      <c r="BO117" s="1090"/>
      <c r="BP117" s="1090"/>
      <c r="BQ117" s="1090"/>
      <c r="BR117" s="1090"/>
      <c r="BS117" s="1090"/>
      <c r="BT117" s="1090"/>
      <c r="BU117" s="1090"/>
    </row>
    <row r="118" spans="1:73" ht="13" x14ac:dyDescent="0.3">
      <c r="A118" s="1090"/>
      <c r="B118" s="1092"/>
      <c r="C118" s="1114"/>
      <c r="D118" s="1094"/>
      <c r="E118" s="1107"/>
      <c r="F118" s="1107"/>
      <c r="G118" s="1107"/>
      <c r="H118" s="1107">
        <f t="shared" ref="H118:S118" ca="1" si="51">OFFSET(H$76,MATCH($C117,$N$101:$N$107,0)*3,0)</f>
        <v>0.13293128525849862</v>
      </c>
      <c r="I118" s="1107">
        <f t="shared" ca="1" si="51"/>
        <v>4.0311139747207736E-2</v>
      </c>
      <c r="J118" s="1107">
        <f t="shared" ca="1" si="51"/>
        <v>2.0073928783085754E-2</v>
      </c>
      <c r="K118" s="1107">
        <f t="shared" ca="1" si="51"/>
        <v>1.3035857655690258E-3</v>
      </c>
      <c r="L118" s="1107">
        <f t="shared" ca="1" si="51"/>
        <v>1.529737781314082E-3</v>
      </c>
      <c r="M118" s="1107">
        <f t="shared" ca="1" si="51"/>
        <v>0.23914369972391572</v>
      </c>
      <c r="N118" s="1107">
        <f t="shared" ca="1" si="51"/>
        <v>4.1643073520765741</v>
      </c>
      <c r="O118" s="1107">
        <f t="shared" ca="1" si="51"/>
        <v>0</v>
      </c>
      <c r="P118" s="1107">
        <f t="shared" ca="1" si="51"/>
        <v>9.4523053561131991E-3</v>
      </c>
      <c r="Q118" s="1107">
        <f t="shared" ca="1" si="51"/>
        <v>7.9181601659429127E-2</v>
      </c>
      <c r="R118" s="1107">
        <f t="shared" ca="1" si="51"/>
        <v>1.1213777651067658E-2</v>
      </c>
      <c r="S118" s="1107">
        <f t="shared" ca="1" si="51"/>
        <v>4.323155759948313E-3</v>
      </c>
      <c r="T118" s="1090"/>
      <c r="U118" s="1090"/>
      <c r="V118" s="1090"/>
      <c r="W118" s="1090"/>
      <c r="X118" s="1090"/>
      <c r="Y118" s="1090"/>
      <c r="Z118" s="1090"/>
      <c r="AA118" s="1090"/>
      <c r="AB118" s="1090"/>
      <c r="AC118" s="1090"/>
      <c r="AD118" s="1090"/>
      <c r="AE118" s="1090"/>
      <c r="AF118" s="1090"/>
      <c r="AG118" s="1090"/>
      <c r="AH118" s="1090"/>
      <c r="AI118" s="1090"/>
      <c r="AJ118" s="1090"/>
      <c r="AK118" s="1090"/>
      <c r="AL118" s="1090"/>
      <c r="AM118" s="1090"/>
      <c r="AN118" s="1090"/>
      <c r="AO118" s="1090"/>
      <c r="AP118" s="1090"/>
      <c r="AQ118" s="1090"/>
      <c r="AR118" s="1090"/>
      <c r="AS118" s="1090"/>
      <c r="AT118" s="1090"/>
      <c r="AU118" s="1090"/>
      <c r="AV118" s="1090"/>
      <c r="AW118" s="1090"/>
      <c r="AX118" s="1090"/>
      <c r="AY118" s="1090"/>
      <c r="AZ118" s="1090"/>
      <c r="BA118" s="1090"/>
      <c r="BB118" s="1090"/>
      <c r="BC118" s="1090"/>
      <c r="BD118" s="1090"/>
      <c r="BE118" s="1090"/>
      <c r="BF118" s="1090"/>
      <c r="BG118" s="1090"/>
      <c r="BH118" s="1090"/>
      <c r="BI118" s="1090"/>
      <c r="BJ118" s="1090"/>
      <c r="BK118" s="1090"/>
      <c r="BL118" s="1090"/>
      <c r="BM118" s="1090"/>
      <c r="BN118" s="1090"/>
      <c r="BO118" s="1090"/>
      <c r="BP118" s="1090"/>
      <c r="BQ118" s="1090"/>
      <c r="BR118" s="1090"/>
      <c r="BS118" s="1090"/>
      <c r="BT118" s="1090"/>
      <c r="BU118" s="1090"/>
    </row>
    <row r="119" spans="1:73" ht="13" x14ac:dyDescent="0.3">
      <c r="A119" s="1090"/>
      <c r="B119" s="1092"/>
      <c r="C119" s="1114"/>
      <c r="D119" s="1094"/>
      <c r="E119" s="1107"/>
      <c r="F119" s="1107"/>
      <c r="G119" s="1107"/>
      <c r="H119" s="1107"/>
      <c r="I119" s="1107"/>
      <c r="J119" s="1107"/>
      <c r="K119" s="1107"/>
      <c r="L119" s="1107"/>
      <c r="M119" s="1107"/>
      <c r="N119" s="1107"/>
      <c r="O119" s="1107"/>
      <c r="P119" s="1107"/>
      <c r="Q119" s="1107"/>
      <c r="R119" s="1107"/>
      <c r="S119" s="1107"/>
      <c r="T119" s="1090"/>
      <c r="U119" s="1090"/>
      <c r="V119" s="1090"/>
      <c r="W119" s="1090"/>
      <c r="X119" s="1090"/>
      <c r="Y119" s="1090"/>
      <c r="Z119" s="1090"/>
      <c r="AA119" s="1090"/>
      <c r="AB119" s="1090"/>
      <c r="AC119" s="1090"/>
      <c r="AD119" s="1090"/>
      <c r="AE119" s="1090"/>
      <c r="AF119" s="1090"/>
      <c r="AG119" s="1090"/>
      <c r="AH119" s="1090"/>
      <c r="AI119" s="1090"/>
      <c r="AJ119" s="1090"/>
      <c r="AK119" s="1090"/>
      <c r="AL119" s="1090"/>
      <c r="AM119" s="1090"/>
      <c r="AN119" s="1090"/>
      <c r="AO119" s="1090"/>
      <c r="AP119" s="1090"/>
      <c r="AQ119" s="1090"/>
      <c r="AR119" s="1090"/>
      <c r="AS119" s="1090"/>
      <c r="AT119" s="1090"/>
      <c r="AU119" s="1090"/>
      <c r="AV119" s="1090"/>
      <c r="AW119" s="1090"/>
      <c r="AX119" s="1090"/>
      <c r="AY119" s="1090"/>
      <c r="AZ119" s="1090"/>
      <c r="BA119" s="1090"/>
      <c r="BB119" s="1090"/>
      <c r="BC119" s="1090"/>
      <c r="BD119" s="1090"/>
      <c r="BE119" s="1090"/>
      <c r="BF119" s="1090"/>
      <c r="BG119" s="1090"/>
      <c r="BH119" s="1090"/>
      <c r="BI119" s="1090"/>
      <c r="BJ119" s="1090"/>
      <c r="BK119" s="1090"/>
      <c r="BL119" s="1090"/>
      <c r="BM119" s="1090"/>
      <c r="BN119" s="1090"/>
      <c r="BO119" s="1090"/>
      <c r="BP119" s="1090"/>
      <c r="BQ119" s="1090"/>
      <c r="BR119" s="1090"/>
      <c r="BS119" s="1090"/>
      <c r="BT119" s="1090"/>
      <c r="BU119" s="1090"/>
    </row>
    <row r="120" spans="1:73" x14ac:dyDescent="0.25">
      <c r="A120" s="1090"/>
      <c r="B120" s="1090"/>
      <c r="C120" s="1114">
        <v>2</v>
      </c>
      <c r="D120" s="1094" t="str">
        <f t="shared" ref="D120:G120" ca="1" si="52">OFFSET(D$76,MATCH($C120,$N$101:$N$107,0)*3-2,0)</f>
        <v>Operating Capacity Factor = 101.85%</v>
      </c>
      <c r="E120" s="1107">
        <f t="shared" ca="1" si="52"/>
        <v>4.4594650627509109</v>
      </c>
      <c r="F120" s="1107">
        <f t="shared" ca="1" si="52"/>
        <v>0</v>
      </c>
      <c r="G120" s="1107">
        <f t="shared" ca="1" si="52"/>
        <v>1.3932320495272778E-3</v>
      </c>
      <c r="H120" s="1107"/>
      <c r="I120" s="1107"/>
      <c r="J120" s="1107"/>
      <c r="K120" s="1107"/>
      <c r="L120" s="1107"/>
      <c r="M120" s="1107"/>
      <c r="N120" s="1107"/>
      <c r="O120" s="1107"/>
      <c r="P120" s="1107"/>
      <c r="Q120" s="1107"/>
      <c r="R120" s="1107"/>
      <c r="S120" s="1107"/>
      <c r="T120" s="1090"/>
      <c r="U120" s="1090"/>
      <c r="V120" s="1090"/>
      <c r="W120" s="1090"/>
      <c r="X120" s="1090"/>
      <c r="Y120" s="1090"/>
      <c r="Z120" s="1090"/>
      <c r="AA120" s="1090"/>
      <c r="AB120" s="1090"/>
      <c r="AC120" s="1090"/>
      <c r="AD120" s="1090"/>
      <c r="AE120" s="1090"/>
      <c r="AF120" s="1090"/>
      <c r="AG120" s="1090"/>
      <c r="AH120" s="1090"/>
      <c r="AI120" s="1090"/>
      <c r="AJ120" s="1090"/>
      <c r="AK120" s="1090"/>
      <c r="AL120" s="1090"/>
      <c r="AM120" s="1090"/>
      <c r="AN120" s="1090"/>
      <c r="AO120" s="1090"/>
      <c r="AP120" s="1090"/>
      <c r="AQ120" s="1090"/>
      <c r="AR120" s="1090"/>
      <c r="AS120" s="1090"/>
      <c r="AT120" s="1090"/>
      <c r="AU120" s="1090"/>
      <c r="AV120" s="1090"/>
      <c r="AW120" s="1090"/>
      <c r="AX120" s="1090"/>
      <c r="AY120" s="1090"/>
      <c r="AZ120" s="1090"/>
      <c r="BA120" s="1090"/>
      <c r="BB120" s="1090"/>
      <c r="BC120" s="1090"/>
      <c r="BD120" s="1090"/>
      <c r="BE120" s="1090"/>
      <c r="BF120" s="1090"/>
      <c r="BG120" s="1090"/>
      <c r="BH120" s="1090"/>
      <c r="BI120" s="1090"/>
      <c r="BJ120" s="1090"/>
      <c r="BK120" s="1090"/>
      <c r="BL120" s="1090"/>
      <c r="BM120" s="1090"/>
      <c r="BN120" s="1090"/>
      <c r="BO120" s="1090"/>
      <c r="BP120" s="1090"/>
      <c r="BQ120" s="1090"/>
      <c r="BR120" s="1090"/>
      <c r="BS120" s="1090"/>
      <c r="BT120" s="1090"/>
      <c r="BU120" s="1090"/>
    </row>
    <row r="121" spans="1:73" x14ac:dyDescent="0.25">
      <c r="A121" s="1090"/>
      <c r="B121" s="1090"/>
      <c r="C121" s="1114"/>
      <c r="D121" s="1094"/>
      <c r="E121" s="1107"/>
      <c r="F121" s="1107"/>
      <c r="G121" s="1107"/>
      <c r="H121" s="1107">
        <f t="shared" ref="H121:S121" ca="1" si="53">OFFSET(H$76,MATCH($C120,$N$101:$N$107,0)*3-2,0)</f>
        <v>0.12057259433877419</v>
      </c>
      <c r="I121" s="1107">
        <f t="shared" ca="1" si="53"/>
        <v>3.6563392060959397E-2</v>
      </c>
      <c r="J121" s="1107">
        <f t="shared" ca="1" si="53"/>
        <v>1.9086202560393586E-2</v>
      </c>
      <c r="K121" s="1107">
        <f t="shared" ca="1" si="53"/>
        <v>1.2415102529228816E-3</v>
      </c>
      <c r="L121" s="1107">
        <f t="shared" ca="1" si="53"/>
        <v>1.3875172619628854E-3</v>
      </c>
      <c r="M121" s="1107">
        <f t="shared" ca="1" si="53"/>
        <v>0.22031024996004578</v>
      </c>
      <c r="N121" s="1107">
        <f t="shared" ca="1" si="53"/>
        <v>3.966007001977689</v>
      </c>
      <c r="O121" s="1107">
        <f t="shared" ca="1" si="53"/>
        <v>0</v>
      </c>
      <c r="P121" s="1107">
        <f t="shared" ca="1" si="53"/>
        <v>9.4523053561131956E-3</v>
      </c>
      <c r="Q121" s="1107">
        <f t="shared" ca="1" si="53"/>
        <v>7.1820046856625019E-2</v>
      </c>
      <c r="R121" s="1107">
        <f t="shared" ca="1" si="53"/>
        <v>1.0496244460710341E-2</v>
      </c>
      <c r="S121" s="1107">
        <f t="shared" ca="1" si="53"/>
        <v>3.9212297142388296E-3</v>
      </c>
      <c r="T121" s="1090"/>
      <c r="U121" s="1090"/>
      <c r="V121" s="1090"/>
      <c r="W121" s="1090"/>
      <c r="X121" s="1090"/>
      <c r="Y121" s="1090"/>
      <c r="Z121" s="1090"/>
      <c r="AA121" s="1090"/>
      <c r="AB121" s="1090"/>
      <c r="AC121" s="1090"/>
      <c r="AD121" s="1090"/>
      <c r="AE121" s="1090"/>
      <c r="AF121" s="1090"/>
      <c r="AG121" s="1090"/>
      <c r="AH121" s="1090"/>
      <c r="AI121" s="1090"/>
      <c r="AJ121" s="1090"/>
      <c r="AK121" s="1090"/>
      <c r="AL121" s="1090"/>
      <c r="AM121" s="1090"/>
      <c r="AN121" s="1090"/>
      <c r="AO121" s="1090"/>
      <c r="AP121" s="1090"/>
      <c r="AQ121" s="1090"/>
      <c r="AR121" s="1090"/>
      <c r="AS121" s="1090"/>
      <c r="AT121" s="1090"/>
      <c r="AU121" s="1090"/>
      <c r="AV121" s="1090"/>
      <c r="AW121" s="1090"/>
      <c r="AX121" s="1090"/>
      <c r="AY121" s="1090"/>
      <c r="AZ121" s="1090"/>
      <c r="BA121" s="1090"/>
      <c r="BB121" s="1090"/>
      <c r="BC121" s="1090"/>
      <c r="BD121" s="1090"/>
      <c r="BE121" s="1090"/>
      <c r="BF121" s="1090"/>
      <c r="BG121" s="1090"/>
      <c r="BH121" s="1090"/>
      <c r="BI121" s="1090"/>
      <c r="BJ121" s="1090"/>
      <c r="BK121" s="1090"/>
      <c r="BL121" s="1090"/>
      <c r="BM121" s="1090"/>
      <c r="BN121" s="1090"/>
      <c r="BO121" s="1090"/>
      <c r="BP121" s="1090"/>
      <c r="BQ121" s="1090"/>
      <c r="BR121" s="1090"/>
      <c r="BS121" s="1090"/>
      <c r="BT121" s="1090"/>
      <c r="BU121" s="1090"/>
    </row>
    <row r="122" spans="1:73" x14ac:dyDescent="0.25">
      <c r="A122" s="1090"/>
      <c r="B122" s="1090"/>
      <c r="C122" s="1114">
        <v>2</v>
      </c>
      <c r="D122" s="1094" t="str">
        <f t="shared" ref="D122:G122" ca="1" si="54">OFFSET(D$76,MATCH($C122,$N$101:$N$107,0)*3,0)</f>
        <v>Operating Capacity Factor = 92.15%</v>
      </c>
      <c r="E122" s="1107">
        <f t="shared" ca="1" si="54"/>
        <v>4.507849647420926</v>
      </c>
      <c r="F122" s="1107">
        <f t="shared" ca="1" si="54"/>
        <v>0</v>
      </c>
      <c r="G122" s="1107">
        <f t="shared" ca="1" si="54"/>
        <v>1.5398880547406759E-3</v>
      </c>
      <c r="H122" s="1107"/>
      <c r="I122" s="1107"/>
      <c r="J122" s="1107"/>
      <c r="K122" s="1107"/>
      <c r="L122" s="1107"/>
      <c r="M122" s="1107"/>
      <c r="N122" s="1107"/>
      <c r="O122" s="1107"/>
      <c r="P122" s="1107"/>
      <c r="Q122" s="1107"/>
      <c r="R122" s="1107"/>
      <c r="S122" s="1107"/>
      <c r="T122" s="1090"/>
      <c r="U122" s="1090"/>
      <c r="V122" s="1090"/>
      <c r="W122" s="1090"/>
      <c r="X122" s="1090"/>
      <c r="Y122" s="1090"/>
      <c r="Z122" s="1090"/>
      <c r="AA122" s="1090"/>
      <c r="AB122" s="1090"/>
      <c r="AC122" s="1090"/>
      <c r="AD122" s="1090"/>
      <c r="AE122" s="1090"/>
      <c r="AF122" s="1090"/>
      <c r="AG122" s="1090"/>
      <c r="AH122" s="1090"/>
      <c r="AI122" s="1090"/>
      <c r="AJ122" s="1090"/>
      <c r="AK122" s="1090"/>
      <c r="AL122" s="1090"/>
      <c r="AM122" s="1090"/>
      <c r="AN122" s="1090"/>
      <c r="AO122" s="1090"/>
      <c r="AP122" s="1090"/>
      <c r="AQ122" s="1090"/>
      <c r="AR122" s="1090"/>
      <c r="AS122" s="1090"/>
      <c r="AT122" s="1090"/>
      <c r="AU122" s="1090"/>
      <c r="AV122" s="1090"/>
      <c r="AW122" s="1090"/>
      <c r="AX122" s="1090"/>
      <c r="AY122" s="1090"/>
      <c r="AZ122" s="1090"/>
      <c r="BA122" s="1090"/>
      <c r="BB122" s="1090"/>
      <c r="BC122" s="1090"/>
      <c r="BD122" s="1090"/>
      <c r="BE122" s="1090"/>
      <c r="BF122" s="1090"/>
      <c r="BG122" s="1090"/>
      <c r="BH122" s="1090"/>
      <c r="BI122" s="1090"/>
      <c r="BJ122" s="1090"/>
      <c r="BK122" s="1090"/>
      <c r="BL122" s="1090"/>
      <c r="BM122" s="1090"/>
      <c r="BN122" s="1090"/>
      <c r="BO122" s="1090"/>
      <c r="BP122" s="1090"/>
      <c r="BQ122" s="1090"/>
      <c r="BR122" s="1090"/>
      <c r="BS122" s="1090"/>
      <c r="BT122" s="1090"/>
      <c r="BU122" s="1090"/>
    </row>
    <row r="123" spans="1:73" x14ac:dyDescent="0.25">
      <c r="A123" s="1090"/>
      <c r="B123" s="1090"/>
      <c r="C123" s="1114"/>
      <c r="D123" s="1094"/>
      <c r="E123" s="1107"/>
      <c r="F123" s="1107"/>
      <c r="G123" s="1107"/>
      <c r="H123" s="1107">
        <f t="shared" ref="H123:S123" ca="1" si="55">OFFSET(H$76,MATCH($C122,$N$101:$N$107,0)*3,0)</f>
        <v>0.13326444637443463</v>
      </c>
      <c r="I123" s="1107">
        <f t="shared" ca="1" si="55"/>
        <v>4.0412170172639338E-2</v>
      </c>
      <c r="J123" s="1107">
        <f t="shared" ca="1" si="55"/>
        <v>1.9191703408730543E-2</v>
      </c>
      <c r="K123" s="1107">
        <f t="shared" ca="1" si="55"/>
        <v>1.3721955427042376E-3</v>
      </c>
      <c r="L123" s="1107">
        <f t="shared" ca="1" si="55"/>
        <v>1.5335717105905576E-3</v>
      </c>
      <c r="M123" s="1107">
        <f t="shared" ca="1" si="55"/>
        <v>0.24350080258741905</v>
      </c>
      <c r="N123" s="1107">
        <f t="shared" ca="1" si="55"/>
        <v>3.9660070019776912</v>
      </c>
      <c r="O123" s="1107">
        <f t="shared" ca="1" si="55"/>
        <v>0</v>
      </c>
      <c r="P123" s="1107">
        <f t="shared" ca="1" si="55"/>
        <v>9.4523053561131956E-3</v>
      </c>
      <c r="Q123" s="1107">
        <f t="shared" ca="1" si="55"/>
        <v>7.9380051788901354E-2</v>
      </c>
      <c r="R123" s="1107">
        <f t="shared" ca="1" si="55"/>
        <v>1.0941295819650754E-2</v>
      </c>
      <c r="S123" s="1107">
        <f t="shared" ca="1" si="55"/>
        <v>4.3339907367902861E-3</v>
      </c>
      <c r="T123" s="1090"/>
      <c r="U123" s="1090"/>
      <c r="V123" s="1090"/>
      <c r="W123" s="1090"/>
      <c r="X123" s="1090"/>
      <c r="Y123" s="1090"/>
      <c r="Z123" s="1090"/>
      <c r="AA123" s="1090"/>
      <c r="AB123" s="1090"/>
      <c r="AC123" s="1090"/>
      <c r="AD123" s="1090"/>
      <c r="AE123" s="1090"/>
      <c r="AF123" s="1090"/>
      <c r="AG123" s="1090"/>
      <c r="AH123" s="1090"/>
      <c r="AI123" s="1090"/>
      <c r="AJ123" s="1090"/>
      <c r="AK123" s="1090"/>
      <c r="AL123" s="1090"/>
      <c r="AM123" s="1090"/>
      <c r="AN123" s="1090"/>
      <c r="AO123" s="1090"/>
      <c r="AP123" s="1090"/>
      <c r="AQ123" s="1090"/>
      <c r="AR123" s="1090"/>
      <c r="AS123" s="1090"/>
      <c r="AT123" s="1090"/>
      <c r="AU123" s="1090"/>
      <c r="AV123" s="1090"/>
      <c r="AW123" s="1090"/>
      <c r="AX123" s="1090"/>
      <c r="AY123" s="1090"/>
      <c r="AZ123" s="1090"/>
      <c r="BA123" s="1090"/>
      <c r="BB123" s="1090"/>
      <c r="BC123" s="1090"/>
      <c r="BD123" s="1090"/>
      <c r="BE123" s="1090"/>
      <c r="BF123" s="1090"/>
      <c r="BG123" s="1090"/>
      <c r="BH123" s="1090"/>
      <c r="BI123" s="1090"/>
      <c r="BJ123" s="1090"/>
      <c r="BK123" s="1090"/>
      <c r="BL123" s="1090"/>
      <c r="BM123" s="1090"/>
      <c r="BN123" s="1090"/>
      <c r="BO123" s="1090"/>
      <c r="BP123" s="1090"/>
      <c r="BQ123" s="1090"/>
      <c r="BR123" s="1090"/>
      <c r="BS123" s="1090"/>
      <c r="BT123" s="1090"/>
      <c r="BU123" s="1090"/>
    </row>
    <row r="124" spans="1:73" x14ac:dyDescent="0.25">
      <c r="A124" s="1090"/>
      <c r="B124" s="1090"/>
      <c r="C124" s="1114"/>
      <c r="D124" s="1094"/>
      <c r="E124" s="1107"/>
      <c r="F124" s="1107"/>
      <c r="G124" s="1107"/>
      <c r="H124" s="1107"/>
      <c r="I124" s="1107"/>
      <c r="J124" s="1107"/>
      <c r="K124" s="1107"/>
      <c r="L124" s="1107"/>
      <c r="M124" s="1107"/>
      <c r="N124" s="1107"/>
      <c r="O124" s="1107"/>
      <c r="P124" s="1107"/>
      <c r="Q124" s="1107"/>
      <c r="R124" s="1107"/>
      <c r="S124" s="1107"/>
      <c r="T124" s="1090"/>
      <c r="U124" s="1090"/>
      <c r="V124" s="1090"/>
      <c r="W124" s="1090"/>
      <c r="X124" s="1090"/>
      <c r="Y124" s="1090"/>
      <c r="Z124" s="1090"/>
      <c r="AA124" s="1090"/>
      <c r="AB124" s="1090"/>
      <c r="AC124" s="1090"/>
      <c r="AD124" s="1090"/>
      <c r="AE124" s="1090"/>
      <c r="AF124" s="1090"/>
      <c r="AG124" s="1090"/>
      <c r="AH124" s="1090"/>
      <c r="AI124" s="1090"/>
      <c r="AJ124" s="1090"/>
      <c r="AK124" s="1090"/>
      <c r="AL124" s="1090"/>
      <c r="AM124" s="1090"/>
      <c r="AN124" s="1090"/>
      <c r="AO124" s="1090"/>
      <c r="AP124" s="1090"/>
      <c r="AQ124" s="1090"/>
      <c r="AR124" s="1090"/>
      <c r="AS124" s="1090"/>
      <c r="AT124" s="1090"/>
      <c r="AU124" s="1090"/>
      <c r="AV124" s="1090"/>
      <c r="AW124" s="1090"/>
      <c r="AX124" s="1090"/>
      <c r="AY124" s="1090"/>
      <c r="AZ124" s="1090"/>
      <c r="BA124" s="1090"/>
      <c r="BB124" s="1090"/>
      <c r="BC124" s="1090"/>
      <c r="BD124" s="1090"/>
      <c r="BE124" s="1090"/>
      <c r="BF124" s="1090"/>
      <c r="BG124" s="1090"/>
      <c r="BH124" s="1090"/>
      <c r="BI124" s="1090"/>
      <c r="BJ124" s="1090"/>
      <c r="BK124" s="1090"/>
      <c r="BL124" s="1090"/>
      <c r="BM124" s="1090"/>
      <c r="BN124" s="1090"/>
      <c r="BO124" s="1090"/>
      <c r="BP124" s="1090"/>
      <c r="BQ124" s="1090"/>
      <c r="BR124" s="1090"/>
      <c r="BS124" s="1090"/>
      <c r="BT124" s="1090"/>
      <c r="BU124" s="1090"/>
    </row>
    <row r="125" spans="1:73" x14ac:dyDescent="0.25">
      <c r="A125" s="1090"/>
      <c r="B125" s="1090"/>
      <c r="C125" s="1114">
        <v>3</v>
      </c>
      <c r="D125" s="1094" t="str">
        <f t="shared" ref="D125:G125" ca="1" si="56">OFFSET(D$76,MATCH($C125,$N$101:$N$107,0)*3-2,0)</f>
        <v>Total Capital Investment = $63,733K</v>
      </c>
      <c r="E125" s="1107">
        <f t="shared" ca="1" si="56"/>
        <v>4.468439739112223</v>
      </c>
      <c r="F125" s="1107">
        <f t="shared" ca="1" si="56"/>
        <v>0</v>
      </c>
      <c r="G125" s="1107">
        <f t="shared" ca="1" si="56"/>
        <v>1.38974896940346E-3</v>
      </c>
      <c r="H125" s="1107"/>
      <c r="I125" s="1107"/>
      <c r="J125" s="1107"/>
      <c r="K125" s="1107"/>
      <c r="L125" s="1107"/>
      <c r="M125" s="1107"/>
      <c r="N125" s="1107"/>
      <c r="O125" s="1107"/>
      <c r="P125" s="1107"/>
      <c r="Q125" s="1107"/>
      <c r="R125" s="1107"/>
      <c r="S125" s="1107"/>
      <c r="T125" s="1090"/>
      <c r="U125" s="1090"/>
      <c r="V125" s="1090"/>
      <c r="W125" s="1090"/>
      <c r="X125" s="1090"/>
      <c r="Y125" s="1090"/>
      <c r="Z125" s="1090"/>
      <c r="AA125" s="1090"/>
      <c r="AB125" s="1090"/>
      <c r="AC125" s="1090"/>
      <c r="AD125" s="1090"/>
      <c r="AE125" s="1090"/>
      <c r="AF125" s="1090"/>
      <c r="AG125" s="1090"/>
      <c r="AH125" s="1090"/>
      <c r="AI125" s="1090"/>
      <c r="AJ125" s="1090"/>
      <c r="AK125" s="1090"/>
      <c r="AL125" s="1090"/>
      <c r="AM125" s="1090"/>
      <c r="AN125" s="1090"/>
      <c r="AO125" s="1090"/>
      <c r="AP125" s="1090"/>
      <c r="AQ125" s="1090"/>
      <c r="AR125" s="1090"/>
      <c r="AS125" s="1090"/>
      <c r="AT125" s="1090"/>
      <c r="AU125" s="1090"/>
      <c r="AV125" s="1090"/>
      <c r="AW125" s="1090"/>
      <c r="AX125" s="1090"/>
      <c r="AY125" s="1090"/>
      <c r="AZ125" s="1090"/>
      <c r="BA125" s="1090"/>
      <c r="BB125" s="1090"/>
      <c r="BC125" s="1090"/>
      <c r="BD125" s="1090"/>
      <c r="BE125" s="1090"/>
      <c r="BF125" s="1090"/>
      <c r="BG125" s="1090"/>
      <c r="BH125" s="1090"/>
      <c r="BI125" s="1090"/>
      <c r="BJ125" s="1090"/>
      <c r="BK125" s="1090"/>
      <c r="BL125" s="1090"/>
      <c r="BM125" s="1090"/>
      <c r="BN125" s="1090"/>
      <c r="BO125" s="1090"/>
      <c r="BP125" s="1090"/>
      <c r="BQ125" s="1090"/>
      <c r="BR125" s="1090"/>
      <c r="BS125" s="1090"/>
      <c r="BT125" s="1090"/>
      <c r="BU125" s="1090"/>
    </row>
    <row r="126" spans="1:73" x14ac:dyDescent="0.25">
      <c r="A126" s="1090"/>
      <c r="B126" s="1090"/>
      <c r="C126" s="1114"/>
      <c r="D126" s="1094"/>
      <c r="E126" s="1107"/>
      <c r="F126" s="1107"/>
      <c r="G126" s="1107"/>
      <c r="H126" s="1107">
        <f t="shared" ref="H126:S126" ca="1" si="57">OFFSET(H$76,MATCH($C125,$N$101:$N$107,0)*3-2,0)</f>
        <v>0.12024509113761588</v>
      </c>
      <c r="I126" s="1107">
        <f t="shared" ca="1" si="57"/>
        <v>3.8391561664007375E-2</v>
      </c>
      <c r="J126" s="1107">
        <f t="shared" ca="1" si="57"/>
        <v>1.9119074872944421E-2</v>
      </c>
      <c r="K126" s="1107">
        <f t="shared" ca="1" si="57"/>
        <v>1.3035857655690258E-3</v>
      </c>
      <c r="L126" s="1107">
        <f t="shared" ca="1" si="57"/>
        <v>1.3837484424608479E-3</v>
      </c>
      <c r="M126" s="1107">
        <f t="shared" ca="1" si="57"/>
        <v>0.2275360410907378</v>
      </c>
      <c r="N126" s="1107">
        <f t="shared" ca="1" si="57"/>
        <v>3.9660070019776885</v>
      </c>
      <c r="O126" s="1107">
        <f t="shared" ca="1" si="57"/>
        <v>0</v>
      </c>
      <c r="P126" s="1107">
        <f t="shared" ca="1" si="57"/>
        <v>9.4523053561131991E-3</v>
      </c>
      <c r="Q126" s="1107">
        <f t="shared" ca="1" si="57"/>
        <v>7.1624966910125765E-2</v>
      </c>
      <c r="R126" s="1107">
        <f t="shared" ca="1" si="57"/>
        <v>1.0855532121771063E-2</v>
      </c>
      <c r="S126" s="1107">
        <f t="shared" ca="1" si="57"/>
        <v>3.9105787425903144E-3</v>
      </c>
      <c r="T126" s="1090"/>
      <c r="U126" s="1090"/>
      <c r="V126" s="1090"/>
      <c r="W126" s="1090"/>
      <c r="X126" s="1090"/>
      <c r="Y126" s="1090"/>
      <c r="Z126" s="1090"/>
      <c r="AA126" s="1090"/>
      <c r="AB126" s="1090"/>
      <c r="AC126" s="1090"/>
      <c r="AD126" s="1090"/>
      <c r="AE126" s="1090"/>
      <c r="AF126" s="1090"/>
      <c r="AG126" s="1090"/>
      <c r="AH126" s="1090"/>
      <c r="AI126" s="1090"/>
      <c r="AJ126" s="1090"/>
      <c r="AK126" s="1090"/>
      <c r="AL126" s="1090"/>
      <c r="AM126" s="1090"/>
      <c r="AN126" s="1090"/>
      <c r="AO126" s="1090"/>
      <c r="AP126" s="1090"/>
      <c r="AQ126" s="1090"/>
      <c r="AR126" s="1090"/>
      <c r="AS126" s="1090"/>
      <c r="AT126" s="1090"/>
      <c r="AU126" s="1090"/>
      <c r="AV126" s="1090"/>
      <c r="AW126" s="1090"/>
      <c r="AX126" s="1090"/>
      <c r="AY126" s="1090"/>
      <c r="AZ126" s="1090"/>
      <c r="BA126" s="1090"/>
      <c r="BB126" s="1090"/>
      <c r="BC126" s="1090"/>
      <c r="BD126" s="1090"/>
      <c r="BE126" s="1090"/>
      <c r="BF126" s="1090"/>
      <c r="BG126" s="1090"/>
      <c r="BH126" s="1090"/>
      <c r="BI126" s="1090"/>
      <c r="BJ126" s="1090"/>
      <c r="BK126" s="1090"/>
      <c r="BL126" s="1090"/>
      <c r="BM126" s="1090"/>
      <c r="BN126" s="1090"/>
      <c r="BO126" s="1090"/>
      <c r="BP126" s="1090"/>
      <c r="BQ126" s="1090"/>
      <c r="BR126" s="1090"/>
      <c r="BS126" s="1090"/>
      <c r="BT126" s="1090"/>
      <c r="BU126" s="1090"/>
    </row>
    <row r="127" spans="1:73" x14ac:dyDescent="0.25">
      <c r="A127" s="1090"/>
      <c r="B127" s="1090"/>
      <c r="C127" s="1114">
        <v>3</v>
      </c>
      <c r="D127" s="1094" t="str">
        <f t="shared" ref="D127:G127" ca="1" si="58">OFFSET(D$76,MATCH($C127,$N$101:$N$107,0)*3,0)</f>
        <v>Total Capital Investment = $70,442K</v>
      </c>
      <c r="E127" s="1107">
        <f t="shared" ca="1" si="58"/>
        <v>4.4964557418261117</v>
      </c>
      <c r="F127" s="1107">
        <f t="shared" ca="1" si="58"/>
        <v>0</v>
      </c>
      <c r="G127" s="1107">
        <f t="shared" ca="1" si="58"/>
        <v>1.5360383346038245E-3</v>
      </c>
      <c r="H127" s="1107"/>
      <c r="I127" s="1107"/>
      <c r="J127" s="1107"/>
      <c r="K127" s="1107"/>
      <c r="L127" s="1107"/>
      <c r="M127" s="1107"/>
      <c r="N127" s="1107"/>
      <c r="O127" s="1107"/>
      <c r="P127" s="1107"/>
      <c r="Q127" s="1107"/>
      <c r="R127" s="1107"/>
      <c r="S127" s="1107"/>
      <c r="T127" s="1090"/>
      <c r="U127" s="1090"/>
      <c r="V127" s="1090"/>
      <c r="W127" s="1090"/>
      <c r="X127" s="1090"/>
      <c r="Y127" s="1090"/>
      <c r="Z127" s="1090"/>
      <c r="AA127" s="1090"/>
      <c r="AB127" s="1090"/>
      <c r="AC127" s="1090"/>
      <c r="AD127" s="1090"/>
      <c r="AE127" s="1090"/>
      <c r="AF127" s="1090"/>
      <c r="AG127" s="1090"/>
      <c r="AH127" s="1090"/>
      <c r="AI127" s="1090"/>
      <c r="AJ127" s="1090"/>
      <c r="AK127" s="1090"/>
      <c r="AL127" s="1090"/>
      <c r="AM127" s="1090"/>
      <c r="AN127" s="1090"/>
      <c r="AO127" s="1090"/>
      <c r="AP127" s="1090"/>
      <c r="AQ127" s="1090"/>
      <c r="AR127" s="1090"/>
      <c r="AS127" s="1090"/>
      <c r="AT127" s="1090"/>
      <c r="AU127" s="1090"/>
      <c r="AV127" s="1090"/>
      <c r="AW127" s="1090"/>
      <c r="AX127" s="1090"/>
      <c r="AY127" s="1090"/>
      <c r="AZ127" s="1090"/>
      <c r="BA127" s="1090"/>
      <c r="BB127" s="1090"/>
      <c r="BC127" s="1090"/>
      <c r="BD127" s="1090"/>
      <c r="BE127" s="1090"/>
      <c r="BF127" s="1090"/>
      <c r="BG127" s="1090"/>
      <c r="BH127" s="1090"/>
      <c r="BI127" s="1090"/>
      <c r="BJ127" s="1090"/>
      <c r="BK127" s="1090"/>
      <c r="BL127" s="1090"/>
      <c r="BM127" s="1090"/>
      <c r="BN127" s="1090"/>
      <c r="BO127" s="1090"/>
      <c r="BP127" s="1090"/>
      <c r="BQ127" s="1090"/>
      <c r="BR127" s="1090"/>
      <c r="BS127" s="1090"/>
      <c r="BT127" s="1090"/>
      <c r="BU127" s="1090"/>
    </row>
    <row r="128" spans="1:73" x14ac:dyDescent="0.25">
      <c r="A128" s="1090"/>
      <c r="B128" s="1090"/>
      <c r="C128" s="1114"/>
      <c r="D128" s="1094"/>
      <c r="E128" s="1107"/>
      <c r="F128" s="1107"/>
      <c r="G128" s="1107"/>
      <c r="H128" s="1107">
        <f t="shared" ref="H128:S128" ca="1" si="59">OFFSET(H$76,MATCH($C127,$N$101:$N$107,0)*3,0)</f>
        <v>0.13295735697380995</v>
      </c>
      <c r="I128" s="1107">
        <f t="shared" ca="1" si="59"/>
        <v>3.8391561664007375E-2</v>
      </c>
      <c r="J128" s="1107">
        <f t="shared" ca="1" si="59"/>
        <v>1.915355605376285E-2</v>
      </c>
      <c r="K128" s="1107">
        <f t="shared" ca="1" si="59"/>
        <v>1.3035857655690258E-3</v>
      </c>
      <c r="L128" s="1107">
        <f t="shared" ca="1" si="59"/>
        <v>1.5300378076612119E-3</v>
      </c>
      <c r="M128" s="1107">
        <f t="shared" ca="1" si="59"/>
        <v>0.23511548382535824</v>
      </c>
      <c r="N128" s="1107">
        <f t="shared" ca="1" si="59"/>
        <v>3.9660070019776885</v>
      </c>
      <c r="O128" s="1107">
        <f t="shared" ca="1" si="59"/>
        <v>0</v>
      </c>
      <c r="P128" s="1107">
        <f t="shared" ca="1" si="59"/>
        <v>9.4523053561131991E-3</v>
      </c>
      <c r="Q128" s="1107">
        <f t="shared" ca="1" si="59"/>
        <v>7.9197131488786793E-2</v>
      </c>
      <c r="R128" s="1107">
        <f t="shared" ca="1" si="59"/>
        <v>1.0559755590642343E-2</v>
      </c>
      <c r="S128" s="1107">
        <f t="shared" ca="1" si="59"/>
        <v>4.3240036573112288E-3</v>
      </c>
      <c r="T128" s="1090"/>
      <c r="U128" s="1090"/>
      <c r="V128" s="1090"/>
      <c r="W128" s="1090"/>
      <c r="X128" s="1090"/>
      <c r="Y128" s="1090"/>
      <c r="Z128" s="1090"/>
      <c r="AA128" s="1090"/>
      <c r="AB128" s="1090"/>
      <c r="AC128" s="1090"/>
      <c r="AD128" s="1090"/>
      <c r="AE128" s="1090"/>
      <c r="AF128" s="1090"/>
      <c r="AG128" s="1090"/>
      <c r="AH128" s="1090"/>
      <c r="AI128" s="1090"/>
      <c r="AJ128" s="1090"/>
      <c r="AK128" s="1090"/>
      <c r="AL128" s="1090"/>
      <c r="AM128" s="1090"/>
      <c r="AN128" s="1090"/>
      <c r="AO128" s="1090"/>
      <c r="AP128" s="1090"/>
      <c r="AQ128" s="1090"/>
      <c r="AR128" s="1090"/>
      <c r="AS128" s="1090"/>
      <c r="AT128" s="1090"/>
      <c r="AU128" s="1090"/>
      <c r="AV128" s="1090"/>
      <c r="AW128" s="1090"/>
      <c r="AX128" s="1090"/>
      <c r="AY128" s="1090"/>
      <c r="AZ128" s="1090"/>
      <c r="BA128" s="1090"/>
      <c r="BB128" s="1090"/>
      <c r="BC128" s="1090"/>
      <c r="BD128" s="1090"/>
      <c r="BE128" s="1090"/>
      <c r="BF128" s="1090"/>
      <c r="BG128" s="1090"/>
      <c r="BH128" s="1090"/>
      <c r="BI128" s="1090"/>
      <c r="BJ128" s="1090"/>
      <c r="BK128" s="1090"/>
      <c r="BL128" s="1090"/>
      <c r="BM128" s="1090"/>
      <c r="BN128" s="1090"/>
      <c r="BO128" s="1090"/>
      <c r="BP128" s="1090"/>
      <c r="BQ128" s="1090"/>
      <c r="BR128" s="1090"/>
      <c r="BS128" s="1090"/>
      <c r="BT128" s="1090"/>
      <c r="BU128" s="1090"/>
    </row>
    <row r="129" spans="1:73" x14ac:dyDescent="0.25">
      <c r="A129" s="1090"/>
      <c r="B129" s="1090"/>
      <c r="C129" s="1114"/>
      <c r="D129" s="1094"/>
      <c r="E129" s="1107"/>
      <c r="F129" s="1107"/>
      <c r="G129" s="1107"/>
      <c r="H129" s="1107"/>
      <c r="I129" s="1107"/>
      <c r="J129" s="1107"/>
      <c r="K129" s="1107"/>
      <c r="L129" s="1107"/>
      <c r="M129" s="1107"/>
      <c r="N129" s="1107"/>
      <c r="O129" s="1107"/>
      <c r="P129" s="1107"/>
      <c r="Q129" s="1107"/>
      <c r="R129" s="1107"/>
      <c r="S129" s="1107"/>
      <c r="T129" s="1090"/>
      <c r="U129" s="1090"/>
      <c r="V129" s="1090"/>
      <c r="W129" s="1090"/>
      <c r="X129" s="1090"/>
      <c r="Y129" s="1090"/>
      <c r="Z129" s="1090"/>
      <c r="AA129" s="1090"/>
      <c r="AB129" s="1090"/>
      <c r="AC129" s="1090"/>
      <c r="AD129" s="1090"/>
      <c r="AE129" s="1090"/>
      <c r="AF129" s="1090"/>
      <c r="AG129" s="1090"/>
      <c r="AH129" s="1090"/>
      <c r="AI129" s="1090"/>
      <c r="AJ129" s="1090"/>
      <c r="AK129" s="1090"/>
      <c r="AL129" s="1090"/>
      <c r="AM129" s="1090"/>
      <c r="AN129" s="1090"/>
      <c r="AO129" s="1090"/>
      <c r="AP129" s="1090"/>
      <c r="AQ129" s="1090"/>
      <c r="AR129" s="1090"/>
      <c r="AS129" s="1090"/>
      <c r="AT129" s="1090"/>
      <c r="AU129" s="1090"/>
      <c r="AV129" s="1090"/>
      <c r="AW129" s="1090"/>
      <c r="AX129" s="1090"/>
      <c r="AY129" s="1090"/>
      <c r="AZ129" s="1090"/>
      <c r="BA129" s="1090"/>
      <c r="BB129" s="1090"/>
      <c r="BC129" s="1090"/>
      <c r="BD129" s="1090"/>
      <c r="BE129" s="1090"/>
      <c r="BF129" s="1090"/>
      <c r="BG129" s="1090"/>
      <c r="BH129" s="1090"/>
      <c r="BI129" s="1090"/>
      <c r="BJ129" s="1090"/>
      <c r="BK129" s="1090"/>
      <c r="BL129" s="1090"/>
      <c r="BM129" s="1090"/>
      <c r="BN129" s="1090"/>
      <c r="BO129" s="1090"/>
      <c r="BP129" s="1090"/>
      <c r="BQ129" s="1090"/>
      <c r="BR129" s="1090"/>
      <c r="BS129" s="1090"/>
      <c r="BT129" s="1090"/>
      <c r="BU129" s="1090"/>
    </row>
    <row r="130" spans="1:73" x14ac:dyDescent="0.25">
      <c r="A130" s="1090"/>
      <c r="B130" s="1090"/>
      <c r="C130" s="1114">
        <v>4</v>
      </c>
      <c r="D130" s="1094" t="str">
        <f t="shared" ref="D130:G130" ca="1" si="60">OFFSET(D$76,MATCH($C130,$N$101:$N$107,0)*3-2,0)</f>
        <v>Total Fixed Operating Cost = $3,890K</v>
      </c>
      <c r="E130" s="1107">
        <f t="shared" ca="1" si="60"/>
        <v>4.4708105951578627</v>
      </c>
      <c r="F130" s="1107">
        <f t="shared" ca="1" si="60"/>
        <v>0</v>
      </c>
      <c r="G130" s="1107">
        <f t="shared" ca="1" si="60"/>
        <v>1.4628936520036421E-3</v>
      </c>
      <c r="H130" s="1107"/>
      <c r="I130" s="1107"/>
      <c r="J130" s="1107"/>
      <c r="K130" s="1107"/>
      <c r="L130" s="1107"/>
      <c r="M130" s="1107"/>
      <c r="N130" s="1107"/>
      <c r="O130" s="1107"/>
      <c r="P130" s="1107"/>
      <c r="Q130" s="1107"/>
      <c r="R130" s="1107"/>
      <c r="S130" s="1107"/>
      <c r="T130" s="1090"/>
      <c r="U130" s="1090"/>
      <c r="V130" s="1090"/>
      <c r="W130" s="1090"/>
      <c r="X130" s="1090"/>
      <c r="Y130" s="1090"/>
      <c r="Z130" s="1090"/>
      <c r="AA130" s="1090"/>
      <c r="AB130" s="1090"/>
      <c r="AC130" s="1090"/>
      <c r="AD130" s="1090"/>
      <c r="AE130" s="1090"/>
      <c r="AF130" s="1090"/>
      <c r="AG130" s="1090"/>
      <c r="AH130" s="1090"/>
      <c r="AI130" s="1090"/>
      <c r="AJ130" s="1090"/>
      <c r="AK130" s="1090"/>
      <c r="AL130" s="1090"/>
      <c r="AM130" s="1090"/>
      <c r="AN130" s="1090"/>
      <c r="AO130" s="1090"/>
      <c r="AP130" s="1090"/>
      <c r="AQ130" s="1090"/>
      <c r="AR130" s="1090"/>
      <c r="AS130" s="1090"/>
      <c r="AT130" s="1090"/>
      <c r="AU130" s="1090"/>
      <c r="AV130" s="1090"/>
      <c r="AW130" s="1090"/>
      <c r="AX130" s="1090"/>
      <c r="AY130" s="1090"/>
      <c r="AZ130" s="1090"/>
      <c r="BA130" s="1090"/>
      <c r="BB130" s="1090"/>
      <c r="BC130" s="1090"/>
      <c r="BD130" s="1090"/>
      <c r="BE130" s="1090"/>
      <c r="BF130" s="1090"/>
      <c r="BG130" s="1090"/>
      <c r="BH130" s="1090"/>
      <c r="BI130" s="1090"/>
      <c r="BJ130" s="1090"/>
      <c r="BK130" s="1090"/>
      <c r="BL130" s="1090"/>
      <c r="BM130" s="1090"/>
      <c r="BN130" s="1090"/>
      <c r="BO130" s="1090"/>
      <c r="BP130" s="1090"/>
      <c r="BQ130" s="1090"/>
      <c r="BR130" s="1090"/>
      <c r="BS130" s="1090"/>
      <c r="BT130" s="1090"/>
      <c r="BU130" s="1090"/>
    </row>
    <row r="131" spans="1:73" x14ac:dyDescent="0.25">
      <c r="A131" s="1090"/>
      <c r="B131" s="1090"/>
      <c r="C131" s="1114"/>
      <c r="D131" s="1094"/>
      <c r="E131" s="1107"/>
      <c r="F131" s="1107"/>
      <c r="G131" s="1107"/>
      <c r="H131" s="1107">
        <f t="shared" ref="H131:S131" ca="1" si="61">OFFSET(H$76,MATCH($C130,$N$101:$N$107,0)*3-2,0)</f>
        <v>0.12660122405571292</v>
      </c>
      <c r="I131" s="1107">
        <f t="shared" ca="1" si="61"/>
        <v>3.8391561664007375E-2</v>
      </c>
      <c r="J131" s="1107">
        <f t="shared" ca="1" si="61"/>
        <v>1.9083696915245578E-2</v>
      </c>
      <c r="K131" s="1107">
        <f t="shared" ca="1" si="61"/>
        <v>1.3035857655690258E-3</v>
      </c>
      <c r="L131" s="1107">
        <f t="shared" ca="1" si="61"/>
        <v>1.45689312506103E-3</v>
      </c>
      <c r="M131" s="1107">
        <f t="shared" ca="1" si="61"/>
        <v>0.21975947433514567</v>
      </c>
      <c r="N131" s="1107">
        <f t="shared" ca="1" si="61"/>
        <v>3.9660070019776885</v>
      </c>
      <c r="O131" s="1107">
        <f t="shared" ca="1" si="61"/>
        <v>0</v>
      </c>
      <c r="P131" s="1107">
        <f t="shared" ca="1" si="61"/>
        <v>9.4523053561131991E-3</v>
      </c>
      <c r="Q131" s="1107">
        <f t="shared" ca="1" si="61"/>
        <v>7.5411049199456293E-2</v>
      </c>
      <c r="R131" s="1107">
        <f t="shared" ca="1" si="61"/>
        <v>1.0689405215911872E-2</v>
      </c>
      <c r="S131" s="1107">
        <f t="shared" ca="1" si="61"/>
        <v>4.1172911999507716E-3</v>
      </c>
      <c r="T131" s="1090"/>
      <c r="U131" s="1090"/>
      <c r="V131" s="1090"/>
      <c r="W131" s="1090"/>
      <c r="X131" s="1090"/>
      <c r="Y131" s="1090"/>
      <c r="Z131" s="1090"/>
      <c r="AA131" s="1090"/>
      <c r="AB131" s="1090"/>
      <c r="AC131" s="1090"/>
      <c r="AD131" s="1090"/>
      <c r="AE131" s="1090"/>
      <c r="AF131" s="1090"/>
      <c r="AG131" s="1090"/>
      <c r="AH131" s="1090"/>
      <c r="AI131" s="1090"/>
      <c r="AJ131" s="1090"/>
      <c r="AK131" s="1090"/>
      <c r="AL131" s="1090"/>
      <c r="AM131" s="1090"/>
      <c r="AN131" s="1090"/>
      <c r="AO131" s="1090"/>
      <c r="AP131" s="1090"/>
      <c r="AQ131" s="1090"/>
      <c r="AR131" s="1090"/>
      <c r="AS131" s="1090"/>
      <c r="AT131" s="1090"/>
      <c r="AU131" s="1090"/>
      <c r="AV131" s="1090"/>
      <c r="AW131" s="1090"/>
      <c r="AX131" s="1090"/>
      <c r="AY131" s="1090"/>
      <c r="AZ131" s="1090"/>
      <c r="BA131" s="1090"/>
      <c r="BB131" s="1090"/>
      <c r="BC131" s="1090"/>
      <c r="BD131" s="1090"/>
      <c r="BE131" s="1090"/>
      <c r="BF131" s="1090"/>
      <c r="BG131" s="1090"/>
      <c r="BH131" s="1090"/>
      <c r="BI131" s="1090"/>
      <c r="BJ131" s="1090"/>
      <c r="BK131" s="1090"/>
      <c r="BL131" s="1090"/>
      <c r="BM131" s="1090"/>
      <c r="BN131" s="1090"/>
      <c r="BO131" s="1090"/>
      <c r="BP131" s="1090"/>
      <c r="BQ131" s="1090"/>
      <c r="BR131" s="1090"/>
      <c r="BS131" s="1090"/>
      <c r="BT131" s="1090"/>
      <c r="BU131" s="1090"/>
    </row>
    <row r="132" spans="1:73" x14ac:dyDescent="0.25">
      <c r="A132" s="1090"/>
      <c r="B132" s="1090"/>
      <c r="C132" s="1114">
        <v>4</v>
      </c>
      <c r="D132" s="1094" t="str">
        <f t="shared" ref="D132:G132" ca="1" si="62">OFFSET(D$76,MATCH($C132,$N$101:$N$107,0)*3,0)</f>
        <v>Total Fixed Operating Cost = $4,300K</v>
      </c>
      <c r="E132" s="1107">
        <f t="shared" ca="1" si="62"/>
        <v>4.4940848857804729</v>
      </c>
      <c r="F132" s="1107">
        <f t="shared" ca="1" si="62"/>
        <v>0</v>
      </c>
      <c r="G132" s="1107">
        <f t="shared" ca="1" si="62"/>
        <v>1.4628936520036421E-3</v>
      </c>
      <c r="H132" s="1107"/>
      <c r="I132" s="1107"/>
      <c r="J132" s="1107"/>
      <c r="K132" s="1107"/>
      <c r="L132" s="1107"/>
      <c r="M132" s="1107"/>
      <c r="N132" s="1107"/>
      <c r="O132" s="1107"/>
      <c r="P132" s="1107"/>
      <c r="Q132" s="1107"/>
      <c r="R132" s="1107"/>
      <c r="S132" s="1107"/>
      <c r="T132" s="1090"/>
      <c r="U132" s="1090"/>
      <c r="V132" s="1090"/>
      <c r="W132" s="1090"/>
      <c r="X132" s="1090"/>
      <c r="Y132" s="1090"/>
      <c r="Z132" s="1090"/>
      <c r="AA132" s="1090"/>
      <c r="AB132" s="1090"/>
      <c r="AC132" s="1090"/>
      <c r="AD132" s="1090"/>
      <c r="AE132" s="1090"/>
      <c r="AF132" s="1090"/>
      <c r="AG132" s="1090"/>
      <c r="AH132" s="1090"/>
      <c r="AI132" s="1090"/>
      <c r="AJ132" s="1090"/>
      <c r="AK132" s="1090"/>
      <c r="AL132" s="1090"/>
      <c r="AM132" s="1090"/>
      <c r="AN132" s="1090"/>
      <c r="AO132" s="1090"/>
      <c r="AP132" s="1090"/>
      <c r="AQ132" s="1090"/>
      <c r="AR132" s="1090"/>
      <c r="AS132" s="1090"/>
      <c r="AT132" s="1090"/>
      <c r="AU132" s="1090"/>
      <c r="AV132" s="1090"/>
      <c r="AW132" s="1090"/>
      <c r="AX132" s="1090"/>
      <c r="AY132" s="1090"/>
      <c r="AZ132" s="1090"/>
      <c r="BA132" s="1090"/>
      <c r="BB132" s="1090"/>
      <c r="BC132" s="1090"/>
      <c r="BD132" s="1090"/>
      <c r="BE132" s="1090"/>
      <c r="BF132" s="1090"/>
      <c r="BG132" s="1090"/>
      <c r="BH132" s="1090"/>
      <c r="BI132" s="1090"/>
      <c r="BJ132" s="1090"/>
      <c r="BK132" s="1090"/>
      <c r="BL132" s="1090"/>
      <c r="BM132" s="1090"/>
      <c r="BN132" s="1090"/>
      <c r="BO132" s="1090"/>
      <c r="BP132" s="1090"/>
      <c r="BQ132" s="1090"/>
      <c r="BR132" s="1090"/>
      <c r="BS132" s="1090"/>
      <c r="BT132" s="1090"/>
      <c r="BU132" s="1090"/>
    </row>
    <row r="133" spans="1:73" x14ac:dyDescent="0.25">
      <c r="A133" s="1090"/>
      <c r="B133" s="1090"/>
      <c r="C133" s="1114"/>
      <c r="D133" s="1094"/>
      <c r="E133" s="1107"/>
      <c r="F133" s="1107"/>
      <c r="G133" s="1107"/>
      <c r="H133" s="1107">
        <f t="shared" ref="H133:S133" ca="1" si="63">OFFSET(H$76,MATCH($C132,$N$101:$N$107,0)*3,0)</f>
        <v>0.12660122405571292</v>
      </c>
      <c r="I133" s="1107">
        <f t="shared" ca="1" si="63"/>
        <v>3.8391561664007375E-2</v>
      </c>
      <c r="J133" s="1107">
        <f t="shared" ca="1" si="63"/>
        <v>1.9188934011461694E-2</v>
      </c>
      <c r="K133" s="1107">
        <f t="shared" ca="1" si="63"/>
        <v>1.3035857655690258E-3</v>
      </c>
      <c r="L133" s="1107">
        <f t="shared" ca="1" si="63"/>
        <v>1.45689312506103E-3</v>
      </c>
      <c r="M133" s="1107">
        <f t="shared" ca="1" si="63"/>
        <v>0.24289205058095054</v>
      </c>
      <c r="N133" s="1107">
        <f t="shared" ca="1" si="63"/>
        <v>3.9660070019776885</v>
      </c>
      <c r="O133" s="1107">
        <f t="shared" ca="1" si="63"/>
        <v>0</v>
      </c>
      <c r="P133" s="1107">
        <f t="shared" ca="1" si="63"/>
        <v>9.4523053561131991E-3</v>
      </c>
      <c r="Q133" s="1107">
        <f t="shared" ca="1" si="63"/>
        <v>7.5411049199456293E-2</v>
      </c>
      <c r="R133" s="1107">
        <f t="shared" ca="1" si="63"/>
        <v>1.0725882496501665E-2</v>
      </c>
      <c r="S133" s="1107">
        <f t="shared" ca="1" si="63"/>
        <v>4.1172911999507716E-3</v>
      </c>
      <c r="T133" s="1090"/>
      <c r="U133" s="1090"/>
      <c r="V133" s="1090"/>
      <c r="W133" s="1090"/>
      <c r="X133" s="1090"/>
      <c r="Y133" s="1090"/>
      <c r="Z133" s="1090"/>
      <c r="AA133" s="1090"/>
      <c r="AB133" s="1090"/>
      <c r="AC133" s="1090"/>
      <c r="AD133" s="1090"/>
      <c r="AE133" s="1090"/>
      <c r="AF133" s="1090"/>
      <c r="AG133" s="1090"/>
      <c r="AH133" s="1090"/>
      <c r="AI133" s="1090"/>
      <c r="AJ133" s="1090"/>
      <c r="AK133" s="1090"/>
      <c r="AL133" s="1090"/>
      <c r="AM133" s="1090"/>
      <c r="AN133" s="1090"/>
      <c r="AO133" s="1090"/>
      <c r="AP133" s="1090"/>
      <c r="AQ133" s="1090"/>
      <c r="AR133" s="1090"/>
      <c r="AS133" s="1090"/>
      <c r="AT133" s="1090"/>
      <c r="AU133" s="1090"/>
      <c r="AV133" s="1090"/>
      <c r="AW133" s="1090"/>
      <c r="AX133" s="1090"/>
      <c r="AY133" s="1090"/>
      <c r="AZ133" s="1090"/>
      <c r="BA133" s="1090"/>
      <c r="BB133" s="1090"/>
      <c r="BC133" s="1090"/>
      <c r="BD133" s="1090"/>
      <c r="BE133" s="1090"/>
      <c r="BF133" s="1090"/>
      <c r="BG133" s="1090"/>
      <c r="BH133" s="1090"/>
      <c r="BI133" s="1090"/>
      <c r="BJ133" s="1090"/>
      <c r="BK133" s="1090"/>
      <c r="BL133" s="1090"/>
      <c r="BM133" s="1090"/>
      <c r="BN133" s="1090"/>
      <c r="BO133" s="1090"/>
      <c r="BP133" s="1090"/>
      <c r="BQ133" s="1090"/>
      <c r="BR133" s="1090"/>
      <c r="BS133" s="1090"/>
      <c r="BT133" s="1090"/>
      <c r="BU133" s="1090"/>
    </row>
    <row r="134" spans="1:73" x14ac:dyDescent="0.25">
      <c r="A134" s="1090"/>
      <c r="B134" s="1090"/>
      <c r="C134" s="1114"/>
      <c r="D134" s="1094"/>
      <c r="E134" s="1107"/>
      <c r="F134" s="1107"/>
      <c r="G134" s="1107"/>
      <c r="H134" s="1107"/>
      <c r="I134" s="1107"/>
      <c r="J134" s="1107"/>
      <c r="K134" s="1107"/>
      <c r="L134" s="1107"/>
      <c r="M134" s="1107"/>
      <c r="N134" s="1107"/>
      <c r="O134" s="1107"/>
      <c r="P134" s="1107"/>
      <c r="Q134" s="1107"/>
      <c r="R134" s="1107"/>
      <c r="S134" s="1107"/>
      <c r="T134" s="1090"/>
      <c r="U134" s="1090"/>
      <c r="V134" s="1090"/>
      <c r="W134" s="1090"/>
      <c r="X134" s="1090"/>
      <c r="Y134" s="1090"/>
      <c r="Z134" s="1090"/>
      <c r="AA134" s="1090"/>
      <c r="AB134" s="1090"/>
      <c r="AC134" s="1090"/>
      <c r="AD134" s="1090"/>
      <c r="AE134" s="1090"/>
      <c r="AF134" s="1090"/>
      <c r="AG134" s="1090"/>
      <c r="AH134" s="1090"/>
      <c r="AI134" s="1090"/>
      <c r="AJ134" s="1090"/>
      <c r="AK134" s="1090"/>
      <c r="AL134" s="1090"/>
      <c r="AM134" s="1090"/>
      <c r="AN134" s="1090"/>
      <c r="AO134" s="1090"/>
      <c r="AP134" s="1090"/>
      <c r="AQ134" s="1090"/>
      <c r="AR134" s="1090"/>
      <c r="AS134" s="1090"/>
      <c r="AT134" s="1090"/>
      <c r="AU134" s="1090"/>
      <c r="AV134" s="1090"/>
      <c r="AW134" s="1090"/>
      <c r="AX134" s="1090"/>
      <c r="AY134" s="1090"/>
      <c r="AZ134" s="1090"/>
      <c r="BA134" s="1090"/>
      <c r="BB134" s="1090"/>
      <c r="BC134" s="1090"/>
      <c r="BD134" s="1090"/>
      <c r="BE134" s="1090"/>
      <c r="BF134" s="1090"/>
      <c r="BG134" s="1090"/>
      <c r="BH134" s="1090"/>
      <c r="BI134" s="1090"/>
      <c r="BJ134" s="1090"/>
      <c r="BK134" s="1090"/>
      <c r="BL134" s="1090"/>
      <c r="BM134" s="1090"/>
      <c r="BN134" s="1090"/>
      <c r="BO134" s="1090"/>
      <c r="BP134" s="1090"/>
      <c r="BQ134" s="1090"/>
      <c r="BR134" s="1090"/>
      <c r="BS134" s="1090"/>
      <c r="BT134" s="1090"/>
      <c r="BU134" s="1090"/>
    </row>
    <row r="135" spans="1:73" x14ac:dyDescent="0.25">
      <c r="A135" s="1090"/>
      <c r="B135" s="1090"/>
      <c r="C135" s="1114">
        <v>5</v>
      </c>
      <c r="D135" s="1094" t="str">
        <f t="shared" ref="D135:G135" ca="1" si="64">OFFSET(D$76,MATCH($C135,$N$101:$N$107,0)*3-2,0)</f>
        <v>Plant Design Capacity (kg of H2/day) = 52,500</v>
      </c>
      <c r="E135" s="1107">
        <f t="shared" ca="1" si="64"/>
        <v>4.4742432312590292</v>
      </c>
      <c r="F135" s="1107">
        <f t="shared" ca="1" si="64"/>
        <v>0</v>
      </c>
      <c r="G135" s="1107">
        <f t="shared" ca="1" si="64"/>
        <v>1.4346205110403114E-3</v>
      </c>
      <c r="H135" s="1107"/>
      <c r="I135" s="1107"/>
      <c r="J135" s="1107"/>
      <c r="K135" s="1107"/>
      <c r="L135" s="1107"/>
      <c r="M135" s="1107"/>
      <c r="N135" s="1107"/>
      <c r="O135" s="1107"/>
      <c r="P135" s="1107"/>
      <c r="Q135" s="1107"/>
      <c r="R135" s="1107"/>
      <c r="S135" s="1107"/>
      <c r="T135" s="1090"/>
      <c r="U135" s="1090"/>
      <c r="V135" s="1090"/>
      <c r="W135" s="1090"/>
      <c r="X135" s="1090"/>
      <c r="Y135" s="1090"/>
      <c r="Z135" s="1090"/>
      <c r="AA135" s="1090"/>
      <c r="AB135" s="1090"/>
      <c r="AC135" s="1090"/>
      <c r="AD135" s="1090"/>
      <c r="AE135" s="1090"/>
      <c r="AF135" s="1090"/>
      <c r="AG135" s="1090"/>
      <c r="AH135" s="1090"/>
      <c r="AI135" s="1090"/>
      <c r="AJ135" s="1090"/>
      <c r="AK135" s="1090"/>
      <c r="AL135" s="1090"/>
      <c r="AM135" s="1090"/>
      <c r="AN135" s="1090"/>
      <c r="AO135" s="1090"/>
      <c r="AP135" s="1090"/>
      <c r="AQ135" s="1090"/>
      <c r="AR135" s="1090"/>
      <c r="AS135" s="1090"/>
      <c r="AT135" s="1090"/>
      <c r="AU135" s="1090"/>
      <c r="AV135" s="1090"/>
      <c r="AW135" s="1090"/>
      <c r="AX135" s="1090"/>
      <c r="AY135" s="1090"/>
      <c r="AZ135" s="1090"/>
      <c r="BA135" s="1090"/>
      <c r="BB135" s="1090"/>
      <c r="BC135" s="1090"/>
      <c r="BD135" s="1090"/>
      <c r="BE135" s="1090"/>
      <c r="BF135" s="1090"/>
      <c r="BG135" s="1090"/>
      <c r="BH135" s="1090"/>
      <c r="BI135" s="1090"/>
      <c r="BJ135" s="1090"/>
      <c r="BK135" s="1090"/>
      <c r="BL135" s="1090"/>
      <c r="BM135" s="1090"/>
      <c r="BN135" s="1090"/>
      <c r="BO135" s="1090"/>
      <c r="BP135" s="1090"/>
      <c r="BQ135" s="1090"/>
      <c r="BR135" s="1090"/>
      <c r="BS135" s="1090"/>
      <c r="BT135" s="1090"/>
      <c r="BU135" s="1090"/>
    </row>
    <row r="136" spans="1:73" x14ac:dyDescent="0.25">
      <c r="A136" s="1090"/>
      <c r="B136" s="1090"/>
      <c r="C136" s="1114"/>
      <c r="D136" s="1094"/>
      <c r="E136" s="1107"/>
      <c r="F136" s="1107"/>
      <c r="G136" s="1107"/>
      <c r="H136" s="1107">
        <f t="shared" ref="H136:S136" ca="1" si="65">OFFSET(H$76,MATCH($C135,$N$101:$N$107,0)*3-2,0)</f>
        <v>0.12415441990904451</v>
      </c>
      <c r="I136" s="1107">
        <f t="shared" ca="1" si="65"/>
        <v>3.7649573322447304E-2</v>
      </c>
      <c r="J136" s="1107">
        <f t="shared" ca="1" si="65"/>
        <v>1.9121055705856416E-2</v>
      </c>
      <c r="K136" s="1107">
        <f t="shared" ca="1" si="65"/>
        <v>1.2783915458407199E-3</v>
      </c>
      <c r="L136" s="1107">
        <f t="shared" ca="1" si="65"/>
        <v>1.4287359554424857E-3</v>
      </c>
      <c r="M136" s="1107">
        <f t="shared" ca="1" si="65"/>
        <v>0.22797145569276162</v>
      </c>
      <c r="N136" s="1107">
        <f t="shared" ca="1" si="65"/>
        <v>3.966007001977689</v>
      </c>
      <c r="O136" s="1107">
        <f t="shared" ca="1" si="65"/>
        <v>0</v>
      </c>
      <c r="P136" s="1107">
        <f t="shared" ca="1" si="65"/>
        <v>9.4523053561131956E-3</v>
      </c>
      <c r="Q136" s="1107">
        <f t="shared" ca="1" si="65"/>
        <v>7.3953590401074978E-2</v>
      </c>
      <c r="R136" s="1107">
        <f t="shared" ca="1" si="65"/>
        <v>1.062360501488817E-2</v>
      </c>
      <c r="S136" s="1107">
        <f t="shared" ca="1" si="65"/>
        <v>4.03771688891056E-3</v>
      </c>
      <c r="T136" s="1090"/>
      <c r="U136" s="1090"/>
      <c r="V136" s="1090"/>
      <c r="W136" s="1090"/>
      <c r="X136" s="1090"/>
      <c r="Y136" s="1090"/>
      <c r="Z136" s="1090"/>
      <c r="AA136" s="1090"/>
      <c r="AB136" s="1090"/>
      <c r="AC136" s="1090"/>
      <c r="AD136" s="1090"/>
      <c r="AE136" s="1090"/>
      <c r="AF136" s="1090"/>
      <c r="AG136" s="1090"/>
      <c r="AH136" s="1090"/>
      <c r="AI136" s="1090"/>
      <c r="AJ136" s="1090"/>
      <c r="AK136" s="1090"/>
      <c r="AL136" s="1090"/>
      <c r="AM136" s="1090"/>
      <c r="AN136" s="1090"/>
      <c r="AO136" s="1090"/>
      <c r="AP136" s="1090"/>
      <c r="AQ136" s="1090"/>
      <c r="AR136" s="1090"/>
      <c r="AS136" s="1090"/>
      <c r="AT136" s="1090"/>
      <c r="AU136" s="1090"/>
      <c r="AV136" s="1090"/>
      <c r="AW136" s="1090"/>
      <c r="AX136" s="1090"/>
      <c r="AY136" s="1090"/>
      <c r="AZ136" s="1090"/>
      <c r="BA136" s="1090"/>
      <c r="BB136" s="1090"/>
      <c r="BC136" s="1090"/>
      <c r="BD136" s="1090"/>
      <c r="BE136" s="1090"/>
      <c r="BF136" s="1090"/>
      <c r="BG136" s="1090"/>
      <c r="BH136" s="1090"/>
      <c r="BI136" s="1090"/>
      <c r="BJ136" s="1090"/>
      <c r="BK136" s="1090"/>
      <c r="BL136" s="1090"/>
      <c r="BM136" s="1090"/>
      <c r="BN136" s="1090"/>
      <c r="BO136" s="1090"/>
      <c r="BP136" s="1090"/>
      <c r="BQ136" s="1090"/>
      <c r="BR136" s="1090"/>
      <c r="BS136" s="1090"/>
      <c r="BT136" s="1090"/>
      <c r="BU136" s="1090"/>
    </row>
    <row r="137" spans="1:73" x14ac:dyDescent="0.25">
      <c r="A137" s="1090"/>
      <c r="B137" s="1090"/>
      <c r="C137" s="1114">
        <v>5</v>
      </c>
      <c r="D137" s="1094" t="str">
        <f t="shared" ref="D137:G137" ca="1" si="66">OFFSET(D$76,MATCH($C137,$N$101:$N$107,0)*3,0)</f>
        <v>Plant Design Capacity (kg of H2/day) = 47,500</v>
      </c>
      <c r="E137" s="1107">
        <f t="shared" ca="1" si="66"/>
        <v>4.4913240547112334</v>
      </c>
      <c r="F137" s="1107">
        <f t="shared" ca="1" si="66"/>
        <v>0</v>
      </c>
      <c r="G137" s="1107">
        <f t="shared" ca="1" si="66"/>
        <v>1.4932183326750168E-3</v>
      </c>
      <c r="H137" s="1107"/>
      <c r="I137" s="1107"/>
      <c r="J137" s="1107"/>
      <c r="K137" s="1107"/>
      <c r="L137" s="1107"/>
      <c r="M137" s="1107"/>
      <c r="N137" s="1107"/>
      <c r="O137" s="1107"/>
      <c r="P137" s="1107"/>
      <c r="Q137" s="1107"/>
      <c r="R137" s="1107"/>
      <c r="S137" s="1107"/>
      <c r="T137" s="1090"/>
      <c r="U137" s="1090"/>
      <c r="V137" s="1090"/>
      <c r="W137" s="1090"/>
      <c r="X137" s="1090"/>
      <c r="Y137" s="1090"/>
      <c r="Z137" s="1090"/>
      <c r="AA137" s="1090"/>
      <c r="AB137" s="1090"/>
      <c r="AC137" s="1090"/>
      <c r="AD137" s="1090"/>
      <c r="AE137" s="1090"/>
      <c r="AF137" s="1090"/>
      <c r="AG137" s="1090"/>
      <c r="AH137" s="1090"/>
      <c r="AI137" s="1090"/>
      <c r="AJ137" s="1090"/>
      <c r="AK137" s="1090"/>
      <c r="AL137" s="1090"/>
      <c r="AM137" s="1090"/>
      <c r="AN137" s="1090"/>
      <c r="AO137" s="1090"/>
      <c r="AP137" s="1090"/>
      <c r="AQ137" s="1090"/>
      <c r="AR137" s="1090"/>
      <c r="AS137" s="1090"/>
      <c r="AT137" s="1090"/>
      <c r="AU137" s="1090"/>
      <c r="AV137" s="1090"/>
      <c r="AW137" s="1090"/>
      <c r="AX137" s="1090"/>
      <c r="AY137" s="1090"/>
      <c r="AZ137" s="1090"/>
      <c r="BA137" s="1090"/>
      <c r="BB137" s="1090"/>
      <c r="BC137" s="1090"/>
      <c r="BD137" s="1090"/>
      <c r="BE137" s="1090"/>
      <c r="BF137" s="1090"/>
      <c r="BG137" s="1090"/>
      <c r="BH137" s="1090"/>
      <c r="BI137" s="1090"/>
      <c r="BJ137" s="1090"/>
      <c r="BK137" s="1090"/>
      <c r="BL137" s="1090"/>
      <c r="BM137" s="1090"/>
      <c r="BN137" s="1090"/>
      <c r="BO137" s="1090"/>
      <c r="BP137" s="1090"/>
      <c r="BQ137" s="1090"/>
      <c r="BR137" s="1090"/>
      <c r="BS137" s="1090"/>
      <c r="BT137" s="1090"/>
      <c r="BU137" s="1090"/>
    </row>
    <row r="138" spans="1:73" x14ac:dyDescent="0.25">
      <c r="A138" s="1090"/>
      <c r="B138" s="1090"/>
      <c r="C138" s="1114"/>
      <c r="D138" s="1094"/>
      <c r="E138" s="1107"/>
      <c r="F138" s="1107"/>
      <c r="G138" s="1107"/>
      <c r="H138" s="1107">
        <f t="shared" ref="H138:S138" ca="1" si="67">OFFSET(H$76,MATCH($C137,$N$101:$N$107,0)*3,0)</f>
        <v>0.1292255718248323</v>
      </c>
      <c r="I138" s="1107">
        <f t="shared" ca="1" si="67"/>
        <v>3.9187389745113495E-2</v>
      </c>
      <c r="J138" s="1107">
        <f t="shared" ca="1" si="67"/>
        <v>1.9153028276096246E-2</v>
      </c>
      <c r="K138" s="1107">
        <f t="shared" ca="1" si="67"/>
        <v>1.3306081140592849E-3</v>
      </c>
      <c r="L138" s="1107">
        <f t="shared" ca="1" si="67"/>
        <v>1.4870934193403071E-3</v>
      </c>
      <c r="M138" s="1107">
        <f t="shared" ca="1" si="67"/>
        <v>0.23499947095962551</v>
      </c>
      <c r="N138" s="1107">
        <f t="shared" ca="1" si="67"/>
        <v>3.9660070019776912</v>
      </c>
      <c r="O138" s="1107">
        <f t="shared" ca="1" si="67"/>
        <v>0</v>
      </c>
      <c r="P138" s="1107">
        <f t="shared" ca="1" si="67"/>
        <v>9.4523053561131956E-3</v>
      </c>
      <c r="Q138" s="1107">
        <f t="shared" ca="1" si="67"/>
        <v>7.6974263301133966E-2</v>
      </c>
      <c r="R138" s="1107">
        <f t="shared" ca="1" si="67"/>
        <v>1.0797900532634828E-2</v>
      </c>
      <c r="S138" s="1107">
        <f t="shared" ca="1" si="67"/>
        <v>4.2026395372674052E-3</v>
      </c>
      <c r="T138" s="1090"/>
      <c r="U138" s="1090"/>
      <c r="V138" s="1090"/>
      <c r="W138" s="1090"/>
      <c r="X138" s="1090"/>
      <c r="Y138" s="1090"/>
      <c r="Z138" s="1090"/>
      <c r="AA138" s="1090"/>
      <c r="AB138" s="1090"/>
      <c r="AC138" s="1090"/>
      <c r="AD138" s="1090"/>
      <c r="AE138" s="1090"/>
      <c r="AF138" s="1090"/>
      <c r="AG138" s="1090"/>
      <c r="AH138" s="1090"/>
      <c r="AI138" s="1090"/>
      <c r="AJ138" s="1090"/>
      <c r="AK138" s="1090"/>
      <c r="AL138" s="1090"/>
      <c r="AM138" s="1090"/>
      <c r="AN138" s="1090"/>
      <c r="AO138" s="1090"/>
      <c r="AP138" s="1090"/>
      <c r="AQ138" s="1090"/>
      <c r="AR138" s="1090"/>
      <c r="AS138" s="1090"/>
      <c r="AT138" s="1090"/>
      <c r="AU138" s="1090"/>
      <c r="AV138" s="1090"/>
      <c r="AW138" s="1090"/>
      <c r="AX138" s="1090"/>
      <c r="AY138" s="1090"/>
      <c r="AZ138" s="1090"/>
      <c r="BA138" s="1090"/>
      <c r="BB138" s="1090"/>
      <c r="BC138" s="1090"/>
      <c r="BD138" s="1090"/>
      <c r="BE138" s="1090"/>
      <c r="BF138" s="1090"/>
      <c r="BG138" s="1090"/>
      <c r="BH138" s="1090"/>
      <c r="BI138" s="1090"/>
      <c r="BJ138" s="1090"/>
      <c r="BK138" s="1090"/>
      <c r="BL138" s="1090"/>
      <c r="BM138" s="1090"/>
      <c r="BN138" s="1090"/>
      <c r="BO138" s="1090"/>
      <c r="BP138" s="1090"/>
      <c r="BQ138" s="1090"/>
      <c r="BR138" s="1090"/>
      <c r="BS138" s="1090"/>
      <c r="BT138" s="1090"/>
      <c r="BU138" s="1090"/>
    </row>
    <row r="139" spans="1:73" x14ac:dyDescent="0.25">
      <c r="A139" s="1090"/>
      <c r="B139" s="1090"/>
      <c r="C139" s="1114"/>
      <c r="D139" s="1094"/>
      <c r="E139" s="1107"/>
      <c r="F139" s="1107"/>
      <c r="G139" s="1107"/>
      <c r="H139" s="1107"/>
      <c r="I139" s="1107"/>
      <c r="J139" s="1107"/>
      <c r="K139" s="1107"/>
      <c r="L139" s="1107"/>
      <c r="M139" s="1107"/>
      <c r="N139" s="1107"/>
      <c r="O139" s="1107"/>
      <c r="P139" s="1107"/>
      <c r="Q139" s="1107"/>
      <c r="R139" s="1107"/>
      <c r="S139" s="1107"/>
      <c r="T139" s="1090"/>
      <c r="U139" s="1090"/>
      <c r="V139" s="1090"/>
      <c r="W139" s="1090"/>
      <c r="X139" s="1090"/>
      <c r="Y139" s="1090"/>
      <c r="Z139" s="1090"/>
      <c r="AA139" s="1090"/>
      <c r="AB139" s="1090"/>
      <c r="AC139" s="1090"/>
      <c r="AD139" s="1090"/>
      <c r="AE139" s="1090"/>
      <c r="AF139" s="1090"/>
      <c r="AG139" s="1090"/>
      <c r="AH139" s="1090"/>
      <c r="AI139" s="1090"/>
      <c r="AJ139" s="1090"/>
      <c r="AK139" s="1090"/>
      <c r="AL139" s="1090"/>
      <c r="AM139" s="1090"/>
      <c r="AN139" s="1090"/>
      <c r="AO139" s="1090"/>
      <c r="AP139" s="1090"/>
      <c r="AQ139" s="1090"/>
      <c r="AR139" s="1090"/>
      <c r="AS139" s="1090"/>
      <c r="AT139" s="1090"/>
      <c r="AU139" s="1090"/>
      <c r="AV139" s="1090"/>
      <c r="AW139" s="1090"/>
      <c r="AX139" s="1090"/>
      <c r="AY139" s="1090"/>
      <c r="AZ139" s="1090"/>
      <c r="BA139" s="1090"/>
      <c r="BB139" s="1090"/>
      <c r="BC139" s="1090"/>
      <c r="BD139" s="1090"/>
      <c r="BE139" s="1090"/>
      <c r="BF139" s="1090"/>
      <c r="BG139" s="1090"/>
      <c r="BH139" s="1090"/>
      <c r="BI139" s="1090"/>
      <c r="BJ139" s="1090"/>
      <c r="BK139" s="1090"/>
      <c r="BL139" s="1090"/>
      <c r="BM139" s="1090"/>
      <c r="BN139" s="1090"/>
      <c r="BO139" s="1090"/>
      <c r="BP139" s="1090"/>
      <c r="BQ139" s="1090"/>
      <c r="BR139" s="1090"/>
      <c r="BS139" s="1090"/>
      <c r="BT139" s="1090"/>
      <c r="BU139" s="1090"/>
    </row>
    <row r="140" spans="1:73" x14ac:dyDescent="0.25">
      <c r="A140" s="1090"/>
      <c r="B140" s="1090"/>
      <c r="C140" s="1114">
        <v>6</v>
      </c>
      <c r="D140" s="1094" t="str">
        <f t="shared" ref="D140:G140" ca="1" si="68">OFFSET(D$76,MATCH($C140,$N$101:$N$107,0)*3-2,0)</f>
        <v>After-tax Real IRR = 8%</v>
      </c>
      <c r="E140" s="1107">
        <f t="shared" ca="1" si="68"/>
        <v>4.4770681758335655</v>
      </c>
      <c r="F140" s="1107">
        <f t="shared" ca="1" si="68"/>
        <v>0</v>
      </c>
      <c r="G140" s="1107">
        <f t="shared" ca="1" si="68"/>
        <v>1.6246570818719767E-3</v>
      </c>
      <c r="H140" s="1107"/>
      <c r="I140" s="1107"/>
      <c r="J140" s="1107"/>
      <c r="K140" s="1107"/>
      <c r="L140" s="1107"/>
      <c r="M140" s="1107"/>
      <c r="N140" s="1107"/>
      <c r="O140" s="1107"/>
      <c r="P140" s="1107"/>
      <c r="Q140" s="1107"/>
      <c r="R140" s="1107"/>
      <c r="S140" s="1107"/>
      <c r="T140" s="1090"/>
      <c r="U140" s="1090"/>
      <c r="V140" s="1090"/>
      <c r="W140" s="1090"/>
      <c r="X140" s="1090"/>
      <c r="Y140" s="1090"/>
      <c r="Z140" s="1090"/>
      <c r="AA140" s="1090"/>
      <c r="AB140" s="1090"/>
      <c r="AC140" s="1090"/>
      <c r="AD140" s="1090"/>
      <c r="AE140" s="1090"/>
      <c r="AF140" s="1090"/>
      <c r="AG140" s="1090"/>
      <c r="AH140" s="1090"/>
      <c r="AI140" s="1090"/>
      <c r="AJ140" s="1090"/>
      <c r="AK140" s="1090"/>
      <c r="AL140" s="1090"/>
      <c r="AM140" s="1090"/>
      <c r="AN140" s="1090"/>
      <c r="AO140" s="1090"/>
      <c r="AP140" s="1090"/>
      <c r="AQ140" s="1090"/>
      <c r="AR140" s="1090"/>
      <c r="AS140" s="1090"/>
      <c r="AT140" s="1090"/>
      <c r="AU140" s="1090"/>
      <c r="AV140" s="1090"/>
      <c r="AW140" s="1090"/>
      <c r="AX140" s="1090"/>
      <c r="AY140" s="1090"/>
      <c r="AZ140" s="1090"/>
      <c r="BA140" s="1090"/>
      <c r="BB140" s="1090"/>
      <c r="BC140" s="1090"/>
      <c r="BD140" s="1090"/>
      <c r="BE140" s="1090"/>
      <c r="BF140" s="1090"/>
      <c r="BG140" s="1090"/>
      <c r="BH140" s="1090"/>
      <c r="BI140" s="1090"/>
      <c r="BJ140" s="1090"/>
      <c r="BK140" s="1090"/>
      <c r="BL140" s="1090"/>
      <c r="BM140" s="1090"/>
      <c r="BN140" s="1090"/>
      <c r="BO140" s="1090"/>
      <c r="BP140" s="1090"/>
      <c r="BQ140" s="1090"/>
      <c r="BR140" s="1090"/>
      <c r="BS140" s="1090"/>
      <c r="BT140" s="1090"/>
      <c r="BU140" s="1090"/>
    </row>
    <row r="141" spans="1:73" x14ac:dyDescent="0.25">
      <c r="A141" s="1090"/>
      <c r="B141" s="1090"/>
      <c r="C141" s="1114"/>
      <c r="D141" s="1094"/>
      <c r="E141" s="1107"/>
      <c r="F141" s="1107"/>
      <c r="G141" s="1107"/>
      <c r="H141" s="1107">
        <f t="shared" ref="H141:S141" ca="1" si="69">OFFSET(H$76,MATCH($C140,$N$101:$N$107,0)*3-2,0)</f>
        <v>0.1212069410993028</v>
      </c>
      <c r="I141" s="1107">
        <f t="shared" ca="1" si="69"/>
        <v>3.8733364799989255E-2</v>
      </c>
      <c r="J141" s="1107">
        <f t="shared" ca="1" si="69"/>
        <v>1.8429014029401326E-2</v>
      </c>
      <c r="K141" s="1107">
        <f t="shared" ca="1" si="69"/>
        <v>1.2480419860370572E-3</v>
      </c>
      <c r="L141" s="1107">
        <f t="shared" ca="1" si="69"/>
        <v>1.6179930304018471E-3</v>
      </c>
      <c r="M141" s="1107">
        <f t="shared" ca="1" si="69"/>
        <v>0.23132576245804801</v>
      </c>
      <c r="N141" s="1107">
        <f t="shared" ca="1" si="69"/>
        <v>3.9679342232086481</v>
      </c>
      <c r="O141" s="1107">
        <f t="shared" ca="1" si="69"/>
        <v>0</v>
      </c>
      <c r="P141" s="1107">
        <f t="shared" ca="1" si="69"/>
        <v>9.4523053561131939E-3</v>
      </c>
      <c r="Q141" s="1107">
        <f t="shared" ca="1" si="69"/>
        <v>7.4722921455485938E-2</v>
      </c>
      <c r="R141" s="1107">
        <f t="shared" ca="1" si="69"/>
        <v>9.4496936601692842E-3</v>
      </c>
      <c r="S141" s="1107">
        <f t="shared" ca="1" si="69"/>
        <v>4.5725718318398566E-3</v>
      </c>
      <c r="T141" s="1090"/>
      <c r="U141" s="1090"/>
      <c r="V141" s="1090"/>
      <c r="W141" s="1090"/>
      <c r="X141" s="1090"/>
      <c r="Y141" s="1090"/>
      <c r="Z141" s="1090"/>
      <c r="AA141" s="1090"/>
      <c r="AB141" s="1090"/>
      <c r="AC141" s="1090"/>
      <c r="AD141" s="1090"/>
      <c r="AE141" s="1090"/>
      <c r="AF141" s="1090"/>
      <c r="AG141" s="1090"/>
      <c r="AH141" s="1090"/>
      <c r="AI141" s="1090"/>
      <c r="AJ141" s="1090"/>
      <c r="AK141" s="1090"/>
      <c r="AL141" s="1090"/>
      <c r="AM141" s="1090"/>
      <c r="AN141" s="1090"/>
      <c r="AO141" s="1090"/>
      <c r="AP141" s="1090"/>
      <c r="AQ141" s="1090"/>
      <c r="AR141" s="1090"/>
      <c r="AS141" s="1090"/>
      <c r="AT141" s="1090"/>
      <c r="AU141" s="1090"/>
      <c r="AV141" s="1090"/>
      <c r="AW141" s="1090"/>
      <c r="AX141" s="1090"/>
      <c r="AY141" s="1090"/>
      <c r="AZ141" s="1090"/>
      <c r="BA141" s="1090"/>
      <c r="BB141" s="1090"/>
      <c r="BC141" s="1090"/>
      <c r="BD141" s="1090"/>
      <c r="BE141" s="1090"/>
      <c r="BF141" s="1090"/>
      <c r="BG141" s="1090"/>
      <c r="BH141" s="1090"/>
      <c r="BI141" s="1090"/>
      <c r="BJ141" s="1090"/>
      <c r="BK141" s="1090"/>
      <c r="BL141" s="1090"/>
      <c r="BM141" s="1090"/>
      <c r="BN141" s="1090"/>
      <c r="BO141" s="1090"/>
      <c r="BP141" s="1090"/>
      <c r="BQ141" s="1090"/>
      <c r="BR141" s="1090"/>
      <c r="BS141" s="1090"/>
      <c r="BT141" s="1090"/>
      <c r="BU141" s="1090"/>
    </row>
    <row r="142" spans="1:73" x14ac:dyDescent="0.25">
      <c r="A142" s="1090"/>
      <c r="B142" s="1090"/>
      <c r="C142" s="1114">
        <v>6</v>
      </c>
      <c r="D142" s="1094" t="str">
        <f t="shared" ref="D142:G142" ca="1" si="70">OFFSET(D$76,MATCH($C142,$N$101:$N$107,0)*3,0)</f>
        <v>After-tax Real IRR = 8%</v>
      </c>
      <c r="E142" s="1107">
        <f t="shared" ca="1" si="70"/>
        <v>4.4880113781737547</v>
      </c>
      <c r="F142" s="1107">
        <f t="shared" ca="1" si="70"/>
        <v>0</v>
      </c>
      <c r="G142" s="1107">
        <f t="shared" ca="1" si="70"/>
        <v>1.3161637615137778E-3</v>
      </c>
      <c r="H142" s="1107"/>
      <c r="I142" s="1107"/>
      <c r="J142" s="1107"/>
      <c r="K142" s="1107"/>
      <c r="L142" s="1107"/>
      <c r="M142" s="1107"/>
      <c r="N142" s="1107"/>
      <c r="O142" s="1107"/>
      <c r="P142" s="1107"/>
      <c r="Q142" s="1107"/>
      <c r="R142" s="1107"/>
      <c r="S142" s="1107"/>
      <c r="T142" s="1090"/>
      <c r="U142" s="1090"/>
      <c r="V142" s="1090"/>
      <c r="W142" s="1090"/>
      <c r="X142" s="1090"/>
      <c r="Y142" s="1090"/>
      <c r="Z142" s="1090"/>
      <c r="AA142" s="1090"/>
      <c r="AB142" s="1090"/>
      <c r="AC142" s="1090"/>
      <c r="AD142" s="1090"/>
      <c r="AE142" s="1090"/>
      <c r="AF142" s="1090"/>
      <c r="AG142" s="1090"/>
      <c r="AH142" s="1090"/>
      <c r="AI142" s="1090"/>
      <c r="AJ142" s="1090"/>
      <c r="AK142" s="1090"/>
      <c r="AL142" s="1090"/>
      <c r="AM142" s="1090"/>
      <c r="AN142" s="1090"/>
      <c r="AO142" s="1090"/>
      <c r="AP142" s="1090"/>
      <c r="AQ142" s="1090"/>
      <c r="AR142" s="1090"/>
      <c r="AS142" s="1090"/>
      <c r="AT142" s="1090"/>
      <c r="AU142" s="1090"/>
      <c r="AV142" s="1090"/>
      <c r="AW142" s="1090"/>
      <c r="AX142" s="1090"/>
      <c r="AY142" s="1090"/>
      <c r="AZ142" s="1090"/>
      <c r="BA142" s="1090"/>
      <c r="BB142" s="1090"/>
      <c r="BC142" s="1090"/>
      <c r="BD142" s="1090"/>
      <c r="BE142" s="1090"/>
      <c r="BF142" s="1090"/>
      <c r="BG142" s="1090"/>
      <c r="BH142" s="1090"/>
      <c r="BI142" s="1090"/>
      <c r="BJ142" s="1090"/>
      <c r="BK142" s="1090"/>
      <c r="BL142" s="1090"/>
      <c r="BM142" s="1090"/>
      <c r="BN142" s="1090"/>
      <c r="BO142" s="1090"/>
      <c r="BP142" s="1090"/>
      <c r="BQ142" s="1090"/>
      <c r="BR142" s="1090"/>
      <c r="BS142" s="1090"/>
      <c r="BT142" s="1090"/>
      <c r="BU142" s="1090"/>
    </row>
    <row r="143" spans="1:73" x14ac:dyDescent="0.25">
      <c r="A143" s="1090"/>
      <c r="B143" s="1090"/>
      <c r="C143" s="1114"/>
      <c r="D143" s="1094"/>
      <c r="E143" s="1107"/>
      <c r="F143" s="1107"/>
      <c r="G143" s="1107"/>
      <c r="H143" s="1107">
        <f t="shared" ref="H143:S143" ca="1" si="71">OFFSET(H$76,MATCH($C142,$N$101:$N$107,0)*3,0)</f>
        <v>0.13205539451012635</v>
      </c>
      <c r="I143" s="1107">
        <f t="shared" ca="1" si="71"/>
        <v>3.8047061518909263E-2</v>
      </c>
      <c r="J143" s="1107">
        <f t="shared" ca="1" si="71"/>
        <v>1.9837775989702225E-2</v>
      </c>
      <c r="K143" s="1107">
        <f t="shared" ca="1" si="71"/>
        <v>1.3597461938776147E-3</v>
      </c>
      <c r="L143" s="1107">
        <f t="shared" ca="1" si="71"/>
        <v>1.3107650942210214E-3</v>
      </c>
      <c r="M143" s="1107">
        <f t="shared" ca="1" si="71"/>
        <v>0.23132576245804831</v>
      </c>
      <c r="N143" s="1107">
        <f t="shared" ca="1" si="71"/>
        <v>3.9641263479012356</v>
      </c>
      <c r="O143" s="1107">
        <f t="shared" ca="1" si="71"/>
        <v>0</v>
      </c>
      <c r="P143" s="1107">
        <f t="shared" ca="1" si="71"/>
        <v>9.4523053561131991E-3</v>
      </c>
      <c r="Q143" s="1107">
        <f t="shared" ca="1" si="71"/>
        <v>7.6089012374387546E-2</v>
      </c>
      <c r="R143" s="1107">
        <f t="shared" ca="1" si="71"/>
        <v>1.2019048310192496E-2</v>
      </c>
      <c r="S143" s="1107">
        <f t="shared" ca="1" si="71"/>
        <v>3.704322228449517E-3</v>
      </c>
      <c r="T143" s="1090"/>
      <c r="U143" s="1090"/>
      <c r="V143" s="1090"/>
      <c r="W143" s="1090"/>
      <c r="X143" s="1090"/>
      <c r="Y143" s="1090"/>
      <c r="Z143" s="1090"/>
      <c r="AA143" s="1090"/>
      <c r="AB143" s="1090"/>
      <c r="AC143" s="1090"/>
      <c r="AD143" s="1090"/>
      <c r="AE143" s="1090"/>
      <c r="AF143" s="1090"/>
      <c r="AG143" s="1090"/>
      <c r="AH143" s="1090"/>
      <c r="AI143" s="1090"/>
      <c r="AJ143" s="1090"/>
      <c r="AK143" s="1090"/>
      <c r="AL143" s="1090"/>
      <c r="AM143" s="1090"/>
      <c r="AN143" s="1090"/>
      <c r="AO143" s="1090"/>
      <c r="AP143" s="1090"/>
      <c r="AQ143" s="1090"/>
      <c r="AR143" s="1090"/>
      <c r="AS143" s="1090"/>
      <c r="AT143" s="1090"/>
      <c r="AU143" s="1090"/>
      <c r="AV143" s="1090"/>
      <c r="AW143" s="1090"/>
      <c r="AX143" s="1090"/>
      <c r="AY143" s="1090"/>
      <c r="AZ143" s="1090"/>
      <c r="BA143" s="1090"/>
      <c r="BB143" s="1090"/>
      <c r="BC143" s="1090"/>
      <c r="BD143" s="1090"/>
      <c r="BE143" s="1090"/>
      <c r="BF143" s="1090"/>
      <c r="BG143" s="1090"/>
      <c r="BH143" s="1090"/>
      <c r="BI143" s="1090"/>
      <c r="BJ143" s="1090"/>
      <c r="BK143" s="1090"/>
      <c r="BL143" s="1090"/>
      <c r="BM143" s="1090"/>
      <c r="BN143" s="1090"/>
      <c r="BO143" s="1090"/>
      <c r="BP143" s="1090"/>
      <c r="BQ143" s="1090"/>
      <c r="BR143" s="1090"/>
      <c r="BS143" s="1090"/>
      <c r="BT143" s="1090"/>
      <c r="BU143" s="1090"/>
    </row>
    <row r="144" spans="1:73" x14ac:dyDescent="0.25">
      <c r="A144" s="1090"/>
      <c r="B144" s="1090"/>
      <c r="C144" s="1114"/>
      <c r="D144" s="1094"/>
      <c r="E144" s="1107"/>
      <c r="F144" s="1107"/>
      <c r="G144" s="1107"/>
      <c r="H144" s="1107"/>
      <c r="I144" s="1107"/>
      <c r="J144" s="1107"/>
      <c r="K144" s="1107"/>
      <c r="L144" s="1107"/>
      <c r="M144" s="1107"/>
      <c r="N144" s="1107"/>
      <c r="O144" s="1107"/>
      <c r="P144" s="1107"/>
      <c r="Q144" s="1107"/>
      <c r="R144" s="1107"/>
      <c r="S144" s="1107"/>
      <c r="T144" s="1090"/>
      <c r="U144" s="1090"/>
      <c r="V144" s="1090"/>
      <c r="W144" s="1090"/>
      <c r="X144" s="1090"/>
      <c r="Y144" s="1090"/>
      <c r="Z144" s="1090"/>
      <c r="AA144" s="1090"/>
      <c r="AB144" s="1090"/>
      <c r="AC144" s="1090"/>
      <c r="AD144" s="1090"/>
      <c r="AE144" s="1090"/>
      <c r="AF144" s="1090"/>
      <c r="AG144" s="1090"/>
      <c r="AH144" s="1090"/>
      <c r="AI144" s="1090"/>
      <c r="AJ144" s="1090"/>
      <c r="AK144" s="1090"/>
      <c r="AL144" s="1090"/>
      <c r="AM144" s="1090"/>
      <c r="AN144" s="1090"/>
      <c r="AO144" s="1090"/>
      <c r="AP144" s="1090"/>
      <c r="AQ144" s="1090"/>
      <c r="AR144" s="1090"/>
      <c r="AS144" s="1090"/>
      <c r="AT144" s="1090"/>
      <c r="AU144" s="1090"/>
      <c r="AV144" s="1090"/>
      <c r="AW144" s="1090"/>
      <c r="AX144" s="1090"/>
      <c r="AY144" s="1090"/>
      <c r="AZ144" s="1090"/>
      <c r="BA144" s="1090"/>
      <c r="BB144" s="1090"/>
      <c r="BC144" s="1090"/>
      <c r="BD144" s="1090"/>
      <c r="BE144" s="1090"/>
      <c r="BF144" s="1090"/>
      <c r="BG144" s="1090"/>
      <c r="BH144" s="1090"/>
      <c r="BI144" s="1090"/>
      <c r="BJ144" s="1090"/>
      <c r="BK144" s="1090"/>
      <c r="BL144" s="1090"/>
      <c r="BM144" s="1090"/>
      <c r="BN144" s="1090"/>
      <c r="BO144" s="1090"/>
      <c r="BP144" s="1090"/>
      <c r="BQ144" s="1090"/>
      <c r="BR144" s="1090"/>
      <c r="BS144" s="1090"/>
      <c r="BT144" s="1090"/>
      <c r="BU144" s="1090"/>
    </row>
    <row r="145" spans="1:73" x14ac:dyDescent="0.25">
      <c r="A145" s="1090"/>
      <c r="B145" s="1090"/>
      <c r="C145" s="1114">
        <v>7</v>
      </c>
      <c r="D145" s="1094" t="str">
        <f t="shared" ref="D145:G145" ca="1" si="72">OFFSET(D$76,MATCH($C145,$N$101:$N$107,0)*3-2,0)</f>
        <v>Utilities Consumption (% of baseline) = 95%</v>
      </c>
      <c r="E145" s="1107">
        <f t="shared" ca="1" si="72"/>
        <v>4.4824477404691674</v>
      </c>
      <c r="F145" s="1107">
        <f t="shared" ca="1" si="72"/>
        <v>0</v>
      </c>
      <c r="G145" s="1107">
        <f t="shared" ca="1" si="72"/>
        <v>1.4628936520036421E-3</v>
      </c>
      <c r="H145" s="1107"/>
      <c r="I145" s="1107"/>
      <c r="J145" s="1107"/>
      <c r="K145" s="1107"/>
      <c r="L145" s="1107"/>
      <c r="M145" s="1107"/>
      <c r="N145" s="1107"/>
      <c r="O145" s="1107"/>
      <c r="P145" s="1107"/>
      <c r="Q145" s="1107"/>
      <c r="R145" s="1107"/>
      <c r="S145" s="1107"/>
      <c r="T145" s="1090"/>
      <c r="U145" s="1090"/>
      <c r="V145" s="1090"/>
      <c r="W145" s="1090"/>
      <c r="X145" s="1090"/>
      <c r="Y145" s="1090"/>
      <c r="Z145" s="1090"/>
      <c r="AA145" s="1090"/>
      <c r="AB145" s="1090"/>
      <c r="AC145" s="1090"/>
      <c r="AD145" s="1090"/>
      <c r="AE145" s="1090"/>
      <c r="AF145" s="1090"/>
      <c r="AG145" s="1090"/>
      <c r="AH145" s="1090"/>
      <c r="AI145" s="1090"/>
      <c r="AJ145" s="1090"/>
      <c r="AK145" s="1090"/>
      <c r="AL145" s="1090"/>
      <c r="AM145" s="1090"/>
      <c r="AN145" s="1090"/>
      <c r="AO145" s="1090"/>
      <c r="AP145" s="1090"/>
      <c r="AQ145" s="1090"/>
      <c r="AR145" s="1090"/>
      <c r="AS145" s="1090"/>
      <c r="AT145" s="1090"/>
      <c r="AU145" s="1090"/>
      <c r="AV145" s="1090"/>
      <c r="AW145" s="1090"/>
      <c r="AX145" s="1090"/>
      <c r="AY145" s="1090"/>
      <c r="AZ145" s="1090"/>
      <c r="BA145" s="1090"/>
      <c r="BB145" s="1090"/>
      <c r="BC145" s="1090"/>
      <c r="BD145" s="1090"/>
      <c r="BE145" s="1090"/>
      <c r="BF145" s="1090"/>
      <c r="BG145" s="1090"/>
      <c r="BH145" s="1090"/>
      <c r="BI145" s="1090"/>
      <c r="BJ145" s="1090"/>
      <c r="BK145" s="1090"/>
      <c r="BL145" s="1090"/>
      <c r="BM145" s="1090"/>
      <c r="BN145" s="1090"/>
      <c r="BO145" s="1090"/>
      <c r="BP145" s="1090"/>
      <c r="BQ145" s="1090"/>
      <c r="BR145" s="1090"/>
      <c r="BS145" s="1090"/>
      <c r="BT145" s="1090"/>
      <c r="BU145" s="1090"/>
    </row>
    <row r="146" spans="1:73" x14ac:dyDescent="0.25">
      <c r="A146" s="1090"/>
      <c r="B146" s="1090"/>
      <c r="C146" s="1114"/>
      <c r="D146" s="1094"/>
      <c r="E146" s="1107"/>
      <c r="F146" s="1107"/>
      <c r="G146" s="1107"/>
      <c r="H146" s="1107">
        <f t="shared" ref="H146:S146" ca="1" si="73">OFFSET(H$76,MATCH($C145,$N$101:$N$107,0)*3-2,0)</f>
        <v>0.12660122405571292</v>
      </c>
      <c r="I146" s="1107">
        <f t="shared" ca="1" si="73"/>
        <v>3.8391561664007375E-2</v>
      </c>
      <c r="J146" s="1107">
        <f t="shared" ca="1" si="73"/>
        <v>1.9136315463353638E-2</v>
      </c>
      <c r="K146" s="1107">
        <f t="shared" ca="1" si="73"/>
        <v>1.3035857655690258E-3</v>
      </c>
      <c r="L146" s="1107">
        <f t="shared" ca="1" si="73"/>
        <v>1.45689312506103E-3</v>
      </c>
      <c r="M146" s="1107">
        <f t="shared" ca="1" si="73"/>
        <v>0.23132576245804806</v>
      </c>
      <c r="N146" s="1107">
        <f t="shared" ca="1" si="73"/>
        <v>3.9660070019776885</v>
      </c>
      <c r="O146" s="1107">
        <f t="shared" ca="1" si="73"/>
        <v>0</v>
      </c>
      <c r="P146" s="1107">
        <f t="shared" ca="1" si="73"/>
        <v>9.4523053561131991E-3</v>
      </c>
      <c r="Q146" s="1107">
        <f t="shared" ca="1" si="73"/>
        <v>7.5411049199456293E-2</v>
      </c>
      <c r="R146" s="1107">
        <f t="shared" ca="1" si="73"/>
        <v>1.0707643856206782E-2</v>
      </c>
      <c r="S146" s="1107">
        <f t="shared" ca="1" si="73"/>
        <v>4.1172911999507716E-3</v>
      </c>
      <c r="T146" s="1090"/>
      <c r="U146" s="1090"/>
      <c r="V146" s="1090"/>
      <c r="W146" s="1090"/>
      <c r="X146" s="1090"/>
      <c r="Y146" s="1090"/>
      <c r="Z146" s="1090"/>
      <c r="AA146" s="1090"/>
      <c r="AB146" s="1090"/>
      <c r="AC146" s="1090"/>
      <c r="AD146" s="1090"/>
      <c r="AE146" s="1090"/>
      <c r="AF146" s="1090"/>
      <c r="AG146" s="1090"/>
      <c r="AH146" s="1090"/>
      <c r="AI146" s="1090"/>
      <c r="AJ146" s="1090"/>
      <c r="AK146" s="1090"/>
      <c r="AL146" s="1090"/>
      <c r="AM146" s="1090"/>
      <c r="AN146" s="1090"/>
      <c r="AO146" s="1090"/>
      <c r="AP146" s="1090"/>
      <c r="AQ146" s="1090"/>
      <c r="AR146" s="1090"/>
      <c r="AS146" s="1090"/>
      <c r="AT146" s="1090"/>
      <c r="AU146" s="1090"/>
      <c r="AV146" s="1090"/>
      <c r="AW146" s="1090"/>
      <c r="AX146" s="1090"/>
      <c r="AY146" s="1090"/>
      <c r="AZ146" s="1090"/>
      <c r="BA146" s="1090"/>
      <c r="BB146" s="1090"/>
      <c r="BC146" s="1090"/>
      <c r="BD146" s="1090"/>
      <c r="BE146" s="1090"/>
      <c r="BF146" s="1090"/>
      <c r="BG146" s="1090"/>
      <c r="BH146" s="1090"/>
      <c r="BI146" s="1090"/>
      <c r="BJ146" s="1090"/>
      <c r="BK146" s="1090"/>
      <c r="BL146" s="1090"/>
      <c r="BM146" s="1090"/>
      <c r="BN146" s="1090"/>
      <c r="BO146" s="1090"/>
      <c r="BP146" s="1090"/>
      <c r="BQ146" s="1090"/>
      <c r="BR146" s="1090"/>
      <c r="BS146" s="1090"/>
      <c r="BT146" s="1090"/>
      <c r="BU146" s="1090"/>
    </row>
    <row r="147" spans="1:73" x14ac:dyDescent="0.25">
      <c r="A147" s="1090"/>
      <c r="B147" s="1090"/>
      <c r="C147" s="1114">
        <v>7</v>
      </c>
      <c r="D147" s="1094" t="str">
        <f t="shared" ref="D147:G147" ca="1" si="74">OFFSET(D$76,MATCH($C147,$N$101:$N$107,0)*3,0)</f>
        <v>Utilities Consumption (% of baseline) = 105%</v>
      </c>
      <c r="E147" s="1107">
        <f t="shared" ca="1" si="74"/>
        <v>4.4824477404691674</v>
      </c>
      <c r="F147" s="1107">
        <f t="shared" ca="1" si="74"/>
        <v>0</v>
      </c>
      <c r="G147" s="1107">
        <f t="shared" ca="1" si="74"/>
        <v>1.4628936520036421E-3</v>
      </c>
      <c r="H147" s="1107"/>
      <c r="I147" s="1107"/>
      <c r="J147" s="1107"/>
      <c r="K147" s="1107"/>
      <c r="L147" s="1107"/>
      <c r="M147" s="1107"/>
      <c r="N147" s="1107"/>
      <c r="O147" s="1107"/>
      <c r="P147" s="1107"/>
      <c r="Q147" s="1107"/>
      <c r="R147" s="1107"/>
      <c r="S147" s="1107"/>
      <c r="T147" s="1090"/>
      <c r="U147" s="1090"/>
      <c r="V147" s="1090"/>
      <c r="W147" s="1090"/>
      <c r="X147" s="1090"/>
      <c r="Y147" s="1090"/>
      <c r="Z147" s="1090"/>
      <c r="AA147" s="1090"/>
      <c r="AB147" s="1090"/>
      <c r="AC147" s="1090"/>
      <c r="AD147" s="1090"/>
      <c r="AE147" s="1090"/>
      <c r="AF147" s="1090"/>
      <c r="AG147" s="1090"/>
      <c r="AH147" s="1090"/>
      <c r="AI147" s="1090"/>
      <c r="AJ147" s="1090"/>
      <c r="AK147" s="1090"/>
      <c r="AL147" s="1090"/>
      <c r="AM147" s="1090"/>
      <c r="AN147" s="1090"/>
      <c r="AO147" s="1090"/>
      <c r="AP147" s="1090"/>
      <c r="AQ147" s="1090"/>
      <c r="AR147" s="1090"/>
      <c r="AS147" s="1090"/>
      <c r="AT147" s="1090"/>
      <c r="AU147" s="1090"/>
      <c r="AV147" s="1090"/>
      <c r="AW147" s="1090"/>
      <c r="AX147" s="1090"/>
      <c r="AY147" s="1090"/>
      <c r="AZ147" s="1090"/>
      <c r="BA147" s="1090"/>
      <c r="BB147" s="1090"/>
      <c r="BC147" s="1090"/>
      <c r="BD147" s="1090"/>
      <c r="BE147" s="1090"/>
      <c r="BF147" s="1090"/>
      <c r="BG147" s="1090"/>
      <c r="BH147" s="1090"/>
      <c r="BI147" s="1090"/>
      <c r="BJ147" s="1090"/>
      <c r="BK147" s="1090"/>
      <c r="BL147" s="1090"/>
      <c r="BM147" s="1090"/>
      <c r="BN147" s="1090"/>
      <c r="BO147" s="1090"/>
      <c r="BP147" s="1090"/>
      <c r="BQ147" s="1090"/>
      <c r="BR147" s="1090"/>
      <c r="BS147" s="1090"/>
      <c r="BT147" s="1090"/>
      <c r="BU147" s="1090"/>
    </row>
    <row r="148" spans="1:73" x14ac:dyDescent="0.25">
      <c r="A148" s="1090"/>
      <c r="B148" s="1090"/>
      <c r="C148" s="1094"/>
      <c r="D148" s="1094"/>
      <c r="E148" s="1094"/>
      <c r="F148" s="1094"/>
      <c r="G148" s="1094"/>
      <c r="H148" s="1107">
        <f t="shared" ref="H148:S148" ca="1" si="75">OFFSET(H$76,MATCH($C147,$N$101:$N$107,0)*3,0)</f>
        <v>0.12660122405571292</v>
      </c>
      <c r="I148" s="1107">
        <f t="shared" ca="1" si="75"/>
        <v>3.8391561664007375E-2</v>
      </c>
      <c r="J148" s="1107">
        <f t="shared" ca="1" si="75"/>
        <v>1.9136315463353638E-2</v>
      </c>
      <c r="K148" s="1107">
        <f t="shared" ca="1" si="75"/>
        <v>1.3035857655690258E-3</v>
      </c>
      <c r="L148" s="1107">
        <f t="shared" ca="1" si="75"/>
        <v>1.45689312506103E-3</v>
      </c>
      <c r="M148" s="1107">
        <f t="shared" ca="1" si="75"/>
        <v>0.23132576245804806</v>
      </c>
      <c r="N148" s="1107">
        <f t="shared" ca="1" si="75"/>
        <v>3.9660070019776885</v>
      </c>
      <c r="O148" s="1107">
        <f t="shared" ca="1" si="75"/>
        <v>0</v>
      </c>
      <c r="P148" s="1107">
        <f t="shared" ca="1" si="75"/>
        <v>9.4523053561131991E-3</v>
      </c>
      <c r="Q148" s="1107">
        <f t="shared" ca="1" si="75"/>
        <v>7.5411049199456293E-2</v>
      </c>
      <c r="R148" s="1107">
        <f t="shared" ca="1" si="75"/>
        <v>1.0707643856206782E-2</v>
      </c>
      <c r="S148" s="1107">
        <f t="shared" ca="1" si="75"/>
        <v>4.1172911999507716E-3</v>
      </c>
      <c r="T148" s="1090"/>
      <c r="U148" s="1090"/>
      <c r="V148" s="1090"/>
      <c r="W148" s="1090"/>
      <c r="X148" s="1090"/>
      <c r="Y148" s="1090"/>
      <c r="Z148" s="1090"/>
      <c r="AA148" s="1090"/>
      <c r="AB148" s="1090"/>
      <c r="AC148" s="1090"/>
      <c r="AD148" s="1090"/>
      <c r="AE148" s="1090"/>
      <c r="AF148" s="1090"/>
      <c r="AG148" s="1090"/>
      <c r="AH148" s="1090"/>
      <c r="AI148" s="1090"/>
      <c r="AJ148" s="1090"/>
      <c r="AK148" s="1090"/>
      <c r="AL148" s="1090"/>
      <c r="AM148" s="1090"/>
      <c r="AN148" s="1090"/>
      <c r="AO148" s="1090"/>
      <c r="AP148" s="1090"/>
      <c r="AQ148" s="1090"/>
      <c r="AR148" s="1090"/>
      <c r="AS148" s="1090"/>
      <c r="AT148" s="1090"/>
      <c r="AU148" s="1090"/>
      <c r="AV148" s="1090"/>
      <c r="AW148" s="1090"/>
      <c r="AX148" s="1090"/>
      <c r="AY148" s="1090"/>
      <c r="AZ148" s="1090"/>
      <c r="BA148" s="1090"/>
      <c r="BB148" s="1090"/>
      <c r="BC148" s="1090"/>
      <c r="BD148" s="1090"/>
      <c r="BE148" s="1090"/>
      <c r="BF148" s="1090"/>
      <c r="BG148" s="1090"/>
      <c r="BH148" s="1090"/>
      <c r="BI148" s="1090"/>
      <c r="BJ148" s="1090"/>
      <c r="BK148" s="1090"/>
      <c r="BL148" s="1090"/>
      <c r="BM148" s="1090"/>
      <c r="BN148" s="1090"/>
      <c r="BO148" s="1090"/>
      <c r="BP148" s="1090"/>
      <c r="BQ148" s="1090"/>
      <c r="BR148" s="1090"/>
      <c r="BS148" s="1090"/>
      <c r="BT148" s="1090"/>
      <c r="BU148" s="1090"/>
    </row>
    <row r="149" spans="1:73" x14ac:dyDescent="0.25">
      <c r="A149" s="1090"/>
      <c r="B149" s="1090"/>
      <c r="C149" s="1090"/>
      <c r="D149" s="1090"/>
      <c r="E149" s="1090"/>
      <c r="F149" s="1090"/>
      <c r="G149" s="1090"/>
      <c r="H149" s="1090"/>
      <c r="I149" s="1090"/>
      <c r="J149" s="1090"/>
      <c r="K149" s="1090"/>
      <c r="L149" s="1090"/>
      <c r="M149" s="1090"/>
      <c r="N149" s="1090"/>
      <c r="O149" s="1090"/>
      <c r="P149" s="1090"/>
      <c r="Q149" s="1090"/>
      <c r="R149" s="1090"/>
      <c r="S149" s="1090"/>
      <c r="T149" s="1090"/>
      <c r="U149" s="1090"/>
      <c r="V149" s="1090"/>
      <c r="W149" s="1090"/>
      <c r="X149" s="1090"/>
      <c r="Y149" s="1090"/>
      <c r="Z149" s="1090"/>
      <c r="AA149" s="1090"/>
      <c r="AB149" s="1090"/>
      <c r="AC149" s="1090"/>
      <c r="AD149" s="1090"/>
      <c r="AE149" s="1090"/>
      <c r="AF149" s="1090"/>
      <c r="AG149" s="1090"/>
      <c r="AH149" s="1090"/>
      <c r="AI149" s="1090"/>
      <c r="AJ149" s="1090"/>
      <c r="AK149" s="1090"/>
      <c r="AL149" s="1090"/>
      <c r="AM149" s="1090"/>
      <c r="AN149" s="1090"/>
      <c r="AO149" s="1090"/>
      <c r="AP149" s="1090"/>
      <c r="AQ149" s="1090"/>
      <c r="AR149" s="1090"/>
      <c r="AS149" s="1090"/>
      <c r="AT149" s="1090"/>
      <c r="AU149" s="1090"/>
      <c r="AV149" s="1090"/>
      <c r="AW149" s="1090"/>
      <c r="AX149" s="1090"/>
      <c r="AY149" s="1090"/>
      <c r="AZ149" s="1090"/>
      <c r="BA149" s="1090"/>
      <c r="BB149" s="1090"/>
      <c r="BC149" s="1090"/>
      <c r="BD149" s="1090"/>
      <c r="BE149" s="1090"/>
      <c r="BF149" s="1090"/>
      <c r="BG149" s="1090"/>
      <c r="BH149" s="1090"/>
      <c r="BI149" s="1090"/>
      <c r="BJ149" s="1090"/>
      <c r="BK149" s="1090"/>
      <c r="BL149" s="1090"/>
      <c r="BM149" s="1090"/>
      <c r="BN149" s="1090"/>
      <c r="BO149" s="1090"/>
      <c r="BP149" s="1090"/>
      <c r="BQ149" s="1090"/>
      <c r="BR149" s="1090"/>
      <c r="BS149" s="1090"/>
      <c r="BT149" s="1090"/>
      <c r="BU149" s="1090"/>
    </row>
    <row r="150" spans="1:73" x14ac:dyDescent="0.25">
      <c r="A150" s="1090"/>
      <c r="B150" s="1090"/>
      <c r="C150" s="1090"/>
      <c r="D150" s="1090"/>
      <c r="E150" s="1090"/>
      <c r="F150" s="1090"/>
      <c r="G150" s="1090"/>
      <c r="H150" s="1090"/>
      <c r="I150" s="1090"/>
      <c r="J150" s="1090"/>
      <c r="K150" s="1090"/>
      <c r="L150" s="1090"/>
      <c r="M150" s="1090"/>
      <c r="N150" s="1090"/>
      <c r="O150" s="1090"/>
      <c r="P150" s="1090"/>
      <c r="Q150" s="1090"/>
      <c r="R150" s="1090"/>
      <c r="S150" s="1090"/>
      <c r="T150" s="1090"/>
      <c r="U150" s="1090"/>
      <c r="V150" s="1090"/>
      <c r="W150" s="1090"/>
      <c r="X150" s="1090"/>
      <c r="Y150" s="1090"/>
      <c r="Z150" s="1090"/>
      <c r="AA150" s="1090"/>
      <c r="AB150" s="1090"/>
      <c r="AC150" s="1090"/>
      <c r="AD150" s="1090"/>
      <c r="AE150" s="1090"/>
      <c r="AF150" s="1090"/>
      <c r="AG150" s="1090"/>
      <c r="AH150" s="1090"/>
      <c r="AI150" s="1090"/>
      <c r="AJ150" s="1090"/>
      <c r="AK150" s="1090"/>
      <c r="AL150" s="1090"/>
      <c r="AM150" s="1090"/>
      <c r="AN150" s="1090"/>
      <c r="AO150" s="1090"/>
      <c r="AP150" s="1090"/>
      <c r="AQ150" s="1090"/>
      <c r="AR150" s="1090"/>
      <c r="AS150" s="1090"/>
      <c r="AT150" s="1090"/>
      <c r="AU150" s="1090"/>
      <c r="AV150" s="1090"/>
      <c r="AW150" s="1090"/>
      <c r="AX150" s="1090"/>
      <c r="AY150" s="1090"/>
      <c r="AZ150" s="1090"/>
      <c r="BA150" s="1090"/>
      <c r="BB150" s="1090"/>
      <c r="BC150" s="1090"/>
      <c r="BD150" s="1090"/>
      <c r="BE150" s="1090"/>
      <c r="BF150" s="1090"/>
      <c r="BG150" s="1090"/>
      <c r="BH150" s="1090"/>
      <c r="BI150" s="1090"/>
      <c r="BJ150" s="1090"/>
      <c r="BK150" s="1090"/>
      <c r="BL150" s="1090"/>
      <c r="BM150" s="1090"/>
      <c r="BN150" s="1090"/>
      <c r="BO150" s="1090"/>
      <c r="BP150" s="1090"/>
      <c r="BQ150" s="1090"/>
      <c r="BR150" s="1090"/>
      <c r="BS150" s="1090"/>
      <c r="BT150" s="1090"/>
      <c r="BU150" s="1090"/>
    </row>
    <row r="151" spans="1:73" x14ac:dyDescent="0.25">
      <c r="A151" s="1090"/>
      <c r="B151" s="1090"/>
      <c r="C151" s="1090"/>
      <c r="D151" s="1090"/>
      <c r="E151" s="1090"/>
      <c r="F151" s="1090"/>
      <c r="G151" s="1090"/>
      <c r="H151" s="1090"/>
      <c r="I151" s="1090"/>
      <c r="J151" s="1090"/>
      <c r="K151" s="1090"/>
      <c r="L151" s="1090"/>
      <c r="M151" s="1090"/>
      <c r="N151" s="1090"/>
      <c r="O151" s="1090"/>
      <c r="P151" s="1090"/>
      <c r="Q151" s="1090"/>
      <c r="R151" s="1090"/>
      <c r="S151" s="1090"/>
      <c r="T151" s="1090"/>
      <c r="U151" s="1090"/>
      <c r="V151" s="1090"/>
      <c r="W151" s="1090"/>
      <c r="X151" s="1090"/>
      <c r="Y151" s="1090"/>
      <c r="Z151" s="1090"/>
      <c r="AA151" s="1090"/>
      <c r="AB151" s="1090"/>
      <c r="AC151" s="1090"/>
      <c r="AD151" s="1090"/>
      <c r="AE151" s="1090"/>
      <c r="AF151" s="1090"/>
      <c r="AG151" s="1090"/>
      <c r="AH151" s="1090"/>
      <c r="AI151" s="1090"/>
      <c r="AJ151" s="1090"/>
      <c r="AK151" s="1090"/>
      <c r="AL151" s="1090"/>
      <c r="AM151" s="1090"/>
      <c r="AN151" s="1090"/>
      <c r="AO151" s="1090"/>
      <c r="AP151" s="1090"/>
      <c r="AQ151" s="1090"/>
      <c r="AR151" s="1090"/>
      <c r="AS151" s="1090"/>
    </row>
    <row r="152" spans="1:73" ht="13" x14ac:dyDescent="0.3">
      <c r="A152" s="1090"/>
      <c r="B152" s="1092" t="s">
        <v>1161</v>
      </c>
      <c r="C152" s="1090"/>
      <c r="D152" s="1090"/>
      <c r="E152" s="1090"/>
      <c r="F152" s="1090"/>
      <c r="G152" s="1090"/>
      <c r="H152" s="1090"/>
      <c r="I152" s="1090"/>
      <c r="J152" s="1090"/>
      <c r="K152" s="1090"/>
      <c r="L152" s="1090"/>
      <c r="M152" s="1090"/>
      <c r="N152" s="1090"/>
      <c r="O152" s="1090"/>
      <c r="P152" s="1090"/>
      <c r="Q152" s="1090"/>
      <c r="R152" s="1090"/>
      <c r="S152" s="1090"/>
      <c r="T152" s="1090"/>
      <c r="U152" s="1090"/>
      <c r="V152" s="1090"/>
      <c r="W152" s="1090"/>
      <c r="X152" s="1090"/>
      <c r="Y152" s="1090"/>
      <c r="Z152" s="1090"/>
      <c r="AA152" s="1090"/>
      <c r="AB152" s="1090"/>
      <c r="AC152" s="1090"/>
      <c r="AD152" s="1090"/>
      <c r="AE152" s="1090"/>
      <c r="AF152" s="1090"/>
      <c r="AG152" s="1090"/>
      <c r="AH152" s="1090"/>
      <c r="AI152" s="1090"/>
      <c r="AJ152" s="1090"/>
      <c r="AK152" s="1090"/>
      <c r="AL152" s="1090"/>
      <c r="AM152" s="1090"/>
      <c r="AN152" s="1090"/>
      <c r="AO152" s="1090"/>
      <c r="AP152" s="1090"/>
      <c r="AQ152" s="1090"/>
      <c r="AR152" s="1090"/>
      <c r="AS152" s="1090"/>
    </row>
    <row r="153" spans="1:73" ht="13" x14ac:dyDescent="0.3">
      <c r="A153" s="1090"/>
      <c r="B153" s="1090"/>
      <c r="C153" s="1090"/>
      <c r="D153" s="1101" t="s">
        <v>1165</v>
      </c>
      <c r="E153" s="1101"/>
      <c r="F153" s="1101"/>
      <c r="G153" s="1101"/>
      <c r="H153" s="1101"/>
      <c r="I153" s="1101"/>
      <c r="J153" s="1090"/>
      <c r="K153" s="1090"/>
      <c r="L153" s="1090"/>
      <c r="M153" s="1090"/>
      <c r="N153" s="1090"/>
      <c r="O153" s="1090"/>
      <c r="P153" s="1090"/>
      <c r="Q153" s="1090"/>
      <c r="R153" s="1090"/>
      <c r="S153" s="1090"/>
      <c r="T153" s="1090"/>
      <c r="U153" s="1090"/>
      <c r="V153" s="1090"/>
      <c r="W153" s="1090"/>
      <c r="X153" s="1090"/>
      <c r="Y153" s="1090"/>
      <c r="Z153" s="1090"/>
      <c r="AA153" s="1090"/>
      <c r="AB153" s="1090"/>
      <c r="AC153" s="1090"/>
      <c r="AD153" s="1090"/>
      <c r="AE153" s="1090"/>
      <c r="AF153" s="1090"/>
      <c r="AG153" s="1090"/>
      <c r="AH153" s="1090"/>
      <c r="AI153" s="1090"/>
      <c r="AJ153" s="1090"/>
      <c r="AK153" s="1090"/>
      <c r="AL153" s="1090"/>
      <c r="AM153" s="1090"/>
      <c r="AN153" s="1090"/>
      <c r="AO153" s="1090"/>
      <c r="AP153" s="1090"/>
      <c r="AQ153" s="1090"/>
      <c r="AR153" s="1090"/>
      <c r="AS153" s="1090"/>
    </row>
    <row r="154" spans="1:73" ht="26" x14ac:dyDescent="0.3">
      <c r="A154" s="1090"/>
      <c r="B154" s="1092"/>
      <c r="C154" s="1090"/>
      <c r="D154" s="1101" t="s">
        <v>1164</v>
      </c>
      <c r="E154" s="1101" t="s">
        <v>1170</v>
      </c>
      <c r="F154" s="1101" t="s">
        <v>1166</v>
      </c>
      <c r="G154" s="1101" t="s">
        <v>1167</v>
      </c>
      <c r="H154" s="1101" t="s">
        <v>1168</v>
      </c>
      <c r="I154" s="1101" t="s">
        <v>1169</v>
      </c>
      <c r="J154" s="1090"/>
      <c r="K154" s="1101" t="s">
        <v>1199</v>
      </c>
      <c r="L154" s="1101" t="s">
        <v>1197</v>
      </c>
      <c r="M154" s="1101" t="s">
        <v>1198</v>
      </c>
      <c r="N154" s="1101" t="s">
        <v>1200</v>
      </c>
      <c r="O154" s="1090"/>
      <c r="P154" s="1090"/>
      <c r="Q154" s="1090"/>
      <c r="R154" s="1090"/>
      <c r="S154" s="1090"/>
      <c r="T154" s="1090"/>
      <c r="U154" s="1090"/>
      <c r="V154" s="1090"/>
      <c r="W154" s="1090"/>
      <c r="X154" s="1090"/>
      <c r="Y154" s="1090"/>
      <c r="Z154" s="1090"/>
      <c r="AA154" s="1090"/>
      <c r="AB154" s="1090"/>
      <c r="AC154" s="1090"/>
      <c r="AD154" s="1090"/>
      <c r="AE154" s="1090"/>
      <c r="AF154" s="1090"/>
      <c r="AG154" s="1090"/>
      <c r="AH154" s="1090"/>
      <c r="AI154" s="1090"/>
      <c r="AJ154" s="1090"/>
      <c r="AK154" s="1090"/>
      <c r="AL154" s="1090"/>
      <c r="AM154" s="1090"/>
      <c r="AN154" s="1090"/>
      <c r="AO154" s="1090"/>
      <c r="AP154" s="1090"/>
      <c r="AQ154" s="1090"/>
      <c r="AR154" s="1090"/>
      <c r="AS154" s="1090"/>
    </row>
    <row r="155" spans="1:73" ht="13" x14ac:dyDescent="0.3">
      <c r="A155" s="1090"/>
      <c r="B155" s="1092" t="s">
        <v>1163</v>
      </c>
      <c r="C155" s="1090">
        <v>1</v>
      </c>
      <c r="D155" s="1093" t="s">
        <v>1178</v>
      </c>
      <c r="E155" s="1107">
        <f ca="1">+K48+C155/10000000000</f>
        <v>4.4824477405691674</v>
      </c>
      <c r="F155" s="1094">
        <f ca="1">+RANK(E155,$E$155:$E$157)</f>
        <v>1</v>
      </c>
      <c r="G155" s="1099">
        <v>1</v>
      </c>
      <c r="H155" s="1094" t="str">
        <f ca="1">OFFSET($D$154,MATCH($G155,$F$155:$F$157,0),0)</f>
        <v>Cost of Hydrogen</v>
      </c>
      <c r="I155" s="1109">
        <f ca="1">OFFSET($E$154,MATCH($G155,$F$155:$F$157,0),0)-OFFSET($C$154,MATCH($G155,$F$155:$F$157,0),0)/10000000000</f>
        <v>4.4824477404691674</v>
      </c>
      <c r="J155" s="1090"/>
      <c r="K155" s="1094" t="str">
        <f ca="1">+H155</f>
        <v>Cost of Hydrogen</v>
      </c>
      <c r="L155" s="1107">
        <f ca="1">+I155</f>
        <v>4.4824477404691674</v>
      </c>
      <c r="M155" s="1094"/>
      <c r="N155" s="1094" t="str">
        <f ca="1">+IF(L155&gt;0,K155,"")</f>
        <v>Cost of Hydrogen</v>
      </c>
      <c r="O155" s="1090"/>
      <c r="P155" s="1090"/>
      <c r="Q155" s="1090"/>
      <c r="R155" s="1090"/>
      <c r="S155" s="1090"/>
      <c r="T155" s="1090"/>
      <c r="U155" s="1090"/>
      <c r="V155" s="1090"/>
      <c r="W155" s="1090"/>
      <c r="X155" s="1090"/>
      <c r="Y155" s="1090"/>
      <c r="Z155" s="1090"/>
      <c r="AA155" s="1090"/>
      <c r="AB155" s="1090"/>
      <c r="AC155" s="1090"/>
      <c r="AD155" s="1090"/>
      <c r="AE155" s="1090"/>
      <c r="AF155" s="1090"/>
      <c r="AG155" s="1090"/>
      <c r="AH155" s="1090"/>
      <c r="AI155" s="1090"/>
      <c r="AJ155" s="1090"/>
    </row>
    <row r="156" spans="1:73" ht="13" x14ac:dyDescent="0.3">
      <c r="A156" s="1090"/>
      <c r="B156" s="1092"/>
      <c r="C156" s="1090">
        <v>2</v>
      </c>
      <c r="D156" s="1094" t="str">
        <f>+F110</f>
        <v>Byproduct Sales</v>
      </c>
      <c r="E156" s="1107">
        <f ca="1">+L48+C156/10000000000</f>
        <v>2.0000000000000001E-10</v>
      </c>
      <c r="F156" s="1094">
        <f ca="1">+RANK(E156,$E$155:$E$157)</f>
        <v>3</v>
      </c>
      <c r="G156" s="1099">
        <v>2</v>
      </c>
      <c r="H156" s="1094" t="str">
        <f ca="1">OFFSET($D$154,MATCH($G156,$F$155:$F$157,0),0)</f>
        <v>Salvage Value</v>
      </c>
      <c r="I156" s="1109">
        <f ca="1">OFFSET($E$154,MATCH($G156,$F$155:$F$157,0),0)-OFFSET($C$154,MATCH($G156,$F$155:$F$157,0),0)/10000000000</f>
        <v>1.4628936520036421E-3</v>
      </c>
      <c r="J156" s="1090"/>
      <c r="K156" s="1094" t="str">
        <f t="shared" ref="K156:K170" ca="1" si="76">+H156</f>
        <v>Salvage Value</v>
      </c>
      <c r="L156" s="1107">
        <f t="shared" ref="L156:L157" ca="1" si="77">+I156</f>
        <v>1.4628936520036421E-3</v>
      </c>
      <c r="M156" s="1094"/>
      <c r="N156" s="1094" t="str">
        <f t="shared" ref="N156:N157" ca="1" si="78">+IF(L156&gt;0,K156,"")</f>
        <v>Salvage Value</v>
      </c>
      <c r="O156" s="1090"/>
      <c r="P156" s="1090"/>
      <c r="Q156" s="1090"/>
      <c r="R156" s="1090"/>
      <c r="S156" s="1090"/>
      <c r="T156" s="1090"/>
      <c r="U156" s="1090"/>
      <c r="V156" s="1090"/>
      <c r="W156" s="1090"/>
      <c r="X156" s="1090"/>
      <c r="Y156" s="1090"/>
      <c r="Z156" s="1090"/>
      <c r="AA156" s="1090"/>
      <c r="AB156" s="1090"/>
      <c r="AC156" s="1090"/>
      <c r="AD156" s="1090"/>
      <c r="AE156" s="1090"/>
      <c r="AF156" s="1090"/>
      <c r="AG156" s="1090"/>
      <c r="AH156" s="1090"/>
      <c r="AI156" s="1090"/>
      <c r="AJ156" s="1090"/>
    </row>
    <row r="157" spans="1:73" ht="13" x14ac:dyDescent="0.3">
      <c r="A157" s="1090"/>
      <c r="B157" s="1092"/>
      <c r="C157" s="1090">
        <v>3</v>
      </c>
      <c r="D157" s="1094" t="str">
        <f>+G110</f>
        <v>Salvage Value</v>
      </c>
      <c r="E157" s="1107">
        <f ca="1">+M48+C157/10000000000</f>
        <v>1.4628939520036422E-3</v>
      </c>
      <c r="F157" s="1094">
        <f ca="1">+RANK(E157,$E$155:$E$157)</f>
        <v>2</v>
      </c>
      <c r="G157" s="1099">
        <v>3</v>
      </c>
      <c r="H157" s="1094" t="str">
        <f ca="1">OFFSET($D$154,MATCH($G157,$F$155:$F$157,0),0)</f>
        <v>Byproduct Sales</v>
      </c>
      <c r="I157" s="1109">
        <f ca="1">OFFSET($E$154,MATCH($G157,$F$155:$F$157,0),0)-OFFSET($C$154,MATCH($G157,$F$155:$F$157,0),0)/10000000000</f>
        <v>0</v>
      </c>
      <c r="J157" s="1090"/>
      <c r="K157" s="1094" t="str">
        <f t="shared" ca="1" si="76"/>
        <v>Byproduct Sales</v>
      </c>
      <c r="L157" s="1107">
        <f t="shared" ca="1" si="77"/>
        <v>0</v>
      </c>
      <c r="M157" s="1094"/>
      <c r="N157" s="1094" t="str">
        <f t="shared" ca="1" si="78"/>
        <v/>
      </c>
      <c r="O157" s="1090"/>
      <c r="P157" s="1090"/>
      <c r="Q157" s="1090"/>
      <c r="R157" s="1090"/>
      <c r="S157" s="1090"/>
      <c r="T157" s="1090"/>
      <c r="U157" s="1090"/>
      <c r="V157" s="1090"/>
      <c r="W157" s="1090"/>
      <c r="X157" s="1090"/>
      <c r="Y157" s="1090"/>
      <c r="Z157" s="1090"/>
      <c r="AA157" s="1090"/>
      <c r="AB157" s="1090"/>
      <c r="AC157" s="1090"/>
      <c r="AD157" s="1090"/>
      <c r="AE157" s="1090"/>
      <c r="AF157" s="1090"/>
      <c r="AG157" s="1090"/>
      <c r="AH157" s="1090"/>
      <c r="AI157" s="1090"/>
      <c r="AJ157" s="1090"/>
    </row>
    <row r="158" spans="1:73" ht="13" x14ac:dyDescent="0.3">
      <c r="A158" s="1090"/>
      <c r="B158" s="1092"/>
      <c r="C158" s="1090"/>
      <c r="D158" s="1092"/>
      <c r="E158" s="1092"/>
      <c r="F158" s="1092"/>
      <c r="G158" s="1092"/>
      <c r="H158" s="1092"/>
      <c r="I158" s="1120"/>
      <c r="J158" s="1090"/>
      <c r="K158" s="1094"/>
      <c r="L158" s="1094"/>
      <c r="M158" s="1107"/>
      <c r="N158" s="1094" t="str">
        <f t="shared" ref="N158" si="79">+IF(L158&gt;0.01,K158,"")</f>
        <v/>
      </c>
      <c r="O158" s="1090"/>
      <c r="P158" s="1090"/>
      <c r="Q158" s="1090"/>
      <c r="R158" s="1090"/>
      <c r="S158" s="1090"/>
      <c r="T158" s="1090"/>
      <c r="U158" s="1090"/>
      <c r="V158" s="1090"/>
      <c r="W158" s="1090"/>
      <c r="X158" s="1090"/>
      <c r="Y158" s="1090"/>
      <c r="Z158" s="1090"/>
      <c r="AA158" s="1090"/>
      <c r="AB158" s="1090"/>
      <c r="AC158" s="1090"/>
      <c r="AD158" s="1090"/>
      <c r="AE158" s="1090"/>
      <c r="AF158" s="1090"/>
      <c r="AG158" s="1090"/>
      <c r="AH158" s="1090"/>
      <c r="AI158" s="1090"/>
      <c r="AJ158" s="1090"/>
    </row>
    <row r="159" spans="1:73" ht="13" x14ac:dyDescent="0.3">
      <c r="A159" s="1090"/>
      <c r="B159" s="1092" t="s">
        <v>1162</v>
      </c>
      <c r="C159" s="1090">
        <v>1</v>
      </c>
      <c r="D159" s="1094" t="str">
        <f>+H110</f>
        <v>Initial Equity Depreciable Capital</v>
      </c>
      <c r="E159" s="1107">
        <f ca="1">+N48+C159/10000000000</f>
        <v>0.12660122415571293</v>
      </c>
      <c r="F159" s="1094">
        <f t="shared" ref="F159:F170" ca="1" si="80">+RANK(E159,$E$159:$E$170)</f>
        <v>3</v>
      </c>
      <c r="G159" s="1099">
        <v>1</v>
      </c>
      <c r="H159" s="1094" t="str">
        <f t="shared" ref="H159:H170" ca="1" si="81">OFFSET($D$158,MATCH($G159,$F$159:$F$170,0),0)</f>
        <v>Feedstock Cost</v>
      </c>
      <c r="I159" s="1109">
        <f t="shared" ref="I159:I170" ca="1" si="82">OFFSET($E$158,MATCH($G159,$F$159:$F$170,0),0)-OFFSET($C$158,MATCH($G159,$F$159:$F$170,0),0)/10000000000</f>
        <v>3.9660070019776885</v>
      </c>
      <c r="J159" s="1090"/>
      <c r="K159" s="1094" t="str">
        <f t="shared" ca="1" si="76"/>
        <v>Feedstock Cost</v>
      </c>
      <c r="L159" s="1094"/>
      <c r="M159" s="1107">
        <f ca="1">+I159</f>
        <v>3.9660070019776885</v>
      </c>
      <c r="N159" s="1094" t="str">
        <f ca="1">+IF(M159&gt;0,K159,"")</f>
        <v>Feedstock Cost</v>
      </c>
      <c r="O159" s="1090"/>
      <c r="P159" s="1090"/>
      <c r="Q159" s="1090"/>
      <c r="R159" s="1090"/>
      <c r="S159" s="1090"/>
      <c r="T159" s="1090"/>
      <c r="U159" s="1090"/>
      <c r="V159" s="1090"/>
      <c r="W159" s="1090"/>
      <c r="X159" s="1090"/>
      <c r="Y159" s="1090"/>
      <c r="Z159" s="1090"/>
      <c r="AA159" s="1090"/>
      <c r="AB159" s="1090"/>
      <c r="AC159" s="1090"/>
      <c r="AD159" s="1090"/>
      <c r="AE159" s="1090"/>
      <c r="AF159" s="1090"/>
      <c r="AG159" s="1090"/>
      <c r="AH159" s="1090"/>
      <c r="AI159" s="1090"/>
      <c r="AJ159" s="1090"/>
    </row>
    <row r="160" spans="1:73" x14ac:dyDescent="0.25">
      <c r="A160" s="1090"/>
      <c r="B160" s="1090"/>
      <c r="C160" s="1090">
        <f>+C159+1</f>
        <v>2</v>
      </c>
      <c r="D160" s="1094" t="str">
        <f>+I110</f>
        <v>Yearly Replacement Costs</v>
      </c>
      <c r="E160" s="1107">
        <f ca="1">+O48+C160/10000000000</f>
        <v>3.8391561864007377E-2</v>
      </c>
      <c r="F160" s="1094">
        <f t="shared" ca="1" si="80"/>
        <v>5</v>
      </c>
      <c r="G160" s="1099">
        <v>2</v>
      </c>
      <c r="H160" s="1094" t="str">
        <f t="shared" ca="1" si="81"/>
        <v>Fixed Operating Cost</v>
      </c>
      <c r="I160" s="1109">
        <f t="shared" ca="1" si="82"/>
        <v>0.23132576245804806</v>
      </c>
      <c r="J160" s="1090"/>
      <c r="K160" s="1094" t="str">
        <f t="shared" ca="1" si="76"/>
        <v>Fixed Operating Cost</v>
      </c>
      <c r="L160" s="1094"/>
      <c r="M160" s="1107">
        <f t="shared" ref="M160:M170" ca="1" si="83">+I160</f>
        <v>0.23132576245804806</v>
      </c>
      <c r="N160" s="1094" t="str">
        <f t="shared" ref="N160:N170" ca="1" si="84">+IF(M160&gt;0,K160,"")</f>
        <v>Fixed Operating Cost</v>
      </c>
      <c r="O160" s="1090"/>
      <c r="P160" s="1090"/>
      <c r="Q160" s="1090"/>
      <c r="R160" s="1090"/>
      <c r="S160" s="1090"/>
      <c r="T160" s="1090"/>
      <c r="U160" s="1090"/>
      <c r="V160" s="1090"/>
      <c r="W160" s="1090"/>
      <c r="X160" s="1090"/>
      <c r="Y160" s="1090"/>
      <c r="Z160" s="1090"/>
      <c r="AA160" s="1090"/>
      <c r="AB160" s="1090"/>
      <c r="AC160" s="1090"/>
      <c r="AD160" s="1090"/>
      <c r="AE160" s="1090"/>
      <c r="AF160" s="1090"/>
      <c r="AG160" s="1090"/>
      <c r="AH160" s="1090"/>
      <c r="AI160" s="1090"/>
      <c r="AJ160" s="1090"/>
    </row>
    <row r="161" spans="1:36" x14ac:dyDescent="0.25">
      <c r="A161" s="1090"/>
      <c r="B161" s="1090"/>
      <c r="C161" s="1090">
        <f t="shared" ref="C161:C170" si="85">+C160+1</f>
        <v>3</v>
      </c>
      <c r="D161" s="1094" t="str">
        <f>+J110</f>
        <v>Cash for Working Capital Reserve</v>
      </c>
      <c r="E161" s="1107">
        <f ca="1">+P48+C161/10000000000</f>
        <v>1.9136315763353638E-2</v>
      </c>
      <c r="F161" s="1094">
        <f t="shared" ca="1" si="80"/>
        <v>6</v>
      </c>
      <c r="G161" s="1099">
        <v>3</v>
      </c>
      <c r="H161" s="1094" t="str">
        <f t="shared" ca="1" si="81"/>
        <v>Initial Equity Depreciable Capital</v>
      </c>
      <c r="I161" s="1109">
        <f t="shared" ca="1" si="82"/>
        <v>0.12660122405571292</v>
      </c>
      <c r="J161" s="1090"/>
      <c r="K161" s="1094" t="str">
        <f t="shared" ca="1" si="76"/>
        <v>Initial Equity Depreciable Capital</v>
      </c>
      <c r="L161" s="1094"/>
      <c r="M161" s="1107">
        <f t="shared" ca="1" si="83"/>
        <v>0.12660122405571292</v>
      </c>
      <c r="N161" s="1094" t="str">
        <f t="shared" ca="1" si="84"/>
        <v>Initial Equity Depreciable Capital</v>
      </c>
      <c r="O161" s="1090"/>
      <c r="P161" s="1090"/>
      <c r="Q161" s="1090"/>
      <c r="R161" s="1090"/>
      <c r="S161" s="1090"/>
      <c r="T161" s="1090"/>
      <c r="U161" s="1090"/>
      <c r="V161" s="1090"/>
      <c r="W161" s="1090"/>
      <c r="X161" s="1090"/>
      <c r="Y161" s="1090"/>
      <c r="Z161" s="1090"/>
      <c r="AA161" s="1090"/>
      <c r="AB161" s="1090"/>
      <c r="AC161" s="1090"/>
      <c r="AD161" s="1090"/>
      <c r="AE161" s="1090"/>
      <c r="AF161" s="1090"/>
      <c r="AG161" s="1090"/>
      <c r="AH161" s="1090"/>
      <c r="AI161" s="1090"/>
      <c r="AJ161" s="1090"/>
    </row>
    <row r="162" spans="1:36" x14ac:dyDescent="0.25">
      <c r="A162" s="1090"/>
      <c r="B162" s="1090"/>
      <c r="C162" s="1090">
        <f t="shared" si="85"/>
        <v>4</v>
      </c>
      <c r="D162" s="1094" t="str">
        <f>+K110</f>
        <v>Other Non-Depreciable Capital Costs</v>
      </c>
      <c r="E162" s="1107">
        <f ca="1">+Q48+C162/10000000000</f>
        <v>1.3035861655690257E-3</v>
      </c>
      <c r="F162" s="1094">
        <f t="shared" ca="1" si="80"/>
        <v>11</v>
      </c>
      <c r="G162" s="1099">
        <v>4</v>
      </c>
      <c r="H162" s="1094" t="str">
        <f t="shared" ca="1" si="81"/>
        <v>Debt Interest</v>
      </c>
      <c r="I162" s="1109">
        <f t="shared" ca="1" si="82"/>
        <v>7.5411049199456293E-2</v>
      </c>
      <c r="J162" s="1090"/>
      <c r="K162" s="1094" t="str">
        <f t="shared" ca="1" si="76"/>
        <v>Debt Interest</v>
      </c>
      <c r="L162" s="1094"/>
      <c r="M162" s="1107">
        <f t="shared" ca="1" si="83"/>
        <v>7.5411049199456293E-2</v>
      </c>
      <c r="N162" s="1094" t="str">
        <f t="shared" ca="1" si="84"/>
        <v>Debt Interest</v>
      </c>
      <c r="O162" s="1090"/>
      <c r="P162" s="1090"/>
      <c r="Q162" s="1090"/>
      <c r="R162" s="1090"/>
      <c r="S162" s="1090"/>
      <c r="T162" s="1090"/>
      <c r="U162" s="1090"/>
      <c r="V162" s="1090"/>
      <c r="W162" s="1090"/>
      <c r="X162" s="1090"/>
      <c r="Y162" s="1090"/>
      <c r="Z162" s="1090"/>
      <c r="AA162" s="1090"/>
      <c r="AB162" s="1090"/>
      <c r="AC162" s="1090"/>
      <c r="AD162" s="1090"/>
      <c r="AE162" s="1090"/>
      <c r="AF162" s="1090"/>
      <c r="AG162" s="1090"/>
      <c r="AH162" s="1090"/>
      <c r="AI162" s="1090"/>
      <c r="AJ162" s="1090"/>
    </row>
    <row r="163" spans="1:36" x14ac:dyDescent="0.25">
      <c r="A163" s="1090"/>
      <c r="B163" s="1090"/>
      <c r="C163" s="1090">
        <f t="shared" si="85"/>
        <v>5</v>
      </c>
      <c r="D163" s="1094" t="str">
        <f>+L110</f>
        <v>Decommissioning Costs</v>
      </c>
      <c r="E163" s="1107">
        <f ca="1">+R48+C163/10000000000</f>
        <v>1.45689362506103E-3</v>
      </c>
      <c r="F163" s="1094">
        <f t="shared" ca="1" si="80"/>
        <v>10</v>
      </c>
      <c r="G163" s="1099">
        <v>5</v>
      </c>
      <c r="H163" s="1094" t="str">
        <f t="shared" ca="1" si="81"/>
        <v>Yearly Replacement Costs</v>
      </c>
      <c r="I163" s="1109">
        <f t="shared" ca="1" si="82"/>
        <v>3.8391561664007375E-2</v>
      </c>
      <c r="J163" s="1090"/>
      <c r="K163" s="1094" t="str">
        <f t="shared" ca="1" si="76"/>
        <v>Yearly Replacement Costs</v>
      </c>
      <c r="L163" s="1094"/>
      <c r="M163" s="1107">
        <f t="shared" ca="1" si="83"/>
        <v>3.8391561664007375E-2</v>
      </c>
      <c r="N163" s="1094" t="str">
        <f t="shared" ca="1" si="84"/>
        <v>Yearly Replacement Costs</v>
      </c>
      <c r="O163" s="1090"/>
      <c r="P163" s="1090"/>
      <c r="Q163" s="1090"/>
      <c r="R163" s="1090"/>
      <c r="S163" s="1090"/>
      <c r="T163" s="1090"/>
      <c r="U163" s="1090"/>
      <c r="V163" s="1090"/>
      <c r="W163" s="1090"/>
      <c r="X163" s="1090"/>
      <c r="Y163" s="1090"/>
      <c r="Z163" s="1090"/>
      <c r="AA163" s="1090"/>
      <c r="AB163" s="1090"/>
      <c r="AC163" s="1090"/>
      <c r="AD163" s="1090"/>
      <c r="AE163" s="1090"/>
      <c r="AF163" s="1090"/>
      <c r="AG163" s="1090"/>
      <c r="AH163" s="1090"/>
      <c r="AI163" s="1090"/>
      <c r="AJ163" s="1090"/>
    </row>
    <row r="164" spans="1:36" x14ac:dyDescent="0.25">
      <c r="A164" s="1090"/>
      <c r="B164" s="1090"/>
      <c r="C164" s="1090">
        <f t="shared" si="85"/>
        <v>6</v>
      </c>
      <c r="D164" s="1094" t="str">
        <f>+M110</f>
        <v>Fixed Operating Cost</v>
      </c>
      <c r="E164" s="1107">
        <f ca="1">+S48+C164/10000000000</f>
        <v>0.23132576305804806</v>
      </c>
      <c r="F164" s="1094">
        <f t="shared" ca="1" si="80"/>
        <v>2</v>
      </c>
      <c r="G164" s="1099">
        <v>6</v>
      </c>
      <c r="H164" s="1094" t="str">
        <f t="shared" ca="1" si="81"/>
        <v>Cash for Working Capital Reserve</v>
      </c>
      <c r="I164" s="1109">
        <f t="shared" ca="1" si="82"/>
        <v>1.9136315463353638E-2</v>
      </c>
      <c r="J164" s="1090"/>
      <c r="K164" s="1094" t="str">
        <f t="shared" ca="1" si="76"/>
        <v>Cash for Working Capital Reserve</v>
      </c>
      <c r="L164" s="1094"/>
      <c r="M164" s="1107">
        <f t="shared" ca="1" si="83"/>
        <v>1.9136315463353638E-2</v>
      </c>
      <c r="N164" s="1094" t="str">
        <f t="shared" ca="1" si="84"/>
        <v>Cash for Working Capital Reserve</v>
      </c>
      <c r="O164" s="1090"/>
      <c r="P164" s="1090"/>
      <c r="Q164" s="1090"/>
      <c r="R164" s="1090"/>
      <c r="S164" s="1090"/>
      <c r="T164" s="1090"/>
      <c r="U164" s="1090"/>
      <c r="V164" s="1090"/>
      <c r="W164" s="1090"/>
      <c r="X164" s="1090"/>
      <c r="Y164" s="1090"/>
      <c r="Z164" s="1090"/>
      <c r="AA164" s="1090"/>
      <c r="AB164" s="1090"/>
      <c r="AC164" s="1090"/>
      <c r="AD164" s="1090"/>
      <c r="AE164" s="1090"/>
      <c r="AF164" s="1090"/>
      <c r="AG164" s="1090"/>
      <c r="AH164" s="1090"/>
      <c r="AI164" s="1090"/>
      <c r="AJ164" s="1090"/>
    </row>
    <row r="165" spans="1:36" x14ac:dyDescent="0.25">
      <c r="A165" s="1090"/>
      <c r="B165" s="1090"/>
      <c r="C165" s="1090">
        <f t="shared" si="85"/>
        <v>7</v>
      </c>
      <c r="D165" s="1094" t="str">
        <f>+N110</f>
        <v>Feedstock Cost</v>
      </c>
      <c r="E165" s="1107">
        <f ca="1">+T48+C165/10000000000</f>
        <v>3.9660070026776886</v>
      </c>
      <c r="F165" s="1094">
        <f t="shared" ca="1" si="80"/>
        <v>1</v>
      </c>
      <c r="G165" s="1099">
        <v>7</v>
      </c>
      <c r="H165" s="1094" t="str">
        <f t="shared" ca="1" si="81"/>
        <v>Taxes</v>
      </c>
      <c r="I165" s="1109">
        <f t="shared" ca="1" si="82"/>
        <v>1.0707643856206782E-2</v>
      </c>
      <c r="J165" s="1090"/>
      <c r="K165" s="1094" t="str">
        <f t="shared" ca="1" si="76"/>
        <v>Taxes</v>
      </c>
      <c r="L165" s="1094"/>
      <c r="M165" s="1107">
        <f t="shared" ca="1" si="83"/>
        <v>1.0707643856206782E-2</v>
      </c>
      <c r="N165" s="1094" t="str">
        <f t="shared" ca="1" si="84"/>
        <v>Taxes</v>
      </c>
      <c r="O165" s="1090"/>
      <c r="P165" s="1090"/>
      <c r="Q165" s="1090"/>
      <c r="R165" s="1090"/>
      <c r="S165" s="1090"/>
      <c r="T165" s="1090"/>
      <c r="U165" s="1090"/>
      <c r="V165" s="1090"/>
      <c r="W165" s="1090"/>
      <c r="X165" s="1090"/>
      <c r="Y165" s="1090"/>
      <c r="Z165" s="1090"/>
      <c r="AA165" s="1090"/>
      <c r="AB165" s="1090"/>
      <c r="AC165" s="1090"/>
      <c r="AD165" s="1090"/>
      <c r="AE165" s="1090"/>
      <c r="AF165" s="1090"/>
      <c r="AG165" s="1090"/>
      <c r="AH165" s="1090"/>
      <c r="AI165" s="1090"/>
      <c r="AJ165" s="1090"/>
    </row>
    <row r="166" spans="1:36" x14ac:dyDescent="0.25">
      <c r="A166" s="1090"/>
      <c r="B166" s="1090"/>
      <c r="C166" s="1090">
        <f t="shared" si="85"/>
        <v>8</v>
      </c>
      <c r="D166" s="1094" t="str">
        <f>+O110</f>
        <v>Other Raw Material Cost</v>
      </c>
      <c r="E166" s="1107">
        <f ca="1">+U48+C166/10000000000</f>
        <v>8.0000000000000003E-10</v>
      </c>
      <c r="F166" s="1094">
        <f t="shared" ca="1" si="80"/>
        <v>12</v>
      </c>
      <c r="G166" s="1099">
        <v>8</v>
      </c>
      <c r="H166" s="1094" t="str">
        <f t="shared" ca="1" si="81"/>
        <v>Other Variable Operating Costs</v>
      </c>
      <c r="I166" s="1109">
        <f t="shared" ca="1" si="82"/>
        <v>9.4523053561131991E-3</v>
      </c>
      <c r="J166" s="1090"/>
      <c r="K166" s="1094" t="str">
        <f t="shared" ca="1" si="76"/>
        <v>Other Variable Operating Costs</v>
      </c>
      <c r="L166" s="1094"/>
      <c r="M166" s="1107">
        <f t="shared" ca="1" si="83"/>
        <v>9.4523053561131991E-3</v>
      </c>
      <c r="N166" s="1094" t="str">
        <f t="shared" ca="1" si="84"/>
        <v>Other Variable Operating Costs</v>
      </c>
      <c r="O166" s="1090"/>
      <c r="P166" s="1090"/>
      <c r="Q166" s="1090"/>
      <c r="R166" s="1090"/>
      <c r="S166" s="1090"/>
      <c r="T166" s="1090"/>
      <c r="U166" s="1090"/>
      <c r="V166" s="1090"/>
      <c r="W166" s="1090"/>
      <c r="X166" s="1090"/>
      <c r="Y166" s="1090"/>
      <c r="Z166" s="1090"/>
      <c r="AA166" s="1090"/>
      <c r="AB166" s="1090"/>
      <c r="AC166" s="1090"/>
      <c r="AD166" s="1090"/>
      <c r="AE166" s="1090"/>
      <c r="AF166" s="1090"/>
      <c r="AG166" s="1090"/>
      <c r="AH166" s="1090"/>
      <c r="AI166" s="1090"/>
      <c r="AJ166" s="1090"/>
    </row>
    <row r="167" spans="1:36" x14ac:dyDescent="0.25">
      <c r="A167" s="1090"/>
      <c r="B167" s="1090"/>
      <c r="C167" s="1090">
        <f t="shared" si="85"/>
        <v>9</v>
      </c>
      <c r="D167" s="1094" t="str">
        <f>+P110</f>
        <v>Other Variable Operating Costs</v>
      </c>
      <c r="E167" s="1107">
        <f ca="1">+V48+C167/10000000000</f>
        <v>9.452306256113199E-3</v>
      </c>
      <c r="F167" s="1094">
        <f t="shared" ca="1" si="80"/>
        <v>8</v>
      </c>
      <c r="G167" s="1099">
        <v>9</v>
      </c>
      <c r="H167" s="1094" t="str">
        <f t="shared" ca="1" si="81"/>
        <v>Principal Payment</v>
      </c>
      <c r="I167" s="1109">
        <f t="shared" ca="1" si="82"/>
        <v>4.1172911999507716E-3</v>
      </c>
      <c r="J167" s="1090"/>
      <c r="K167" s="1094" t="str">
        <f t="shared" ca="1" si="76"/>
        <v>Principal Payment</v>
      </c>
      <c r="L167" s="1094"/>
      <c r="M167" s="1107">
        <f t="shared" ca="1" si="83"/>
        <v>4.1172911999507716E-3</v>
      </c>
      <c r="N167" s="1094" t="str">
        <f t="shared" ca="1" si="84"/>
        <v>Principal Payment</v>
      </c>
      <c r="O167" s="1090"/>
      <c r="P167" s="1090"/>
      <c r="Q167" s="1090"/>
      <c r="R167" s="1090"/>
      <c r="S167" s="1090"/>
      <c r="T167" s="1090"/>
      <c r="U167" s="1090"/>
      <c r="V167" s="1090"/>
      <c r="W167" s="1090"/>
      <c r="X167" s="1090"/>
      <c r="Y167" s="1090"/>
      <c r="Z167" s="1090"/>
      <c r="AA167" s="1090"/>
      <c r="AB167" s="1090"/>
      <c r="AC167" s="1090"/>
      <c r="AD167" s="1090"/>
      <c r="AE167" s="1090"/>
      <c r="AF167" s="1090"/>
      <c r="AG167" s="1090"/>
      <c r="AH167" s="1090"/>
      <c r="AI167" s="1090"/>
      <c r="AJ167" s="1090"/>
    </row>
    <row r="168" spans="1:36" x14ac:dyDescent="0.25">
      <c r="A168" s="1090"/>
      <c r="B168" s="1090"/>
      <c r="C168" s="1090">
        <f t="shared" si="85"/>
        <v>10</v>
      </c>
      <c r="D168" s="1094" t="str">
        <f>+Q110</f>
        <v>Debt Interest</v>
      </c>
      <c r="E168" s="1107">
        <f ca="1">+W48+C168/10000000000</f>
        <v>7.5411050199456292E-2</v>
      </c>
      <c r="F168" s="1094">
        <f t="shared" ca="1" si="80"/>
        <v>4</v>
      </c>
      <c r="G168" s="1099">
        <v>10</v>
      </c>
      <c r="H168" s="1094" t="str">
        <f t="shared" ca="1" si="81"/>
        <v>Decommissioning Costs</v>
      </c>
      <c r="I168" s="1109">
        <f t="shared" ca="1" si="82"/>
        <v>1.45689312506103E-3</v>
      </c>
      <c r="J168" s="1090"/>
      <c r="K168" s="1094" t="str">
        <f t="shared" ca="1" si="76"/>
        <v>Decommissioning Costs</v>
      </c>
      <c r="L168" s="1094"/>
      <c r="M168" s="1107">
        <f t="shared" ca="1" si="83"/>
        <v>1.45689312506103E-3</v>
      </c>
      <c r="N168" s="1094" t="str">
        <f t="shared" ca="1" si="84"/>
        <v>Decommissioning Costs</v>
      </c>
      <c r="O168" s="1090"/>
      <c r="P168" s="1090"/>
      <c r="Q168" s="1090"/>
      <c r="R168" s="1090"/>
      <c r="S168" s="1090"/>
      <c r="T168" s="1090"/>
      <c r="U168" s="1090"/>
      <c r="V168" s="1090"/>
      <c r="W168" s="1090"/>
      <c r="X168" s="1090"/>
      <c r="Y168" s="1090"/>
      <c r="Z168" s="1090"/>
      <c r="AA168" s="1090"/>
      <c r="AB168" s="1090"/>
      <c r="AC168" s="1090"/>
      <c r="AD168" s="1090"/>
      <c r="AE168" s="1090"/>
      <c r="AF168" s="1090"/>
      <c r="AG168" s="1090"/>
      <c r="AH168" s="1090"/>
      <c r="AI168" s="1090"/>
      <c r="AJ168" s="1090"/>
    </row>
    <row r="169" spans="1:36" x14ac:dyDescent="0.25">
      <c r="A169" s="1090"/>
      <c r="B169" s="1090"/>
      <c r="C169" s="1090">
        <f t="shared" si="85"/>
        <v>11</v>
      </c>
      <c r="D169" s="1094" t="str">
        <f>+R110</f>
        <v>Taxes</v>
      </c>
      <c r="E169" s="1107">
        <f ca="1">+X48+C169/10000000000</f>
        <v>1.0707644956206783E-2</v>
      </c>
      <c r="F169" s="1094">
        <f t="shared" ca="1" si="80"/>
        <v>7</v>
      </c>
      <c r="G169" s="1099">
        <v>11</v>
      </c>
      <c r="H169" s="1094" t="str">
        <f t="shared" ca="1" si="81"/>
        <v>Other Non-Depreciable Capital Costs</v>
      </c>
      <c r="I169" s="1109">
        <f t="shared" ca="1" si="82"/>
        <v>1.3035857655690258E-3</v>
      </c>
      <c r="J169" s="1090"/>
      <c r="K169" s="1094" t="str">
        <f t="shared" ca="1" si="76"/>
        <v>Other Non-Depreciable Capital Costs</v>
      </c>
      <c r="L169" s="1094"/>
      <c r="M169" s="1107">
        <f t="shared" ca="1" si="83"/>
        <v>1.3035857655690258E-3</v>
      </c>
      <c r="N169" s="1094" t="str">
        <f t="shared" ca="1" si="84"/>
        <v>Other Non-Depreciable Capital Costs</v>
      </c>
      <c r="O169" s="1090"/>
      <c r="P169" s="1090"/>
      <c r="Q169" s="1090"/>
      <c r="R169" s="1090"/>
      <c r="S169" s="1090"/>
      <c r="T169" s="1090"/>
      <c r="U169" s="1090"/>
      <c r="V169" s="1090"/>
      <c r="W169" s="1090"/>
      <c r="X169" s="1090"/>
      <c r="Y169" s="1090"/>
      <c r="Z169" s="1090"/>
      <c r="AA169" s="1090"/>
      <c r="AB169" s="1090"/>
      <c r="AC169" s="1090"/>
      <c r="AD169" s="1090"/>
      <c r="AE169" s="1090"/>
      <c r="AF169" s="1090"/>
      <c r="AG169" s="1090"/>
      <c r="AH169" s="1090"/>
      <c r="AI169" s="1090"/>
      <c r="AJ169" s="1090"/>
    </row>
    <row r="170" spans="1:36" x14ac:dyDescent="0.25">
      <c r="A170" s="1090"/>
      <c r="B170" s="1090"/>
      <c r="C170" s="1090">
        <f t="shared" si="85"/>
        <v>12</v>
      </c>
      <c r="D170" s="1094" t="str">
        <f>+S110</f>
        <v>Principal Payment</v>
      </c>
      <c r="E170" s="1107">
        <f ca="1">+Y48+C170/10000000000</f>
        <v>4.117292399950772E-3</v>
      </c>
      <c r="F170" s="1094">
        <f t="shared" ca="1" si="80"/>
        <v>9</v>
      </c>
      <c r="G170" s="1099">
        <v>12</v>
      </c>
      <c r="H170" s="1094" t="str">
        <f t="shared" ca="1" si="81"/>
        <v>Other Raw Material Cost</v>
      </c>
      <c r="I170" s="1109">
        <f t="shared" ca="1" si="82"/>
        <v>0</v>
      </c>
      <c r="J170" s="1090"/>
      <c r="K170" s="1094" t="str">
        <f t="shared" ca="1" si="76"/>
        <v>Other Raw Material Cost</v>
      </c>
      <c r="L170" s="1094"/>
      <c r="M170" s="1107">
        <f t="shared" ca="1" si="83"/>
        <v>0</v>
      </c>
      <c r="N170" s="1094" t="str">
        <f t="shared" ca="1" si="84"/>
        <v/>
      </c>
      <c r="O170" s="1090"/>
      <c r="P170" s="1090"/>
      <c r="Q170" s="1090"/>
      <c r="R170" s="1090"/>
      <c r="S170" s="1090"/>
      <c r="T170" s="1090"/>
      <c r="U170" s="1090"/>
      <c r="V170" s="1090"/>
      <c r="W170" s="1090"/>
      <c r="X170" s="1090"/>
      <c r="Y170" s="1090"/>
      <c r="Z170" s="1090"/>
      <c r="AA170" s="1090"/>
      <c r="AB170" s="1090"/>
      <c r="AC170" s="1090"/>
      <c r="AD170" s="1090"/>
      <c r="AE170" s="1090"/>
      <c r="AF170" s="1090"/>
      <c r="AG170" s="1090"/>
      <c r="AH170" s="1090"/>
      <c r="AI170" s="1090"/>
      <c r="AJ170" s="1090"/>
    </row>
    <row r="171" spans="1:36" ht="13" x14ac:dyDescent="0.3">
      <c r="A171" s="1090"/>
      <c r="B171" s="1090"/>
      <c r="C171" s="1090"/>
      <c r="D171" s="1090"/>
      <c r="E171" s="1090"/>
      <c r="F171" s="1090"/>
      <c r="G171" s="1090"/>
      <c r="H171" s="1092"/>
      <c r="I171" s="1090"/>
      <c r="J171" s="1090"/>
      <c r="K171" s="1093" t="s">
        <v>58</v>
      </c>
      <c r="L171" s="1107">
        <f ca="1">+SUM(L155:L170)</f>
        <v>4.4839106341211714</v>
      </c>
      <c r="M171" s="1107">
        <f ca="1">+SUM(M155:M170)</f>
        <v>4.4839106341211679</v>
      </c>
      <c r="N171" s="1094" t="str">
        <f t="shared" ref="N171" ca="1" si="86">+IF(M171&lt;0.01,K171,"")</f>
        <v/>
      </c>
      <c r="O171" s="1090"/>
      <c r="P171" s="1090"/>
      <c r="Q171" s="1090"/>
      <c r="R171" s="1090"/>
      <c r="S171" s="1090"/>
      <c r="T171" s="1090"/>
      <c r="U171" s="1090"/>
      <c r="V171" s="1090"/>
      <c r="W171" s="1090"/>
      <c r="X171" s="1090"/>
      <c r="Y171" s="1090"/>
      <c r="Z171" s="1090"/>
      <c r="AA171" s="1090"/>
      <c r="AB171" s="1090"/>
      <c r="AC171" s="1090"/>
      <c r="AD171" s="1090"/>
      <c r="AE171" s="1090"/>
      <c r="AF171" s="1090"/>
      <c r="AG171" s="1090"/>
      <c r="AH171" s="1090"/>
      <c r="AI171" s="1090"/>
      <c r="AJ171" s="1090"/>
    </row>
    <row r="172" spans="1:36" x14ac:dyDescent="0.25">
      <c r="A172" s="1090"/>
      <c r="B172" s="1090"/>
      <c r="C172" s="1090"/>
      <c r="E172" s="1090"/>
      <c r="F172" s="1090"/>
      <c r="G172" s="1090"/>
      <c r="H172" s="1090"/>
      <c r="I172" s="1090"/>
      <c r="J172" s="1090"/>
      <c r="K172" s="1090"/>
      <c r="L172" s="1090"/>
      <c r="M172" s="1090"/>
      <c r="N172" s="1090"/>
      <c r="O172" s="1090"/>
      <c r="P172" s="1090"/>
      <c r="Q172" s="1090"/>
      <c r="R172" s="1090"/>
      <c r="S172" s="1090"/>
      <c r="T172" s="1090"/>
      <c r="U172" s="1090"/>
      <c r="V172" s="1090"/>
      <c r="W172" s="1090"/>
      <c r="X172" s="1090"/>
      <c r="Y172" s="1090"/>
      <c r="Z172" s="1090"/>
      <c r="AA172" s="1090"/>
      <c r="AB172" s="1090"/>
      <c r="AC172" s="1090"/>
      <c r="AD172" s="1090"/>
      <c r="AE172" s="1090"/>
      <c r="AF172" s="1090"/>
      <c r="AG172" s="1090"/>
      <c r="AH172" s="1090"/>
      <c r="AI172" s="1090"/>
      <c r="AJ172" s="1090"/>
    </row>
    <row r="173" spans="1:36" x14ac:dyDescent="0.25">
      <c r="A173" s="1090"/>
      <c r="B173" s="1090"/>
      <c r="C173" s="1090"/>
      <c r="D173" s="1090"/>
      <c r="E173" s="1090"/>
      <c r="F173" s="1090"/>
      <c r="G173" s="1090"/>
      <c r="H173" s="1090"/>
      <c r="I173" s="1090"/>
      <c r="J173" s="1090"/>
      <c r="K173" s="1090"/>
      <c r="L173" s="1090"/>
      <c r="M173" s="1090"/>
      <c r="N173" s="1090"/>
      <c r="O173" s="1090"/>
      <c r="P173" s="1090"/>
      <c r="Q173" s="1090"/>
      <c r="R173" s="1090"/>
      <c r="S173" s="1090"/>
      <c r="T173" s="1090"/>
      <c r="U173" s="1090"/>
      <c r="V173" s="1090"/>
      <c r="W173" s="1090"/>
      <c r="X173" s="1090"/>
      <c r="Y173" s="1090"/>
      <c r="Z173" s="1090"/>
      <c r="AA173" s="1090"/>
      <c r="AB173" s="1090"/>
      <c r="AC173" s="1090"/>
      <c r="AD173" s="1090"/>
      <c r="AE173" s="1090"/>
      <c r="AF173" s="1090"/>
      <c r="AG173" s="1090"/>
      <c r="AH173" s="1090"/>
      <c r="AI173" s="1090"/>
      <c r="AJ173" s="1090"/>
    </row>
    <row r="174" spans="1:36" ht="13" x14ac:dyDescent="0.3">
      <c r="A174" s="1090"/>
      <c r="B174" s="1092" t="s">
        <v>1183</v>
      </c>
      <c r="C174" s="1090"/>
      <c r="D174" s="1091" t="s">
        <v>1195</v>
      </c>
      <c r="E174" s="1091" t="s">
        <v>1193</v>
      </c>
      <c r="F174" s="1091" t="s">
        <v>1196</v>
      </c>
      <c r="G174" s="1091" t="s">
        <v>1194</v>
      </c>
      <c r="H174" s="1090"/>
      <c r="I174" s="1090"/>
      <c r="J174" s="1090"/>
      <c r="K174" s="1090"/>
      <c r="L174" s="1090"/>
      <c r="M174" s="1091"/>
      <c r="N174" s="1091"/>
      <c r="O174" s="1090"/>
      <c r="P174" s="1090"/>
      <c r="Q174" s="1090"/>
      <c r="R174" s="1090"/>
      <c r="S174" s="1090"/>
      <c r="T174" s="1090"/>
      <c r="U174" s="1090"/>
      <c r="V174" s="1090"/>
      <c r="W174" s="1090"/>
      <c r="X174" s="1090"/>
      <c r="Y174" s="1090"/>
      <c r="Z174" s="1090"/>
      <c r="AA174" s="1090"/>
      <c r="AB174" s="1090"/>
      <c r="AC174" s="1090"/>
      <c r="AD174" s="1090"/>
      <c r="AE174" s="1090"/>
      <c r="AF174" s="1090"/>
      <c r="AG174" s="1090"/>
      <c r="AH174" s="1090"/>
      <c r="AI174" s="1090"/>
      <c r="AJ174" s="1090"/>
    </row>
    <row r="175" spans="1:36" x14ac:dyDescent="0.25">
      <c r="A175" s="1090"/>
      <c r="B175">
        <v>0</v>
      </c>
      <c r="C175" s="1093" t="s">
        <v>1184</v>
      </c>
      <c r="D175" s="1107">
        <f>+K51</f>
        <v>4.4824477404691674</v>
      </c>
      <c r="E175" s="1107">
        <f>+D175</f>
        <v>4.4824477404691674</v>
      </c>
      <c r="F175" s="1107"/>
      <c r="G175" s="1107"/>
      <c r="H175" s="1090"/>
      <c r="I175" s="1090"/>
      <c r="J175" s="1090"/>
      <c r="K175" s="1090"/>
      <c r="L175" s="1090"/>
      <c r="M175" s="1224"/>
      <c r="N175" s="1224"/>
      <c r="O175" s="1090"/>
      <c r="P175" s="1090"/>
      <c r="Q175" s="1090"/>
      <c r="R175" s="1090"/>
      <c r="S175" s="1090"/>
      <c r="T175" s="1090"/>
      <c r="U175" s="1090"/>
      <c r="V175" s="1090"/>
      <c r="W175" s="1090"/>
      <c r="X175" s="1090"/>
      <c r="Y175" s="1090"/>
      <c r="Z175" s="1090"/>
      <c r="AA175" s="1090"/>
      <c r="AB175" s="1090"/>
      <c r="AC175" s="1090"/>
      <c r="AD175" s="1090"/>
      <c r="AE175" s="1090"/>
      <c r="AF175" s="1090"/>
      <c r="AG175" s="1090"/>
      <c r="AH175" s="1090"/>
      <c r="AI175" s="1090"/>
      <c r="AJ175" s="1090"/>
    </row>
    <row r="176" spans="1:36" x14ac:dyDescent="0.25">
      <c r="A176" s="1090"/>
      <c r="B176" s="1090">
        <v>1</v>
      </c>
      <c r="C176" s="1094" t="str">
        <f ca="1">OFFSET($B$50,0,MATCH($B176,$C$72:$I$72,0))&amp;
IF(OFFSET($F$2,MATCH($B176,$C$72:$I$72,0),0)&lt;1,
"
= "&amp;OFFSET($F$2,MATCH($B176,$C$72:$I$72,0),0)*100-100,
"
= +"&amp;OFFSET($F$2,MATCH($B176,$C$72:$I$72,0),0)*100-100)
&amp;"%"</f>
        <v>Feedstock consumption (% of most likely value)
= -5%</v>
      </c>
      <c r="D176" s="1107">
        <f>+K66</f>
        <v>4.262659649683866</v>
      </c>
      <c r="E176" s="1107">
        <f t="shared" ref="E176:E181" si="87">+E175+G175-F176</f>
        <v>4.262659649683866</v>
      </c>
      <c r="F176" s="1107">
        <f>+MAX(D175-D176,0)</f>
        <v>0.21978809078530137</v>
      </c>
      <c r="G176" s="1107">
        <f>+MAX(D176-D175,0)</f>
        <v>0</v>
      </c>
      <c r="H176" s="1090"/>
      <c r="I176" s="1090"/>
      <c r="J176" s="1090"/>
      <c r="K176" s="1090"/>
      <c r="L176" s="1090"/>
      <c r="M176" s="1224"/>
      <c r="N176" s="1224"/>
      <c r="O176" s="1090"/>
      <c r="P176" s="1090"/>
      <c r="Q176" s="1090"/>
      <c r="R176" s="1090"/>
      <c r="S176" s="1090"/>
      <c r="T176" s="1090"/>
      <c r="U176" s="1090"/>
      <c r="V176" s="1090"/>
      <c r="W176" s="1090"/>
      <c r="X176" s="1090"/>
      <c r="Y176" s="1090"/>
      <c r="Z176" s="1090"/>
      <c r="AA176" s="1090"/>
      <c r="AB176" s="1090"/>
      <c r="AC176" s="1090"/>
      <c r="AD176" s="1090"/>
      <c r="AE176" s="1090"/>
      <c r="AF176" s="1090"/>
      <c r="AG176" s="1090"/>
      <c r="AH176" s="1090"/>
      <c r="AI176" s="1090"/>
      <c r="AJ176" s="1090"/>
    </row>
    <row r="177" spans="1:36" x14ac:dyDescent="0.25">
      <c r="A177" s="1090"/>
      <c r="B177" s="1090">
        <v>2</v>
      </c>
      <c r="C177" s="1094" t="str">
        <f ca="1">OFFSET($B$50,0,MATCH($B177,$C$72:$I$72,0))&amp;
IF(OFFSET($F$2,MATCH($B177,$C$72:$I$72,0),0)&lt;1,
"
= "&amp;OFFSET($F$2,MATCH($B177,$C$72:$I$72,0),0)*100-100,
"
= +"&amp;OFFSET($F$2,MATCH($B177,$C$72:$I$72,0),0)*100-100)
&amp;"%"</f>
        <v>Operating capacity factor
= +5%</v>
      </c>
      <c r="D177" s="1107">
        <f>+K67</f>
        <v>4.240642354154228</v>
      </c>
      <c r="E177" s="1107">
        <f t="shared" si="87"/>
        <v>4.240642354154228</v>
      </c>
      <c r="F177" s="1107">
        <f>+MAX(D176-D177,0)</f>
        <v>2.2017295529638048E-2</v>
      </c>
      <c r="G177" s="1107">
        <f>+MAX(D177-D176,0)</f>
        <v>0</v>
      </c>
      <c r="H177" s="1090"/>
      <c r="I177" s="1090"/>
      <c r="J177" s="1090"/>
      <c r="K177" s="1090"/>
      <c r="L177" s="1090"/>
      <c r="M177" s="1224"/>
      <c r="N177" s="1224"/>
      <c r="O177" s="1090"/>
      <c r="P177" s="1090"/>
      <c r="Q177" s="1090"/>
      <c r="R177" s="1090"/>
      <c r="S177" s="1090"/>
      <c r="T177" s="1090"/>
      <c r="U177" s="1090"/>
      <c r="V177" s="1090"/>
      <c r="W177" s="1090"/>
      <c r="X177" s="1090"/>
      <c r="Y177" s="1090"/>
      <c r="Z177" s="1090"/>
      <c r="AA177" s="1090"/>
      <c r="AB177" s="1090"/>
      <c r="AC177" s="1090"/>
      <c r="AD177" s="1090"/>
      <c r="AE177" s="1090"/>
      <c r="AF177" s="1090"/>
      <c r="AG177" s="1090"/>
      <c r="AH177" s="1090"/>
      <c r="AI177" s="1090"/>
      <c r="AJ177" s="1090"/>
    </row>
    <row r="178" spans="1:36" x14ac:dyDescent="0.25">
      <c r="A178" s="1090"/>
      <c r="B178" s="1090">
        <v>3</v>
      </c>
      <c r="C178" s="1094" t="str">
        <f ca="1">OFFSET($B$50,0,MATCH($B178,$C$72:$I$72,0))&amp;
IF(OFFSET($F$2,MATCH($B178,$C$72:$I$72,0),0)&lt;1,
"
= "&amp;OFFSET($F$2,MATCH($B178,$C$72:$I$72,0),0)*100-100,
"
= +"&amp;OFFSET($F$2,MATCH($B178,$C$72:$I$72,0),0)*100-100)
&amp;"%"</f>
        <v>Total capital investment ($)
= -5%</v>
      </c>
      <c r="D178" s="1107">
        <f>+K68</f>
        <v>4.2279657120548553</v>
      </c>
      <c r="E178" s="1107">
        <f t="shared" si="87"/>
        <v>4.2279657120548553</v>
      </c>
      <c r="F178" s="1107">
        <f>+MAX(D177-D178,0)</f>
        <v>1.2676642099372692E-2</v>
      </c>
      <c r="G178" s="1107">
        <f>+MAX(D178-D177,0)</f>
        <v>0</v>
      </c>
      <c r="H178" s="1090"/>
      <c r="I178" s="1090"/>
      <c r="J178" s="1090"/>
      <c r="K178" s="1090"/>
      <c r="L178" s="1090"/>
      <c r="M178" s="1224"/>
      <c r="N178" s="1224"/>
      <c r="O178" s="1090"/>
      <c r="P178" s="1090"/>
      <c r="Q178" s="1090"/>
      <c r="R178" s="1090"/>
      <c r="S178" s="1090"/>
      <c r="T178" s="1090"/>
      <c r="U178" s="1090"/>
      <c r="V178" s="1090"/>
      <c r="W178" s="1090"/>
      <c r="X178" s="1090"/>
      <c r="Y178" s="1090"/>
      <c r="Z178" s="1090"/>
      <c r="AA178" s="1090"/>
      <c r="AB178" s="1090"/>
      <c r="AC178" s="1090"/>
      <c r="AD178" s="1090"/>
      <c r="AE178" s="1090"/>
      <c r="AF178" s="1090"/>
      <c r="AG178" s="1090"/>
      <c r="AH178" s="1090"/>
      <c r="AI178" s="1090"/>
      <c r="AJ178" s="1090"/>
    </row>
    <row r="179" spans="1:36" x14ac:dyDescent="0.25">
      <c r="A179" s="1090"/>
      <c r="B179" s="1090">
        <v>4</v>
      </c>
      <c r="C179" s="1094" t="str">
        <f ca="1">OFFSET($B$50,0,MATCH($B179,$C$72:$I$72,0))&amp;
IF(OFFSET($F$2,MATCH($B179,$C$72:$I$72,0),0)&lt;1,
"
= "&amp;OFFSET($F$2,MATCH($B179,$C$72:$I$72,0),0)*100-100,
"
= +"&amp;OFFSET($F$2,MATCH($B179,$C$72:$I$72,0),0)*100-100)
&amp;"%"</f>
        <v>Total fixed operating cost ($/year)
= -5%</v>
      </c>
      <c r="D179" s="1107">
        <f>+K69</f>
        <v>4.2174298072045477</v>
      </c>
      <c r="E179" s="1107">
        <f t="shared" si="87"/>
        <v>4.2174298072045477</v>
      </c>
      <c r="F179" s="1107">
        <f>+MAX(D178-D179,0)</f>
        <v>1.0535904850307531E-2</v>
      </c>
      <c r="G179" s="1107">
        <f>+MAX(D179-D178,0)</f>
        <v>0</v>
      </c>
      <c r="H179" s="1090"/>
      <c r="I179" s="1090"/>
      <c r="J179" s="1090"/>
      <c r="K179" s="1090"/>
      <c r="L179" s="1090"/>
      <c r="M179" s="1224"/>
      <c r="N179" s="1224"/>
      <c r="O179" s="1090"/>
      <c r="P179" s="1090"/>
      <c r="Q179" s="1090"/>
      <c r="R179" s="1090"/>
      <c r="S179" s="1090"/>
      <c r="T179" s="1090"/>
      <c r="U179" s="1090"/>
      <c r="V179" s="1090"/>
      <c r="W179" s="1090"/>
      <c r="X179" s="1090"/>
      <c r="Y179" s="1090"/>
      <c r="Z179" s="1090"/>
      <c r="AA179" s="1090"/>
      <c r="AB179" s="1090"/>
      <c r="AC179" s="1090"/>
      <c r="AD179" s="1090"/>
      <c r="AE179" s="1090"/>
      <c r="AF179" s="1090"/>
      <c r="AG179" s="1090"/>
      <c r="AH179" s="1090"/>
      <c r="AI179" s="1090"/>
      <c r="AJ179" s="1090"/>
    </row>
    <row r="180" spans="1:36" x14ac:dyDescent="0.25">
      <c r="A180" s="1090"/>
      <c r="B180" s="1090">
        <v>5</v>
      </c>
      <c r="C180" s="1094" t="str">
        <f ca="1">OFFSET($B$50,0,MATCH($B180,$C$72:$I$72,0))&amp;
IF(OFFSET($F$2,MATCH($B180,$C$72:$I$72,0),0)&lt;1,
"
= "&amp;OFFSET($F$2,MATCH($B180,$C$72:$I$72,0),0)*100-100,
"
= +"&amp;OFFSET($F$2,MATCH($B180,$C$72:$I$72,0),0)*100-100)
&amp;"%"</f>
        <v>Utilities consumption (% of most likely value)
= -5%</v>
      </c>
      <c r="D180" s="1107">
        <f>+K70</f>
        <v>4.2174298072045477</v>
      </c>
      <c r="E180" s="1107">
        <f t="shared" si="87"/>
        <v>4.2174298072045477</v>
      </c>
      <c r="F180" s="1107">
        <f>+MAX(D179-D180,0)</f>
        <v>0</v>
      </c>
      <c r="G180" s="1107">
        <f>+MAX(D180-D179,0)</f>
        <v>0</v>
      </c>
      <c r="H180" s="1090"/>
      <c r="I180" s="1090"/>
      <c r="J180" s="1090"/>
      <c r="K180" s="1090"/>
      <c r="L180" s="1090"/>
      <c r="M180" s="1224"/>
      <c r="N180" s="1224"/>
      <c r="O180" s="1090"/>
      <c r="P180" s="1090"/>
      <c r="Q180" s="1090"/>
      <c r="R180" s="1090"/>
      <c r="S180" s="1090"/>
      <c r="T180" s="1090"/>
      <c r="U180" s="1090"/>
      <c r="V180" s="1090"/>
      <c r="W180" s="1090"/>
      <c r="X180" s="1090"/>
      <c r="Y180" s="1090"/>
      <c r="Z180" s="1090"/>
      <c r="AA180" s="1090"/>
      <c r="AB180" s="1090"/>
      <c r="AC180" s="1090"/>
      <c r="AD180" s="1090"/>
      <c r="AE180" s="1090"/>
      <c r="AF180" s="1090"/>
      <c r="AG180" s="1090"/>
      <c r="AH180" s="1090"/>
      <c r="AI180" s="1090"/>
      <c r="AJ180" s="1090"/>
    </row>
    <row r="181" spans="1:36" x14ac:dyDescent="0.25">
      <c r="A181" s="1090"/>
      <c r="B181" s="1090">
        <v>6</v>
      </c>
      <c r="C181" s="1093" t="s">
        <v>1191</v>
      </c>
      <c r="D181" s="1107">
        <f>+K70</f>
        <v>4.2174298072045477</v>
      </c>
      <c r="E181" s="1107">
        <f t="shared" si="87"/>
        <v>4.2174298072045477</v>
      </c>
      <c r="F181" s="1107"/>
      <c r="G181" s="1107"/>
      <c r="H181" s="1090"/>
      <c r="I181" s="1090"/>
      <c r="J181" s="1090"/>
      <c r="K181" s="1090"/>
      <c r="L181" s="1090"/>
      <c r="M181" s="1224"/>
      <c r="N181" s="1224"/>
      <c r="O181" s="1090"/>
      <c r="P181" s="1090"/>
      <c r="Q181" s="1090"/>
      <c r="R181" s="1090"/>
      <c r="S181" s="1090"/>
      <c r="T181" s="1090"/>
      <c r="U181" s="1090"/>
      <c r="V181" s="1090"/>
      <c r="W181" s="1090"/>
      <c r="X181" s="1090"/>
      <c r="Y181" s="1090"/>
      <c r="Z181" s="1090"/>
      <c r="AA181" s="1090"/>
      <c r="AB181" s="1090"/>
      <c r="AC181" s="1090"/>
      <c r="AD181" s="1090"/>
      <c r="AE181" s="1090"/>
      <c r="AF181" s="1090"/>
      <c r="AG181" s="1090"/>
      <c r="AH181" s="1090"/>
      <c r="AI181" s="1090"/>
      <c r="AJ181" s="1090"/>
    </row>
    <row r="182" spans="1:36" x14ac:dyDescent="0.25">
      <c r="A182" s="1090"/>
      <c r="B182" s="1090"/>
      <c r="C182" s="1090"/>
      <c r="D182" s="1090"/>
      <c r="E182" s="1090"/>
      <c r="F182" s="1090"/>
      <c r="G182" s="1090"/>
      <c r="H182" s="1090"/>
      <c r="I182" s="1090"/>
      <c r="J182" s="1090"/>
      <c r="K182" s="1090"/>
      <c r="L182" s="1090"/>
      <c r="M182" s="1090"/>
      <c r="N182" s="1090"/>
      <c r="O182" s="1090"/>
      <c r="P182" s="1090"/>
      <c r="Q182" s="1090"/>
      <c r="R182" s="1090"/>
      <c r="S182" s="1090"/>
      <c r="T182" s="1090"/>
      <c r="U182" s="1090"/>
      <c r="V182" s="1090"/>
      <c r="W182" s="1090"/>
      <c r="X182" s="1090"/>
      <c r="Y182" s="1090"/>
      <c r="Z182" s="1090"/>
      <c r="AA182" s="1090"/>
      <c r="AB182" s="1090"/>
      <c r="AC182" s="1090"/>
      <c r="AD182" s="1090"/>
      <c r="AE182" s="1090"/>
      <c r="AF182" s="1090"/>
      <c r="AG182" s="1090"/>
      <c r="AH182" s="1090"/>
      <c r="AI182" s="1090"/>
      <c r="AJ182" s="1090"/>
    </row>
    <row r="183" spans="1:36" x14ac:dyDescent="0.25">
      <c r="A183" s="1090"/>
      <c r="B183" s="1090"/>
      <c r="C183" s="1090"/>
      <c r="D183" s="1090"/>
      <c r="E183" s="1090"/>
      <c r="F183" s="1090"/>
      <c r="G183" s="1090"/>
      <c r="H183" s="1090"/>
      <c r="I183" s="1090"/>
      <c r="J183" s="1090"/>
      <c r="K183" s="1090"/>
      <c r="L183" s="1090"/>
      <c r="M183" s="1090"/>
      <c r="N183" s="1090"/>
      <c r="O183" s="1090"/>
      <c r="P183" s="1090"/>
      <c r="Q183" s="1090"/>
      <c r="R183" s="1090"/>
      <c r="S183" s="1090"/>
      <c r="T183" s="1090"/>
      <c r="U183" s="1090"/>
      <c r="V183" s="1090"/>
      <c r="W183" s="1090"/>
      <c r="X183" s="1090"/>
      <c r="Y183" s="1090"/>
      <c r="Z183" s="1090"/>
      <c r="AA183" s="1090"/>
      <c r="AB183" s="1090"/>
      <c r="AC183" s="1090"/>
      <c r="AD183" s="1090"/>
      <c r="AE183" s="1090"/>
      <c r="AF183" s="1090"/>
      <c r="AG183" s="1090"/>
      <c r="AH183" s="1090"/>
      <c r="AI183" s="1090"/>
      <c r="AJ183" s="1090"/>
    </row>
    <row r="184" spans="1:36" x14ac:dyDescent="0.25">
      <c r="A184" s="1090"/>
      <c r="B184" s="1090"/>
      <c r="C184" s="1090"/>
      <c r="D184" s="1090"/>
      <c r="E184" s="1090"/>
      <c r="F184" s="1090"/>
      <c r="G184" s="1090"/>
      <c r="H184" s="1090"/>
      <c r="I184" s="1090"/>
      <c r="J184" s="1090"/>
      <c r="K184" s="1090"/>
      <c r="L184" s="1090"/>
      <c r="M184" s="1090"/>
      <c r="N184" s="1090"/>
      <c r="O184" s="1090"/>
      <c r="P184" s="1090"/>
      <c r="Q184" s="1090"/>
      <c r="R184" s="1090"/>
      <c r="S184" s="1090"/>
      <c r="T184" s="1090"/>
      <c r="U184" s="1090"/>
      <c r="V184" s="1090"/>
      <c r="W184" s="1090"/>
      <c r="X184" s="1090"/>
      <c r="Y184" s="1090"/>
      <c r="Z184" s="1090"/>
      <c r="AA184" s="1090"/>
      <c r="AB184" s="1090"/>
      <c r="AC184" s="1090"/>
      <c r="AD184" s="1090"/>
      <c r="AE184" s="1090"/>
      <c r="AF184" s="1090"/>
      <c r="AG184" s="1090"/>
      <c r="AH184" s="1090"/>
      <c r="AI184" s="1090"/>
      <c r="AJ184" s="1090"/>
    </row>
    <row r="185" spans="1:36" x14ac:dyDescent="0.25">
      <c r="A185" s="1090"/>
      <c r="B185" s="1090"/>
      <c r="C185" s="1090"/>
      <c r="D185" s="1090"/>
      <c r="E185" s="1090"/>
      <c r="F185" s="1090"/>
      <c r="G185" s="1090"/>
      <c r="H185" s="1090"/>
      <c r="I185" s="1090"/>
      <c r="J185" s="1090"/>
      <c r="K185" s="1090"/>
      <c r="L185" s="1090"/>
      <c r="M185" s="1090"/>
      <c r="N185" s="1090"/>
      <c r="O185" s="1090"/>
      <c r="P185" s="1090"/>
      <c r="Q185" s="1090"/>
      <c r="R185" s="1090"/>
      <c r="S185" s="1090"/>
      <c r="T185" s="1090"/>
      <c r="U185" s="1090"/>
      <c r="V185" s="1090"/>
      <c r="W185" s="1090"/>
      <c r="X185" s="1090"/>
      <c r="Y185" s="1090"/>
      <c r="Z185" s="1090"/>
      <c r="AA185" s="1090"/>
      <c r="AB185" s="1090"/>
      <c r="AC185" s="1090"/>
      <c r="AD185" s="1090"/>
      <c r="AE185" s="1090"/>
      <c r="AF185" s="1090"/>
      <c r="AG185" s="1090"/>
      <c r="AH185" s="1090"/>
      <c r="AI185" s="1090"/>
      <c r="AJ185" s="1090"/>
    </row>
    <row r="186" spans="1:36" x14ac:dyDescent="0.25">
      <c r="A186" s="1090"/>
      <c r="B186" s="1090"/>
      <c r="C186" s="1090"/>
      <c r="D186" s="1090"/>
      <c r="E186" s="1090"/>
      <c r="F186" s="1090"/>
      <c r="G186" s="1090"/>
      <c r="H186" s="1090"/>
      <c r="I186" s="1090"/>
      <c r="J186" s="1090"/>
      <c r="K186" s="1090"/>
      <c r="L186" s="1090"/>
      <c r="M186" s="1090"/>
      <c r="N186" s="1090"/>
      <c r="O186" s="1090"/>
      <c r="P186" s="1090"/>
      <c r="Q186" s="1090"/>
      <c r="R186" s="1090"/>
      <c r="S186" s="1090"/>
      <c r="T186" s="1090"/>
      <c r="U186" s="1090"/>
      <c r="V186" s="1090"/>
      <c r="W186" s="1090"/>
      <c r="X186" s="1090"/>
      <c r="Y186" s="1090"/>
      <c r="Z186" s="1090"/>
      <c r="AA186" s="1090"/>
      <c r="AB186" s="1090"/>
      <c r="AC186" s="1090"/>
      <c r="AD186" s="1090"/>
      <c r="AE186" s="1090"/>
      <c r="AF186" s="1090"/>
      <c r="AG186" s="1090"/>
      <c r="AH186" s="1090"/>
      <c r="AI186" s="1090"/>
      <c r="AJ186" s="1090"/>
    </row>
    <row r="187" spans="1:36" x14ac:dyDescent="0.25">
      <c r="A187" s="1090"/>
      <c r="B187" s="1090"/>
      <c r="C187" s="1090"/>
      <c r="D187" s="1090"/>
      <c r="E187" s="1090"/>
      <c r="F187" s="1090"/>
      <c r="G187" s="1090"/>
      <c r="H187" s="1090"/>
      <c r="I187" s="1090"/>
      <c r="J187" s="1090"/>
      <c r="K187" s="1090"/>
      <c r="L187" s="1090"/>
      <c r="M187" s="1090"/>
      <c r="N187" s="1090"/>
      <c r="O187" s="1090"/>
      <c r="P187" s="1090"/>
      <c r="Q187" s="1090"/>
      <c r="R187" s="1090"/>
      <c r="S187" s="1090"/>
      <c r="T187" s="1090"/>
      <c r="U187" s="1090"/>
      <c r="V187" s="1090"/>
      <c r="W187" s="1090"/>
      <c r="X187" s="1090"/>
      <c r="Y187" s="1090"/>
      <c r="Z187" s="1090"/>
      <c r="AA187" s="1090"/>
      <c r="AB187" s="1090"/>
      <c r="AC187" s="1090"/>
      <c r="AD187" s="1090"/>
      <c r="AE187" s="1090"/>
      <c r="AF187" s="1090"/>
      <c r="AG187" s="1090"/>
      <c r="AH187" s="1090"/>
      <c r="AI187" s="1090"/>
      <c r="AJ187" s="1090"/>
    </row>
    <row r="188" spans="1:36" x14ac:dyDescent="0.25">
      <c r="A188" s="1090"/>
      <c r="B188" s="1090"/>
      <c r="C188" s="1090"/>
      <c r="D188" s="1090"/>
      <c r="E188" s="1090"/>
      <c r="F188" s="1090"/>
      <c r="G188" s="1090"/>
      <c r="H188" s="1090"/>
      <c r="I188" s="1090"/>
      <c r="J188" s="1090"/>
      <c r="K188" s="1090"/>
      <c r="L188" s="1090"/>
      <c r="M188" s="1090"/>
      <c r="N188" s="1090"/>
      <c r="O188" s="1090"/>
      <c r="P188" s="1090"/>
      <c r="Q188" s="1090"/>
      <c r="R188" s="1090"/>
      <c r="S188" s="1090"/>
      <c r="T188" s="1090"/>
      <c r="U188" s="1090"/>
      <c r="V188" s="1090"/>
      <c r="W188" s="1090"/>
      <c r="X188" s="1090"/>
      <c r="Y188" s="1090"/>
      <c r="Z188" s="1090"/>
      <c r="AA188" s="1090"/>
      <c r="AB188" s="1090"/>
      <c r="AC188" s="1090"/>
      <c r="AD188" s="1090"/>
      <c r="AE188" s="1090"/>
      <c r="AF188" s="1090"/>
      <c r="AG188" s="1090"/>
      <c r="AH188" s="1090"/>
      <c r="AI188" s="1090"/>
      <c r="AJ188" s="1090"/>
    </row>
    <row r="189" spans="1:36" x14ac:dyDescent="0.25">
      <c r="A189" s="1090"/>
      <c r="B189" s="1444" t="s">
        <v>1302</v>
      </c>
      <c r="C189" s="1445">
        <f>+MIN(F3:G3)</f>
        <v>0.95</v>
      </c>
      <c r="D189" s="1445">
        <f>+MIN(F4:G4)</f>
        <v>0.95</v>
      </c>
      <c r="E189" s="1445">
        <f>+MIN(F5:G5)</f>
        <v>0.95</v>
      </c>
      <c r="F189" s="1445">
        <f>+MIN(F6:G6)</f>
        <v>0.95</v>
      </c>
      <c r="G189" s="1445">
        <f>+MIN(F7:G7)</f>
        <v>0.95</v>
      </c>
      <c r="H189" s="1445">
        <f>+MIN(F8:G8)</f>
        <v>0.95</v>
      </c>
      <c r="I189" s="1445">
        <f>+MIN(F9:G9)</f>
        <v>0.95</v>
      </c>
      <c r="J189" s="1090"/>
      <c r="K189" s="1090"/>
      <c r="L189" s="1090"/>
      <c r="M189" s="1090"/>
      <c r="N189" s="1090"/>
      <c r="O189" s="1090"/>
      <c r="P189" s="1090"/>
      <c r="Q189" s="1090"/>
      <c r="R189" s="1090"/>
      <c r="S189" s="1090"/>
      <c r="T189" s="1090"/>
      <c r="U189" s="1090"/>
      <c r="V189" s="1090"/>
      <c r="W189" s="1090"/>
      <c r="X189" s="1090"/>
      <c r="Y189" s="1090"/>
      <c r="Z189" s="1090"/>
      <c r="AA189" s="1090"/>
      <c r="AB189" s="1090"/>
      <c r="AC189" s="1090"/>
      <c r="AD189" s="1090"/>
      <c r="AE189" s="1090"/>
      <c r="AF189" s="1090"/>
      <c r="AG189" s="1090"/>
      <c r="AH189" s="1090"/>
      <c r="AI189" s="1090"/>
      <c r="AJ189" s="1090"/>
    </row>
    <row r="190" spans="1:36" x14ac:dyDescent="0.25">
      <c r="A190" s="1090"/>
      <c r="B190" s="1444" t="s">
        <v>1304</v>
      </c>
      <c r="C190" s="1446">
        <v>1</v>
      </c>
      <c r="D190" s="1446">
        <v>1</v>
      </c>
      <c r="E190" s="1446">
        <v>1</v>
      </c>
      <c r="F190" s="1446">
        <v>1</v>
      </c>
      <c r="G190" s="1446">
        <v>1</v>
      </c>
      <c r="H190" s="1446">
        <v>1</v>
      </c>
      <c r="I190" s="1446">
        <v>1</v>
      </c>
      <c r="J190" s="1090"/>
      <c r="K190" s="1090"/>
      <c r="L190" s="1090"/>
      <c r="M190" s="1090"/>
      <c r="N190" s="1090"/>
      <c r="O190" s="1090"/>
      <c r="P190" s="1090"/>
      <c r="Q190" s="1090"/>
      <c r="R190" s="1090"/>
      <c r="S190" s="1090"/>
      <c r="T190" s="1090"/>
      <c r="U190" s="1090"/>
      <c r="V190" s="1090"/>
      <c r="W190" s="1090"/>
      <c r="X190" s="1090"/>
      <c r="Y190" s="1090"/>
      <c r="Z190" s="1090"/>
      <c r="AA190" s="1090"/>
      <c r="AB190" s="1090"/>
      <c r="AC190" s="1090"/>
      <c r="AD190" s="1090"/>
      <c r="AE190" s="1090"/>
      <c r="AF190" s="1090"/>
      <c r="AG190" s="1090"/>
      <c r="AH190" s="1090"/>
      <c r="AI190" s="1090"/>
      <c r="AJ190" s="1090"/>
    </row>
    <row r="191" spans="1:36" x14ac:dyDescent="0.25">
      <c r="A191" s="1090"/>
      <c r="B191" s="1444" t="s">
        <v>1303</v>
      </c>
      <c r="C191" s="1445">
        <f>+MAX(F3:G3)</f>
        <v>1.05</v>
      </c>
      <c r="D191" s="1445">
        <f>+MAX(F4:G4)</f>
        <v>1.05</v>
      </c>
      <c r="E191" s="1445">
        <f>+MAX(F5:G5)</f>
        <v>1.05</v>
      </c>
      <c r="F191" s="1445">
        <f>+MAX(F6:G6)</f>
        <v>1.05</v>
      </c>
      <c r="G191" s="1445">
        <f>+MAX(F7:G7)</f>
        <v>1.05</v>
      </c>
      <c r="H191" s="1445">
        <f>+MAX(F8:G8)</f>
        <v>1.05</v>
      </c>
      <c r="I191" s="1445">
        <f>+MAX(F9:G9)</f>
        <v>1.05</v>
      </c>
      <c r="J191" s="1090"/>
      <c r="K191" s="1090"/>
      <c r="L191" s="1090"/>
      <c r="M191" s="1090"/>
      <c r="N191" s="1090"/>
      <c r="O191" s="1090"/>
      <c r="P191" s="1090"/>
      <c r="Q191" s="1090"/>
      <c r="R191" s="1090"/>
      <c r="S191" s="1090"/>
      <c r="T191" s="1090"/>
      <c r="U191" s="1090"/>
      <c r="V191" s="1090"/>
      <c r="W191" s="1090"/>
      <c r="X191" s="1090"/>
      <c r="Y191" s="1090"/>
      <c r="Z191" s="1090"/>
      <c r="AA191" s="1090"/>
      <c r="AB191" s="1090"/>
      <c r="AC191" s="1090"/>
      <c r="AD191" s="1090"/>
      <c r="AE191" s="1090"/>
      <c r="AF191" s="1090"/>
      <c r="AG191" s="1090"/>
      <c r="AH191" s="1090"/>
      <c r="AI191" s="1090"/>
      <c r="AJ191" s="1090"/>
    </row>
    <row r="192" spans="1:36" x14ac:dyDescent="0.25">
      <c r="A192" s="1090"/>
      <c r="B192" s="1090"/>
      <c r="C192" s="1090"/>
      <c r="D192" s="1090"/>
      <c r="E192" s="1090"/>
      <c r="F192" s="1090"/>
      <c r="G192" s="1090"/>
      <c r="H192" s="1090"/>
      <c r="I192" s="1090"/>
      <c r="J192" s="1090"/>
      <c r="K192" s="1090"/>
      <c r="L192" s="1090"/>
      <c r="M192" s="1090"/>
      <c r="N192" s="1090"/>
      <c r="O192" s="1090"/>
      <c r="P192" s="1090"/>
      <c r="Q192" s="1090"/>
      <c r="R192" s="1090"/>
      <c r="S192" s="1090"/>
      <c r="T192" s="1090"/>
      <c r="U192" s="1090"/>
      <c r="V192" s="1090"/>
      <c r="W192" s="1090"/>
      <c r="X192" s="1090"/>
      <c r="Y192" s="1090"/>
      <c r="Z192" s="1090"/>
      <c r="AA192" s="1090"/>
      <c r="AB192" s="1090"/>
      <c r="AC192" s="1090"/>
      <c r="AD192" s="1090"/>
      <c r="AE192" s="1090"/>
      <c r="AF192" s="1090"/>
      <c r="AG192" s="1090"/>
      <c r="AH192" s="1090"/>
      <c r="AI192" s="1090"/>
      <c r="AJ192" s="1090"/>
    </row>
    <row r="193" spans="1:36" x14ac:dyDescent="0.25">
      <c r="A193" s="1090"/>
      <c r="B193" s="1090"/>
      <c r="C193" s="1090"/>
      <c r="D193" s="1090"/>
      <c r="E193" s="1090"/>
      <c r="F193" s="1090"/>
      <c r="G193" s="1090"/>
      <c r="H193" s="1090"/>
      <c r="I193" s="1090"/>
      <c r="J193" s="1090"/>
      <c r="K193" s="1090"/>
      <c r="L193" s="1090"/>
      <c r="M193" s="1090"/>
      <c r="N193" s="1090"/>
      <c r="O193" s="1090"/>
      <c r="P193" s="1090"/>
      <c r="Q193" s="1090"/>
      <c r="R193" s="1090"/>
      <c r="S193" s="1090"/>
      <c r="T193" s="1090"/>
      <c r="U193" s="1090"/>
      <c r="V193" s="1090"/>
      <c r="W193" s="1090"/>
      <c r="X193" s="1090"/>
      <c r="Y193" s="1090"/>
      <c r="Z193" s="1090"/>
      <c r="AA193" s="1090"/>
      <c r="AB193" s="1090"/>
      <c r="AC193" s="1090"/>
      <c r="AD193" s="1090"/>
      <c r="AE193" s="1090"/>
      <c r="AF193" s="1090"/>
      <c r="AG193" s="1090"/>
      <c r="AH193" s="1090"/>
      <c r="AI193" s="1090"/>
      <c r="AJ193" s="1090"/>
    </row>
    <row r="194" spans="1:36" x14ac:dyDescent="0.25">
      <c r="A194" s="1090"/>
      <c r="B194" s="1091" t="s">
        <v>1310</v>
      </c>
      <c r="C194" s="1090">
        <f>+MATCH(R12,C50:Y50,0)</f>
        <v>9</v>
      </c>
      <c r="D194" s="1090"/>
      <c r="E194" s="1090"/>
      <c r="F194" s="1090"/>
      <c r="G194" s="1090"/>
      <c r="H194" s="1090"/>
      <c r="I194" s="1090"/>
      <c r="J194" s="1090"/>
      <c r="K194" s="1090"/>
      <c r="L194" s="1090"/>
      <c r="M194" s="1090"/>
      <c r="N194" s="1090"/>
      <c r="O194" s="1090"/>
      <c r="P194" s="1090"/>
      <c r="Q194" s="1090"/>
      <c r="R194" s="1090"/>
      <c r="S194" s="1090"/>
      <c r="T194" s="1090"/>
      <c r="U194" s="1090"/>
      <c r="V194" s="1090"/>
      <c r="W194" s="1090"/>
      <c r="X194" s="1090"/>
      <c r="Y194" s="1090"/>
      <c r="Z194" s="1090"/>
      <c r="AA194" s="1090"/>
      <c r="AB194" s="1090"/>
      <c r="AC194" s="1090"/>
      <c r="AD194" s="1090"/>
      <c r="AE194" s="1090"/>
      <c r="AF194" s="1090"/>
      <c r="AG194" s="1090"/>
      <c r="AH194" s="1090"/>
      <c r="AI194" s="1090"/>
      <c r="AJ194" s="1090"/>
    </row>
    <row r="195" spans="1:36" x14ac:dyDescent="0.25">
      <c r="A195" s="1090"/>
      <c r="B195" s="1091" t="s">
        <v>1306</v>
      </c>
      <c r="C195" s="1090">
        <f ca="1">+MIN(OFFSET($B$251:$B$2250,0,C194))</f>
        <v>4.2549213838747475</v>
      </c>
      <c r="D195" s="1090"/>
      <c r="E195" s="1090"/>
      <c r="F195" s="1090"/>
      <c r="G195" s="1090"/>
      <c r="H195" s="1090"/>
      <c r="I195" s="1090"/>
      <c r="J195" s="1090"/>
      <c r="K195" s="1090"/>
      <c r="L195" s="1090"/>
      <c r="M195" s="1090"/>
      <c r="N195" s="1090"/>
      <c r="O195" s="1090"/>
      <c r="P195" s="1090"/>
      <c r="Q195" s="1090"/>
      <c r="R195" s="1090"/>
      <c r="S195" s="1090"/>
      <c r="T195" s="1090"/>
      <c r="U195" s="1090"/>
      <c r="V195" s="1090"/>
      <c r="W195" s="1090"/>
      <c r="X195" s="1090"/>
      <c r="Y195" s="1090"/>
      <c r="Z195" s="1090"/>
      <c r="AA195" s="1090"/>
      <c r="AB195" s="1090"/>
      <c r="AC195" s="1090"/>
      <c r="AD195" s="1090"/>
      <c r="AE195" s="1090"/>
      <c r="AF195" s="1090"/>
      <c r="AG195" s="1090"/>
      <c r="AH195" s="1090"/>
      <c r="AI195" s="1090"/>
      <c r="AJ195" s="1090"/>
    </row>
    <row r="196" spans="1:36" x14ac:dyDescent="0.25">
      <c r="A196" s="1090"/>
      <c r="B196" s="1091" t="s">
        <v>1311</v>
      </c>
      <c r="C196" s="1090">
        <f ca="1">+MAX(OFFSET($B$251:$B$2250,0,C194))</f>
        <v>4.6972236512727443</v>
      </c>
      <c r="D196" s="1090"/>
      <c r="E196" s="1090"/>
      <c r="F196" s="1090"/>
      <c r="G196" s="1090"/>
      <c r="H196" s="1090"/>
      <c r="I196" s="1090"/>
      <c r="J196" s="1090"/>
      <c r="K196" s="1090"/>
      <c r="L196" s="1090"/>
      <c r="M196" s="1090"/>
      <c r="N196" s="1090"/>
      <c r="O196" s="1090"/>
      <c r="P196" s="1090"/>
      <c r="Q196" s="1090"/>
      <c r="R196" s="1090"/>
      <c r="S196" s="1090"/>
      <c r="T196" s="1090"/>
      <c r="U196" s="1090"/>
      <c r="V196" s="1090"/>
      <c r="W196" s="1090"/>
      <c r="X196" s="1090"/>
      <c r="Y196" s="1090"/>
      <c r="Z196" s="1090"/>
      <c r="AA196" s="1090"/>
      <c r="AB196" s="1090"/>
      <c r="AC196" s="1090"/>
      <c r="AD196" s="1090"/>
      <c r="AE196" s="1090"/>
      <c r="AF196" s="1090"/>
      <c r="AG196" s="1090"/>
      <c r="AH196" s="1090"/>
      <c r="AI196" s="1090"/>
      <c r="AJ196" s="1090"/>
    </row>
    <row r="197" spans="1:36" x14ac:dyDescent="0.25">
      <c r="A197" s="1090"/>
      <c r="B197" s="1091" t="s">
        <v>1313</v>
      </c>
      <c r="C197" s="1090">
        <f ca="1">+C196-C195</f>
        <v>0.44230226739799683</v>
      </c>
      <c r="D197" s="1090"/>
      <c r="E197" s="1090"/>
      <c r="F197" s="1090"/>
      <c r="G197" s="1090"/>
      <c r="H197" s="1090"/>
      <c r="I197" s="1090"/>
      <c r="J197" s="1090"/>
      <c r="K197" s="1090"/>
      <c r="L197" s="1090"/>
      <c r="M197" s="1090"/>
      <c r="N197" s="1090"/>
      <c r="O197" s="1090"/>
      <c r="P197" s="1090"/>
      <c r="Q197" s="1090"/>
      <c r="R197" s="1090"/>
      <c r="S197" s="1090"/>
      <c r="T197" s="1090"/>
      <c r="U197" s="1090"/>
      <c r="V197" s="1090"/>
      <c r="W197" s="1090"/>
      <c r="X197" s="1090"/>
      <c r="Y197" s="1090"/>
      <c r="Z197" s="1090"/>
      <c r="AA197" s="1090"/>
      <c r="AB197" s="1090"/>
      <c r="AC197" s="1090"/>
      <c r="AD197" s="1090"/>
      <c r="AE197" s="1090"/>
      <c r="AF197" s="1090"/>
      <c r="AG197" s="1090"/>
      <c r="AH197" s="1090"/>
      <c r="AI197" s="1090"/>
      <c r="AJ197" s="1090"/>
    </row>
    <row r="198" spans="1:36" x14ac:dyDescent="0.25">
      <c r="A198" s="1090"/>
      <c r="B198" s="1091" t="s">
        <v>1312</v>
      </c>
      <c r="C198" s="1090">
        <f ca="1">+OFFSET(B199,0,C194)</f>
        <v>1</v>
      </c>
      <c r="D198" s="1090"/>
      <c r="E198" s="1090"/>
      <c r="F198" s="1090"/>
      <c r="G198" s="1090"/>
      <c r="H198" s="1090"/>
      <c r="I198" s="1090"/>
      <c r="J198" s="1090"/>
      <c r="K198" s="1090"/>
      <c r="L198" s="1090"/>
      <c r="M198" s="1090"/>
      <c r="N198" s="1090"/>
      <c r="O198" s="1090"/>
      <c r="P198" s="1090"/>
      <c r="Q198" s="1090"/>
      <c r="R198" s="1090"/>
      <c r="S198" s="1090"/>
      <c r="T198" s="1090"/>
      <c r="U198" s="1090"/>
      <c r="V198" s="1090"/>
      <c r="W198" s="1090"/>
      <c r="X198" s="1090"/>
      <c r="Y198" s="1090"/>
      <c r="Z198" s="1090"/>
      <c r="AA198" s="1090"/>
      <c r="AB198" s="1090"/>
      <c r="AC198" s="1090"/>
      <c r="AD198" s="1090"/>
      <c r="AE198" s="1090"/>
      <c r="AF198" s="1090"/>
      <c r="AG198" s="1090"/>
      <c r="AH198" s="1090"/>
      <c r="AI198" s="1090"/>
      <c r="AJ198" s="1090"/>
    </row>
    <row r="199" spans="1:36" x14ac:dyDescent="0.25">
      <c r="A199" s="1090"/>
      <c r="B199" s="1091" t="s">
        <v>1312</v>
      </c>
      <c r="C199" s="1442">
        <f ca="1">+C3</f>
        <v>0.97</v>
      </c>
      <c r="D199" s="1449">
        <f ca="1">+C4</f>
        <v>50000</v>
      </c>
      <c r="E199" s="1442">
        <f ca="1">+C5</f>
        <v>0.08</v>
      </c>
      <c r="F199" s="1442">
        <f>+C6</f>
        <v>1</v>
      </c>
      <c r="G199" s="1442">
        <f>+C7</f>
        <v>1</v>
      </c>
      <c r="H199" s="1449">
        <f ca="1">+C8</f>
        <v>67087542.504808515</v>
      </c>
      <c r="I199" s="1449">
        <f ca="1">+C9</f>
        <v>4095044.3099135933</v>
      </c>
      <c r="J199" s="1090"/>
      <c r="K199" s="1090">
        <v>1</v>
      </c>
      <c r="L199" s="1090">
        <v>1</v>
      </c>
      <c r="M199" s="1090">
        <v>1</v>
      </c>
      <c r="N199" s="1090">
        <v>1</v>
      </c>
      <c r="O199" s="1090">
        <v>1</v>
      </c>
      <c r="P199" s="1090">
        <v>1</v>
      </c>
      <c r="Q199" s="1090">
        <v>1</v>
      </c>
      <c r="R199" s="1090">
        <v>1</v>
      </c>
      <c r="S199" s="1090">
        <v>1</v>
      </c>
      <c r="T199" s="1090">
        <v>1</v>
      </c>
      <c r="U199" s="1090">
        <v>1</v>
      </c>
      <c r="V199" s="1090">
        <v>1</v>
      </c>
      <c r="W199" s="1090">
        <v>1</v>
      </c>
      <c r="X199" s="1090">
        <v>1</v>
      </c>
      <c r="Y199" s="1090"/>
      <c r="Z199" s="1090"/>
      <c r="AA199" s="1090"/>
      <c r="AB199" s="1090"/>
      <c r="AC199" s="1090"/>
      <c r="AD199" s="1090"/>
      <c r="AE199" s="1090"/>
      <c r="AF199" s="1090"/>
      <c r="AG199" s="1090"/>
      <c r="AH199" s="1090"/>
      <c r="AI199" s="1090"/>
      <c r="AJ199" s="1090"/>
    </row>
    <row r="200" spans="1:36" x14ac:dyDescent="0.25">
      <c r="A200" s="1090"/>
      <c r="B200" s="1091" t="s">
        <v>1309</v>
      </c>
      <c r="C200" s="1090"/>
      <c r="D200" s="1090"/>
      <c r="E200" s="1090"/>
      <c r="F200" s="1090"/>
      <c r="G200" s="1090"/>
      <c r="H200" s="1090"/>
      <c r="I200" s="1090"/>
      <c r="J200" s="1090"/>
      <c r="K200" s="1090"/>
      <c r="L200" s="1090"/>
      <c r="M200" s="1090"/>
      <c r="N200" s="1090"/>
      <c r="O200" s="1090"/>
      <c r="P200" s="1090"/>
      <c r="Q200" s="1090"/>
      <c r="R200" s="1090"/>
      <c r="S200" s="1090"/>
      <c r="T200" s="1090"/>
      <c r="U200" s="1090"/>
      <c r="V200" s="1090"/>
      <c r="W200" s="1090"/>
      <c r="X200" s="1090"/>
      <c r="Y200" s="1090"/>
      <c r="Z200" s="1090"/>
      <c r="AA200" s="1090"/>
      <c r="AB200" s="1090"/>
      <c r="AC200" s="1090"/>
      <c r="AD200" s="1090"/>
      <c r="AE200" s="1090"/>
      <c r="AF200" s="1090"/>
      <c r="AG200" s="1090"/>
      <c r="AH200" s="1090"/>
      <c r="AI200" s="1090"/>
      <c r="AJ200" s="1090"/>
    </row>
    <row r="201" spans="1:36" x14ac:dyDescent="0.25">
      <c r="A201" s="1090"/>
      <c r="B201" s="1091" t="s">
        <v>1306</v>
      </c>
      <c r="C201" s="1091" t="s">
        <v>1307</v>
      </c>
      <c r="D201" s="1090"/>
      <c r="E201" s="1091" t="s">
        <v>1314</v>
      </c>
      <c r="F201" s="1091" t="s">
        <v>1315</v>
      </c>
      <c r="G201" s="1091" t="s">
        <v>1316</v>
      </c>
      <c r="H201" s="1091" t="s">
        <v>1317</v>
      </c>
      <c r="I201" s="1091" t="s">
        <v>1318</v>
      </c>
      <c r="J201" s="1090"/>
      <c r="K201" s="1090"/>
      <c r="L201" s="1090"/>
      <c r="M201" s="1090"/>
      <c r="N201" s="1090"/>
      <c r="O201" s="1090"/>
      <c r="P201" s="1090"/>
      <c r="Q201" s="1090"/>
      <c r="R201" s="1090"/>
      <c r="S201" s="1090"/>
      <c r="T201" s="1090"/>
      <c r="U201" s="1090"/>
      <c r="V201" s="1090"/>
      <c r="W201" s="1090"/>
      <c r="X201" s="1090"/>
      <c r="Y201" s="1090"/>
      <c r="Z201" s="1090"/>
      <c r="AA201" s="1090"/>
      <c r="AB201" s="1090"/>
      <c r="AC201" s="1090"/>
      <c r="AD201" s="1090"/>
      <c r="AE201" s="1090"/>
      <c r="AF201" s="1090"/>
      <c r="AG201" s="1090"/>
      <c r="AH201" s="1090"/>
      <c r="AI201" s="1090"/>
      <c r="AJ201" s="1090"/>
    </row>
    <row r="202" spans="1:36" x14ac:dyDescent="0.25">
      <c r="A202" s="1090"/>
      <c r="B202" s="1095">
        <f ca="1">+C195</f>
        <v>4.2549213838747475</v>
      </c>
      <c r="C202" s="1447">
        <f ca="1">+B202+($C$197/20)</f>
        <v>4.2770364972446471</v>
      </c>
      <c r="D202" s="1090">
        <f t="shared" ref="D202:D221" ca="1" si="88">+COUNTIFS(OFFSET(B$251:B$2250,0,$C$194),"&gt;="&amp;$B202,
OFFSET(B$251:B$2250,0,$C$194),"&lt;="&amp;$C202)</f>
        <v>9</v>
      </c>
      <c r="E202" s="1450">
        <f ca="1">+B202*$C$198</f>
        <v>4.2549213838747475</v>
      </c>
      <c r="F202" s="1450">
        <f ca="1">+C202*$C$198</f>
        <v>4.2770364972446471</v>
      </c>
      <c r="G202" s="1449">
        <f ca="1">+AVERAGE(E202:F202)</f>
        <v>4.2659789405596973</v>
      </c>
      <c r="H202" s="1090">
        <f ca="1">+D202/$D$223</f>
        <v>4.4999999999999997E-3</v>
      </c>
      <c r="I202" s="1090">
        <f ca="1">+H202</f>
        <v>4.4999999999999997E-3</v>
      </c>
      <c r="J202" s="1090"/>
      <c r="K202" s="1090"/>
      <c r="L202" s="1090"/>
      <c r="M202" s="1090"/>
      <c r="N202" s="1090"/>
      <c r="O202" s="1090"/>
      <c r="P202" s="1090"/>
      <c r="Q202" s="1090"/>
      <c r="R202" s="1090"/>
      <c r="S202" s="1090"/>
      <c r="T202" s="1090"/>
      <c r="U202" s="1090"/>
      <c r="V202" s="1090"/>
      <c r="W202" s="1090"/>
      <c r="X202" s="1090"/>
      <c r="Y202" s="1090"/>
      <c r="Z202" s="1090"/>
      <c r="AA202" s="1090"/>
      <c r="AB202" s="1090"/>
      <c r="AC202" s="1090"/>
      <c r="AD202" s="1090"/>
      <c r="AE202" s="1090"/>
      <c r="AF202" s="1090"/>
      <c r="AG202" s="1090"/>
      <c r="AH202" s="1090"/>
      <c r="AI202" s="1090"/>
      <c r="AJ202" s="1090"/>
    </row>
    <row r="203" spans="1:36" x14ac:dyDescent="0.25">
      <c r="A203" s="1090"/>
      <c r="B203" s="1095">
        <f ca="1">+C202</f>
        <v>4.2770364972446471</v>
      </c>
      <c r="C203" s="1447">
        <f t="shared" ref="C203:C220" ca="1" si="89">+B203+($C$197/20)</f>
        <v>4.2991516106145466</v>
      </c>
      <c r="D203" s="1090">
        <f t="shared" ca="1" si="88"/>
        <v>25</v>
      </c>
      <c r="E203" s="1450">
        <f t="shared" ref="E203:E221" ca="1" si="90">+B203*$C$198</f>
        <v>4.2770364972446471</v>
      </c>
      <c r="F203" s="1450">
        <f t="shared" ref="F203:F222" ca="1" si="91">+C203*$C$198</f>
        <v>4.2991516106145466</v>
      </c>
      <c r="G203" s="1449">
        <f t="shared" ref="G203:G222" ca="1" si="92">+AVERAGE(E203:F203)</f>
        <v>4.2880940539295969</v>
      </c>
      <c r="H203" s="1090">
        <f t="shared" ref="H203:H221" ca="1" si="93">+D203/$D$223</f>
        <v>1.2500000000000001E-2</v>
      </c>
      <c r="I203" s="1090">
        <f ca="1">+I202+H203</f>
        <v>1.7000000000000001E-2</v>
      </c>
      <c r="J203" s="1090"/>
      <c r="K203" s="1090"/>
      <c r="L203" s="1090"/>
      <c r="M203" s="1090"/>
      <c r="N203" s="1090"/>
      <c r="O203" s="1090"/>
      <c r="P203" s="1090"/>
      <c r="Q203" s="1090"/>
      <c r="R203" s="1090"/>
      <c r="S203" s="1090"/>
      <c r="T203" s="1090"/>
      <c r="U203" s="1090"/>
      <c r="V203" s="1090"/>
      <c r="W203" s="1090"/>
      <c r="X203" s="1090"/>
      <c r="Y203" s="1090"/>
      <c r="Z203" s="1090"/>
      <c r="AA203" s="1090"/>
      <c r="AB203" s="1090"/>
      <c r="AC203" s="1090"/>
      <c r="AD203" s="1090"/>
      <c r="AE203" s="1090"/>
      <c r="AF203" s="1090"/>
      <c r="AG203" s="1090"/>
      <c r="AH203" s="1090"/>
      <c r="AI203" s="1090"/>
      <c r="AJ203" s="1090"/>
    </row>
    <row r="204" spans="1:36" x14ac:dyDescent="0.25">
      <c r="A204" s="1090"/>
      <c r="B204" s="1095">
        <f t="shared" ref="B204:B221" ca="1" si="94">+C203</f>
        <v>4.2991516106145466</v>
      </c>
      <c r="C204" s="1447">
        <f t="shared" ca="1" si="89"/>
        <v>4.3212667239844462</v>
      </c>
      <c r="D204" s="1090">
        <f t="shared" ca="1" si="88"/>
        <v>57</v>
      </c>
      <c r="E204" s="1450">
        <f t="shared" ca="1" si="90"/>
        <v>4.2991516106145466</v>
      </c>
      <c r="F204" s="1450">
        <f t="shared" ca="1" si="91"/>
        <v>4.3212667239844462</v>
      </c>
      <c r="G204" s="1449">
        <f t="shared" ca="1" si="92"/>
        <v>4.3102091672994964</v>
      </c>
      <c r="H204" s="1090">
        <f t="shared" ca="1" si="93"/>
        <v>2.8500000000000001E-2</v>
      </c>
      <c r="I204" s="1090">
        <f t="shared" ref="I204:I221" ca="1" si="95">+I203+H204</f>
        <v>4.5499999999999999E-2</v>
      </c>
      <c r="J204" s="1090"/>
      <c r="K204" s="1090"/>
      <c r="L204" s="1090"/>
      <c r="M204" s="1090"/>
      <c r="N204" s="1090"/>
      <c r="O204" s="1090"/>
      <c r="P204" s="1090"/>
      <c r="Q204" s="1090"/>
      <c r="R204" s="1090"/>
      <c r="S204" s="1090"/>
      <c r="T204" s="1090"/>
      <c r="U204" s="1090"/>
      <c r="V204" s="1090"/>
      <c r="W204" s="1090"/>
      <c r="X204" s="1090"/>
      <c r="Y204" s="1090"/>
      <c r="Z204" s="1090"/>
      <c r="AA204" s="1090"/>
      <c r="AB204" s="1090"/>
      <c r="AC204" s="1090"/>
      <c r="AD204" s="1090"/>
      <c r="AE204" s="1090"/>
      <c r="AF204" s="1090"/>
      <c r="AG204" s="1090"/>
      <c r="AH204" s="1090"/>
      <c r="AI204" s="1090"/>
      <c r="AJ204" s="1090"/>
    </row>
    <row r="205" spans="1:36" x14ac:dyDescent="0.25">
      <c r="A205" s="1090"/>
      <c r="B205" s="1095">
        <f t="shared" ca="1" si="94"/>
        <v>4.3212667239844462</v>
      </c>
      <c r="C205" s="1447">
        <f t="shared" ca="1" si="89"/>
        <v>4.3433818373543458</v>
      </c>
      <c r="D205" s="1090">
        <f t="shared" ca="1" si="88"/>
        <v>58</v>
      </c>
      <c r="E205" s="1450">
        <f t="shared" ca="1" si="90"/>
        <v>4.3212667239844462</v>
      </c>
      <c r="F205" s="1450">
        <f t="shared" ca="1" si="91"/>
        <v>4.3433818373543458</v>
      </c>
      <c r="G205" s="1449">
        <f t="shared" ca="1" si="92"/>
        <v>4.332324280669396</v>
      </c>
      <c r="H205" s="1090">
        <f t="shared" ca="1" si="93"/>
        <v>2.9000000000000001E-2</v>
      </c>
      <c r="I205" s="1090">
        <f t="shared" ca="1" si="95"/>
        <v>7.4499999999999997E-2</v>
      </c>
      <c r="J205" s="1090"/>
      <c r="K205" s="1090"/>
      <c r="L205" s="1090"/>
      <c r="M205" s="1090"/>
      <c r="N205" s="1090"/>
      <c r="O205" s="1090"/>
      <c r="P205" s="1090"/>
      <c r="Q205" s="1090"/>
      <c r="R205" s="1090"/>
      <c r="S205" s="1090"/>
      <c r="T205" s="1090"/>
      <c r="U205" s="1090"/>
      <c r="V205" s="1090"/>
      <c r="W205" s="1090"/>
      <c r="X205" s="1090"/>
      <c r="Y205" s="1090"/>
      <c r="Z205" s="1090"/>
      <c r="AA205" s="1090"/>
      <c r="AB205" s="1090"/>
      <c r="AC205" s="1090"/>
      <c r="AD205" s="1090"/>
      <c r="AE205" s="1090"/>
      <c r="AF205" s="1090"/>
      <c r="AG205" s="1090"/>
      <c r="AH205" s="1090"/>
      <c r="AI205" s="1090"/>
      <c r="AJ205" s="1090"/>
    </row>
    <row r="206" spans="1:36" x14ac:dyDescent="0.25">
      <c r="A206" s="1090"/>
      <c r="B206" s="1095">
        <f t="shared" ca="1" si="94"/>
        <v>4.3433818373543458</v>
      </c>
      <c r="C206" s="1447">
        <f t="shared" ca="1" si="89"/>
        <v>4.3654969507242454</v>
      </c>
      <c r="D206" s="1090">
        <f t="shared" ca="1" si="88"/>
        <v>85</v>
      </c>
      <c r="E206" s="1450">
        <f t="shared" ca="1" si="90"/>
        <v>4.3433818373543458</v>
      </c>
      <c r="F206" s="1450">
        <f t="shared" ca="1" si="91"/>
        <v>4.3654969507242454</v>
      </c>
      <c r="G206" s="1449">
        <f t="shared" ca="1" si="92"/>
        <v>4.3544393940392956</v>
      </c>
      <c r="H206" s="1090">
        <f t="shared" ca="1" si="93"/>
        <v>4.2500000000000003E-2</v>
      </c>
      <c r="I206" s="1090">
        <f t="shared" ca="1" si="95"/>
        <v>0.11699999999999999</v>
      </c>
      <c r="J206" s="1090"/>
      <c r="K206" s="1090"/>
      <c r="L206" s="1090"/>
      <c r="M206" s="1090"/>
      <c r="N206" s="1090"/>
      <c r="O206" s="1090"/>
      <c r="P206" s="1090"/>
      <c r="Q206" s="1090"/>
      <c r="R206" s="1090"/>
      <c r="S206" s="1090"/>
      <c r="T206" s="1090"/>
      <c r="U206" s="1090"/>
      <c r="V206" s="1090"/>
      <c r="W206" s="1090"/>
      <c r="X206" s="1090"/>
      <c r="Y206" s="1090"/>
      <c r="Z206" s="1090"/>
      <c r="AA206" s="1090"/>
      <c r="AB206" s="1090"/>
      <c r="AC206" s="1090"/>
      <c r="AD206" s="1090"/>
      <c r="AE206" s="1090"/>
      <c r="AF206" s="1090"/>
      <c r="AG206" s="1090"/>
      <c r="AH206" s="1090"/>
      <c r="AI206" s="1090"/>
      <c r="AJ206" s="1090"/>
    </row>
    <row r="207" spans="1:36" x14ac:dyDescent="0.25">
      <c r="A207" s="1090"/>
      <c r="B207" s="1095">
        <f t="shared" ca="1" si="94"/>
        <v>4.3654969507242454</v>
      </c>
      <c r="C207" s="1447">
        <f t="shared" ca="1" si="89"/>
        <v>4.3876120640941449</v>
      </c>
      <c r="D207" s="1090">
        <f t="shared" ca="1" si="88"/>
        <v>105</v>
      </c>
      <c r="E207" s="1450">
        <f t="shared" ca="1" si="90"/>
        <v>4.3654969507242454</v>
      </c>
      <c r="F207" s="1450">
        <f t="shared" ca="1" si="91"/>
        <v>4.3876120640941449</v>
      </c>
      <c r="G207" s="1449">
        <f t="shared" ca="1" si="92"/>
        <v>4.3765545074091952</v>
      </c>
      <c r="H207" s="1090">
        <f t="shared" ca="1" si="93"/>
        <v>5.2499999999999998E-2</v>
      </c>
      <c r="I207" s="1090">
        <f t="shared" ca="1" si="95"/>
        <v>0.16949999999999998</v>
      </c>
      <c r="J207" s="1090"/>
      <c r="K207" s="1090"/>
      <c r="L207" s="1090"/>
      <c r="M207" s="1090"/>
      <c r="N207" s="1090"/>
      <c r="O207" s="1090"/>
      <c r="P207" s="1090"/>
      <c r="Q207" s="1090"/>
      <c r="R207" s="1090"/>
      <c r="S207" s="1090"/>
      <c r="T207" s="1090"/>
      <c r="U207" s="1090"/>
      <c r="V207" s="1090"/>
      <c r="W207" s="1090"/>
      <c r="X207" s="1090"/>
      <c r="Y207" s="1090"/>
      <c r="Z207" s="1090"/>
      <c r="AA207" s="1090"/>
      <c r="AB207" s="1090"/>
      <c r="AC207" s="1090"/>
      <c r="AD207" s="1090"/>
      <c r="AE207" s="1090"/>
      <c r="AF207" s="1090"/>
      <c r="AG207" s="1090"/>
      <c r="AH207" s="1090"/>
      <c r="AI207" s="1090"/>
      <c r="AJ207" s="1090"/>
    </row>
    <row r="208" spans="1:36" x14ac:dyDescent="0.25">
      <c r="A208" s="1090"/>
      <c r="B208" s="1095">
        <f t="shared" ca="1" si="94"/>
        <v>4.3876120640941449</v>
      </c>
      <c r="C208" s="1447">
        <f t="shared" ca="1" si="89"/>
        <v>4.4097271774640445</v>
      </c>
      <c r="D208" s="1090">
        <f t="shared" ca="1" si="88"/>
        <v>130</v>
      </c>
      <c r="E208" s="1450">
        <f t="shared" ca="1" si="90"/>
        <v>4.3876120640941449</v>
      </c>
      <c r="F208" s="1450">
        <f t="shared" ca="1" si="91"/>
        <v>4.4097271774640445</v>
      </c>
      <c r="G208" s="1449">
        <f t="shared" ca="1" si="92"/>
        <v>4.3986696207790947</v>
      </c>
      <c r="H208" s="1090">
        <f t="shared" ca="1" si="93"/>
        <v>6.5000000000000002E-2</v>
      </c>
      <c r="I208" s="1090">
        <f t="shared" ca="1" si="95"/>
        <v>0.23449999999999999</v>
      </c>
      <c r="J208" s="1090"/>
      <c r="K208" s="1090"/>
      <c r="L208" s="1090"/>
      <c r="M208" s="1090"/>
      <c r="N208" s="1090"/>
      <c r="O208" s="1090"/>
      <c r="P208" s="1090"/>
      <c r="Q208" s="1090"/>
      <c r="R208" s="1090"/>
      <c r="S208" s="1090"/>
      <c r="T208" s="1090"/>
      <c r="U208" s="1090"/>
      <c r="V208" s="1090"/>
      <c r="W208" s="1090"/>
      <c r="X208" s="1090"/>
      <c r="Y208" s="1090"/>
      <c r="Z208" s="1090"/>
      <c r="AA208" s="1090"/>
      <c r="AB208" s="1090"/>
      <c r="AC208" s="1090"/>
      <c r="AD208" s="1090"/>
      <c r="AE208" s="1090"/>
      <c r="AF208" s="1090"/>
      <c r="AG208" s="1090"/>
      <c r="AH208" s="1090"/>
      <c r="AI208" s="1090"/>
      <c r="AJ208" s="1090"/>
    </row>
    <row r="209" spans="1:36" x14ac:dyDescent="0.25">
      <c r="A209" s="1090"/>
      <c r="B209" s="1095">
        <f t="shared" ca="1" si="94"/>
        <v>4.4097271774640445</v>
      </c>
      <c r="C209" s="1447">
        <f t="shared" ca="1" si="89"/>
        <v>4.4318422908339441</v>
      </c>
      <c r="D209" s="1090">
        <f t="shared" ca="1" si="88"/>
        <v>115</v>
      </c>
      <c r="E209" s="1450">
        <f t="shared" ca="1" si="90"/>
        <v>4.4097271774640445</v>
      </c>
      <c r="F209" s="1450">
        <f t="shared" ca="1" si="91"/>
        <v>4.4318422908339441</v>
      </c>
      <c r="G209" s="1449">
        <f t="shared" ca="1" si="92"/>
        <v>4.4207847341489943</v>
      </c>
      <c r="H209" s="1090">
        <f t="shared" ca="1" si="93"/>
        <v>5.7500000000000002E-2</v>
      </c>
      <c r="I209" s="1090">
        <f t="shared" ca="1" si="95"/>
        <v>0.29199999999999998</v>
      </c>
      <c r="J209" s="1090"/>
      <c r="K209" s="1090"/>
      <c r="L209" s="1090"/>
      <c r="M209" s="1090"/>
      <c r="N209" s="1090"/>
      <c r="O209" s="1090"/>
      <c r="P209" s="1090"/>
      <c r="Q209" s="1090"/>
      <c r="R209" s="1090"/>
      <c r="S209" s="1090"/>
      <c r="T209" s="1090"/>
      <c r="U209" s="1090"/>
      <c r="V209" s="1090"/>
      <c r="W209" s="1090"/>
      <c r="X209" s="1090"/>
      <c r="Y209" s="1090"/>
      <c r="Z209" s="1090"/>
      <c r="AA209" s="1090"/>
      <c r="AB209" s="1090"/>
      <c r="AC209" s="1090"/>
      <c r="AD209" s="1090"/>
      <c r="AE209" s="1090"/>
      <c r="AF209" s="1090"/>
      <c r="AG209" s="1090"/>
      <c r="AH209" s="1090"/>
      <c r="AI209" s="1090"/>
      <c r="AJ209" s="1090"/>
    </row>
    <row r="210" spans="1:36" x14ac:dyDescent="0.25">
      <c r="A210" s="1090"/>
      <c r="B210" s="1095">
        <f t="shared" ca="1" si="94"/>
        <v>4.4318422908339441</v>
      </c>
      <c r="C210" s="1447">
        <f t="shared" ca="1" si="89"/>
        <v>4.4539574042038437</v>
      </c>
      <c r="D210" s="1090">
        <f t="shared" ca="1" si="88"/>
        <v>182</v>
      </c>
      <c r="E210" s="1450">
        <f t="shared" ca="1" si="90"/>
        <v>4.4318422908339441</v>
      </c>
      <c r="F210" s="1450">
        <f t="shared" ca="1" si="91"/>
        <v>4.4539574042038437</v>
      </c>
      <c r="G210" s="1449">
        <f t="shared" ca="1" si="92"/>
        <v>4.4428998475188939</v>
      </c>
      <c r="H210" s="1090">
        <f t="shared" ca="1" si="93"/>
        <v>9.0999999999999998E-2</v>
      </c>
      <c r="I210" s="1090">
        <f t="shared" ca="1" si="95"/>
        <v>0.38300000000000001</v>
      </c>
      <c r="J210" s="1090"/>
      <c r="K210" s="1090"/>
      <c r="L210" s="1090"/>
      <c r="M210" s="1090"/>
      <c r="N210" s="1090"/>
      <c r="O210" s="1090"/>
      <c r="P210" s="1090"/>
      <c r="Q210" s="1090"/>
      <c r="R210" s="1090"/>
      <c r="S210" s="1090"/>
      <c r="T210" s="1090"/>
      <c r="U210" s="1090"/>
      <c r="V210" s="1090"/>
      <c r="W210" s="1090"/>
      <c r="X210" s="1090"/>
      <c r="Y210" s="1090"/>
      <c r="Z210" s="1090"/>
      <c r="AA210" s="1090"/>
      <c r="AB210" s="1090"/>
      <c r="AC210" s="1090"/>
      <c r="AD210" s="1090"/>
      <c r="AE210" s="1090"/>
      <c r="AF210" s="1090"/>
      <c r="AG210" s="1090"/>
      <c r="AH210" s="1090"/>
      <c r="AI210" s="1090"/>
      <c r="AJ210" s="1090"/>
    </row>
    <row r="211" spans="1:36" x14ac:dyDescent="0.25">
      <c r="A211" s="1090"/>
      <c r="B211" s="1095">
        <f t="shared" ca="1" si="94"/>
        <v>4.4539574042038437</v>
      </c>
      <c r="C211" s="1447">
        <f t="shared" ca="1" si="89"/>
        <v>4.4760725175737432</v>
      </c>
      <c r="D211" s="1090">
        <f t="shared" ca="1" si="88"/>
        <v>180</v>
      </c>
      <c r="E211" s="1450">
        <f t="shared" ca="1" si="90"/>
        <v>4.4539574042038437</v>
      </c>
      <c r="F211" s="1450">
        <f t="shared" ca="1" si="91"/>
        <v>4.4760725175737432</v>
      </c>
      <c r="G211" s="1449">
        <f t="shared" ca="1" si="92"/>
        <v>4.4650149608887935</v>
      </c>
      <c r="H211" s="1090">
        <f t="shared" ca="1" si="93"/>
        <v>0.09</v>
      </c>
      <c r="I211" s="1090">
        <f t="shared" ca="1" si="95"/>
        <v>0.47299999999999998</v>
      </c>
      <c r="J211" s="1090"/>
      <c r="K211" s="1090"/>
      <c r="L211" s="1090"/>
      <c r="M211" s="1090"/>
      <c r="N211" s="1090"/>
      <c r="O211" s="1090"/>
      <c r="P211" s="1090"/>
      <c r="Q211" s="1090"/>
      <c r="R211" s="1090"/>
      <c r="S211" s="1090"/>
      <c r="T211" s="1090"/>
      <c r="U211" s="1090"/>
      <c r="V211" s="1090"/>
      <c r="W211" s="1090"/>
      <c r="X211" s="1090"/>
      <c r="Y211" s="1090"/>
      <c r="Z211" s="1090"/>
      <c r="AA211" s="1090"/>
      <c r="AB211" s="1090"/>
      <c r="AC211" s="1090"/>
      <c r="AD211" s="1090"/>
      <c r="AE211" s="1090"/>
      <c r="AF211" s="1090"/>
      <c r="AG211" s="1090"/>
      <c r="AH211" s="1090"/>
      <c r="AI211" s="1090"/>
      <c r="AJ211" s="1090"/>
    </row>
    <row r="212" spans="1:36" x14ac:dyDescent="0.25">
      <c r="A212" s="1090"/>
      <c r="B212" s="1095">
        <f t="shared" ca="1" si="94"/>
        <v>4.4760725175737432</v>
      </c>
      <c r="C212" s="1447">
        <f t="shared" ca="1" si="89"/>
        <v>4.4981876309436428</v>
      </c>
      <c r="D212" s="1090">
        <f t="shared" ca="1" si="88"/>
        <v>185</v>
      </c>
      <c r="E212" s="1450">
        <f t="shared" ca="1" si="90"/>
        <v>4.4760725175737432</v>
      </c>
      <c r="F212" s="1450">
        <f t="shared" ca="1" si="91"/>
        <v>4.4981876309436428</v>
      </c>
      <c r="G212" s="1449">
        <f t="shared" ca="1" si="92"/>
        <v>4.487130074258693</v>
      </c>
      <c r="H212" s="1090">
        <f t="shared" ca="1" si="93"/>
        <v>9.2499999999999999E-2</v>
      </c>
      <c r="I212" s="1090">
        <f t="shared" ca="1" si="95"/>
        <v>0.5655</v>
      </c>
      <c r="J212" s="1090"/>
      <c r="K212" s="1090"/>
      <c r="L212" s="1090"/>
      <c r="M212" s="1090"/>
      <c r="N212" s="1090"/>
      <c r="O212" s="1090"/>
      <c r="P212" s="1090"/>
      <c r="Q212" s="1090"/>
      <c r="R212" s="1090"/>
      <c r="S212" s="1090"/>
      <c r="T212" s="1090"/>
      <c r="U212" s="1090"/>
      <c r="V212" s="1090"/>
      <c r="W212" s="1090"/>
      <c r="X212" s="1090"/>
      <c r="Y212" s="1090"/>
      <c r="Z212" s="1090"/>
      <c r="AA212" s="1090"/>
      <c r="AB212" s="1090"/>
      <c r="AC212" s="1090"/>
      <c r="AD212" s="1090"/>
      <c r="AE212" s="1090"/>
      <c r="AF212" s="1090"/>
      <c r="AG212" s="1090"/>
      <c r="AH212" s="1090"/>
      <c r="AI212" s="1090"/>
      <c r="AJ212" s="1090"/>
    </row>
    <row r="213" spans="1:36" x14ac:dyDescent="0.25">
      <c r="A213" s="1090"/>
      <c r="B213" s="1095">
        <f t="shared" ca="1" si="94"/>
        <v>4.4981876309436428</v>
      </c>
      <c r="C213" s="1447">
        <f t="shared" ca="1" si="89"/>
        <v>4.5203027443135424</v>
      </c>
      <c r="D213" s="1090">
        <f t="shared" ca="1" si="88"/>
        <v>175</v>
      </c>
      <c r="E213" s="1450">
        <f t="shared" ca="1" si="90"/>
        <v>4.4981876309436428</v>
      </c>
      <c r="F213" s="1450">
        <f t="shared" ca="1" si="91"/>
        <v>4.5203027443135424</v>
      </c>
      <c r="G213" s="1449">
        <f t="shared" ca="1" si="92"/>
        <v>4.5092451876285926</v>
      </c>
      <c r="H213" s="1090">
        <f t="shared" ca="1" si="93"/>
        <v>8.7499999999999994E-2</v>
      </c>
      <c r="I213" s="1090">
        <f t="shared" ca="1" si="95"/>
        <v>0.65300000000000002</v>
      </c>
      <c r="J213" s="1090"/>
      <c r="K213" s="1090"/>
      <c r="L213" s="1090"/>
      <c r="M213" s="1090"/>
      <c r="N213" s="1090"/>
      <c r="O213" s="1090"/>
      <c r="P213" s="1090"/>
      <c r="Q213" s="1090"/>
      <c r="R213" s="1090"/>
      <c r="S213" s="1090"/>
      <c r="T213" s="1090"/>
      <c r="U213" s="1090"/>
      <c r="V213" s="1090"/>
      <c r="W213" s="1090"/>
      <c r="X213" s="1090"/>
      <c r="Y213" s="1090"/>
      <c r="Z213" s="1090"/>
      <c r="AA213" s="1090"/>
      <c r="AB213" s="1090"/>
      <c r="AC213" s="1090"/>
      <c r="AD213" s="1090"/>
      <c r="AE213" s="1090"/>
      <c r="AF213" s="1090"/>
      <c r="AG213" s="1090"/>
      <c r="AH213" s="1090"/>
      <c r="AI213" s="1090"/>
      <c r="AJ213" s="1090"/>
    </row>
    <row r="214" spans="1:36" x14ac:dyDescent="0.25">
      <c r="A214" s="1090"/>
      <c r="B214" s="1095">
        <f t="shared" ca="1" si="94"/>
        <v>4.5203027443135424</v>
      </c>
      <c r="C214" s="1447">
        <f t="shared" ca="1" si="89"/>
        <v>4.542417857683442</v>
      </c>
      <c r="D214" s="1090">
        <f t="shared" ca="1" si="88"/>
        <v>168</v>
      </c>
      <c r="E214" s="1450">
        <f t="shared" ca="1" si="90"/>
        <v>4.5203027443135424</v>
      </c>
      <c r="F214" s="1450">
        <f t="shared" ca="1" si="91"/>
        <v>4.542417857683442</v>
      </c>
      <c r="G214" s="1449">
        <f t="shared" ca="1" si="92"/>
        <v>4.5313603009984922</v>
      </c>
      <c r="H214" s="1090">
        <f t="shared" ca="1" si="93"/>
        <v>8.4000000000000005E-2</v>
      </c>
      <c r="I214" s="1090">
        <f t="shared" ca="1" si="95"/>
        <v>0.73699999999999999</v>
      </c>
      <c r="J214" s="1090"/>
      <c r="K214" s="1090"/>
      <c r="L214" s="1090"/>
      <c r="M214" s="1090"/>
      <c r="N214" s="1090"/>
      <c r="O214" s="1090"/>
      <c r="P214" s="1090"/>
      <c r="Q214" s="1090"/>
      <c r="R214" s="1090"/>
      <c r="S214" s="1090"/>
      <c r="T214" s="1090"/>
      <c r="U214" s="1090"/>
      <c r="V214" s="1090"/>
      <c r="W214" s="1090"/>
      <c r="X214" s="1090"/>
      <c r="Y214" s="1090"/>
      <c r="Z214" s="1090"/>
      <c r="AA214" s="1090"/>
      <c r="AB214" s="1090"/>
      <c r="AC214" s="1090"/>
      <c r="AD214" s="1090"/>
      <c r="AE214" s="1090"/>
      <c r="AF214" s="1090"/>
      <c r="AG214" s="1090"/>
      <c r="AH214" s="1090"/>
      <c r="AI214" s="1090"/>
      <c r="AJ214" s="1090"/>
    </row>
    <row r="215" spans="1:36" x14ac:dyDescent="0.25">
      <c r="A215" s="1090"/>
      <c r="B215" s="1095">
        <f t="shared" ca="1" si="94"/>
        <v>4.542417857683442</v>
      </c>
      <c r="C215" s="1447">
        <f t="shared" ca="1" si="89"/>
        <v>4.5645329710533415</v>
      </c>
      <c r="D215" s="1090">
        <f t="shared" ca="1" si="88"/>
        <v>122</v>
      </c>
      <c r="E215" s="1450">
        <f t="shared" ca="1" si="90"/>
        <v>4.542417857683442</v>
      </c>
      <c r="F215" s="1450">
        <f t="shared" ca="1" si="91"/>
        <v>4.5645329710533415</v>
      </c>
      <c r="G215" s="1449">
        <f t="shared" ca="1" si="92"/>
        <v>4.5534754143683918</v>
      </c>
      <c r="H215" s="1090">
        <f t="shared" ca="1" si="93"/>
        <v>6.0999999999999999E-2</v>
      </c>
      <c r="I215" s="1090">
        <f t="shared" ca="1" si="95"/>
        <v>0.79800000000000004</v>
      </c>
      <c r="J215" s="1090"/>
      <c r="K215" s="1090"/>
      <c r="L215" s="1090"/>
      <c r="M215" s="1090"/>
      <c r="N215" s="1090"/>
      <c r="O215" s="1090"/>
      <c r="P215" s="1090"/>
      <c r="Q215" s="1090"/>
      <c r="R215" s="1090"/>
      <c r="S215" s="1090"/>
      <c r="T215" s="1090"/>
      <c r="U215" s="1090"/>
      <c r="V215" s="1090"/>
      <c r="W215" s="1090"/>
      <c r="X215" s="1090"/>
      <c r="Y215" s="1090"/>
      <c r="Z215" s="1090"/>
      <c r="AA215" s="1090"/>
      <c r="AB215" s="1090"/>
      <c r="AC215" s="1090"/>
      <c r="AD215" s="1090"/>
      <c r="AE215" s="1090"/>
      <c r="AF215" s="1090"/>
      <c r="AG215" s="1090"/>
      <c r="AH215" s="1090"/>
      <c r="AI215" s="1090"/>
      <c r="AJ215" s="1090"/>
    </row>
    <row r="216" spans="1:36" x14ac:dyDescent="0.25">
      <c r="A216" s="1090"/>
      <c r="B216" s="1095">
        <f t="shared" ca="1" si="94"/>
        <v>4.5645329710533415</v>
      </c>
      <c r="C216" s="1447">
        <f t="shared" ca="1" si="89"/>
        <v>4.5866480844232411</v>
      </c>
      <c r="D216" s="1090">
        <f t="shared" ca="1" si="88"/>
        <v>123</v>
      </c>
      <c r="E216" s="1450">
        <f t="shared" ca="1" si="90"/>
        <v>4.5645329710533415</v>
      </c>
      <c r="F216" s="1450">
        <f t="shared" ca="1" si="91"/>
        <v>4.5866480844232411</v>
      </c>
      <c r="G216" s="1449">
        <f t="shared" ca="1" si="92"/>
        <v>4.5755905277382913</v>
      </c>
      <c r="H216" s="1090">
        <f t="shared" ca="1" si="93"/>
        <v>6.1499999999999999E-2</v>
      </c>
      <c r="I216" s="1090">
        <f t="shared" ca="1" si="95"/>
        <v>0.85950000000000004</v>
      </c>
      <c r="J216" s="1090"/>
      <c r="K216" s="1090"/>
      <c r="L216" s="1090"/>
      <c r="M216" s="1090"/>
      <c r="N216" s="1090"/>
      <c r="O216" s="1090"/>
      <c r="P216" s="1090"/>
      <c r="Q216" s="1090"/>
      <c r="R216" s="1090"/>
      <c r="S216" s="1090"/>
      <c r="T216" s="1090"/>
      <c r="U216" s="1090"/>
      <c r="V216" s="1090"/>
      <c r="W216" s="1090"/>
      <c r="X216" s="1090"/>
      <c r="Y216" s="1090"/>
      <c r="Z216" s="1090"/>
      <c r="AA216" s="1090"/>
      <c r="AB216" s="1090"/>
      <c r="AC216" s="1090"/>
      <c r="AD216" s="1090"/>
      <c r="AE216" s="1090"/>
      <c r="AF216" s="1090"/>
      <c r="AG216" s="1090"/>
      <c r="AH216" s="1090"/>
      <c r="AI216" s="1090"/>
      <c r="AJ216" s="1090"/>
    </row>
    <row r="217" spans="1:36" x14ac:dyDescent="0.25">
      <c r="A217" s="1090"/>
      <c r="B217" s="1095">
        <f t="shared" ca="1" si="94"/>
        <v>4.5866480844232411</v>
      </c>
      <c r="C217" s="1447">
        <f t="shared" ca="1" si="89"/>
        <v>4.6087631977931407</v>
      </c>
      <c r="D217" s="1090">
        <f t="shared" ca="1" si="88"/>
        <v>94</v>
      </c>
      <c r="E217" s="1450">
        <f t="shared" ca="1" si="90"/>
        <v>4.5866480844232411</v>
      </c>
      <c r="F217" s="1450">
        <f t="shared" ca="1" si="91"/>
        <v>4.6087631977931407</v>
      </c>
      <c r="G217" s="1449">
        <f t="shared" ca="1" si="92"/>
        <v>4.5977056411081909</v>
      </c>
      <c r="H217" s="1090">
        <f t="shared" ca="1" si="93"/>
        <v>4.7E-2</v>
      </c>
      <c r="I217" s="1090">
        <f t="shared" ca="1" si="95"/>
        <v>0.90650000000000008</v>
      </c>
      <c r="J217" s="1090"/>
      <c r="K217" s="1090"/>
      <c r="L217" s="1090"/>
      <c r="M217" s="1090"/>
      <c r="N217" s="1090"/>
      <c r="O217" s="1090"/>
      <c r="P217" s="1090"/>
      <c r="Q217" s="1090"/>
      <c r="R217" s="1090"/>
      <c r="S217" s="1090"/>
      <c r="T217" s="1090"/>
      <c r="U217" s="1090"/>
      <c r="V217" s="1090"/>
      <c r="W217" s="1090"/>
      <c r="X217" s="1090"/>
      <c r="Y217" s="1090"/>
      <c r="Z217" s="1090"/>
      <c r="AA217" s="1090"/>
      <c r="AB217" s="1090"/>
      <c r="AC217" s="1090"/>
      <c r="AD217" s="1090"/>
      <c r="AE217" s="1090"/>
      <c r="AF217" s="1090"/>
      <c r="AG217" s="1090"/>
      <c r="AH217" s="1090"/>
      <c r="AI217" s="1090"/>
      <c r="AJ217" s="1090"/>
    </row>
    <row r="218" spans="1:36" x14ac:dyDescent="0.25">
      <c r="A218" s="1090"/>
      <c r="B218" s="1095">
        <f t="shared" ca="1" si="94"/>
        <v>4.6087631977931407</v>
      </c>
      <c r="C218" s="1447">
        <f t="shared" ca="1" si="89"/>
        <v>4.6308783111630403</v>
      </c>
      <c r="D218" s="1090">
        <f t="shared" ca="1" si="88"/>
        <v>70</v>
      </c>
      <c r="E218" s="1450">
        <f t="shared" ca="1" si="90"/>
        <v>4.6087631977931407</v>
      </c>
      <c r="F218" s="1450">
        <f t="shared" ca="1" si="91"/>
        <v>4.6308783111630403</v>
      </c>
      <c r="G218" s="1449">
        <f t="shared" ca="1" si="92"/>
        <v>4.6198207544780905</v>
      </c>
      <c r="H218" s="1090">
        <f t="shared" ca="1" si="93"/>
        <v>3.5000000000000003E-2</v>
      </c>
      <c r="I218" s="1090">
        <f t="shared" ca="1" si="95"/>
        <v>0.94150000000000011</v>
      </c>
      <c r="J218" s="1090"/>
      <c r="K218" s="1090"/>
      <c r="L218" s="1090"/>
      <c r="M218" s="1090"/>
      <c r="N218" s="1090"/>
      <c r="O218" s="1090"/>
      <c r="P218" s="1090"/>
      <c r="Q218" s="1090"/>
      <c r="R218" s="1090"/>
      <c r="S218" s="1090"/>
      <c r="T218" s="1090"/>
      <c r="U218" s="1090"/>
      <c r="V218" s="1090"/>
      <c r="W218" s="1090"/>
      <c r="X218" s="1090"/>
      <c r="Y218" s="1090"/>
      <c r="Z218" s="1090"/>
      <c r="AA218" s="1090"/>
      <c r="AB218" s="1090"/>
      <c r="AC218" s="1090"/>
      <c r="AD218" s="1090"/>
      <c r="AE218" s="1090"/>
      <c r="AF218" s="1090"/>
      <c r="AG218" s="1090"/>
      <c r="AH218" s="1090"/>
      <c r="AI218" s="1090"/>
      <c r="AJ218" s="1090"/>
    </row>
    <row r="219" spans="1:36" x14ac:dyDescent="0.25">
      <c r="A219" s="1090"/>
      <c r="B219" s="1095">
        <f t="shared" ca="1" si="94"/>
        <v>4.6308783111630403</v>
      </c>
      <c r="C219" s="1447">
        <f t="shared" ca="1" si="89"/>
        <v>4.6529934245329398</v>
      </c>
      <c r="D219" s="1090">
        <f t="shared" ca="1" si="88"/>
        <v>57</v>
      </c>
      <c r="E219" s="1450">
        <f t="shared" ca="1" si="90"/>
        <v>4.6308783111630403</v>
      </c>
      <c r="F219" s="1450">
        <f t="shared" ca="1" si="91"/>
        <v>4.6529934245329398</v>
      </c>
      <c r="G219" s="1449">
        <f t="shared" ca="1" si="92"/>
        <v>4.6419358678479901</v>
      </c>
      <c r="H219" s="1090">
        <f t="shared" ca="1" si="93"/>
        <v>2.8500000000000001E-2</v>
      </c>
      <c r="I219" s="1090">
        <f t="shared" ca="1" si="95"/>
        <v>0.97000000000000008</v>
      </c>
      <c r="J219" s="1090"/>
      <c r="K219" s="1090"/>
      <c r="L219" s="1090"/>
      <c r="M219" s="1090"/>
      <c r="N219" s="1090"/>
      <c r="O219" s="1090"/>
      <c r="P219" s="1090"/>
      <c r="Q219" s="1090"/>
      <c r="R219" s="1090"/>
      <c r="S219" s="1090"/>
      <c r="T219" s="1090"/>
      <c r="U219" s="1090"/>
      <c r="V219" s="1090"/>
      <c r="W219" s="1090"/>
      <c r="X219" s="1090"/>
      <c r="Y219" s="1090"/>
      <c r="Z219" s="1090"/>
      <c r="AA219" s="1090"/>
      <c r="AB219" s="1090"/>
      <c r="AC219" s="1090"/>
      <c r="AD219" s="1090"/>
      <c r="AE219" s="1090"/>
      <c r="AF219" s="1090"/>
      <c r="AG219" s="1090"/>
      <c r="AH219" s="1090"/>
      <c r="AI219" s="1090"/>
      <c r="AJ219" s="1090"/>
    </row>
    <row r="220" spans="1:36" x14ac:dyDescent="0.25">
      <c r="A220" s="1090"/>
      <c r="B220" s="1095">
        <f t="shared" ca="1" si="94"/>
        <v>4.6529934245329398</v>
      </c>
      <c r="C220" s="1447">
        <f t="shared" ca="1" si="89"/>
        <v>4.6751085379028394</v>
      </c>
      <c r="D220" s="1090">
        <f t="shared" ca="1" si="88"/>
        <v>48</v>
      </c>
      <c r="E220" s="1450">
        <f t="shared" ca="1" si="90"/>
        <v>4.6529934245329398</v>
      </c>
      <c r="F220" s="1450">
        <f t="shared" ca="1" si="91"/>
        <v>4.6751085379028394</v>
      </c>
      <c r="G220" s="1449">
        <f t="shared" ca="1" si="92"/>
        <v>4.6640509812178896</v>
      </c>
      <c r="H220" s="1090">
        <f t="shared" ca="1" si="93"/>
        <v>2.4E-2</v>
      </c>
      <c r="I220" s="1090">
        <f t="shared" ca="1" si="95"/>
        <v>0.99400000000000011</v>
      </c>
      <c r="J220" s="1090"/>
      <c r="K220" s="1090"/>
      <c r="L220" s="1090"/>
      <c r="M220" s="1090"/>
      <c r="N220" s="1090"/>
      <c r="O220" s="1090"/>
      <c r="P220" s="1090"/>
      <c r="Q220" s="1090"/>
      <c r="R220" s="1090"/>
      <c r="S220" s="1090"/>
      <c r="T220" s="1090"/>
      <c r="U220" s="1090"/>
      <c r="V220" s="1090"/>
      <c r="W220" s="1090"/>
      <c r="X220" s="1090"/>
      <c r="Y220" s="1090"/>
      <c r="Z220" s="1090"/>
      <c r="AA220" s="1090"/>
      <c r="AB220" s="1090"/>
      <c r="AC220" s="1090"/>
      <c r="AD220" s="1090"/>
      <c r="AE220" s="1090"/>
      <c r="AF220" s="1090"/>
      <c r="AG220" s="1090"/>
      <c r="AH220" s="1090"/>
      <c r="AI220" s="1090"/>
      <c r="AJ220" s="1090"/>
    </row>
    <row r="221" spans="1:36" x14ac:dyDescent="0.25">
      <c r="A221" s="1090"/>
      <c r="B221" s="1095">
        <f t="shared" ca="1" si="94"/>
        <v>4.6751085379028394</v>
      </c>
      <c r="C221" s="1447">
        <f ca="1">+B221+($C$197/20)+0.000001</f>
        <v>4.6972246512727391</v>
      </c>
      <c r="D221" s="1090">
        <f t="shared" ca="1" si="88"/>
        <v>12</v>
      </c>
      <c r="E221" s="1450">
        <f t="shared" ca="1" si="90"/>
        <v>4.6751085379028394</v>
      </c>
      <c r="F221" s="1450">
        <f t="shared" ca="1" si="91"/>
        <v>4.6972246512727391</v>
      </c>
      <c r="G221" s="1449">
        <f t="shared" ca="1" si="92"/>
        <v>4.6861665945877888</v>
      </c>
      <c r="H221" s="1090">
        <f t="shared" ca="1" si="93"/>
        <v>6.0000000000000001E-3</v>
      </c>
      <c r="I221" s="1090">
        <f t="shared" ca="1" si="95"/>
        <v>1</v>
      </c>
      <c r="J221" s="1090"/>
      <c r="K221" s="1090"/>
      <c r="L221" s="1090"/>
      <c r="M221" s="1090"/>
      <c r="N221" s="1090"/>
      <c r="O221" s="1090"/>
      <c r="P221" s="1090"/>
      <c r="Q221" s="1090"/>
      <c r="R221" s="1090"/>
      <c r="S221" s="1090"/>
      <c r="T221" s="1090"/>
      <c r="U221" s="1090"/>
      <c r="V221" s="1090"/>
      <c r="W221" s="1090"/>
      <c r="X221" s="1090"/>
      <c r="Y221" s="1090"/>
      <c r="Z221" s="1090"/>
      <c r="AA221" s="1090"/>
      <c r="AB221" s="1090"/>
      <c r="AC221" s="1090"/>
      <c r="AD221" s="1090"/>
      <c r="AE221" s="1090"/>
      <c r="AF221" s="1090"/>
      <c r="AG221" s="1090"/>
      <c r="AH221" s="1090"/>
      <c r="AI221" s="1090"/>
      <c r="AJ221" s="1090"/>
    </row>
    <row r="222" spans="1:36" x14ac:dyDescent="0.25">
      <c r="A222" s="1090"/>
      <c r="B222" s="1091"/>
      <c r="C222" s="1451"/>
      <c r="D222" s="1090"/>
      <c r="E222" s="1090"/>
      <c r="F222" s="1090">
        <f t="shared" ca="1" si="91"/>
        <v>0</v>
      </c>
      <c r="G222" s="1449">
        <f t="shared" ca="1" si="92"/>
        <v>0</v>
      </c>
      <c r="H222" s="1090"/>
      <c r="I222" s="1090"/>
      <c r="J222" s="1090"/>
      <c r="K222" s="1090"/>
      <c r="L222" s="1090"/>
      <c r="M222" s="1090"/>
      <c r="N222" s="1090"/>
      <c r="O222" s="1090"/>
      <c r="P222" s="1090"/>
      <c r="Q222" s="1090"/>
      <c r="R222" s="1090"/>
      <c r="S222" s="1090"/>
      <c r="T222" s="1090"/>
      <c r="U222" s="1090"/>
      <c r="V222" s="1090"/>
      <c r="W222" s="1090"/>
      <c r="X222" s="1090"/>
      <c r="Y222" s="1090"/>
      <c r="Z222" s="1090"/>
      <c r="AA222" s="1090"/>
      <c r="AB222" s="1090"/>
      <c r="AC222" s="1090"/>
      <c r="AD222" s="1090"/>
      <c r="AE222" s="1090"/>
      <c r="AF222" s="1090"/>
      <c r="AG222" s="1090"/>
      <c r="AH222" s="1090"/>
      <c r="AI222" s="1090"/>
      <c r="AJ222" s="1090"/>
    </row>
    <row r="223" spans="1:36" x14ac:dyDescent="0.25">
      <c r="A223" s="1090"/>
      <c r="B223" s="1091" t="s">
        <v>1308</v>
      </c>
      <c r="C223" s="1090"/>
      <c r="D223" s="1090">
        <f ca="1">+SUM(D202:D221)</f>
        <v>2000</v>
      </c>
      <c r="E223" s="1090"/>
      <c r="F223" s="1090"/>
      <c r="G223" s="1090"/>
      <c r="H223" s="1090"/>
      <c r="I223" s="1090"/>
      <c r="J223" s="1090"/>
      <c r="K223" s="1090"/>
      <c r="L223" s="1090"/>
      <c r="M223" s="1090"/>
      <c r="N223" s="1090"/>
      <c r="O223" s="1090"/>
      <c r="P223" s="1090"/>
      <c r="Q223" s="1090"/>
      <c r="R223" s="1090"/>
      <c r="S223" s="1090"/>
      <c r="T223" s="1090"/>
      <c r="U223" s="1090"/>
      <c r="V223" s="1090"/>
      <c r="W223" s="1090"/>
      <c r="X223" s="1090"/>
      <c r="Y223" s="1090"/>
      <c r="Z223" s="1090"/>
      <c r="AA223" s="1090"/>
      <c r="AB223" s="1090"/>
      <c r="AC223" s="1090"/>
      <c r="AD223" s="1090"/>
      <c r="AE223" s="1090"/>
      <c r="AF223" s="1090"/>
      <c r="AG223" s="1090"/>
      <c r="AH223" s="1090"/>
      <c r="AI223" s="1090"/>
      <c r="AJ223" s="1090"/>
    </row>
    <row r="224" spans="1:36" x14ac:dyDescent="0.25">
      <c r="A224" s="1090"/>
      <c r="B224" s="1090" t="str">
        <f t="array" ref="B224:B238">+TRANSPOSE(Sensitivity_output)</f>
        <v>Cost of hydrogen ($/kg)</v>
      </c>
      <c r="C224" s="1090"/>
      <c r="D224" s="1090"/>
      <c r="E224" s="1090"/>
      <c r="F224" s="1090"/>
      <c r="G224" s="1090"/>
      <c r="H224" s="1090"/>
      <c r="I224" s="1090"/>
      <c r="J224" s="1090"/>
      <c r="K224" s="1090"/>
      <c r="L224" s="1090"/>
      <c r="M224" s="1090"/>
      <c r="N224" s="1090"/>
      <c r="O224" s="1090"/>
      <c r="P224" s="1090"/>
      <c r="Q224" s="1090"/>
      <c r="R224" s="1090"/>
      <c r="S224" s="1090"/>
      <c r="T224" s="1090"/>
      <c r="U224" s="1090"/>
      <c r="V224" s="1090"/>
      <c r="W224" s="1090"/>
      <c r="X224" s="1090"/>
      <c r="Y224" s="1090"/>
      <c r="Z224" s="1090"/>
      <c r="AA224" s="1090"/>
      <c r="AB224" s="1090"/>
      <c r="AC224" s="1090"/>
      <c r="AD224" s="1090"/>
      <c r="AE224" s="1090"/>
      <c r="AF224" s="1090"/>
      <c r="AG224" s="1090"/>
      <c r="AH224" s="1090"/>
      <c r="AI224" s="1090"/>
      <c r="AJ224" s="1090"/>
    </row>
    <row r="225" spans="1:36" x14ac:dyDescent="0.25">
      <c r="A225" s="1090"/>
      <c r="B225" s="1090" t="str">
        <v>Revenue from byproduct sales ($/kg)</v>
      </c>
      <c r="C225" s="1090"/>
      <c r="D225" s="1090"/>
      <c r="E225" s="1090"/>
      <c r="F225" s="1090"/>
      <c r="G225" s="1090"/>
      <c r="H225" s="1090"/>
      <c r="I225" s="1090"/>
      <c r="J225" s="1090"/>
      <c r="K225" s="1090"/>
      <c r="L225" s="1090"/>
      <c r="M225" s="1090"/>
      <c r="N225" s="1090"/>
      <c r="O225" s="1090"/>
      <c r="P225" s="1090"/>
      <c r="Q225" s="1090"/>
      <c r="R225" s="1090"/>
      <c r="S225" s="1090"/>
      <c r="T225" s="1090"/>
      <c r="U225" s="1090"/>
      <c r="V225" s="1090"/>
      <c r="W225" s="1090"/>
      <c r="X225" s="1090"/>
      <c r="Y225" s="1090"/>
      <c r="Z225" s="1090"/>
      <c r="AA225" s="1090"/>
      <c r="AB225" s="1090"/>
      <c r="AC225" s="1090"/>
      <c r="AD225" s="1090"/>
      <c r="AE225" s="1090"/>
      <c r="AF225" s="1090"/>
      <c r="AG225" s="1090"/>
      <c r="AH225" s="1090"/>
      <c r="AI225" s="1090"/>
      <c r="AJ225" s="1090"/>
    </row>
    <row r="226" spans="1:36" x14ac:dyDescent="0.25">
      <c r="A226" s="1090"/>
      <c r="B226" s="1090" t="str">
        <v>Salvage value ($/kg)</v>
      </c>
      <c r="C226" s="1090"/>
      <c r="D226" s="1090"/>
      <c r="E226" s="1090"/>
      <c r="F226" s="1090"/>
      <c r="G226" s="1090"/>
      <c r="H226" s="1090"/>
      <c r="I226" s="1090"/>
      <c r="J226" s="1090"/>
      <c r="K226" s="1090"/>
      <c r="L226" s="1090"/>
      <c r="M226" s="1090"/>
      <c r="N226" s="1090"/>
      <c r="O226" s="1090"/>
      <c r="P226" s="1090"/>
      <c r="Q226" s="1090"/>
      <c r="R226" s="1090"/>
      <c r="S226" s="1090"/>
      <c r="T226" s="1090"/>
      <c r="U226" s="1090"/>
      <c r="V226" s="1090"/>
      <c r="W226" s="1090"/>
      <c r="X226" s="1090"/>
      <c r="Y226" s="1090"/>
      <c r="Z226" s="1090"/>
      <c r="AA226" s="1090"/>
      <c r="AB226" s="1090"/>
      <c r="AC226" s="1090"/>
      <c r="AD226" s="1090"/>
      <c r="AE226" s="1090"/>
      <c r="AF226" s="1090"/>
      <c r="AG226" s="1090"/>
      <c r="AH226" s="1090"/>
      <c r="AI226" s="1090"/>
      <c r="AJ226" s="1090"/>
    </row>
    <row r="227" spans="1:36" x14ac:dyDescent="0.25">
      <c r="A227" s="1090"/>
      <c r="B227" s="1090" t="str">
        <v>Initial equity depreciable capital ($/kg)</v>
      </c>
      <c r="C227" s="1090"/>
      <c r="D227" s="1090"/>
      <c r="E227" s="1090"/>
      <c r="F227" s="1090"/>
      <c r="G227" s="1090"/>
      <c r="H227" s="1090"/>
      <c r="I227" s="1090"/>
      <c r="J227" s="1090"/>
      <c r="K227" s="1090"/>
      <c r="L227" s="1090"/>
      <c r="M227" s="1090"/>
      <c r="N227" s="1090"/>
      <c r="O227" s="1090"/>
      <c r="P227" s="1090"/>
      <c r="Q227" s="1090"/>
      <c r="R227" s="1090"/>
      <c r="S227" s="1090"/>
      <c r="T227" s="1090"/>
      <c r="U227" s="1090"/>
      <c r="V227" s="1090"/>
      <c r="W227" s="1090"/>
      <c r="X227" s="1090"/>
      <c r="Y227" s="1090"/>
      <c r="Z227" s="1090"/>
      <c r="AA227" s="1090"/>
      <c r="AB227" s="1090"/>
      <c r="AC227" s="1090"/>
      <c r="AD227" s="1090"/>
      <c r="AE227" s="1090"/>
      <c r="AF227" s="1090"/>
      <c r="AG227" s="1090"/>
      <c r="AH227" s="1090"/>
      <c r="AI227" s="1090"/>
      <c r="AJ227" s="1090"/>
    </row>
    <row r="228" spans="1:36" x14ac:dyDescent="0.25">
      <c r="A228" s="1090"/>
      <c r="B228" s="1090" t="str">
        <v>Yearly replacement costs ($/kg)</v>
      </c>
      <c r="C228" s="1090"/>
      <c r="D228" s="1090"/>
      <c r="E228" s="1090"/>
      <c r="F228" s="1090"/>
      <c r="G228" s="1090"/>
      <c r="H228" s="1090"/>
      <c r="I228" s="1090"/>
      <c r="J228" s="1090"/>
      <c r="K228" s="1090"/>
      <c r="L228" s="1090"/>
      <c r="M228" s="1090"/>
      <c r="N228" s="1090"/>
      <c r="O228" s="1090"/>
      <c r="P228" s="1090"/>
      <c r="Q228" s="1090"/>
      <c r="R228" s="1090"/>
      <c r="S228" s="1090"/>
      <c r="T228" s="1090"/>
      <c r="U228" s="1090"/>
      <c r="V228" s="1090"/>
      <c r="W228" s="1090"/>
      <c r="X228" s="1090"/>
      <c r="Y228" s="1090"/>
      <c r="Z228" s="1090"/>
      <c r="AA228" s="1090"/>
      <c r="AB228" s="1090"/>
      <c r="AC228" s="1090"/>
      <c r="AD228" s="1090"/>
      <c r="AE228" s="1090"/>
      <c r="AF228" s="1090"/>
      <c r="AG228" s="1090"/>
      <c r="AH228" s="1090"/>
      <c r="AI228" s="1090"/>
      <c r="AJ228" s="1090"/>
    </row>
    <row r="229" spans="1:36" x14ac:dyDescent="0.25">
      <c r="A229" s="1090"/>
      <c r="B229" s="1090" t="str">
        <v>Cash from working capital reserve ($/kg)</v>
      </c>
      <c r="C229" s="1090"/>
      <c r="D229" s="1090"/>
      <c r="E229" s="1090"/>
      <c r="F229" s="1090"/>
      <c r="G229" s="1090"/>
      <c r="H229" s="1090"/>
      <c r="I229" s="1090"/>
      <c r="J229" s="1090"/>
      <c r="K229" s="1090"/>
      <c r="L229" s="1090"/>
      <c r="M229" s="1090"/>
      <c r="N229" s="1090"/>
      <c r="O229" s="1090"/>
      <c r="P229" s="1090"/>
      <c r="Q229" s="1090"/>
      <c r="R229" s="1090"/>
      <c r="S229" s="1090"/>
      <c r="T229" s="1090"/>
      <c r="U229" s="1090"/>
      <c r="V229" s="1090"/>
      <c r="W229" s="1090"/>
      <c r="X229" s="1090"/>
      <c r="Y229" s="1090"/>
      <c r="Z229" s="1090"/>
      <c r="AA229" s="1090"/>
      <c r="AB229" s="1090"/>
      <c r="AC229" s="1090"/>
      <c r="AD229" s="1090"/>
      <c r="AE229" s="1090"/>
      <c r="AF229" s="1090"/>
      <c r="AG229" s="1090"/>
      <c r="AH229" s="1090"/>
      <c r="AI229" s="1090"/>
      <c r="AJ229" s="1090"/>
    </row>
    <row r="230" spans="1:36" x14ac:dyDescent="0.25">
      <c r="A230" s="1090"/>
      <c r="B230" s="1090" t="str">
        <v>Other non-depreciable capital costs ($/kg)</v>
      </c>
      <c r="C230" s="1090"/>
      <c r="D230" s="1090"/>
      <c r="E230" s="1090"/>
      <c r="F230" s="1090"/>
      <c r="G230" s="1090"/>
      <c r="H230" s="1090"/>
      <c r="I230" s="1090"/>
      <c r="J230" s="1090"/>
      <c r="K230" s="1090"/>
      <c r="L230" s="1090"/>
      <c r="M230" s="1090"/>
      <c r="N230" s="1090"/>
      <c r="O230" s="1090"/>
      <c r="P230" s="1090"/>
      <c r="Q230" s="1090"/>
      <c r="R230" s="1090"/>
      <c r="S230" s="1090"/>
      <c r="T230" s="1090"/>
      <c r="U230" s="1090"/>
      <c r="V230" s="1090"/>
      <c r="W230" s="1090"/>
      <c r="X230" s="1090"/>
      <c r="Y230" s="1090"/>
      <c r="Z230" s="1090"/>
      <c r="AA230" s="1090"/>
      <c r="AB230" s="1090"/>
      <c r="AC230" s="1090"/>
      <c r="AD230" s="1090"/>
      <c r="AE230" s="1090"/>
      <c r="AF230" s="1090"/>
      <c r="AG230" s="1090"/>
      <c r="AH230" s="1090"/>
      <c r="AI230" s="1090"/>
      <c r="AJ230" s="1090"/>
    </row>
    <row r="231" spans="1:36" x14ac:dyDescent="0.25">
      <c r="A231" s="1090"/>
      <c r="B231" s="1090" t="str">
        <v>Decommissioning costs ($/kg)</v>
      </c>
      <c r="C231" s="1090"/>
      <c r="D231" s="1090"/>
      <c r="E231" s="1090"/>
      <c r="F231" s="1090"/>
      <c r="G231" s="1090"/>
      <c r="H231" s="1090"/>
      <c r="I231" s="1090"/>
      <c r="J231" s="1090"/>
      <c r="K231" s="1090"/>
      <c r="L231" s="1090"/>
      <c r="M231" s="1090"/>
      <c r="N231" s="1090"/>
      <c r="O231" s="1090"/>
      <c r="P231" s="1090"/>
      <c r="Q231" s="1090"/>
      <c r="R231" s="1090"/>
      <c r="S231" s="1090"/>
      <c r="T231" s="1090"/>
      <c r="U231" s="1090"/>
      <c r="V231" s="1090"/>
      <c r="W231" s="1090"/>
      <c r="X231" s="1090"/>
      <c r="Y231" s="1090"/>
      <c r="Z231" s="1090"/>
      <c r="AA231" s="1090"/>
      <c r="AB231" s="1090"/>
      <c r="AC231" s="1090"/>
      <c r="AD231" s="1090"/>
      <c r="AE231" s="1090"/>
      <c r="AF231" s="1090"/>
      <c r="AG231" s="1090"/>
      <c r="AH231" s="1090"/>
      <c r="AI231" s="1090"/>
      <c r="AJ231" s="1090"/>
    </row>
    <row r="232" spans="1:36" x14ac:dyDescent="0.25">
      <c r="A232" s="1090"/>
      <c r="B232" s="1090" t="str">
        <v>Fixed operating cost ($/kg)</v>
      </c>
      <c r="C232" s="1090"/>
      <c r="D232" s="1090"/>
      <c r="E232" s="1090"/>
      <c r="F232" s="1090"/>
      <c r="G232" s="1090"/>
      <c r="H232" s="1090"/>
      <c r="I232" s="1090"/>
      <c r="J232" s="1090"/>
      <c r="K232" s="1090"/>
      <c r="L232" s="1090"/>
      <c r="M232" s="1090"/>
      <c r="N232" s="1090"/>
      <c r="O232" s="1090"/>
      <c r="P232" s="1090"/>
      <c r="Q232" s="1090"/>
      <c r="R232" s="1090"/>
      <c r="S232" s="1090"/>
      <c r="T232" s="1090"/>
      <c r="U232" s="1090"/>
      <c r="V232" s="1090"/>
      <c r="W232" s="1090"/>
      <c r="X232" s="1090"/>
      <c r="Y232" s="1090"/>
      <c r="Z232" s="1090"/>
      <c r="AA232" s="1090"/>
      <c r="AB232" s="1090"/>
      <c r="AC232" s="1090"/>
      <c r="AD232" s="1090"/>
      <c r="AE232" s="1090"/>
      <c r="AF232" s="1090"/>
      <c r="AG232" s="1090"/>
      <c r="AH232" s="1090"/>
      <c r="AI232" s="1090"/>
      <c r="AJ232" s="1090"/>
    </row>
    <row r="233" spans="1:36" x14ac:dyDescent="0.25">
      <c r="A233" s="1090"/>
      <c r="B233" s="1090" t="str">
        <v>Feedstock cost ($/kg)</v>
      </c>
      <c r="C233" s="1090"/>
      <c r="D233" s="1090"/>
      <c r="E233" s="1090"/>
      <c r="F233" s="1090"/>
      <c r="G233" s="1090"/>
      <c r="H233" s="1090"/>
      <c r="I233" s="1090"/>
      <c r="J233" s="1090"/>
      <c r="K233" s="1090"/>
      <c r="L233" s="1090"/>
      <c r="M233" s="1090"/>
      <c r="N233" s="1090"/>
      <c r="O233" s="1090"/>
      <c r="P233" s="1090"/>
      <c r="Q233" s="1090"/>
      <c r="R233" s="1090"/>
      <c r="S233" s="1090"/>
      <c r="T233" s="1090"/>
      <c r="U233" s="1090"/>
      <c r="V233" s="1090"/>
      <c r="W233" s="1090"/>
      <c r="X233" s="1090"/>
      <c r="Y233" s="1090"/>
      <c r="Z233" s="1090"/>
      <c r="AA233" s="1090"/>
      <c r="AB233" s="1090"/>
      <c r="AC233" s="1090"/>
      <c r="AD233" s="1090"/>
      <c r="AE233" s="1090"/>
      <c r="AF233" s="1090"/>
      <c r="AG233" s="1090"/>
      <c r="AH233" s="1090"/>
      <c r="AI233" s="1090"/>
      <c r="AJ233" s="1090"/>
    </row>
    <row r="234" spans="1:36" x14ac:dyDescent="0.25">
      <c r="A234" s="1090"/>
      <c r="B234" s="1090" t="str">
        <v>Other raw material cost ($/kg)</v>
      </c>
      <c r="C234" s="1090"/>
      <c r="D234" s="1090"/>
      <c r="E234" s="1090"/>
      <c r="F234" s="1090"/>
      <c r="G234" s="1090"/>
      <c r="H234" s="1090"/>
      <c r="I234" s="1090"/>
      <c r="J234" s="1090"/>
      <c r="K234" s="1090"/>
      <c r="L234" s="1090"/>
      <c r="M234" s="1090"/>
      <c r="N234" s="1090"/>
      <c r="O234" s="1090"/>
      <c r="P234" s="1090"/>
      <c r="Q234" s="1090"/>
      <c r="R234" s="1090"/>
      <c r="S234" s="1090"/>
      <c r="T234" s="1090"/>
      <c r="U234" s="1090"/>
      <c r="V234" s="1090"/>
      <c r="W234" s="1090"/>
      <c r="X234" s="1090"/>
      <c r="Y234" s="1090"/>
      <c r="Z234" s="1090"/>
      <c r="AA234" s="1090"/>
      <c r="AB234" s="1090"/>
      <c r="AC234" s="1090"/>
      <c r="AD234" s="1090"/>
      <c r="AE234" s="1090"/>
      <c r="AF234" s="1090"/>
      <c r="AG234" s="1090"/>
      <c r="AH234" s="1090"/>
      <c r="AI234" s="1090"/>
      <c r="AJ234" s="1090"/>
    </row>
    <row r="235" spans="1:36" x14ac:dyDescent="0.25">
      <c r="A235" s="1090"/>
      <c r="B235" s="1090" t="str">
        <v>Other variable operating costs ($/kg)</v>
      </c>
      <c r="C235" s="1090"/>
      <c r="D235" s="1090"/>
      <c r="E235" s="1090"/>
      <c r="F235" s="1090"/>
      <c r="G235" s="1090"/>
      <c r="H235" s="1090"/>
      <c r="I235" s="1090"/>
      <c r="J235" s="1090"/>
      <c r="K235" s="1090"/>
      <c r="L235" s="1090"/>
      <c r="M235" s="1090"/>
      <c r="N235" s="1090"/>
      <c r="O235" s="1090"/>
      <c r="P235" s="1090"/>
      <c r="Q235" s="1090"/>
      <c r="R235" s="1090"/>
      <c r="S235" s="1090"/>
      <c r="T235" s="1090"/>
      <c r="U235" s="1090"/>
      <c r="V235" s="1090"/>
      <c r="W235" s="1090"/>
      <c r="X235" s="1090"/>
      <c r="Y235" s="1090"/>
      <c r="Z235" s="1090"/>
      <c r="AA235" s="1090"/>
      <c r="AB235" s="1090"/>
      <c r="AC235" s="1090"/>
      <c r="AD235" s="1090"/>
      <c r="AE235" s="1090"/>
      <c r="AF235" s="1090"/>
      <c r="AG235" s="1090"/>
      <c r="AH235" s="1090"/>
      <c r="AI235" s="1090"/>
      <c r="AJ235" s="1090"/>
    </row>
    <row r="236" spans="1:36" x14ac:dyDescent="0.25">
      <c r="A236" s="1090"/>
      <c r="B236" s="1090" t="str">
        <v>Debt interest ($/kg)</v>
      </c>
      <c r="C236" s="1090"/>
      <c r="D236" s="1090"/>
      <c r="E236" s="1090"/>
      <c r="F236" s="1090"/>
      <c r="G236" s="1090"/>
      <c r="H236" s="1090"/>
      <c r="I236" s="1090"/>
      <c r="J236" s="1090"/>
      <c r="K236" s="1090"/>
      <c r="L236" s="1090"/>
      <c r="M236" s="1090"/>
      <c r="N236" s="1090"/>
      <c r="O236" s="1090"/>
      <c r="P236" s="1090"/>
      <c r="Q236" s="1090"/>
      <c r="R236" s="1090"/>
      <c r="S236" s="1090"/>
      <c r="T236" s="1090"/>
      <c r="U236" s="1090"/>
      <c r="V236" s="1090"/>
      <c r="W236" s="1090"/>
      <c r="X236" s="1090"/>
      <c r="Y236" s="1090"/>
      <c r="Z236" s="1090"/>
      <c r="AA236" s="1090"/>
      <c r="AB236" s="1090"/>
      <c r="AC236" s="1090"/>
      <c r="AD236" s="1090"/>
      <c r="AE236" s="1090"/>
      <c r="AF236" s="1090"/>
      <c r="AG236" s="1090"/>
      <c r="AH236" s="1090"/>
      <c r="AI236" s="1090"/>
      <c r="AJ236" s="1090"/>
    </row>
    <row r="237" spans="1:36" x14ac:dyDescent="0.25">
      <c r="A237" s="1090"/>
      <c r="B237" s="1090" t="str">
        <v>Taxes ($/kg)</v>
      </c>
      <c r="C237" s="1090"/>
      <c r="D237" s="1090"/>
      <c r="E237" s="1090"/>
      <c r="F237" s="1090"/>
      <c r="G237" s="1090"/>
      <c r="H237" s="1090"/>
      <c r="I237" s="1090"/>
      <c r="J237" s="1090"/>
      <c r="K237" s="1090"/>
      <c r="L237" s="1090"/>
      <c r="M237" s="1090"/>
      <c r="N237" s="1090"/>
      <c r="O237" s="1090"/>
      <c r="P237" s="1090"/>
      <c r="Q237" s="1090"/>
      <c r="R237" s="1090"/>
      <c r="S237" s="1090"/>
      <c r="T237" s="1090"/>
      <c r="U237" s="1090"/>
      <c r="V237" s="1090"/>
      <c r="W237" s="1090"/>
      <c r="X237" s="1090"/>
      <c r="Y237" s="1090"/>
      <c r="Z237" s="1090"/>
      <c r="AA237" s="1090"/>
      <c r="AB237" s="1090"/>
      <c r="AC237" s="1090"/>
      <c r="AD237" s="1090"/>
      <c r="AE237" s="1090"/>
      <c r="AF237" s="1090"/>
      <c r="AG237" s="1090"/>
      <c r="AH237" s="1090"/>
      <c r="AI237" s="1090"/>
      <c r="AJ237" s="1090"/>
    </row>
    <row r="238" spans="1:36" x14ac:dyDescent="0.25">
      <c r="A238" s="1090"/>
      <c r="B238" s="1090" t="str">
        <v>Principal payment ($/kg)</v>
      </c>
      <c r="C238" s="1090"/>
      <c r="D238" s="1090"/>
      <c r="E238" s="1090"/>
      <c r="F238" s="1090"/>
      <c r="G238" s="1090"/>
      <c r="H238" s="1090"/>
      <c r="I238" s="1090"/>
      <c r="J238" s="1090"/>
      <c r="K238" s="1090"/>
      <c r="L238" s="1090"/>
      <c r="M238" s="1090"/>
      <c r="N238" s="1090"/>
      <c r="O238" s="1090"/>
      <c r="P238" s="1090"/>
      <c r="Q238" s="1090"/>
      <c r="R238" s="1090"/>
      <c r="S238" s="1090"/>
      <c r="T238" s="1090"/>
      <c r="U238" s="1090"/>
      <c r="V238" s="1090"/>
      <c r="W238" s="1090"/>
      <c r="X238" s="1090"/>
      <c r="Y238" s="1090"/>
      <c r="Z238" s="1090"/>
      <c r="AA238" s="1090"/>
      <c r="AB238" s="1090"/>
      <c r="AC238" s="1090"/>
      <c r="AD238" s="1090"/>
      <c r="AE238" s="1090"/>
      <c r="AF238" s="1090"/>
      <c r="AG238" s="1090"/>
      <c r="AH238" s="1090"/>
      <c r="AI238" s="1090"/>
      <c r="AJ238" s="1090"/>
    </row>
    <row r="239" spans="1:36" x14ac:dyDescent="0.25">
      <c r="A239" s="1090"/>
      <c r="B239" s="1090" t="str">
        <f t="array" ref="B239:B245">+TRANSPOSE(C50:I50)</f>
        <v>Operating capacity factor</v>
      </c>
      <c r="C239" s="1090"/>
      <c r="D239" s="1090"/>
      <c r="E239" s="1090"/>
      <c r="F239" s="1090"/>
      <c r="G239" s="1090"/>
      <c r="H239" s="1090"/>
      <c r="I239" s="1090"/>
      <c r="J239" s="1090"/>
      <c r="K239" s="1090"/>
      <c r="L239" s="1090"/>
      <c r="M239" s="1090"/>
      <c r="N239" s="1090"/>
      <c r="O239" s="1090"/>
      <c r="P239" s="1090"/>
      <c r="Q239" s="1090"/>
      <c r="R239" s="1090"/>
      <c r="S239" s="1090"/>
      <c r="T239" s="1090"/>
      <c r="U239" s="1090"/>
      <c r="V239" s="1090"/>
      <c r="W239" s="1090"/>
      <c r="X239" s="1090"/>
      <c r="Y239" s="1090"/>
      <c r="Z239" s="1090"/>
      <c r="AA239" s="1090"/>
      <c r="AB239" s="1090"/>
      <c r="AC239" s="1090"/>
      <c r="AD239" s="1090"/>
      <c r="AE239" s="1090"/>
      <c r="AF239" s="1090"/>
      <c r="AG239" s="1090"/>
      <c r="AH239" s="1090"/>
      <c r="AI239" s="1090"/>
      <c r="AJ239" s="1090"/>
    </row>
    <row r="240" spans="1:36" x14ac:dyDescent="0.25">
      <c r="A240" s="1090"/>
      <c r="B240" s="1090" t="str">
        <v>Plant design capacity (kg of H2/day)</v>
      </c>
      <c r="C240" s="1090"/>
      <c r="D240" s="1090"/>
      <c r="E240" s="1090"/>
      <c r="F240" s="1090"/>
      <c r="G240" s="1090"/>
      <c r="H240" s="1090"/>
      <c r="I240" s="1090"/>
      <c r="J240" s="1090"/>
      <c r="K240" s="1090"/>
      <c r="L240" s="1090"/>
      <c r="M240" s="1090"/>
      <c r="N240" s="1090"/>
      <c r="O240" s="1090"/>
      <c r="P240" s="1090"/>
      <c r="Q240" s="1090"/>
      <c r="R240" s="1090"/>
      <c r="S240" s="1090"/>
      <c r="T240" s="1090"/>
      <c r="U240" s="1090"/>
      <c r="V240" s="1090"/>
      <c r="W240" s="1090"/>
      <c r="X240" s="1090"/>
      <c r="Y240" s="1090"/>
      <c r="Z240" s="1090"/>
      <c r="AA240" s="1090"/>
      <c r="AB240" s="1090"/>
      <c r="AC240" s="1090"/>
      <c r="AD240" s="1090"/>
      <c r="AE240" s="1090"/>
      <c r="AF240" s="1090"/>
      <c r="AG240" s="1090"/>
      <c r="AH240" s="1090"/>
      <c r="AI240" s="1090"/>
      <c r="AJ240" s="1090"/>
    </row>
    <row r="241" spans="1:36" x14ac:dyDescent="0.25">
      <c r="A241" s="1090"/>
      <c r="B241" s="1090" t="str">
        <v>After-tax real IRR (%)</v>
      </c>
      <c r="C241" s="1090"/>
      <c r="D241" s="1090"/>
      <c r="E241" s="1090"/>
      <c r="F241" s="1090"/>
      <c r="G241" s="1090"/>
      <c r="H241" s="1090"/>
      <c r="I241" s="1090"/>
      <c r="J241" s="1090"/>
      <c r="K241" s="1090"/>
      <c r="L241" s="1090"/>
      <c r="M241" s="1090"/>
      <c r="N241" s="1090"/>
      <c r="O241" s="1090"/>
      <c r="P241" s="1090"/>
      <c r="Q241" s="1090"/>
      <c r="R241" s="1090"/>
      <c r="S241" s="1090"/>
      <c r="T241" s="1090"/>
      <c r="U241" s="1090"/>
      <c r="V241" s="1090"/>
      <c r="W241" s="1090"/>
      <c r="X241" s="1090"/>
      <c r="Y241" s="1090"/>
      <c r="Z241" s="1090"/>
      <c r="AA241" s="1090"/>
      <c r="AB241" s="1090"/>
      <c r="AC241" s="1090"/>
      <c r="AD241" s="1090"/>
      <c r="AE241" s="1090"/>
      <c r="AF241" s="1090"/>
      <c r="AG241" s="1090"/>
      <c r="AH241" s="1090"/>
      <c r="AI241" s="1090"/>
      <c r="AJ241" s="1090"/>
    </row>
    <row r="242" spans="1:36" x14ac:dyDescent="0.25">
      <c r="A242" s="1090"/>
      <c r="B242" s="1090" t="str">
        <v>Feedstock consumption (% of most likely value)</v>
      </c>
      <c r="C242" s="1090"/>
      <c r="D242" s="1090"/>
      <c r="E242" s="1090"/>
      <c r="F242" s="1090"/>
      <c r="G242" s="1090"/>
      <c r="H242" s="1090"/>
      <c r="I242" s="1090"/>
      <c r="J242" s="1090"/>
      <c r="K242" s="1090"/>
      <c r="L242" s="1090"/>
      <c r="M242" s="1090"/>
      <c r="N242" s="1090"/>
      <c r="O242" s="1090"/>
      <c r="P242" s="1090"/>
      <c r="Q242" s="1090"/>
      <c r="R242" s="1090"/>
      <c r="S242" s="1090"/>
      <c r="T242" s="1090"/>
      <c r="U242" s="1090"/>
      <c r="V242" s="1090"/>
      <c r="W242" s="1090"/>
      <c r="X242" s="1090"/>
      <c r="Y242" s="1090"/>
      <c r="Z242" s="1090"/>
      <c r="AA242" s="1090"/>
      <c r="AB242" s="1090"/>
      <c r="AC242" s="1090"/>
      <c r="AD242" s="1090"/>
      <c r="AE242" s="1090"/>
      <c r="AF242" s="1090"/>
      <c r="AG242" s="1090"/>
      <c r="AH242" s="1090"/>
      <c r="AI242" s="1090"/>
      <c r="AJ242" s="1090"/>
    </row>
    <row r="243" spans="1:36" x14ac:dyDescent="0.25">
      <c r="A243" s="1090"/>
      <c r="B243" s="1090" t="str">
        <v>Utilities consumption (% of most likely value)</v>
      </c>
      <c r="C243" s="1090"/>
      <c r="D243" s="1090"/>
      <c r="E243" s="1090"/>
      <c r="F243" s="1090"/>
      <c r="G243" s="1090"/>
      <c r="H243" s="1090"/>
      <c r="I243" s="1090"/>
      <c r="J243" s="1090"/>
      <c r="K243" s="1090"/>
      <c r="L243" s="1090"/>
      <c r="M243" s="1090"/>
      <c r="N243" s="1090"/>
      <c r="O243" s="1090"/>
      <c r="P243" s="1090"/>
      <c r="Q243" s="1090"/>
      <c r="R243" s="1090"/>
      <c r="S243" s="1090"/>
      <c r="T243" s="1090"/>
      <c r="U243" s="1090"/>
      <c r="V243" s="1090"/>
      <c r="W243" s="1090"/>
      <c r="X243" s="1090"/>
      <c r="Y243" s="1090"/>
      <c r="Z243" s="1090"/>
      <c r="AA243" s="1090"/>
      <c r="AB243" s="1090"/>
      <c r="AC243" s="1090"/>
      <c r="AD243" s="1090"/>
      <c r="AE243" s="1090"/>
      <c r="AF243" s="1090"/>
      <c r="AG243" s="1090"/>
      <c r="AH243" s="1090"/>
      <c r="AI243" s="1090"/>
      <c r="AJ243" s="1090"/>
    </row>
    <row r="244" spans="1:36" x14ac:dyDescent="0.25">
      <c r="A244" s="1090"/>
      <c r="B244" s="1090" t="str">
        <v>Total capital investment ($)</v>
      </c>
      <c r="C244" s="1090"/>
      <c r="D244" s="1090"/>
      <c r="E244" s="1090"/>
      <c r="F244" s="1090"/>
      <c r="G244" s="1090"/>
      <c r="H244" s="1090"/>
      <c r="I244" s="1090"/>
      <c r="J244" s="1090"/>
      <c r="K244" s="1090"/>
      <c r="L244" s="1090"/>
      <c r="M244" s="1090"/>
      <c r="N244" s="1090"/>
      <c r="O244" s="1090"/>
      <c r="P244" s="1090"/>
      <c r="Q244" s="1090"/>
      <c r="R244" s="1090"/>
      <c r="S244" s="1090"/>
      <c r="T244" s="1090"/>
      <c r="U244" s="1090"/>
      <c r="V244" s="1090"/>
      <c r="W244" s="1090"/>
      <c r="X244" s="1090"/>
      <c r="Y244" s="1090"/>
      <c r="Z244" s="1090"/>
      <c r="AA244" s="1090"/>
      <c r="AB244" s="1090"/>
      <c r="AC244" s="1090"/>
      <c r="AD244" s="1090"/>
      <c r="AE244" s="1090"/>
      <c r="AF244" s="1090"/>
      <c r="AG244" s="1090"/>
      <c r="AH244" s="1090"/>
      <c r="AI244" s="1090"/>
      <c r="AJ244" s="1090"/>
    </row>
    <row r="245" spans="1:36" x14ac:dyDescent="0.25">
      <c r="A245" s="1090"/>
      <c r="B245" s="1090" t="str">
        <v>Total fixed operating cost ($/year)</v>
      </c>
      <c r="C245" s="1090"/>
      <c r="D245" s="1090"/>
      <c r="E245" s="1090"/>
      <c r="F245" s="1090"/>
      <c r="G245" s="1090"/>
      <c r="H245" s="1090"/>
      <c r="I245" s="1090"/>
      <c r="J245" s="1090"/>
      <c r="K245" s="1090"/>
      <c r="L245" s="1090"/>
      <c r="M245" s="1090"/>
      <c r="N245" s="1090"/>
      <c r="O245" s="1090"/>
      <c r="P245" s="1090"/>
      <c r="Q245" s="1090"/>
      <c r="R245" s="1090"/>
      <c r="S245" s="1090"/>
      <c r="T245" s="1090"/>
      <c r="U245" s="1090"/>
      <c r="V245" s="1090"/>
      <c r="W245" s="1090"/>
      <c r="X245" s="1090"/>
      <c r="Y245" s="1090"/>
      <c r="Z245" s="1090"/>
      <c r="AA245" s="1090"/>
      <c r="AB245" s="1090"/>
      <c r="AC245" s="1090"/>
      <c r="AD245" s="1090"/>
      <c r="AE245" s="1090"/>
      <c r="AF245" s="1090"/>
      <c r="AG245" s="1090"/>
      <c r="AH245" s="1090"/>
      <c r="AI245" s="1090"/>
      <c r="AJ245" s="1090"/>
    </row>
    <row r="246" spans="1:36" x14ac:dyDescent="0.25">
      <c r="A246" s="1090"/>
      <c r="B246" s="1090"/>
      <c r="C246" s="1090"/>
      <c r="D246" s="1090"/>
      <c r="E246" s="1090"/>
      <c r="F246" s="1090"/>
      <c r="G246" s="1090"/>
      <c r="H246" s="1090"/>
      <c r="I246" s="1090"/>
      <c r="J246" s="1090"/>
      <c r="K246" s="1090"/>
      <c r="L246" s="1090"/>
      <c r="M246" s="1090"/>
      <c r="N246" s="1090"/>
      <c r="O246" s="1090"/>
      <c r="P246" s="1090"/>
      <c r="Q246" s="1090"/>
      <c r="R246" s="1090"/>
      <c r="S246" s="1090"/>
      <c r="T246" s="1090"/>
      <c r="U246" s="1090"/>
      <c r="V246" s="1090"/>
      <c r="W246" s="1090"/>
      <c r="X246" s="1090"/>
      <c r="Y246" s="1090"/>
      <c r="Z246" s="1090"/>
      <c r="AA246" s="1090"/>
      <c r="AB246" s="1090"/>
      <c r="AC246" s="1090"/>
      <c r="AD246" s="1090"/>
      <c r="AE246" s="1090"/>
      <c r="AF246" s="1090"/>
      <c r="AG246" s="1090"/>
      <c r="AH246" s="1090"/>
      <c r="AI246" s="1090"/>
      <c r="AJ246" s="1090"/>
    </row>
    <row r="247" spans="1:36" x14ac:dyDescent="0.25">
      <c r="A247" s="1090"/>
      <c r="B247" s="1090"/>
      <c r="C247" s="1090"/>
      <c r="D247" s="1090"/>
      <c r="E247" s="1090"/>
      <c r="F247" s="1090"/>
      <c r="G247" s="1090"/>
      <c r="H247" s="1090"/>
      <c r="I247" s="1090"/>
      <c r="J247" s="1090"/>
      <c r="K247" s="1090"/>
      <c r="L247" s="1090"/>
      <c r="M247" s="1090"/>
      <c r="N247" s="1090"/>
      <c r="O247" s="1090"/>
      <c r="P247" s="1090"/>
      <c r="Q247" s="1090"/>
      <c r="R247" s="1090"/>
      <c r="S247" s="1090"/>
      <c r="T247" s="1090"/>
      <c r="U247" s="1090"/>
      <c r="V247" s="1090"/>
      <c r="W247" s="1090"/>
      <c r="X247" s="1090"/>
      <c r="Y247" s="1090"/>
      <c r="Z247" s="1090"/>
      <c r="AA247" s="1090"/>
      <c r="AB247" s="1090"/>
      <c r="AC247" s="1090"/>
      <c r="AD247" s="1090"/>
      <c r="AE247" s="1090"/>
      <c r="AF247" s="1090"/>
      <c r="AG247" s="1090"/>
      <c r="AH247" s="1090"/>
      <c r="AI247" s="1090"/>
      <c r="AJ247" s="1090"/>
    </row>
    <row r="248" spans="1:36" x14ac:dyDescent="0.25">
      <c r="A248" s="1090"/>
      <c r="B248" s="1091"/>
      <c r="C248">
        <f ca="1">+RAND()</f>
        <v>0.17314925929930769</v>
      </c>
      <c r="D248">
        <f t="shared" ref="D248:I248" ca="1" si="96">+RAND()</f>
        <v>1.3382614180195596E-2</v>
      </c>
      <c r="E248">
        <f t="shared" ca="1" si="96"/>
        <v>0.27798179774673704</v>
      </c>
      <c r="F248">
        <f t="shared" ca="1" si="96"/>
        <v>4.352687808296396E-2</v>
      </c>
      <c r="G248">
        <f t="shared" ca="1" si="96"/>
        <v>0.51700859851013314</v>
      </c>
      <c r="H248">
        <f t="shared" ca="1" si="96"/>
        <v>0.46065238444947609</v>
      </c>
      <c r="I248">
        <f t="shared" ca="1" si="96"/>
        <v>4.467241038633385E-2</v>
      </c>
      <c r="J248" s="1090"/>
      <c r="K248" s="1090"/>
      <c r="L248" s="1090"/>
      <c r="M248" s="1090"/>
      <c r="N248" s="1090"/>
      <c r="O248" s="1090"/>
      <c r="P248" s="1090"/>
      <c r="Q248" s="1090"/>
      <c r="R248" s="1090"/>
      <c r="S248" s="1090"/>
      <c r="T248" s="1090"/>
      <c r="U248" s="1090"/>
      <c r="V248" s="1090"/>
      <c r="W248" s="1090"/>
      <c r="X248" s="1090"/>
      <c r="Y248" s="1090"/>
      <c r="Z248" s="1090"/>
      <c r="AA248" s="1090"/>
      <c r="AB248" s="1090"/>
      <c r="AC248" s="1090"/>
      <c r="AD248" s="1090"/>
      <c r="AE248" s="1090"/>
      <c r="AF248" s="1090"/>
      <c r="AG248" s="1090"/>
      <c r="AH248" s="1090"/>
      <c r="AI248" s="1090"/>
      <c r="AJ248" s="1090"/>
    </row>
    <row r="249" spans="1:36" x14ac:dyDescent="0.25">
      <c r="A249" s="1090"/>
      <c r="B249" s="305"/>
      <c r="C249" s="1095">
        <f ca="1">IFERROR(IF(C$248&lt;=(C$190-C$189)/(C$191-C$189),C$189+SQRT(C$248*(C$191-C$189)*(C$190-C$189)),C$191-SQRT((1-C$248)*(C$191-C$189)*(C$191-C$190))),1)</f>
        <v>0.97942356702537159</v>
      </c>
      <c r="D249" s="1095">
        <f t="shared" ref="D249:I249" ca="1" si="97">IFERROR(IF(D$248&lt;=(D$190-D$189)/(D$191-D$189),D$189+SQRT(D$248*(D$191-D$189)*(D$190-D$189)),D$191-SQRT((1-D$248)*(D$191-D$189)*(D$191-D$190))),1)</f>
        <v>0.95818004100851439</v>
      </c>
      <c r="E249" s="1095">
        <f t="shared" ca="1" si="97"/>
        <v>0.98728148318849029</v>
      </c>
      <c r="F249" s="1095">
        <f t="shared" ca="1" si="97"/>
        <v>0.96475243676193256</v>
      </c>
      <c r="G249" s="1095">
        <f t="shared" ca="1" si="97"/>
        <v>1.0008577879267799</v>
      </c>
      <c r="H249" s="1095">
        <f t="shared" ca="1" si="97"/>
        <v>0.99799231107424791</v>
      </c>
      <c r="I249" s="1095">
        <f t="shared" ca="1" si="97"/>
        <v>0.96494530200202289</v>
      </c>
    </row>
    <row r="250" spans="1:36" x14ac:dyDescent="0.25">
      <c r="A250" s="1090"/>
      <c r="B250" s="305"/>
    </row>
    <row r="251" spans="1:36" x14ac:dyDescent="0.25">
      <c r="A251" s="1090"/>
      <c r="B251" s="1448">
        <v>1</v>
      </c>
      <c r="C251" s="1095">
        <v>1.0240112057978934</v>
      </c>
      <c r="D251" s="1095">
        <v>0.99919209350189286</v>
      </c>
      <c r="E251" s="1095">
        <v>1.0268471466207998</v>
      </c>
      <c r="F251" s="1095">
        <v>1.0032375081035318</v>
      </c>
      <c r="G251" s="1095">
        <v>0.98439019062744715</v>
      </c>
      <c r="H251" s="1095">
        <v>0.990588364488035</v>
      </c>
      <c r="I251" s="1095">
        <v>1.0275793171444947</v>
      </c>
      <c r="K251">
        <v>4.492007328753238</v>
      </c>
      <c r="L251">
        <v>0</v>
      </c>
      <c r="M251">
        <v>1.3419459304823528E-3</v>
      </c>
      <c r="N251">
        <v>0.12573654905609613</v>
      </c>
      <c r="O251">
        <v>3.7443876735078388E-2</v>
      </c>
      <c r="P251">
        <v>1.9576268442494996E-2</v>
      </c>
      <c r="Q251">
        <v>1.3028163451732234E-3</v>
      </c>
      <c r="R251">
        <v>1.3364070701022814E-3</v>
      </c>
      <c r="S251">
        <v>0.23197834411649867</v>
      </c>
      <c r="T251">
        <v>3.9778280629274798</v>
      </c>
      <c r="U251">
        <v>0</v>
      </c>
      <c r="V251">
        <v>9.4523053561131852E-3</v>
      </c>
      <c r="W251">
        <v>7.356130019046811E-2</v>
      </c>
      <c r="X251">
        <v>1.135655603425393E-2</v>
      </c>
      <c r="Y251">
        <v>3.7767884099622067E-3</v>
      </c>
    </row>
    <row r="252" spans="1:36" x14ac:dyDescent="0.25">
      <c r="A252" s="1090"/>
      <c r="B252" s="1448">
        <v>2</v>
      </c>
      <c r="C252" s="1095">
        <v>0.99661026857032498</v>
      </c>
      <c r="D252" s="1095">
        <v>0.98951436120955882</v>
      </c>
      <c r="E252" s="1095">
        <v>1.0374261173250521</v>
      </c>
      <c r="F252" s="1095">
        <v>0.99145381197378202</v>
      </c>
      <c r="G252" s="1095">
        <v>1.0055251849637474</v>
      </c>
      <c r="H252" s="1095">
        <v>0.9962761843608462</v>
      </c>
      <c r="I252" s="1095">
        <v>1.0236721177600516</v>
      </c>
      <c r="K252">
        <v>4.4569064808426191</v>
      </c>
      <c r="L252">
        <v>0</v>
      </c>
      <c r="M252">
        <v>1.3454231784808923E-3</v>
      </c>
      <c r="N252">
        <v>0.13006342688990954</v>
      </c>
      <c r="O252">
        <v>3.8096887179830057E-2</v>
      </c>
      <c r="P252">
        <v>1.9528670549371727E-2</v>
      </c>
      <c r="Q252">
        <v>1.3558492499732492E-3</v>
      </c>
      <c r="R252">
        <v>1.3398363164147848E-3</v>
      </c>
      <c r="S252">
        <v>0.23670728719013134</v>
      </c>
      <c r="T252">
        <v>3.9307127025856485</v>
      </c>
      <c r="U252">
        <v>0</v>
      </c>
      <c r="V252">
        <v>9.4523053561132008E-3</v>
      </c>
      <c r="W252">
        <v>7.5562187906536279E-2</v>
      </c>
      <c r="X252">
        <v>1.1646271075314263E-2</v>
      </c>
      <c r="Y252">
        <v>3.7864797218519126E-3</v>
      </c>
    </row>
    <row r="253" spans="1:36" x14ac:dyDescent="0.25">
      <c r="A253" s="1090"/>
      <c r="B253" s="1448">
        <v>3</v>
      </c>
      <c r="C253" s="1095">
        <v>1.0331442332198248</v>
      </c>
      <c r="D253" s="1095">
        <v>1.0008891789382273</v>
      </c>
      <c r="E253" s="1095">
        <v>0.99329334350870568</v>
      </c>
      <c r="F253" s="1095">
        <v>0.98253395651314401</v>
      </c>
      <c r="G253" s="1095">
        <v>0.99031282549327548</v>
      </c>
      <c r="H253" s="1095">
        <v>1.0125204167667792</v>
      </c>
      <c r="I253" s="1095">
        <v>1.0165298394407656</v>
      </c>
      <c r="K253">
        <v>4.3965958091306829</v>
      </c>
      <c r="L253">
        <v>0</v>
      </c>
      <c r="M253">
        <v>1.4282726017291569E-3</v>
      </c>
      <c r="N253">
        <v>0.12116992538261302</v>
      </c>
      <c r="O253">
        <v>3.6541664221619849E-2</v>
      </c>
      <c r="P253">
        <v>1.8703107950420472E-2</v>
      </c>
      <c r="Q253">
        <v>1.2540725912625491E-3</v>
      </c>
      <c r="R253">
        <v>1.4223841012288348E-3</v>
      </c>
      <c r="S253">
        <v>0.22577472553103847</v>
      </c>
      <c r="T253">
        <v>3.8969878971755838</v>
      </c>
      <c r="U253">
        <v>0</v>
      </c>
      <c r="V253">
        <v>9.4523053561131939E-3</v>
      </c>
      <c r="W253">
        <v>7.2504506670979019E-2</v>
      </c>
      <c r="X253">
        <v>1.0193726687592263E-2</v>
      </c>
      <c r="Y253">
        <v>4.0197660639616538E-3</v>
      </c>
    </row>
    <row r="254" spans="1:36" x14ac:dyDescent="0.25">
      <c r="A254" s="1090"/>
      <c r="B254" s="1448">
        <v>4</v>
      </c>
      <c r="C254" s="1095">
        <v>1.0100709332485494</v>
      </c>
      <c r="D254" s="1095">
        <v>0.98449896153351824</v>
      </c>
      <c r="E254" s="1095">
        <v>0.99524955511067037</v>
      </c>
      <c r="F254" s="1095">
        <v>0.99481801524640312</v>
      </c>
      <c r="G254" s="1095">
        <v>0.9995948138356614</v>
      </c>
      <c r="H254" s="1095">
        <v>0.97956174766045179</v>
      </c>
      <c r="I254" s="1095">
        <v>0.97693032654787504</v>
      </c>
      <c r="K254">
        <v>4.4460547594892299</v>
      </c>
      <c r="L254">
        <v>0</v>
      </c>
      <c r="M254">
        <v>1.4345069138915324E-3</v>
      </c>
      <c r="N254">
        <v>0.12239595282702695</v>
      </c>
      <c r="O254">
        <v>3.8081155875043654E-2</v>
      </c>
      <c r="P254">
        <v>1.8936278270442985E-2</v>
      </c>
      <c r="Q254">
        <v>1.2933939379620053E-3</v>
      </c>
      <c r="R254">
        <v>1.428468893955952E-3</v>
      </c>
      <c r="S254">
        <v>0.2225177802476033</v>
      </c>
      <c r="T254">
        <v>3.9456353867985094</v>
      </c>
      <c r="U254">
        <v>0</v>
      </c>
      <c r="V254">
        <v>9.4523053561131973E-3</v>
      </c>
      <c r="W254">
        <v>7.3140980386016144E-2</v>
      </c>
      <c r="X254">
        <v>1.0570601657682996E-2</v>
      </c>
      <c r="Y254">
        <v>4.0369621527604352E-3</v>
      </c>
    </row>
    <row r="255" spans="1:36" x14ac:dyDescent="0.25">
      <c r="A255" s="1090"/>
      <c r="B255" s="1448">
        <v>5</v>
      </c>
      <c r="C255" s="1095">
        <v>0.96165333571638933</v>
      </c>
      <c r="D255" s="1095">
        <v>0.98159636535514583</v>
      </c>
      <c r="E255" s="1095">
        <v>1.0004825700839208</v>
      </c>
      <c r="F255" s="1095">
        <v>0.99667201119826365</v>
      </c>
      <c r="G255" s="1095">
        <v>1.0024031558946611</v>
      </c>
      <c r="H255" s="1095">
        <v>1.0115741021047771</v>
      </c>
      <c r="I255" s="1095">
        <v>1.0099489134155901</v>
      </c>
      <c r="K255">
        <v>4.4961818818538504</v>
      </c>
      <c r="L255">
        <v>0</v>
      </c>
      <c r="M255">
        <v>1.5436028676919524E-3</v>
      </c>
      <c r="N255">
        <v>0.13378156471699873</v>
      </c>
      <c r="O255">
        <v>4.0082872440227436E-2</v>
      </c>
      <c r="P255">
        <v>1.9143915388320693E-2</v>
      </c>
      <c r="Q255">
        <v>1.3662415137522346E-3</v>
      </c>
      <c r="R255">
        <v>1.5373229160636041E-3</v>
      </c>
      <c r="S255">
        <v>0.24469957639539786</v>
      </c>
      <c r="T255">
        <v>3.9527898617298831</v>
      </c>
      <c r="U255">
        <v>0</v>
      </c>
      <c r="V255">
        <v>9.4523053561132008E-3</v>
      </c>
      <c r="W255">
        <v>7.9662095228927282E-2</v>
      </c>
      <c r="X255">
        <v>1.0865137106007118E-2</v>
      </c>
      <c r="Y255">
        <v>4.344591929848104E-3</v>
      </c>
    </row>
    <row r="256" spans="1:36" x14ac:dyDescent="0.25">
      <c r="A256" s="1090"/>
      <c r="B256" s="1448">
        <v>6</v>
      </c>
      <c r="C256" s="1095">
        <v>1.0020077151657421</v>
      </c>
      <c r="D256" s="1095">
        <v>1.0018493527705818</v>
      </c>
      <c r="E256" s="1095">
        <v>0.98316398071015576</v>
      </c>
      <c r="F256" s="1095">
        <v>0.99261469937155766</v>
      </c>
      <c r="G256" s="1095">
        <v>0.97335591914195152</v>
      </c>
      <c r="H256" s="1095">
        <v>1.0050583237915875</v>
      </c>
      <c r="I256" s="1095">
        <v>0.98174525656319522</v>
      </c>
      <c r="K256">
        <v>4.4440651490345582</v>
      </c>
      <c r="L256">
        <v>0</v>
      </c>
      <c r="M256">
        <v>1.5079393322352044E-3</v>
      </c>
      <c r="N256">
        <v>0.12414429028160756</v>
      </c>
      <c r="O256">
        <v>3.8117848446803472E-2</v>
      </c>
      <c r="P256">
        <v>1.8742231380350343E-2</v>
      </c>
      <c r="Q256">
        <v>1.2812899465877465E-3</v>
      </c>
      <c r="R256">
        <v>1.5017395664480926E-3</v>
      </c>
      <c r="S256">
        <v>0.22576244135862789</v>
      </c>
      <c r="T256">
        <v>3.9373558605003831</v>
      </c>
      <c r="U256">
        <v>0</v>
      </c>
      <c r="V256">
        <v>9.4523053561131835E-3</v>
      </c>
      <c r="W256">
        <v>7.479870065823982E-2</v>
      </c>
      <c r="X256">
        <v>1.0172350204457292E-2</v>
      </c>
      <c r="Y256">
        <v>4.2440306671744409E-3</v>
      </c>
    </row>
    <row r="257" spans="1:25" x14ac:dyDescent="0.25">
      <c r="A257" s="1090"/>
      <c r="B257" s="1448">
        <v>7</v>
      </c>
      <c r="C257" s="1095">
        <v>1.0320499529212324</v>
      </c>
      <c r="D257" s="1095">
        <v>0.97264321099973505</v>
      </c>
      <c r="E257" s="1095">
        <v>0.99323499249853586</v>
      </c>
      <c r="F257" s="1095">
        <v>1.0058436579622541</v>
      </c>
      <c r="G257" s="1095">
        <v>0.9711633445569906</v>
      </c>
      <c r="H257" s="1095">
        <v>1.0178881711539973</v>
      </c>
      <c r="I257" s="1095">
        <v>1.0259072247053054</v>
      </c>
      <c r="K257">
        <v>4.5078585104876696</v>
      </c>
      <c r="L257">
        <v>0</v>
      </c>
      <c r="M257">
        <v>1.4884518983396228E-3</v>
      </c>
      <c r="N257">
        <v>0.12626825282735107</v>
      </c>
      <c r="O257">
        <v>3.7879912665788128E-2</v>
      </c>
      <c r="P257">
        <v>1.9158807547309774E-2</v>
      </c>
      <c r="Q257">
        <v>1.2697963532150192E-3</v>
      </c>
      <c r="R257">
        <v>1.4824885354393447E-3</v>
      </c>
      <c r="S257">
        <v>0.23418608009782999</v>
      </c>
      <c r="T257">
        <v>3.9894425416868118</v>
      </c>
      <c r="U257">
        <v>0</v>
      </c>
      <c r="V257">
        <v>9.4523053561131817E-3</v>
      </c>
      <c r="W257">
        <v>7.555818878437652E-2</v>
      </c>
      <c r="X257">
        <v>1.0458962747980905E-2</v>
      </c>
      <c r="Y257">
        <v>4.1896257837970279E-3</v>
      </c>
    </row>
    <row r="258" spans="1:25" x14ac:dyDescent="0.25">
      <c r="A258" s="1090"/>
      <c r="B258" s="1448">
        <v>8</v>
      </c>
      <c r="C258" s="1095">
        <v>1.0000138015019056</v>
      </c>
      <c r="D258" s="1095">
        <v>1.0041023364960988</v>
      </c>
      <c r="E258" s="1095">
        <v>0.98198165758228018</v>
      </c>
      <c r="F258" s="1095">
        <v>0.99127542555942405</v>
      </c>
      <c r="G258" s="1095">
        <v>1.0086170887055952</v>
      </c>
      <c r="H258" s="1095">
        <v>0.99345238499213007</v>
      </c>
      <c r="I258" s="1095">
        <v>1.0092158965160198</v>
      </c>
      <c r="K258">
        <v>4.4417818896695476</v>
      </c>
      <c r="L258">
        <v>0</v>
      </c>
      <c r="M258">
        <v>1.4938568049941226E-3</v>
      </c>
      <c r="N258">
        <v>0.12254767761713033</v>
      </c>
      <c r="O258">
        <v>3.8116072883781167E-2</v>
      </c>
      <c r="P258">
        <v>1.8726647862720387E-2</v>
      </c>
      <c r="Q258">
        <v>1.2813780692175238E-3</v>
      </c>
      <c r="R258">
        <v>1.4876348261584267E-3</v>
      </c>
      <c r="S258">
        <v>0.23129324149043667</v>
      </c>
      <c r="T258">
        <v>3.9320884397528997</v>
      </c>
      <c r="U258">
        <v>0</v>
      </c>
      <c r="V258">
        <v>9.4523053561131869E-3</v>
      </c>
      <c r="W258">
        <v>7.3896449386938748E-2</v>
      </c>
      <c r="X258">
        <v>1.0181729634876941E-2</v>
      </c>
      <c r="Y258">
        <v>4.2041695942698666E-3</v>
      </c>
    </row>
    <row r="259" spans="1:25" x14ac:dyDescent="0.25">
      <c r="A259" s="1090"/>
      <c r="B259" s="1448">
        <v>9</v>
      </c>
      <c r="C259" s="1095">
        <v>1.0057325204444234</v>
      </c>
      <c r="D259" s="1095">
        <v>1.0336307073107553</v>
      </c>
      <c r="E259" s="1095">
        <v>1.0018522591222656</v>
      </c>
      <c r="F259" s="1095">
        <v>0.9812640960086203</v>
      </c>
      <c r="G259" s="1095">
        <v>0.96144039650369895</v>
      </c>
      <c r="H259" s="1095">
        <v>1.0222947129484719</v>
      </c>
      <c r="I259" s="1095">
        <v>1.0222442772886704</v>
      </c>
      <c r="K259">
        <v>4.4031780710895365</v>
      </c>
      <c r="L259">
        <v>0</v>
      </c>
      <c r="M259">
        <v>1.4344513625982108E-3</v>
      </c>
      <c r="N259">
        <v>0.12482455832236623</v>
      </c>
      <c r="O259">
        <v>3.6952950408705797E-2</v>
      </c>
      <c r="P259">
        <v>1.8824687026882531E-2</v>
      </c>
      <c r="Q259">
        <v>1.281149958900105E-3</v>
      </c>
      <c r="R259">
        <v>1.4285863840656872E-3</v>
      </c>
      <c r="S259">
        <v>0.23149169373763642</v>
      </c>
      <c r="T259">
        <v>3.8916310928853988</v>
      </c>
      <c r="U259">
        <v>0</v>
      </c>
      <c r="V259">
        <v>9.4523053561131991E-3</v>
      </c>
      <c r="W259">
        <v>7.4259798629885881E-2</v>
      </c>
      <c r="X259">
        <v>1.0428405553397814E-2</v>
      </c>
      <c r="Y259">
        <v>4.0372941887804924E-3</v>
      </c>
    </row>
    <row r="260" spans="1:25" x14ac:dyDescent="0.25">
      <c r="A260" s="1090"/>
      <c r="B260" s="1448">
        <v>10</v>
      </c>
      <c r="C260" s="1095">
        <v>1.0128076130340979</v>
      </c>
      <c r="D260" s="1095">
        <v>0.96195473400457443</v>
      </c>
      <c r="E260" s="1095">
        <v>1.0173556908635757</v>
      </c>
      <c r="F260" s="1095">
        <v>1.0322000478699371</v>
      </c>
      <c r="G260" s="1095">
        <v>0.96715854027669013</v>
      </c>
      <c r="H260" s="1095">
        <v>1.0312428853898483</v>
      </c>
      <c r="I260" s="1095">
        <v>1.0024735921892896</v>
      </c>
      <c r="K260">
        <v>4.6361731837792055</v>
      </c>
      <c r="L260">
        <v>0</v>
      </c>
      <c r="M260">
        <v>1.5052153279858269E-3</v>
      </c>
      <c r="N260">
        <v>0.13716736249640943</v>
      </c>
      <c r="O260">
        <v>3.9614933321244029E-2</v>
      </c>
      <c r="P260">
        <v>2.0004882305536396E-2</v>
      </c>
      <c r="Q260">
        <v>1.3267074081216661E-3</v>
      </c>
      <c r="R260">
        <v>1.4994142860907419E-3</v>
      </c>
      <c r="S260">
        <v>0.23915909172393762</v>
      </c>
      <c r="T260">
        <v>4.0930333177192155</v>
      </c>
      <c r="U260">
        <v>0</v>
      </c>
      <c r="V260">
        <v>9.4523053561132026E-3</v>
      </c>
      <c r="W260">
        <v>8.0757583125393217E-2</v>
      </c>
      <c r="X260">
        <v>1.1425342117766968E-2</v>
      </c>
      <c r="Y260">
        <v>4.2374592473578103E-3</v>
      </c>
    </row>
    <row r="261" spans="1:25" x14ac:dyDescent="0.25">
      <c r="A261" s="1090"/>
      <c r="B261" s="1448">
        <v>11</v>
      </c>
      <c r="C261" s="1095">
        <v>0.96904679154858531</v>
      </c>
      <c r="D261" s="1095">
        <v>0.98462025860937041</v>
      </c>
      <c r="E261" s="1095">
        <v>1.0241837488735566</v>
      </c>
      <c r="F261" s="1095">
        <v>1.0331225178714745</v>
      </c>
      <c r="G261" s="1095">
        <v>1.0396985041914297</v>
      </c>
      <c r="H261" s="1095">
        <v>0.9842880662153648</v>
      </c>
      <c r="I261" s="1095">
        <v>1.002506397513516</v>
      </c>
      <c r="K261">
        <v>4.6454110389308356</v>
      </c>
      <c r="L261">
        <v>0</v>
      </c>
      <c r="M261">
        <v>1.4676353089345079E-3</v>
      </c>
      <c r="N261">
        <v>0.13644717527941697</v>
      </c>
      <c r="O261">
        <v>4.1006197828136852E-2</v>
      </c>
      <c r="P261">
        <v>2.0145638866628179E-2</v>
      </c>
      <c r="Q261">
        <v>1.3817193691461553E-3</v>
      </c>
      <c r="R261">
        <v>1.4617145435019266E-3</v>
      </c>
      <c r="S261">
        <v>0.24452955966604234</v>
      </c>
      <c r="T261">
        <v>4.0964253400889792</v>
      </c>
      <c r="U261">
        <v>0</v>
      </c>
      <c r="V261">
        <v>9.4523053561132026E-3</v>
      </c>
      <c r="W261">
        <v>7.9968843810627105E-2</v>
      </c>
      <c r="X261">
        <v>1.1929262534611348E-2</v>
      </c>
      <c r="Y261">
        <v>4.1309168965626307E-3</v>
      </c>
    </row>
    <row r="262" spans="1:25" x14ac:dyDescent="0.25">
      <c r="A262" s="1090"/>
      <c r="B262" s="1448">
        <v>12</v>
      </c>
      <c r="C262" s="1095">
        <v>0.98963335083800663</v>
      </c>
      <c r="D262" s="1095">
        <v>1.0091212741482116</v>
      </c>
      <c r="E262" s="1095">
        <v>0.97285844856458092</v>
      </c>
      <c r="F262" s="1095">
        <v>0.98539264337540755</v>
      </c>
      <c r="G262" s="1095">
        <v>0.99957151366333719</v>
      </c>
      <c r="H262" s="1095">
        <v>0.98383092564926478</v>
      </c>
      <c r="I262" s="1095">
        <v>1.0296963132800454</v>
      </c>
      <c r="K262">
        <v>4.4211825548385688</v>
      </c>
      <c r="L262">
        <v>0</v>
      </c>
      <c r="M262">
        <v>1.5117781031499685E-3</v>
      </c>
      <c r="N262">
        <v>0.12069689467047671</v>
      </c>
      <c r="O262">
        <v>3.827293017278148E-2</v>
      </c>
      <c r="P262">
        <v>1.85174752557116E-2</v>
      </c>
      <c r="Q262">
        <v>1.2820290026060042E-3</v>
      </c>
      <c r="R262">
        <v>1.5053821025874348E-3</v>
      </c>
      <c r="S262">
        <v>0.23640373699896819</v>
      </c>
      <c r="T262">
        <v>3.9090993453211027</v>
      </c>
      <c r="U262">
        <v>0</v>
      </c>
      <c r="V262">
        <v>9.4523053561131991E-3</v>
      </c>
      <c r="W262">
        <v>7.3237577668065559E-2</v>
      </c>
      <c r="X262">
        <v>9.9723316409042386E-3</v>
      </c>
      <c r="Y262">
        <v>4.2543247523987009E-3</v>
      </c>
    </row>
    <row r="263" spans="1:25" x14ac:dyDescent="0.25">
      <c r="A263" s="1090"/>
      <c r="B263" s="1448">
        <v>13</v>
      </c>
      <c r="C263" s="1095">
        <v>1.0146160193492899</v>
      </c>
      <c r="D263" s="1095">
        <v>0.98963192716191795</v>
      </c>
      <c r="E263" s="1095">
        <v>1.0234191684814737</v>
      </c>
      <c r="F263" s="1095">
        <v>0.99194226811626984</v>
      </c>
      <c r="G263" s="1095">
        <v>1.0253089827917419</v>
      </c>
      <c r="H263" s="1095">
        <v>0.97083629589988929</v>
      </c>
      <c r="I263" s="1095">
        <v>0.99851238746055149</v>
      </c>
      <c r="K263">
        <v>4.4359533374347739</v>
      </c>
      <c r="L263">
        <v>0</v>
      </c>
      <c r="M263">
        <v>1.3271223712347567E-3</v>
      </c>
      <c r="N263">
        <v>0.12307706105413191</v>
      </c>
      <c r="O263">
        <v>3.7532282565447286E-2</v>
      </c>
      <c r="P263">
        <v>1.9288298603626998E-2</v>
      </c>
      <c r="Q263">
        <v>1.3161354711723953E-3</v>
      </c>
      <c r="R263">
        <v>1.321469869122854E-3</v>
      </c>
      <c r="S263">
        <v>0.22496868371490072</v>
      </c>
      <c r="T263">
        <v>3.9331704246302452</v>
      </c>
      <c r="U263">
        <v>0</v>
      </c>
      <c r="V263">
        <v>9.4523053561131852E-3</v>
      </c>
      <c r="W263">
        <v>7.2169588054639522E-2</v>
      </c>
      <c r="X263">
        <v>1.1249635747014361E-2</v>
      </c>
      <c r="Y263">
        <v>3.7345747395929984E-3</v>
      </c>
    </row>
    <row r="264" spans="1:25" x14ac:dyDescent="0.25">
      <c r="A264" s="1090"/>
      <c r="B264" s="1448">
        <v>14</v>
      </c>
      <c r="C264" s="1095">
        <v>0.99474736920346518</v>
      </c>
      <c r="D264" s="1095">
        <v>1.0225660881683127</v>
      </c>
      <c r="E264" s="1095">
        <v>1.0443328287013949</v>
      </c>
      <c r="F264" s="1095">
        <v>1.0404948186924108</v>
      </c>
      <c r="G264" s="1095">
        <v>0.96914397262304552</v>
      </c>
      <c r="H264" s="1095">
        <v>1.0183072380643499</v>
      </c>
      <c r="I264" s="1095">
        <v>0.98240943710221884</v>
      </c>
      <c r="K264">
        <v>4.6654856551171928</v>
      </c>
      <c r="L264">
        <v>0</v>
      </c>
      <c r="M264">
        <v>1.4060146123886243E-3</v>
      </c>
      <c r="N264">
        <v>0.13876156059301117</v>
      </c>
      <c r="O264">
        <v>3.9483748469958821E-2</v>
      </c>
      <c r="P264">
        <v>2.0528149893215837E-2</v>
      </c>
      <c r="Q264">
        <v>1.3484076951970742E-3</v>
      </c>
      <c r="R264">
        <v>1.4005706257360139E-3</v>
      </c>
      <c r="S264">
        <v>0.23457878612572197</v>
      </c>
      <c r="T264">
        <v>4.1248722638915698</v>
      </c>
      <c r="U264">
        <v>0</v>
      </c>
      <c r="V264">
        <v>9.4523053561132008E-3</v>
      </c>
      <c r="W264">
        <v>8.0250244910113677E-2</v>
      </c>
      <c r="X264">
        <v>1.2257512652100644E-2</v>
      </c>
      <c r="Y264">
        <v>3.958119516838869E-3</v>
      </c>
    </row>
    <row r="265" spans="1:25" x14ac:dyDescent="0.25">
      <c r="A265" s="1090"/>
      <c r="B265" s="1448">
        <v>15</v>
      </c>
      <c r="C265" s="1095">
        <v>0.99147949771367927</v>
      </c>
      <c r="D265" s="1095">
        <v>1.0078689458343584</v>
      </c>
      <c r="E265" s="1095">
        <v>1.0046878692224694</v>
      </c>
      <c r="F265" s="1095">
        <v>1.0362935526663513</v>
      </c>
      <c r="G265" s="1095">
        <v>1.0095362364839753</v>
      </c>
      <c r="H265" s="1095">
        <v>1.0120329027274428</v>
      </c>
      <c r="I265" s="1095">
        <v>0.99486007187114156</v>
      </c>
      <c r="K265">
        <v>4.6476994479419673</v>
      </c>
      <c r="L265">
        <v>0</v>
      </c>
      <c r="M265">
        <v>1.5271910662688994E-3</v>
      </c>
      <c r="N265">
        <v>0.13403948047253228</v>
      </c>
      <c r="O265">
        <v>3.9967668053975849E-2</v>
      </c>
      <c r="P265">
        <v>1.9890739291486177E-2</v>
      </c>
      <c r="Q265">
        <v>1.3159412169733791E-3</v>
      </c>
      <c r="R265">
        <v>1.5212172071765318E-3</v>
      </c>
      <c r="S265">
        <v>0.23820008511625826</v>
      </c>
      <c r="T265">
        <v>4.1097627011855042</v>
      </c>
      <c r="U265">
        <v>0</v>
      </c>
      <c r="V265">
        <v>9.4523053561131852E-3</v>
      </c>
      <c r="W265">
        <v>7.9589536699534169E-2</v>
      </c>
      <c r="X265">
        <v>1.118788844175907E-2</v>
      </c>
      <c r="Y265">
        <v>4.2990759669205326E-3</v>
      </c>
    </row>
    <row r="266" spans="1:25" x14ac:dyDescent="0.25">
      <c r="A266" s="1090"/>
      <c r="B266" s="1448">
        <v>16</v>
      </c>
      <c r="C266" s="1095">
        <v>1.0078948047015697</v>
      </c>
      <c r="D266" s="1095">
        <v>1.0352123231185026</v>
      </c>
      <c r="E266" s="1095">
        <v>1.0100240266132967</v>
      </c>
      <c r="F266" s="1095">
        <v>1.013559914193759</v>
      </c>
      <c r="G266" s="1095">
        <v>0.98024675942875195</v>
      </c>
      <c r="H266" s="1095">
        <v>0.96215847831333479</v>
      </c>
      <c r="I266" s="1095">
        <v>1.0336199116645879</v>
      </c>
      <c r="K266">
        <v>4.530562109673995</v>
      </c>
      <c r="L266">
        <v>0</v>
      </c>
      <c r="M266">
        <v>1.3667307931425961E-3</v>
      </c>
      <c r="N266">
        <v>0.12183067837357055</v>
      </c>
      <c r="O266">
        <v>3.800829092085789E-2</v>
      </c>
      <c r="P266">
        <v>1.9536119541464968E-2</v>
      </c>
      <c r="Q266">
        <v>1.2865650370538749E-3</v>
      </c>
      <c r="R266">
        <v>1.3609818579879125E-3</v>
      </c>
      <c r="S266">
        <v>0.23400351248755261</v>
      </c>
      <c r="T266">
        <v>4.0193997668613175</v>
      </c>
      <c r="U266">
        <v>0</v>
      </c>
      <c r="V266">
        <v>9.4523053561131956E-3</v>
      </c>
      <c r="W266">
        <v>7.2081095601650796E-2</v>
      </c>
      <c r="X266">
        <v>1.1123285792841534E-2</v>
      </c>
      <c r="Y266">
        <v>3.8462386367233E-3</v>
      </c>
    </row>
    <row r="267" spans="1:25" x14ac:dyDescent="0.25">
      <c r="A267" s="1090"/>
      <c r="B267" s="1448">
        <v>17</v>
      </c>
      <c r="C267" s="1095">
        <v>1.0172427280426664</v>
      </c>
      <c r="D267" s="1095">
        <v>0.9837042591507974</v>
      </c>
      <c r="E267" s="1095">
        <v>1.0015104973732634</v>
      </c>
      <c r="F267" s="1095">
        <v>0.97558785545191418</v>
      </c>
      <c r="G267" s="1095">
        <v>0.9922980058404689</v>
      </c>
      <c r="H267" s="1095">
        <v>0.99958790721234125</v>
      </c>
      <c r="I267" s="1095">
        <v>1.0154337999458884</v>
      </c>
      <c r="K267">
        <v>4.3733849861804339</v>
      </c>
      <c r="L267">
        <v>0</v>
      </c>
      <c r="M267">
        <v>1.4073192856042859E-3</v>
      </c>
      <c r="N267">
        <v>0.12232523421718479</v>
      </c>
      <c r="O267">
        <v>3.7052233834652559E-2</v>
      </c>
      <c r="P267">
        <v>1.8702566163987099E-2</v>
      </c>
      <c r="Q267">
        <v>1.291609223916037E-3</v>
      </c>
      <c r="R267">
        <v>1.4014004357747151E-3</v>
      </c>
      <c r="S267">
        <v>0.22822587321052359</v>
      </c>
      <c r="T267">
        <v>3.8691321697017127</v>
      </c>
      <c r="U267">
        <v>0</v>
      </c>
      <c r="V267">
        <v>9.4523053561132026E-3</v>
      </c>
      <c r="W267">
        <v>7.2789709746816519E-2</v>
      </c>
      <c r="X267">
        <v>1.0458738951992041E-2</v>
      </c>
      <c r="Y267">
        <v>3.9604646233612388E-3</v>
      </c>
    </row>
    <row r="268" spans="1:25" x14ac:dyDescent="0.25">
      <c r="A268" s="1090"/>
      <c r="B268" s="1448">
        <v>18</v>
      </c>
      <c r="C268" s="1095">
        <v>1.0426326226729055</v>
      </c>
      <c r="D268" s="1095">
        <v>1.0049189650767509</v>
      </c>
      <c r="E268" s="1095">
        <v>1.0050409150252353</v>
      </c>
      <c r="F268" s="1095">
        <v>0.96899277797195937</v>
      </c>
      <c r="G268" s="1095">
        <v>0.99035759707965487</v>
      </c>
      <c r="H268" s="1095">
        <v>1.0243099201283221</v>
      </c>
      <c r="I268" s="1095">
        <v>0.97568318389994046</v>
      </c>
      <c r="K268">
        <v>4.3276355043591241</v>
      </c>
      <c r="L268">
        <v>0</v>
      </c>
      <c r="M268">
        <v>1.3753896759287996E-3</v>
      </c>
      <c r="N268">
        <v>0.1208156371617797</v>
      </c>
      <c r="O268">
        <v>3.5577933985107182E-2</v>
      </c>
      <c r="P268">
        <v>1.856343724886626E-2</v>
      </c>
      <c r="Q268">
        <v>1.2532252206404625E-3</v>
      </c>
      <c r="R268">
        <v>1.3697064689134095E-3</v>
      </c>
      <c r="S268">
        <v>0.21328326752762494</v>
      </c>
      <c r="T268">
        <v>3.8428463617424793</v>
      </c>
      <c r="U268">
        <v>0</v>
      </c>
      <c r="V268">
        <v>9.4523053561131817E-3</v>
      </c>
      <c r="W268">
        <v>7.1720465828942787E-2</v>
      </c>
      <c r="X268">
        <v>1.0257658441294564E-2</v>
      </c>
      <c r="Y268">
        <v>3.8708950532912877E-3</v>
      </c>
    </row>
    <row r="269" spans="1:25" x14ac:dyDescent="0.25">
      <c r="A269" s="1090"/>
      <c r="B269" s="1448">
        <v>19</v>
      </c>
      <c r="C269" s="1095">
        <v>0.99871237006889058</v>
      </c>
      <c r="D269" s="1095">
        <v>1.0335836936635905</v>
      </c>
      <c r="E269" s="1095">
        <v>1.0059178122817949</v>
      </c>
      <c r="F269" s="1095">
        <v>1.0001221012676715</v>
      </c>
      <c r="G269" s="1095">
        <v>1.0053193407046426</v>
      </c>
      <c r="H269" s="1095">
        <v>0.98164138676796275</v>
      </c>
      <c r="I269" s="1095">
        <v>0.97370573600397592</v>
      </c>
      <c r="K269">
        <v>4.4675307836299565</v>
      </c>
      <c r="L269">
        <v>0</v>
      </c>
      <c r="M269">
        <v>1.4016024988907966E-3</v>
      </c>
      <c r="N269">
        <v>0.12343267559822062</v>
      </c>
      <c r="O269">
        <v>3.7900942717495313E-2</v>
      </c>
      <c r="P269">
        <v>1.9179171445513014E-2</v>
      </c>
      <c r="Q269">
        <v>1.2946709788663844E-3</v>
      </c>
      <c r="R269">
        <v>1.3957465695150597E-3</v>
      </c>
      <c r="S269">
        <v>0.22198479851821012</v>
      </c>
      <c r="T269">
        <v>3.9662662001678202</v>
      </c>
      <c r="U269">
        <v>0</v>
      </c>
      <c r="V269">
        <v>9.4523053561131852E-3</v>
      </c>
      <c r="W269">
        <v>7.3230779397984655E-2</v>
      </c>
      <c r="X269">
        <v>1.0850609013451196E-2</v>
      </c>
      <c r="Y269">
        <v>3.944486365659184E-3</v>
      </c>
    </row>
    <row r="270" spans="1:25" x14ac:dyDescent="0.25">
      <c r="A270" s="1090"/>
      <c r="B270" s="1448">
        <v>20</v>
      </c>
      <c r="C270" s="1095">
        <v>0.97697474985576993</v>
      </c>
      <c r="D270" s="1095">
        <v>1.0167359534446589</v>
      </c>
      <c r="E270" s="1095">
        <v>1.0068720226698742</v>
      </c>
      <c r="F270" s="1095">
        <v>0.97247292804016294</v>
      </c>
      <c r="G270" s="1095">
        <v>1.0100817212677864</v>
      </c>
      <c r="H270" s="1095">
        <v>1.0043355633313018</v>
      </c>
      <c r="I270" s="1095">
        <v>1.0000919538402646</v>
      </c>
      <c r="K270">
        <v>4.3717012764049423</v>
      </c>
      <c r="L270">
        <v>0</v>
      </c>
      <c r="M270">
        <v>1.432070768397123E-3</v>
      </c>
      <c r="N270">
        <v>0.12647008371061608</v>
      </c>
      <c r="O270">
        <v>3.791510924729196E-2</v>
      </c>
      <c r="P270">
        <v>1.8734931982734224E-2</v>
      </c>
      <c r="Q270">
        <v>1.3332918034814456E-3</v>
      </c>
      <c r="R270">
        <v>1.4260571712461352E-3</v>
      </c>
      <c r="S270">
        <v>0.2315414105298903</v>
      </c>
      <c r="T270">
        <v>3.8565803812057027</v>
      </c>
      <c r="U270">
        <v>0</v>
      </c>
      <c r="V270">
        <v>9.4523053561131869E-3</v>
      </c>
      <c r="W270">
        <v>7.4984662847351002E-2</v>
      </c>
      <c r="X270">
        <v>1.066496687865609E-2</v>
      </c>
      <c r="Y270">
        <v>4.0301464402561736E-3</v>
      </c>
    </row>
    <row r="271" spans="1:25" x14ac:dyDescent="0.25">
      <c r="A271" s="1090"/>
      <c r="B271" s="1448">
        <v>21</v>
      </c>
      <c r="C271" s="1095">
        <v>0.98371642598607212</v>
      </c>
      <c r="D271" s="1095">
        <v>0.99604843680827537</v>
      </c>
      <c r="E271" s="1095">
        <v>0.98716560297894607</v>
      </c>
      <c r="F271" s="1095">
        <v>1.0110790169550159</v>
      </c>
      <c r="G271" s="1095">
        <v>0.98593277684419223</v>
      </c>
      <c r="H271" s="1095">
        <v>1.025651056559556</v>
      </c>
      <c r="I271" s="1095">
        <v>0.97921659076758072</v>
      </c>
      <c r="K271">
        <v>4.5408108382320904</v>
      </c>
      <c r="L271">
        <v>0</v>
      </c>
      <c r="M271">
        <v>1.5868007849748561E-3</v>
      </c>
      <c r="N271">
        <v>0.13221726870640363</v>
      </c>
      <c r="O271">
        <v>3.9612610964767835E-2</v>
      </c>
      <c r="P271">
        <v>1.9166388620172749E-2</v>
      </c>
      <c r="Q271">
        <v>1.3126861831107431E-3</v>
      </c>
      <c r="R271">
        <v>1.5805240494106304E-3</v>
      </c>
      <c r="S271">
        <v>0.23422923188843178</v>
      </c>
      <c r="T271">
        <v>4.010442170362964</v>
      </c>
      <c r="U271">
        <v>0</v>
      </c>
      <c r="V271">
        <v>9.4523053561131921E-3</v>
      </c>
      <c r="W271">
        <v>7.9445442694894564E-2</v>
      </c>
      <c r="X271">
        <v>1.0472328559856421E-2</v>
      </c>
      <c r="Y271">
        <v>4.466681630937306E-3</v>
      </c>
    </row>
    <row r="272" spans="1:25" x14ac:dyDescent="0.25">
      <c r="A272" s="1090"/>
      <c r="B272" s="1448">
        <v>22</v>
      </c>
      <c r="C272" s="1095">
        <v>1.0314078287049975</v>
      </c>
      <c r="D272" s="1095">
        <v>0.980921005565209</v>
      </c>
      <c r="E272" s="1095">
        <v>0.98927478322605533</v>
      </c>
      <c r="F272" s="1095">
        <v>0.96532028169537121</v>
      </c>
      <c r="G272" s="1095">
        <v>0.98909590058934316</v>
      </c>
      <c r="H272" s="1095">
        <v>1.0202655765006703</v>
      </c>
      <c r="I272" s="1095">
        <v>0.99647074352935483</v>
      </c>
      <c r="K272">
        <v>4.3223057323814622</v>
      </c>
      <c r="L272">
        <v>0</v>
      </c>
      <c r="M272">
        <v>1.4400528247947612E-3</v>
      </c>
      <c r="N272">
        <v>0.12071735373325687</v>
      </c>
      <c r="O272">
        <v>3.6278949732860125E-2</v>
      </c>
      <c r="P272">
        <v>1.8317783642789385E-2</v>
      </c>
      <c r="Q272">
        <v>1.2619726477333291E-3</v>
      </c>
      <c r="R272">
        <v>1.434056206571983E-3</v>
      </c>
      <c r="S272">
        <v>0.22100148188757343</v>
      </c>
      <c r="T272">
        <v>3.8288622912816428</v>
      </c>
      <c r="U272">
        <v>0</v>
      </c>
      <c r="V272">
        <v>9.4523053561131869E-3</v>
      </c>
      <c r="W272">
        <v>7.2431325773588268E-2</v>
      </c>
      <c r="X272">
        <v>9.9355126193429177E-3</v>
      </c>
      <c r="Y272">
        <v>4.0527523247844768E-3</v>
      </c>
    </row>
    <row r="273" spans="1:25" x14ac:dyDescent="0.25">
      <c r="A273" s="1090"/>
      <c r="B273" s="1448">
        <v>23</v>
      </c>
      <c r="C273" s="1095">
        <v>0.9972891448236374</v>
      </c>
      <c r="D273" s="1095">
        <v>0.98385359837664321</v>
      </c>
      <c r="E273" s="1095">
        <v>1.004155730923036</v>
      </c>
      <c r="F273" s="1095">
        <v>0.98983403038482431</v>
      </c>
      <c r="G273" s="1095">
        <v>1.029751037383146</v>
      </c>
      <c r="H273" s="1095">
        <v>0.9775929779608683</v>
      </c>
      <c r="I273" s="1095">
        <v>1.0273203714659009</v>
      </c>
      <c r="K273">
        <v>4.4423278811454336</v>
      </c>
      <c r="L273">
        <v>0</v>
      </c>
      <c r="M273">
        <v>1.4163030567661136E-3</v>
      </c>
      <c r="N273">
        <v>0.12407045928725634</v>
      </c>
      <c r="O273">
        <v>3.832497391263455E-2</v>
      </c>
      <c r="P273">
        <v>1.903262778646626E-2</v>
      </c>
      <c r="Q273">
        <v>1.3203560585910476E-3</v>
      </c>
      <c r="R273">
        <v>1.4102997010426062E-3</v>
      </c>
      <c r="S273">
        <v>0.23609265825950665</v>
      </c>
      <c r="T273">
        <v>3.925532209694476</v>
      </c>
      <c r="U273">
        <v>0</v>
      </c>
      <c r="V273">
        <v>9.45230535611318E-3</v>
      </c>
      <c r="W273">
        <v>7.369658449391879E-2</v>
      </c>
      <c r="X273">
        <v>1.0826095025761652E-2</v>
      </c>
      <c r="Y273">
        <v>3.9856146264350628E-3</v>
      </c>
    </row>
    <row r="274" spans="1:25" x14ac:dyDescent="0.25">
      <c r="A274" s="1090"/>
      <c r="B274" s="1448">
        <v>24</v>
      </c>
      <c r="C274" s="1095">
        <v>1.0247264230771018</v>
      </c>
      <c r="D274" s="1095">
        <v>0.99997448529653599</v>
      </c>
      <c r="E274" s="1095">
        <v>0.98905238003587448</v>
      </c>
      <c r="F274" s="1095">
        <v>0.97017915916989894</v>
      </c>
      <c r="G274" s="1095">
        <v>0.97291349649511261</v>
      </c>
      <c r="H274" s="1095">
        <v>0.99190586146975668</v>
      </c>
      <c r="I274" s="1095">
        <v>1.0332186824309029</v>
      </c>
      <c r="K274">
        <v>4.3441235573908212</v>
      </c>
      <c r="L274">
        <v>0</v>
      </c>
      <c r="M274">
        <v>1.4060168183658722E-3</v>
      </c>
      <c r="N274">
        <v>0.11777490750196115</v>
      </c>
      <c r="O274">
        <v>3.6419414677232309E-2</v>
      </c>
      <c r="P274">
        <v>1.8433028818664651E-2</v>
      </c>
      <c r="Q274">
        <v>1.2602221952935002E-3</v>
      </c>
      <c r="R274">
        <v>1.4000245673130587E-3</v>
      </c>
      <c r="S274">
        <v>0.2279430307537883</v>
      </c>
      <c r="T274">
        <v>3.8481428833078866</v>
      </c>
      <c r="U274">
        <v>0</v>
      </c>
      <c r="V274">
        <v>9.4523053561131852E-3</v>
      </c>
      <c r="W274">
        <v>7.0676537322156313E-2</v>
      </c>
      <c r="X274">
        <v>1.0070643394733292E-2</v>
      </c>
      <c r="Y274">
        <v>3.9565763140460095E-3</v>
      </c>
    </row>
    <row r="275" spans="1:25" x14ac:dyDescent="0.25">
      <c r="A275" s="1090"/>
      <c r="B275" s="1448">
        <v>25</v>
      </c>
      <c r="C275" s="1095">
        <v>0.9966024529028169</v>
      </c>
      <c r="D275" s="1095">
        <v>1.0083143837541604</v>
      </c>
      <c r="E275" s="1095">
        <v>1.0482349987724033</v>
      </c>
      <c r="F275" s="1095">
        <v>0.99820375064265043</v>
      </c>
      <c r="G275" s="1095">
        <v>0.96883351072327761</v>
      </c>
      <c r="H275" s="1095">
        <v>0.97085835881888527</v>
      </c>
      <c r="I275" s="1095">
        <v>1.0332737874525864</v>
      </c>
      <c r="K275">
        <v>4.4794690310968752</v>
      </c>
      <c r="L275">
        <v>0</v>
      </c>
      <c r="M275">
        <v>1.2804246030918619E-3</v>
      </c>
      <c r="N275">
        <v>0.12778511381150165</v>
      </c>
      <c r="O275">
        <v>3.7994363807681938E-2</v>
      </c>
      <c r="P275">
        <v>1.9804736898775537E-2</v>
      </c>
      <c r="Q275">
        <v>1.3578778021226961E-3</v>
      </c>
      <c r="R275">
        <v>1.2750051886027877E-3</v>
      </c>
      <c r="S275">
        <v>0.2366682839902205</v>
      </c>
      <c r="T275">
        <v>3.957071258634687</v>
      </c>
      <c r="U275">
        <v>0</v>
      </c>
      <c r="V275">
        <v>9.4523053561132078E-3</v>
      </c>
      <c r="W275">
        <v>7.3713539379509155E-2</v>
      </c>
      <c r="X275">
        <v>1.2023708825713802E-2</v>
      </c>
      <c r="Y275">
        <v>3.6032620050327493E-3</v>
      </c>
    </row>
    <row r="276" spans="1:25" x14ac:dyDescent="0.25">
      <c r="A276" s="1090"/>
      <c r="B276" s="1448">
        <v>26</v>
      </c>
      <c r="C276" s="1095">
        <v>1.0130179829089654</v>
      </c>
      <c r="D276" s="1095">
        <v>0.9709451144317357</v>
      </c>
      <c r="E276" s="1095">
        <v>0.97563226621440335</v>
      </c>
      <c r="F276" s="1095">
        <v>0.99394016208379954</v>
      </c>
      <c r="G276" s="1095">
        <v>1.0148341165823307</v>
      </c>
      <c r="H276" s="1095">
        <v>0.99309838223741753</v>
      </c>
      <c r="I276" s="1095">
        <v>0.98809017344279715</v>
      </c>
      <c r="K276">
        <v>4.4473578691693945</v>
      </c>
      <c r="L276">
        <v>0</v>
      </c>
      <c r="M276">
        <v>1.518186886346374E-3</v>
      </c>
      <c r="N276">
        <v>0.12222001189377671</v>
      </c>
      <c r="O276">
        <v>3.8281219154462288E-2</v>
      </c>
      <c r="P276">
        <v>1.8662243161823754E-2</v>
      </c>
      <c r="Q276">
        <v>1.274981900240973E-3</v>
      </c>
      <c r="R276">
        <v>1.51187820638915E-3</v>
      </c>
      <c r="S276">
        <v>0.22623510597300722</v>
      </c>
      <c r="T276">
        <v>3.9429014498246397</v>
      </c>
      <c r="U276">
        <v>0</v>
      </c>
      <c r="V276">
        <v>9.4523053561131904E-3</v>
      </c>
      <c r="W276">
        <v>7.4020429812627145E-2</v>
      </c>
      <c r="X276">
        <v>1.0043747534962533E-2</v>
      </c>
      <c r="Y276">
        <v>4.2726832376964122E-3</v>
      </c>
    </row>
    <row r="277" spans="1:25" x14ac:dyDescent="0.25">
      <c r="A277" s="1090"/>
      <c r="B277" s="1448">
        <v>27</v>
      </c>
      <c r="C277" s="1095">
        <v>0.95347905876570549</v>
      </c>
      <c r="D277" s="1095">
        <v>1.0085005437075476</v>
      </c>
      <c r="E277" s="1095">
        <v>1.0315438330480553</v>
      </c>
      <c r="F277" s="1095">
        <v>0.96611055916998767</v>
      </c>
      <c r="G277" s="1095">
        <v>1.0205263634865764</v>
      </c>
      <c r="H277" s="1095">
        <v>0.99194223598121012</v>
      </c>
      <c r="I277" s="1095">
        <v>1.0133958522934496</v>
      </c>
      <c r="K277">
        <v>4.3592970051232554</v>
      </c>
      <c r="L277">
        <v>0</v>
      </c>
      <c r="M277">
        <v>1.3711582034496113E-3</v>
      </c>
      <c r="N277">
        <v>0.13025020029069281</v>
      </c>
      <c r="O277">
        <v>3.8549463451709898E-2</v>
      </c>
      <c r="P277">
        <v>1.8989620839998202E-2</v>
      </c>
      <c r="Q277">
        <v>1.3995291017425511E-3</v>
      </c>
      <c r="R277">
        <v>1.3652902250571703E-3</v>
      </c>
      <c r="S277">
        <v>0.23898079914318338</v>
      </c>
      <c r="T277">
        <v>3.8304497159269313</v>
      </c>
      <c r="U277">
        <v>0</v>
      </c>
      <c r="V277">
        <v>9.4523053561131904E-3</v>
      </c>
      <c r="W277">
        <v>7.5965183434231517E-2</v>
      </c>
      <c r="X277">
        <v>1.1407641146052642E-2</v>
      </c>
      <c r="Y277">
        <v>3.858414410989287E-3</v>
      </c>
    </row>
    <row r="278" spans="1:25" x14ac:dyDescent="0.25">
      <c r="A278" s="1090"/>
      <c r="B278" s="1448">
        <v>28</v>
      </c>
      <c r="C278" s="1095">
        <v>0.97859697418924063</v>
      </c>
      <c r="D278" s="1095">
        <v>0.98799406682333979</v>
      </c>
      <c r="E278" s="1095">
        <v>0.99221154740756468</v>
      </c>
      <c r="F278" s="1095">
        <v>0.98745227235386523</v>
      </c>
      <c r="G278" s="1095">
        <v>1.0298692538385796</v>
      </c>
      <c r="H278" s="1095">
        <v>1.0209127064606913</v>
      </c>
      <c r="I278" s="1095">
        <v>1.012299312626741</v>
      </c>
      <c r="K278">
        <v>4.4478131852435485</v>
      </c>
      <c r="L278">
        <v>0</v>
      </c>
      <c r="M278">
        <v>1.5394070830515262E-3</v>
      </c>
      <c r="N278">
        <v>0.13018712549834655</v>
      </c>
      <c r="O278">
        <v>3.8980772056811115E-2</v>
      </c>
      <c r="P278">
        <v>1.8839635605424659E-2</v>
      </c>
      <c r="Q278">
        <v>1.3296211510564376E-3</v>
      </c>
      <c r="R278">
        <v>1.5331437896497371E-3</v>
      </c>
      <c r="S278">
        <v>0.23976841685995012</v>
      </c>
      <c r="T278">
        <v>3.9165360533471625</v>
      </c>
      <c r="U278">
        <v>0</v>
      </c>
      <c r="V278">
        <v>9.4523053561131835E-3</v>
      </c>
      <c r="W278">
        <v>7.7957392440938245E-2</v>
      </c>
      <c r="X278">
        <v>1.0435344821605807E-2</v>
      </c>
      <c r="Y278">
        <v>4.3327813995413097E-3</v>
      </c>
    </row>
    <row r="279" spans="1:25" x14ac:dyDescent="0.25">
      <c r="A279" s="1090"/>
      <c r="B279" s="1448">
        <v>29</v>
      </c>
      <c r="C279" s="1095">
        <v>1.0199303891655267</v>
      </c>
      <c r="D279" s="1095">
        <v>0.96984215256007478</v>
      </c>
      <c r="E279" s="1095">
        <v>1.0015687657211092</v>
      </c>
      <c r="F279" s="1095">
        <v>1.0182381621118217</v>
      </c>
      <c r="G279" s="1095">
        <v>1.0047509999714666</v>
      </c>
      <c r="H279" s="1095">
        <v>1.0047942908097764</v>
      </c>
      <c r="I279" s="1095">
        <v>0.9631122606191278</v>
      </c>
      <c r="K279">
        <v>4.5511872995837459</v>
      </c>
      <c r="L279">
        <v>0</v>
      </c>
      <c r="M279">
        <v>1.4805444892666032E-3</v>
      </c>
      <c r="N279">
        <v>0.12873761824579757</v>
      </c>
      <c r="O279">
        <v>3.8789333078348205E-2</v>
      </c>
      <c r="P279">
        <v>1.9452395097274415E-2</v>
      </c>
      <c r="Q279">
        <v>1.2956039534201479E-3</v>
      </c>
      <c r="R279">
        <v>1.4746083582592405E-3</v>
      </c>
      <c r="S279">
        <v>0.22354670737602936</v>
      </c>
      <c r="T279">
        <v>4.038278874494944</v>
      </c>
      <c r="U279">
        <v>0</v>
      </c>
      <c r="V279">
        <v>9.4523053561131921E-3</v>
      </c>
      <c r="W279">
        <v>7.6602389339822441E-2</v>
      </c>
      <c r="X279">
        <v>1.0870652971540846E-2</v>
      </c>
      <c r="Y279">
        <v>4.167355801462989E-3</v>
      </c>
    </row>
    <row r="280" spans="1:25" x14ac:dyDescent="0.25">
      <c r="A280" s="1090"/>
      <c r="B280" s="1448">
        <v>30</v>
      </c>
      <c r="C280" s="1095">
        <v>0.9818179006919695</v>
      </c>
      <c r="D280" s="1095">
        <v>1.0175355851662093</v>
      </c>
      <c r="E280" s="1095">
        <v>1.0007353306004672</v>
      </c>
      <c r="F280" s="1095">
        <v>1.018475549578578</v>
      </c>
      <c r="G280" s="1095">
        <v>0.95669231088827766</v>
      </c>
      <c r="H280" s="1095">
        <v>1.0362322737743779</v>
      </c>
      <c r="I280" s="1095">
        <v>1.0453480898988601</v>
      </c>
      <c r="K280">
        <v>4.5911969233969234</v>
      </c>
      <c r="L280">
        <v>0</v>
      </c>
      <c r="M280">
        <v>1.5590670912505476E-3</v>
      </c>
      <c r="N280">
        <v>0.13524769486854504</v>
      </c>
      <c r="O280">
        <v>3.9543806808080846E-2</v>
      </c>
      <c r="P280">
        <v>1.9569874823756377E-2</v>
      </c>
      <c r="Q280">
        <v>1.319357377732737E-3</v>
      </c>
      <c r="R280">
        <v>1.5530071832075209E-3</v>
      </c>
      <c r="S280">
        <v>0.25103325377015057</v>
      </c>
      <c r="T280">
        <v>4.0392526467384302</v>
      </c>
      <c r="U280">
        <v>0</v>
      </c>
      <c r="V280">
        <v>9.4523053561131939E-3</v>
      </c>
      <c r="W280">
        <v>8.0521371533370287E-2</v>
      </c>
      <c r="X280">
        <v>1.0873755162552359E-2</v>
      </c>
      <c r="Y280">
        <v>4.3889168662339653E-3</v>
      </c>
    </row>
    <row r="281" spans="1:25" x14ac:dyDescent="0.25">
      <c r="A281" s="1090"/>
      <c r="B281" s="1448">
        <v>31</v>
      </c>
      <c r="C281" s="1095">
        <v>1.0081343293114198</v>
      </c>
      <c r="D281" s="1095">
        <v>0.98941820804725022</v>
      </c>
      <c r="E281" s="1095">
        <v>1.0130733195189632</v>
      </c>
      <c r="F281" s="1095">
        <v>1.0024741905067707</v>
      </c>
      <c r="G281" s="1095">
        <v>1.0371566675232016</v>
      </c>
      <c r="H281" s="1095">
        <v>0.97122626980224136</v>
      </c>
      <c r="I281" s="1095">
        <v>1.0110022293143308</v>
      </c>
      <c r="K281">
        <v>4.487091874162207</v>
      </c>
      <c r="L281">
        <v>0</v>
      </c>
      <c r="M281">
        <v>1.3802660414099449E-3</v>
      </c>
      <c r="N281">
        <v>0.12415210019858987</v>
      </c>
      <c r="O281">
        <v>3.8249079245925979E-2</v>
      </c>
      <c r="P281">
        <v>1.9363495161997025E-2</v>
      </c>
      <c r="Q281">
        <v>1.3131520632785113E-3</v>
      </c>
      <c r="R281">
        <v>1.3744510347872003E-3</v>
      </c>
      <c r="S281">
        <v>0.23092182272980344</v>
      </c>
      <c r="T281">
        <v>3.9753221823160483</v>
      </c>
      <c r="U281">
        <v>0</v>
      </c>
      <c r="V281">
        <v>9.4523053561131817E-3</v>
      </c>
      <c r="W281">
        <v>7.3304512355953172E-2</v>
      </c>
      <c r="X281">
        <v>1.1134736182442035E-2</v>
      </c>
      <c r="Y281">
        <v>3.8843035586810905E-3</v>
      </c>
    </row>
    <row r="282" spans="1:25" x14ac:dyDescent="0.25">
      <c r="A282" s="1090"/>
      <c r="B282" s="1448">
        <v>32</v>
      </c>
      <c r="C282" s="1094">
        <v>0.98832532018517716</v>
      </c>
      <c r="D282" s="1094">
        <v>1.0071673221140087</v>
      </c>
      <c r="E282" s="1094">
        <v>1.0032197782735914</v>
      </c>
      <c r="F282" s="1094">
        <v>0.98244116273562498</v>
      </c>
      <c r="G282" s="1094">
        <v>1.0097414471929027</v>
      </c>
      <c r="H282" s="1094">
        <v>0.9967190788909337</v>
      </c>
      <c r="I282" s="1094">
        <v>0.99894953654451435</v>
      </c>
      <c r="K282">
        <v>4.4088592191527018</v>
      </c>
      <c r="L282">
        <v>0</v>
      </c>
      <c r="M282">
        <v>1.4356144386160903E-3</v>
      </c>
      <c r="N282">
        <v>0.12542030374547772</v>
      </c>
      <c r="O282">
        <v>3.8032207619325201E-2</v>
      </c>
      <c r="P282">
        <v>1.8859402022438874E-2</v>
      </c>
      <c r="Q282">
        <v>1.3188524925248934E-3</v>
      </c>
      <c r="R282">
        <v>1.4296012712306709E-3</v>
      </c>
      <c r="S282">
        <v>0.23028818461467154</v>
      </c>
      <c r="T282">
        <v>3.8962481664074513</v>
      </c>
      <c r="U282">
        <v>0</v>
      </c>
      <c r="V282">
        <v>9.4523053561131817E-3</v>
      </c>
      <c r="W282">
        <v>7.4545402071473393E-2</v>
      </c>
      <c r="X282">
        <v>1.0660245653222255E-2</v>
      </c>
      <c r="Y282">
        <v>4.0401623373917056E-3</v>
      </c>
    </row>
    <row r="283" spans="1:25" x14ac:dyDescent="0.25">
      <c r="A283" s="1090"/>
      <c r="B283" s="1448">
        <v>33</v>
      </c>
      <c r="C283" s="1094">
        <v>0.99693503191214261</v>
      </c>
      <c r="D283" s="1094">
        <v>0.97677221759962873</v>
      </c>
      <c r="E283" s="1094">
        <v>1.0293249949698673</v>
      </c>
      <c r="F283" s="1094">
        <v>1.0306405806198096</v>
      </c>
      <c r="G283" s="1094">
        <v>1.0063773835540499</v>
      </c>
      <c r="H283" s="1094">
        <v>0.97396939964732043</v>
      </c>
      <c r="I283" s="1094">
        <v>0.99186523186888498</v>
      </c>
      <c r="K283">
        <v>4.6165244652948241</v>
      </c>
      <c r="L283">
        <v>0</v>
      </c>
      <c r="M283">
        <v>1.3974864374954848E-3</v>
      </c>
      <c r="N283">
        <v>0.13190879717498233</v>
      </c>
      <c r="O283">
        <v>3.9853843493116575E-2</v>
      </c>
      <c r="P283">
        <v>2.012804763208766E-2</v>
      </c>
      <c r="Q283">
        <v>1.3532227852671682E-3</v>
      </c>
      <c r="R283">
        <v>1.3917752732605499E-3</v>
      </c>
      <c r="S283">
        <v>0.23453991603788044</v>
      </c>
      <c r="T283">
        <v>4.0863851005534499</v>
      </c>
      <c r="U283">
        <v>0</v>
      </c>
      <c r="V283">
        <v>9.4523053561131904E-3</v>
      </c>
      <c r="W283">
        <v>7.7045624981139232E-2</v>
      </c>
      <c r="X283">
        <v>1.1930055265769589E-2</v>
      </c>
      <c r="Y283">
        <v>3.933263179249814E-3</v>
      </c>
    </row>
    <row r="284" spans="1:25" x14ac:dyDescent="0.25">
      <c r="A284" s="1090"/>
      <c r="B284" s="1448">
        <v>34</v>
      </c>
      <c r="C284" s="1094">
        <v>1.0233194381288726</v>
      </c>
      <c r="D284" s="1094">
        <v>0.95966085016662617</v>
      </c>
      <c r="E284" s="1094">
        <v>1.0061977419719628</v>
      </c>
      <c r="F284" s="1094">
        <v>0.99630814368938092</v>
      </c>
      <c r="G284" s="1094">
        <v>0.95600794992466709</v>
      </c>
      <c r="H284" s="1094">
        <v>1.0213272659479593</v>
      </c>
      <c r="I284" s="1094">
        <v>1.0164176229225903</v>
      </c>
      <c r="K284">
        <v>4.4725829295923782</v>
      </c>
      <c r="L284">
        <v>0</v>
      </c>
      <c r="M284">
        <v>1.4596492070000436E-3</v>
      </c>
      <c r="N284">
        <v>0.12867019163273</v>
      </c>
      <c r="O284">
        <v>3.7956768863772881E-2</v>
      </c>
      <c r="P284">
        <v>1.9167676072791993E-2</v>
      </c>
      <c r="Q284">
        <v>1.3019177772251699E-3</v>
      </c>
      <c r="R284">
        <v>1.4537653796189735E-3</v>
      </c>
      <c r="S284">
        <v>0.23373335631041781</v>
      </c>
      <c r="T284">
        <v>3.9511302868631133</v>
      </c>
      <c r="U284">
        <v>0</v>
      </c>
      <c r="V284">
        <v>9.4523053561131904E-3</v>
      </c>
      <c r="W284">
        <v>7.6323737726314886E-2</v>
      </c>
      <c r="X284">
        <v>1.0744120864738806E-2</v>
      </c>
      <c r="Y284">
        <v>4.1084519525394526E-3</v>
      </c>
    </row>
    <row r="285" spans="1:25" x14ac:dyDescent="0.25">
      <c r="A285" s="1090"/>
      <c r="B285" s="1448">
        <v>35</v>
      </c>
      <c r="C285" s="1094">
        <v>1.0299405451260004</v>
      </c>
      <c r="D285" s="1094">
        <v>1.0064074863566526</v>
      </c>
      <c r="E285" s="1094">
        <v>1.0279994666716885</v>
      </c>
      <c r="F285" s="1094">
        <v>1.0068465635615635</v>
      </c>
      <c r="G285" s="1094">
        <v>1.0194880157118082</v>
      </c>
      <c r="H285" s="1094">
        <v>1.0181234767228788</v>
      </c>
      <c r="I285" s="1094">
        <v>1.0209633756226129</v>
      </c>
      <c r="K285">
        <v>4.510166457952435</v>
      </c>
      <c r="L285">
        <v>0</v>
      </c>
      <c r="M285">
        <v>1.3689252085257396E-3</v>
      </c>
      <c r="N285">
        <v>0.12871849887557599</v>
      </c>
      <c r="O285">
        <v>3.7247115825046258E-2</v>
      </c>
      <c r="P285">
        <v>1.9655753474685116E-2</v>
      </c>
      <c r="Q285">
        <v>1.2928475115083233E-3</v>
      </c>
      <c r="R285">
        <v>1.3634474267673539E-3</v>
      </c>
      <c r="S285">
        <v>0.231294644432191</v>
      </c>
      <c r="T285">
        <v>3.9920943498693013</v>
      </c>
      <c r="U285">
        <v>0</v>
      </c>
      <c r="V285">
        <v>9.4523053561131921E-3</v>
      </c>
      <c r="W285">
        <v>7.5248318904207273E-2</v>
      </c>
      <c r="X285">
        <v>1.1314894963230605E-2</v>
      </c>
      <c r="Y285">
        <v>3.8532065223312729E-3</v>
      </c>
    </row>
    <row r="286" spans="1:25" x14ac:dyDescent="0.25">
      <c r="A286" s="1090"/>
      <c r="B286" s="1448">
        <v>36</v>
      </c>
      <c r="C286" s="1094">
        <v>1.0426778960132232</v>
      </c>
      <c r="D286" s="1094">
        <v>0.99023167948627311</v>
      </c>
      <c r="E286" s="1094">
        <v>1.0254304826787666</v>
      </c>
      <c r="F286" s="1094">
        <v>1.0002665472350241</v>
      </c>
      <c r="G286" s="1094">
        <v>1.0030002454239444</v>
      </c>
      <c r="H286" s="1094">
        <v>0.99436387247678515</v>
      </c>
      <c r="I286" s="1094">
        <v>1.0138214349237151</v>
      </c>
      <c r="K286">
        <v>4.4697055844698097</v>
      </c>
      <c r="L286">
        <v>0</v>
      </c>
      <c r="M286">
        <v>1.3277754256268051E-3</v>
      </c>
      <c r="N286">
        <v>0.1238891398010713</v>
      </c>
      <c r="O286">
        <v>3.6806385185582678E-2</v>
      </c>
      <c r="P286">
        <v>1.9470403940794228E-2</v>
      </c>
      <c r="Q286">
        <v>1.2825786221914632E-3</v>
      </c>
      <c r="R286">
        <v>1.3222997129157831E-3</v>
      </c>
      <c r="S286">
        <v>0.225219300684876</v>
      </c>
      <c r="T286">
        <v>3.966101498344154</v>
      </c>
      <c r="U286">
        <v>0</v>
      </c>
      <c r="V286">
        <v>9.4523053561131991E-3</v>
      </c>
      <c r="W286">
        <v>7.2548701322736026E-2</v>
      </c>
      <c r="X286">
        <v>1.1203826983488468E-2</v>
      </c>
      <c r="Y286">
        <v>3.7369199415073929E-3</v>
      </c>
    </row>
    <row r="287" spans="1:25" x14ac:dyDescent="0.25">
      <c r="A287" s="1090"/>
      <c r="B287" s="1448">
        <v>37</v>
      </c>
      <c r="C287" s="1094">
        <v>0.98434354497871346</v>
      </c>
      <c r="D287" s="1094">
        <v>1.0059165254712024</v>
      </c>
      <c r="E287" s="1094">
        <v>1.0384606299546102</v>
      </c>
      <c r="F287" s="1094">
        <v>0.99028409777891324</v>
      </c>
      <c r="G287" s="1094">
        <v>1.0305509428628845</v>
      </c>
      <c r="H287" s="1094">
        <v>0.99378820787000077</v>
      </c>
      <c r="I287" s="1094">
        <v>0.98272549358943539</v>
      </c>
      <c r="K287">
        <v>4.4448078664212982</v>
      </c>
      <c r="L287">
        <v>0</v>
      </c>
      <c r="M287">
        <v>1.3453447268030176E-3</v>
      </c>
      <c r="N287">
        <v>0.13045198054725046</v>
      </c>
      <c r="O287">
        <v>3.8266453325058021E-2</v>
      </c>
      <c r="P287">
        <v>1.9483201723074613E-2</v>
      </c>
      <c r="Q287">
        <v>1.3649288963990416E-3</v>
      </c>
      <c r="R287">
        <v>1.3397376165735439E-3</v>
      </c>
      <c r="S287">
        <v>0.22855318605002753</v>
      </c>
      <c r="T287">
        <v>3.9260369750316118</v>
      </c>
      <c r="U287">
        <v>0</v>
      </c>
      <c r="V287">
        <v>9.4523053561131887E-3</v>
      </c>
      <c r="W287">
        <v>7.5736290790148458E-2</v>
      </c>
      <c r="X287">
        <v>1.1681951023278039E-2</v>
      </c>
      <c r="Y287">
        <v>3.7862007885651884E-3</v>
      </c>
    </row>
    <row r="288" spans="1:25" x14ac:dyDescent="0.25">
      <c r="A288" s="1090"/>
      <c r="B288" s="1448">
        <v>38</v>
      </c>
      <c r="C288" s="1094">
        <v>1.0267054244583969</v>
      </c>
      <c r="D288" s="1094">
        <v>0.99885660021866429</v>
      </c>
      <c r="E288" s="1094">
        <v>1.0402337713230771</v>
      </c>
      <c r="F288" s="1094">
        <v>1.0043909325888321</v>
      </c>
      <c r="G288" s="1094">
        <v>0.99206168139015438</v>
      </c>
      <c r="H288" s="1094">
        <v>0.99019752255065774</v>
      </c>
      <c r="I288" s="1094">
        <v>1.0239443922937033</v>
      </c>
      <c r="K288">
        <v>4.4963767475404035</v>
      </c>
      <c r="L288">
        <v>0</v>
      </c>
      <c r="M288">
        <v>1.3021839027890993E-3</v>
      </c>
      <c r="N288">
        <v>0.12693558491636289</v>
      </c>
      <c r="O288">
        <v>3.7303201785082667E-2</v>
      </c>
      <c r="P288">
        <v>1.9779953166670441E-2</v>
      </c>
      <c r="Q288">
        <v>1.3142503617459278E-3</v>
      </c>
      <c r="R288">
        <v>1.2968131875496273E-3</v>
      </c>
      <c r="S288">
        <v>0.23072396596426054</v>
      </c>
      <c r="T288">
        <v>3.9818978074927998</v>
      </c>
      <c r="U288">
        <v>0</v>
      </c>
      <c r="V288">
        <v>9.4523053561132043E-3</v>
      </c>
      <c r="W288">
        <v>7.3608830889394419E-2</v>
      </c>
      <c r="X288">
        <v>1.1701325248191686E-2</v>
      </c>
      <c r="Y288">
        <v>3.664893075018473E-3</v>
      </c>
    </row>
    <row r="289" spans="1:25" x14ac:dyDescent="0.25">
      <c r="A289" s="1090"/>
      <c r="B289" s="1448">
        <v>39</v>
      </c>
      <c r="C289" s="1094">
        <v>1.025094455430287</v>
      </c>
      <c r="D289" s="1094">
        <v>1.0084126552035833</v>
      </c>
      <c r="E289" s="1094">
        <v>1.0031663763285212</v>
      </c>
      <c r="F289" s="1094">
        <v>0.99641048744920779</v>
      </c>
      <c r="G289" s="1094">
        <v>0.96858533305117511</v>
      </c>
      <c r="H289" s="1094">
        <v>0.99823820185570677</v>
      </c>
      <c r="I289" s="1094">
        <v>0.99487139615877107</v>
      </c>
      <c r="K289">
        <v>4.4522003105798555</v>
      </c>
      <c r="L289">
        <v>0</v>
      </c>
      <c r="M289">
        <v>1.4053218217368944E-3</v>
      </c>
      <c r="N289">
        <v>0.12276239826181848</v>
      </c>
      <c r="O289">
        <v>3.7171389866384227E-2</v>
      </c>
      <c r="P289">
        <v>1.9079240085783364E-2</v>
      </c>
      <c r="Q289">
        <v>1.2708601486248125E-3</v>
      </c>
      <c r="R289">
        <v>1.3995265536445398E-3</v>
      </c>
      <c r="S289">
        <v>0.22326426168065061</v>
      </c>
      <c r="T289">
        <v>3.9516509177030454</v>
      </c>
      <c r="U289">
        <v>0</v>
      </c>
      <c r="V289">
        <v>9.4523053561132008E-3</v>
      </c>
      <c r="W289">
        <v>7.2968264756437112E-2</v>
      </c>
      <c r="X289">
        <v>1.0631299099688463E-2</v>
      </c>
      <c r="Y289">
        <v>3.9551688893972314E-3</v>
      </c>
    </row>
    <row r="290" spans="1:25" x14ac:dyDescent="0.25">
      <c r="A290" s="1090"/>
      <c r="B290" s="1448">
        <v>40</v>
      </c>
      <c r="C290" s="1094">
        <v>0.95628548960361492</v>
      </c>
      <c r="D290" s="1094">
        <v>0.987698797715021</v>
      </c>
      <c r="E290" s="1094">
        <v>1.0102957708405658</v>
      </c>
      <c r="F290" s="1094">
        <v>0.9893530120255275</v>
      </c>
      <c r="G290" s="1094">
        <v>1.0201836639178876</v>
      </c>
      <c r="H290" s="1094">
        <v>1.0476260998952807</v>
      </c>
      <c r="I290" s="1094">
        <v>1.011573894632833</v>
      </c>
      <c r="K290">
        <v>4.4776895737940263</v>
      </c>
      <c r="L290">
        <v>0</v>
      </c>
      <c r="M290">
        <v>1.5592947451631995E-3</v>
      </c>
      <c r="N290">
        <v>0.13914253522503553</v>
      </c>
      <c r="O290">
        <v>3.9842687195870842E-2</v>
      </c>
      <c r="P290">
        <v>1.9162561407631139E-2</v>
      </c>
      <c r="Q290">
        <v>1.3820439115590202E-3</v>
      </c>
      <c r="R290">
        <v>1.5531241352872256E-3</v>
      </c>
      <c r="S290">
        <v>0.24765677969662742</v>
      </c>
      <c r="T290">
        <v>3.9233940539220775</v>
      </c>
      <c r="U290">
        <v>0</v>
      </c>
      <c r="V290">
        <v>9.4523053561131921E-3</v>
      </c>
      <c r="W290">
        <v>8.2308637263344211E-2</v>
      </c>
      <c r="X290">
        <v>1.0964893043901814E-2</v>
      </c>
      <c r="Y290">
        <v>4.3892473817400786E-3</v>
      </c>
    </row>
    <row r="291" spans="1:25" x14ac:dyDescent="0.25">
      <c r="A291" s="1090"/>
      <c r="B291" s="1448">
        <v>41</v>
      </c>
      <c r="C291" s="1094">
        <v>1.0321218184620928</v>
      </c>
      <c r="D291" s="1094">
        <v>0.99286908258435425</v>
      </c>
      <c r="E291" s="1094">
        <v>0.96038209162662891</v>
      </c>
      <c r="F291" s="1094">
        <v>0.98692943993195437</v>
      </c>
      <c r="G291" s="1094">
        <v>1.0128223861909593</v>
      </c>
      <c r="H291" s="1094">
        <v>0.98349264476798814</v>
      </c>
      <c r="I291" s="1094">
        <v>0.99036680361757479</v>
      </c>
      <c r="K291">
        <v>4.4007322581950099</v>
      </c>
      <c r="L291">
        <v>0</v>
      </c>
      <c r="M291">
        <v>1.499433287657741E-3</v>
      </c>
      <c r="N291">
        <v>0.11535676515188095</v>
      </c>
      <c r="O291">
        <v>3.7075762747582459E-2</v>
      </c>
      <c r="P291">
        <v>1.8294362725706767E-2</v>
      </c>
      <c r="Q291">
        <v>1.2238212081364319E-3</v>
      </c>
      <c r="R291">
        <v>1.4930971738295307E-3</v>
      </c>
      <c r="S291">
        <v>0.21929978506341688</v>
      </c>
      <c r="T291">
        <v>3.915672411750946</v>
      </c>
      <c r="U291">
        <v>0</v>
      </c>
      <c r="V291">
        <v>9.4523053561131939E-3</v>
      </c>
      <c r="W291">
        <v>7.0603684702835276E-2</v>
      </c>
      <c r="X291">
        <v>9.5400889963974597E-3</v>
      </c>
      <c r="Y291">
        <v>4.2196066058189227E-3</v>
      </c>
    </row>
    <row r="292" spans="1:25" x14ac:dyDescent="0.25">
      <c r="A292" s="1090"/>
      <c r="B292" s="1448">
        <v>42</v>
      </c>
      <c r="C292" s="1094">
        <v>1.0067583447394461</v>
      </c>
      <c r="D292" s="1094">
        <v>0.96290318399522368</v>
      </c>
      <c r="E292" s="1094">
        <v>1.0106665371053294</v>
      </c>
      <c r="F292" s="1094">
        <v>1.0165915869825135</v>
      </c>
      <c r="G292" s="1094">
        <v>0.98449819123122106</v>
      </c>
      <c r="H292" s="1094">
        <v>0.98413755985366702</v>
      </c>
      <c r="I292" s="1094">
        <v>0.98321382840757177</v>
      </c>
      <c r="K292">
        <v>4.5513145095566871</v>
      </c>
      <c r="L292">
        <v>0</v>
      </c>
      <c r="M292">
        <v>1.4429927216455907E-3</v>
      </c>
      <c r="N292">
        <v>0.12888734194937704</v>
      </c>
      <c r="O292">
        <v>3.9282040920472341E-2</v>
      </c>
      <c r="P292">
        <v>1.9581473423646138E-2</v>
      </c>
      <c r="Q292">
        <v>1.3265939587136391E-3</v>
      </c>
      <c r="R292">
        <v>1.4370761853685992E-3</v>
      </c>
      <c r="S292">
        <v>0.22987605222975063</v>
      </c>
      <c r="T292">
        <v>4.0313975007511447</v>
      </c>
      <c r="U292">
        <v>0</v>
      </c>
      <c r="V292">
        <v>9.4523053561131869E-3</v>
      </c>
      <c r="W292">
        <v>7.6223292846375398E-2</v>
      </c>
      <c r="X292">
        <v>1.1232537641943282E-2</v>
      </c>
      <c r="Y292">
        <v>4.0612870154281902E-3</v>
      </c>
    </row>
    <row r="293" spans="1:25" x14ac:dyDescent="0.25">
      <c r="A293" s="1090"/>
      <c r="B293" s="1448">
        <v>43</v>
      </c>
      <c r="C293" s="1094">
        <v>1.0304576907634704</v>
      </c>
      <c r="D293" s="1094">
        <v>1.0031476593176243</v>
      </c>
      <c r="E293" s="1094">
        <v>1.0099998935440941</v>
      </c>
      <c r="F293" s="1094">
        <v>0.97249325207330095</v>
      </c>
      <c r="G293" s="1094">
        <v>0.98139958630912427</v>
      </c>
      <c r="H293" s="1094">
        <v>1.0240933921449518</v>
      </c>
      <c r="I293" s="1094">
        <v>0.98104958173399737</v>
      </c>
      <c r="K293">
        <v>4.3502821122443391</v>
      </c>
      <c r="L293">
        <v>0</v>
      </c>
      <c r="M293">
        <v>1.3828029408263689E-3</v>
      </c>
      <c r="N293">
        <v>0.12326546417692351</v>
      </c>
      <c r="O293">
        <v>3.6121706704628942E-2</v>
      </c>
      <c r="P293">
        <v>1.8714359989886027E-2</v>
      </c>
      <c r="Q293">
        <v>1.2743058855044411E-3</v>
      </c>
      <c r="R293">
        <v>1.3771083780456622E-3</v>
      </c>
      <c r="S293">
        <v>0.21761992573662803</v>
      </c>
      <c r="T293">
        <v>3.8565456243112228</v>
      </c>
      <c r="U293">
        <v>0</v>
      </c>
      <c r="V293">
        <v>9.4523053561131991E-3</v>
      </c>
      <c r="W293">
        <v>7.2931167845883632E-2</v>
      </c>
      <c r="X293">
        <v>1.0471133386714359E-2</v>
      </c>
      <c r="Y293">
        <v>3.8918134136080632E-3</v>
      </c>
    </row>
    <row r="294" spans="1:25" x14ac:dyDescent="0.25">
      <c r="A294" s="1090"/>
      <c r="B294" s="1448">
        <v>44</v>
      </c>
      <c r="C294" s="1094">
        <v>1.002406038005081</v>
      </c>
      <c r="D294" s="1094">
        <v>1.0099153721582399</v>
      </c>
      <c r="E294" s="1094">
        <v>1.0414292488345085</v>
      </c>
      <c r="F294" s="1094">
        <v>1.0025949919809103</v>
      </c>
      <c r="G294" s="1094">
        <v>0.97849589764717937</v>
      </c>
      <c r="H294" s="1094">
        <v>1.0123456768827799</v>
      </c>
      <c r="I294" s="1094">
        <v>0.97904839416306255</v>
      </c>
      <c r="K294">
        <v>4.4942267027509812</v>
      </c>
      <c r="L294">
        <v>0</v>
      </c>
      <c r="M294">
        <v>1.3517444275281106E-3</v>
      </c>
      <c r="N294">
        <v>0.1322438743291145</v>
      </c>
      <c r="O294">
        <v>3.7963325569852754E-2</v>
      </c>
      <c r="P294">
        <v>1.9743888587328538E-2</v>
      </c>
      <c r="Q294">
        <v>1.3415323465141369E-3</v>
      </c>
      <c r="R294">
        <v>1.3462815499289556E-3</v>
      </c>
      <c r="S294">
        <v>0.22657099322146679</v>
      </c>
      <c r="T294">
        <v>3.9747330924510291</v>
      </c>
      <c r="U294">
        <v>0</v>
      </c>
      <c r="V294">
        <v>9.4523053561131991E-3</v>
      </c>
      <c r="W294">
        <v>7.6626806918834597E-2</v>
      </c>
      <c r="X294">
        <v>1.1751652404488696E-2</v>
      </c>
      <c r="Y294">
        <v>3.8046944438332609E-3</v>
      </c>
    </row>
    <row r="295" spans="1:25" x14ac:dyDescent="0.25">
      <c r="A295" s="1090"/>
      <c r="B295" s="1448">
        <v>45</v>
      </c>
      <c r="C295" s="1094">
        <v>0.98995667377635543</v>
      </c>
      <c r="D295" s="1094">
        <v>1.0008270189803332</v>
      </c>
      <c r="E295" s="1094">
        <v>1.0056442541832411</v>
      </c>
      <c r="F295" s="1094">
        <v>0.97255419924821873</v>
      </c>
      <c r="G295" s="1094">
        <v>1.027863645261639</v>
      </c>
      <c r="H295" s="1094">
        <v>1.0069514878480101</v>
      </c>
      <c r="I295" s="1094">
        <v>1.0137122427126097</v>
      </c>
      <c r="K295">
        <v>4.3721440637419668</v>
      </c>
      <c r="L295">
        <v>0</v>
      </c>
      <c r="M295">
        <v>1.4297533928444353E-3</v>
      </c>
      <c r="N295">
        <v>0.12580856623843795</v>
      </c>
      <c r="O295">
        <v>3.7666128368259437E-2</v>
      </c>
      <c r="P295">
        <v>1.8725999211664363E-2</v>
      </c>
      <c r="Q295">
        <v>1.3227472268610627E-3</v>
      </c>
      <c r="R295">
        <v>1.423765622424438E-3</v>
      </c>
      <c r="S295">
        <v>0.23294800105503932</v>
      </c>
      <c r="T295">
        <v>3.8569480140287959</v>
      </c>
      <c r="U295">
        <v>0</v>
      </c>
      <c r="V295">
        <v>9.4523053561131991E-3</v>
      </c>
      <c r="W295">
        <v>7.4654107746859932E-2</v>
      </c>
      <c r="X295">
        <v>1.0600511932016769E-2</v>
      </c>
      <c r="Y295">
        <v>4.0236703483345817E-3</v>
      </c>
    </row>
    <row r="296" spans="1:25" x14ac:dyDescent="0.25">
      <c r="A296" s="1090"/>
      <c r="B296" s="1448">
        <v>46</v>
      </c>
      <c r="C296" s="1094">
        <v>1.021809262507489</v>
      </c>
      <c r="D296" s="1094">
        <v>1.0231930294577307</v>
      </c>
      <c r="E296" s="1094">
        <v>1.0102930336695608</v>
      </c>
      <c r="F296" s="1094">
        <v>1.0327560531078395</v>
      </c>
      <c r="G296" s="1094">
        <v>0.96457792162387468</v>
      </c>
      <c r="H296" s="1094">
        <v>0.99750255165769475</v>
      </c>
      <c r="I296" s="1094">
        <v>0.99907627471307181</v>
      </c>
      <c r="K296">
        <v>4.612174389921786</v>
      </c>
      <c r="L296">
        <v>0</v>
      </c>
      <c r="M296">
        <v>1.4298607149322692E-3</v>
      </c>
      <c r="N296">
        <v>0.12758836283553923</v>
      </c>
      <c r="O296">
        <v>3.8377777058960387E-2</v>
      </c>
      <c r="P296">
        <v>1.9867923646100856E-2</v>
      </c>
      <c r="Q296">
        <v>1.2752793917631922E-3</v>
      </c>
      <c r="R296">
        <v>1.4241667457928263E-3</v>
      </c>
      <c r="S296">
        <v>0.22942987151494301</v>
      </c>
      <c r="T296">
        <v>4.0955139516727659</v>
      </c>
      <c r="U296">
        <v>0</v>
      </c>
      <c r="V296">
        <v>9.4523053561132026E-3</v>
      </c>
      <c r="W296">
        <v>7.5473999028850478E-2</v>
      </c>
      <c r="X296">
        <v>1.1175809432287789E-2</v>
      </c>
      <c r="Y296">
        <v>4.0248039535979675E-3</v>
      </c>
    </row>
    <row r="297" spans="1:25" x14ac:dyDescent="0.25">
      <c r="A297" s="1090"/>
      <c r="B297" s="1448">
        <v>47</v>
      </c>
      <c r="C297" s="1094">
        <v>0.99311016960660192</v>
      </c>
      <c r="D297" s="1094">
        <v>1.0059827190063175</v>
      </c>
      <c r="E297" s="1094">
        <v>0.98397049162337014</v>
      </c>
      <c r="F297" s="1094">
        <v>1.0140218626318978</v>
      </c>
      <c r="G297" s="1094">
        <v>0.97616103381377961</v>
      </c>
      <c r="H297" s="1094">
        <v>0.96077009477062503</v>
      </c>
      <c r="I297" s="1094">
        <v>0.99228519501164647</v>
      </c>
      <c r="K297">
        <v>4.5317534238722992</v>
      </c>
      <c r="L297">
        <v>0</v>
      </c>
      <c r="M297">
        <v>1.4806877115625175E-3</v>
      </c>
      <c r="N297">
        <v>0.12218059053113649</v>
      </c>
      <c r="O297">
        <v>3.9218511160424137E-2</v>
      </c>
      <c r="P297">
        <v>1.9153776507235046E-2</v>
      </c>
      <c r="Q297">
        <v>1.2915438704249307E-3</v>
      </c>
      <c r="R297">
        <v>1.4744532644456901E-3</v>
      </c>
      <c r="S297">
        <v>0.22990082509649412</v>
      </c>
      <c r="T297">
        <v>4.0222392079716585</v>
      </c>
      <c r="U297">
        <v>0</v>
      </c>
      <c r="V297">
        <v>9.4523053561131991E-3</v>
      </c>
      <c r="W297">
        <v>7.3574976125029973E-2</v>
      </c>
      <c r="X297">
        <v>1.058100420639079E-2</v>
      </c>
      <c r="Y297">
        <v>4.166917494505042E-3</v>
      </c>
    </row>
    <row r="298" spans="1:25" x14ac:dyDescent="0.25">
      <c r="A298" s="1090"/>
      <c r="B298" s="1448">
        <v>48</v>
      </c>
      <c r="C298" s="1094">
        <v>1.0137916937694054</v>
      </c>
      <c r="D298" s="1094">
        <v>0.97444616266074646</v>
      </c>
      <c r="E298" s="1094">
        <v>1.0313439707249883</v>
      </c>
      <c r="F298" s="1094">
        <v>1.0079031035112498</v>
      </c>
      <c r="G298" s="1094">
        <v>1.0139434418743991</v>
      </c>
      <c r="H298" s="1094">
        <v>1.0213652351328455</v>
      </c>
      <c r="I298" s="1094">
        <v>1.0280612035263799</v>
      </c>
      <c r="K298">
        <v>4.5311452678660062</v>
      </c>
      <c r="L298">
        <v>0</v>
      </c>
      <c r="M298">
        <v>1.4047892212843516E-3</v>
      </c>
      <c r="N298">
        <v>0.13340559053555756</v>
      </c>
      <c r="O298">
        <v>3.8349147756154389E-2</v>
      </c>
      <c r="P298">
        <v>1.9760035948461881E-2</v>
      </c>
      <c r="Q298">
        <v>1.3342547521058247E-3</v>
      </c>
      <c r="R298">
        <v>1.3991916205800007E-3</v>
      </c>
      <c r="S298">
        <v>0.23937079117996812</v>
      </c>
      <c r="T298">
        <v>3.9961569786280866</v>
      </c>
      <c r="U298">
        <v>0</v>
      </c>
      <c r="V298">
        <v>9.4523053561131921E-3</v>
      </c>
      <c r="W298">
        <v>7.7815775954104285E-2</v>
      </c>
      <c r="X298">
        <v>1.1551763013170251E-2</v>
      </c>
      <c r="Y298">
        <v>3.9542223429859143E-3</v>
      </c>
    </row>
    <row r="299" spans="1:25" x14ac:dyDescent="0.25">
      <c r="A299" s="1090"/>
      <c r="B299" s="1448">
        <v>49</v>
      </c>
      <c r="C299" s="1094">
        <v>1.0195636109075317</v>
      </c>
      <c r="D299" s="1094">
        <v>0.98701431702168574</v>
      </c>
      <c r="E299" s="1094">
        <v>1.0166105712279256</v>
      </c>
      <c r="F299" s="1094">
        <v>1.0152684657814164</v>
      </c>
      <c r="G299" s="1094">
        <v>0.97783404184538447</v>
      </c>
      <c r="H299" s="1094">
        <v>1.0401058924228146</v>
      </c>
      <c r="I299" s="1094">
        <v>1.0028579895231482</v>
      </c>
      <c r="K299">
        <v>4.5562322502424291</v>
      </c>
      <c r="L299">
        <v>0</v>
      </c>
      <c r="M299">
        <v>1.4705824805954263E-3</v>
      </c>
      <c r="N299">
        <v>0.13371205911239711</v>
      </c>
      <c r="O299">
        <v>3.8315919528626924E-2</v>
      </c>
      <c r="P299">
        <v>1.9660411694563246E-2</v>
      </c>
      <c r="Q299">
        <v>1.303604640193496E-3</v>
      </c>
      <c r="R299">
        <v>1.4648698734395071E-3</v>
      </c>
      <c r="S299">
        <v>0.23384438464479401</v>
      </c>
      <c r="T299">
        <v>4.0259222554962966</v>
      </c>
      <c r="U299">
        <v>0</v>
      </c>
      <c r="V299">
        <v>9.4523053561131869E-3</v>
      </c>
      <c r="W299">
        <v>7.8762467830957902E-2</v>
      </c>
      <c r="X299">
        <v>1.1124720445777708E-2</v>
      </c>
      <c r="Y299">
        <v>4.1398340998642785E-3</v>
      </c>
    </row>
    <row r="300" spans="1:25" x14ac:dyDescent="0.25">
      <c r="A300" s="1090"/>
      <c r="B300" s="1448">
        <v>50</v>
      </c>
      <c r="C300" s="1094">
        <v>0.98227394940337565</v>
      </c>
      <c r="D300" s="1094">
        <v>1.0129930627609243</v>
      </c>
      <c r="E300" s="1094">
        <v>1.0071431658989951</v>
      </c>
      <c r="F300" s="1094">
        <v>1.0034423600663014</v>
      </c>
      <c r="G300" s="1094">
        <v>1.0293330874997335</v>
      </c>
      <c r="H300" s="1094">
        <v>1.0279174118930952</v>
      </c>
      <c r="I300" s="1094">
        <v>1.006031262869207</v>
      </c>
      <c r="K300">
        <v>4.5142903396276628</v>
      </c>
      <c r="L300">
        <v>0</v>
      </c>
      <c r="M300">
        <v>1.5053773664682022E-3</v>
      </c>
      <c r="N300">
        <v>0.13308050428189955</v>
      </c>
      <c r="O300">
        <v>3.896704831321527E-2</v>
      </c>
      <c r="P300">
        <v>1.9333096110675709E-2</v>
      </c>
      <c r="Q300">
        <v>1.3283639414338215E-3</v>
      </c>
      <c r="R300">
        <v>1.4993908046056579E-3</v>
      </c>
      <c r="S300">
        <v>0.23871222124410726</v>
      </c>
      <c r="T300">
        <v>3.9793869492947822</v>
      </c>
      <c r="U300">
        <v>0</v>
      </c>
      <c r="V300">
        <v>9.4523053561132026E-3</v>
      </c>
      <c r="W300">
        <v>7.8889619957765569E-2</v>
      </c>
      <c r="X300">
        <v>1.0908824802639935E-2</v>
      </c>
      <c r="Y300">
        <v>4.2373928868882377E-3</v>
      </c>
    </row>
    <row r="301" spans="1:25" x14ac:dyDescent="0.25">
      <c r="A301" s="1090"/>
      <c r="B301" s="1448">
        <v>51</v>
      </c>
      <c r="C301" s="1094">
        <v>0.9892824722154735</v>
      </c>
      <c r="D301" s="1094">
        <v>1.0057181138722258</v>
      </c>
      <c r="E301" s="1094">
        <v>1.0387994949673285</v>
      </c>
      <c r="F301" s="1094">
        <v>1.0386071155601557</v>
      </c>
      <c r="G301" s="1094">
        <v>1.0043849773723208</v>
      </c>
      <c r="H301" s="1094">
        <v>1.0066733801765086</v>
      </c>
      <c r="I301" s="1094">
        <v>0.97493218414888883</v>
      </c>
      <c r="K301">
        <v>4.6569960831193118</v>
      </c>
      <c r="L301">
        <v>0</v>
      </c>
      <c r="M301">
        <v>1.4209704127669954E-3</v>
      </c>
      <c r="N301">
        <v>0.13795687435633588</v>
      </c>
      <c r="O301">
        <v>3.9934082340536727E-2</v>
      </c>
      <c r="P301">
        <v>2.0410171480798284E-2</v>
      </c>
      <c r="Q301">
        <v>1.3586067123152724E-3</v>
      </c>
      <c r="R301">
        <v>1.415394858914042E-3</v>
      </c>
      <c r="S301">
        <v>0.23403944759875406</v>
      </c>
      <c r="T301">
        <v>4.1176031476104376</v>
      </c>
      <c r="U301">
        <v>0</v>
      </c>
      <c r="V301">
        <v>9.4523053561131939E-3</v>
      </c>
      <c r="W301">
        <v>8.0075525065672129E-2</v>
      </c>
      <c r="X301">
        <v>1.21714842206207E-2</v>
      </c>
      <c r="Y301">
        <v>4.0000139315766415E-3</v>
      </c>
    </row>
    <row r="302" spans="1:25" x14ac:dyDescent="0.25">
      <c r="A302" s="1090"/>
      <c r="B302" s="1448">
        <v>52</v>
      </c>
      <c r="C302" s="1094">
        <v>1.0157582163269685</v>
      </c>
      <c r="D302" s="1094">
        <v>1.014822553498022</v>
      </c>
      <c r="E302" s="1094">
        <v>1.0235645133441842</v>
      </c>
      <c r="F302" s="1094">
        <v>0.99286917551385923</v>
      </c>
      <c r="G302" s="1094">
        <v>0.96352209243532672</v>
      </c>
      <c r="H302" s="1094">
        <v>1.005196432370568</v>
      </c>
      <c r="I302" s="1094">
        <v>1.0248137036023639</v>
      </c>
      <c r="K302">
        <v>4.4508021042373676</v>
      </c>
      <c r="L302">
        <v>0</v>
      </c>
      <c r="M302">
        <v>1.3596629306689382E-3</v>
      </c>
      <c r="N302">
        <v>0.12616801544687342</v>
      </c>
      <c r="O302">
        <v>3.71487358228609E-2</v>
      </c>
      <c r="P302">
        <v>1.9338129260081969E-2</v>
      </c>
      <c r="Q302">
        <v>1.3016634104126403E-3</v>
      </c>
      <c r="R302">
        <v>1.3540749855549276E-3</v>
      </c>
      <c r="S302">
        <v>0.23162192950635188</v>
      </c>
      <c r="T302">
        <v>3.9368402919454941</v>
      </c>
      <c r="U302">
        <v>0</v>
      </c>
      <c r="V302">
        <v>9.4523053561132078E-3</v>
      </c>
      <c r="W302">
        <v>7.3974900696199136E-2</v>
      </c>
      <c r="X302">
        <v>1.1135001450176851E-2</v>
      </c>
      <c r="Y302">
        <v>3.8267192879129189E-3</v>
      </c>
    </row>
    <row r="303" spans="1:25" x14ac:dyDescent="0.25">
      <c r="A303" s="1090"/>
      <c r="B303" s="1448">
        <v>53</v>
      </c>
      <c r="C303" s="1094">
        <v>1.0111646212492142</v>
      </c>
      <c r="D303" s="1094">
        <v>1.0001889909000454</v>
      </c>
      <c r="E303" s="1094">
        <v>0.98951913507842892</v>
      </c>
      <c r="F303" s="1094">
        <v>0.96994284687883336</v>
      </c>
      <c r="G303" s="1094">
        <v>0.98635030780209432</v>
      </c>
      <c r="H303" s="1094">
        <v>1.0102307389835685</v>
      </c>
      <c r="I303" s="1094">
        <v>1.0061657721670485</v>
      </c>
      <c r="K303">
        <v>4.3481339281411753</v>
      </c>
      <c r="L303">
        <v>0</v>
      </c>
      <c r="M303">
        <v>1.4492987516496023E-3</v>
      </c>
      <c r="N303">
        <v>0.12157787402245523</v>
      </c>
      <c r="O303">
        <v>3.6892650028996034E-2</v>
      </c>
      <c r="P303">
        <v>1.8427512717111193E-2</v>
      </c>
      <c r="Q303">
        <v>1.2775292441551307E-3</v>
      </c>
      <c r="R303">
        <v>1.4432326088460895E-3</v>
      </c>
      <c r="S303">
        <v>0.22624104079434859</v>
      </c>
      <c r="T303">
        <v>3.8471882378857161</v>
      </c>
      <c r="U303">
        <v>0</v>
      </c>
      <c r="V303">
        <v>9.4523053561131956E-3</v>
      </c>
      <c r="W303">
        <v>7.2935510981254115E-2</v>
      </c>
      <c r="X303">
        <v>1.0068647715631169E-2</v>
      </c>
      <c r="Y303">
        <v>4.0786855381962743E-3</v>
      </c>
    </row>
    <row r="304" spans="1:25" x14ac:dyDescent="0.25">
      <c r="A304" s="1090"/>
      <c r="B304" s="1448">
        <v>54</v>
      </c>
      <c r="C304" s="1094">
        <v>0.99348744539118239</v>
      </c>
      <c r="D304" s="1094">
        <v>0.98617490133660135</v>
      </c>
      <c r="E304" s="1094">
        <v>1.0009031286731853</v>
      </c>
      <c r="F304" s="1094">
        <v>0.97997995772903379</v>
      </c>
      <c r="G304" s="1094">
        <v>0.99236080136451343</v>
      </c>
      <c r="H304" s="1094">
        <v>0.99010845766477895</v>
      </c>
      <c r="I304" s="1094">
        <v>0.98297446112443732</v>
      </c>
      <c r="K304">
        <v>4.3933315400783624</v>
      </c>
      <c r="L304">
        <v>0</v>
      </c>
      <c r="M304">
        <v>1.4340988724827267E-3</v>
      </c>
      <c r="N304">
        <v>0.12442616712811479</v>
      </c>
      <c r="O304">
        <v>3.8074907090123719E-2</v>
      </c>
      <c r="P304">
        <v>1.8763450938119149E-2</v>
      </c>
      <c r="Q304">
        <v>1.3204796100306363E-3</v>
      </c>
      <c r="R304">
        <v>1.4280368244342749E-3</v>
      </c>
      <c r="S304">
        <v>0.22601732602264943</v>
      </c>
      <c r="T304">
        <v>3.8865736782218243</v>
      </c>
      <c r="U304">
        <v>0</v>
      </c>
      <c r="V304">
        <v>9.4523053561131939E-3</v>
      </c>
      <c r="W304">
        <v>7.4070246316642163E-2</v>
      </c>
      <c r="X304">
        <v>1.060330035148805E-2</v>
      </c>
      <c r="Y304">
        <v>4.0357410913052279E-3</v>
      </c>
    </row>
    <row r="305" spans="1:25" x14ac:dyDescent="0.25">
      <c r="A305" s="1090"/>
      <c r="B305" s="1448">
        <v>55</v>
      </c>
      <c r="C305" s="1094">
        <v>0.98599423961307298</v>
      </c>
      <c r="D305" s="1094">
        <v>1.0076796401133552</v>
      </c>
      <c r="E305" s="1094">
        <v>1.0177616699868395</v>
      </c>
      <c r="F305" s="1094">
        <v>0.99090092982510702</v>
      </c>
      <c r="G305" s="1094">
        <v>1.0141215538356052</v>
      </c>
      <c r="H305" s="1094">
        <v>1.0240901355761787</v>
      </c>
      <c r="I305" s="1094">
        <v>1.0119899157294792</v>
      </c>
      <c r="K305">
        <v>4.4595532586522273</v>
      </c>
      <c r="L305">
        <v>0</v>
      </c>
      <c r="M305">
        <v>1.4458634534611305E-3</v>
      </c>
      <c r="N305">
        <v>0.13189222692083205</v>
      </c>
      <c r="O305">
        <v>3.8342375524538071E-2</v>
      </c>
      <c r="P305">
        <v>1.9247255269502776E-2</v>
      </c>
      <c r="Q305">
        <v>1.338166106189097E-3</v>
      </c>
      <c r="R305">
        <v>1.4400193332759323E-3</v>
      </c>
      <c r="S305">
        <v>0.23726782270092983</v>
      </c>
      <c r="T305">
        <v>3.9292527182514854</v>
      </c>
      <c r="U305">
        <v>0</v>
      </c>
      <c r="V305">
        <v>9.4523053561131869E-3</v>
      </c>
      <c r="W305">
        <v>7.7630783270426607E-2</v>
      </c>
      <c r="X305">
        <v>1.1065844796282908E-2</v>
      </c>
      <c r="Y305">
        <v>4.0696045761130263E-3</v>
      </c>
    </row>
    <row r="306" spans="1:25" x14ac:dyDescent="0.25">
      <c r="A306" s="1090"/>
      <c r="B306" s="1448">
        <v>56</v>
      </c>
      <c r="C306" s="1094">
        <v>0.99225645567470078</v>
      </c>
      <c r="D306" s="1094">
        <v>1.0207159060400994</v>
      </c>
      <c r="E306" s="1094">
        <v>0.99773233870968492</v>
      </c>
      <c r="F306" s="1094">
        <v>1.0198262855000972</v>
      </c>
      <c r="G306" s="1094">
        <v>0.98939613883929622</v>
      </c>
      <c r="H306" s="1094">
        <v>0.98666594310412259</v>
      </c>
      <c r="I306" s="1094">
        <v>0.97102509403974391</v>
      </c>
      <c r="K306">
        <v>4.5590075857105798</v>
      </c>
      <c r="L306">
        <v>0</v>
      </c>
      <c r="M306">
        <v>1.4782987233238885E-3</v>
      </c>
      <c r="N306">
        <v>0.12708082107761612</v>
      </c>
      <c r="O306">
        <v>3.9151838472026017E-2</v>
      </c>
      <c r="P306">
        <v>1.9441844232173718E-2</v>
      </c>
      <c r="Q306">
        <v>1.300496182771918E-3</v>
      </c>
      <c r="R306">
        <v>1.4722720572252997E-3</v>
      </c>
      <c r="S306">
        <v>0.22700838571962589</v>
      </c>
      <c r="T306">
        <v>4.044726304502027</v>
      </c>
      <c r="U306">
        <v>0</v>
      </c>
      <c r="V306">
        <v>9.4523053561131973E-3</v>
      </c>
      <c r="W306">
        <v>7.5812920351988528E-2</v>
      </c>
      <c r="X306">
        <v>1.0877943245958775E-2</v>
      </c>
      <c r="Y306">
        <v>4.1607532363729252E-3</v>
      </c>
    </row>
    <row r="307" spans="1:25" x14ac:dyDescent="0.25">
      <c r="A307" s="1090"/>
      <c r="B307" s="1448">
        <v>57</v>
      </c>
      <c r="C307" s="1094">
        <v>0.99936918698405608</v>
      </c>
      <c r="D307" s="1094">
        <v>0.99733016096060523</v>
      </c>
      <c r="E307" s="1094">
        <v>0.99298829942104649</v>
      </c>
      <c r="F307" s="1094">
        <v>0.96912996846110622</v>
      </c>
      <c r="G307" s="1094">
        <v>0.99153434753871106</v>
      </c>
      <c r="H307" s="1094">
        <v>0.99081456992438166</v>
      </c>
      <c r="I307" s="1094">
        <v>0.99516659702224053</v>
      </c>
      <c r="K307">
        <v>4.3431603645628387</v>
      </c>
      <c r="L307">
        <v>0</v>
      </c>
      <c r="M307">
        <v>1.4282089182304513E-3</v>
      </c>
      <c r="N307">
        <v>0.12103697178678927</v>
      </c>
      <c r="O307">
        <v>3.731644239573486E-2</v>
      </c>
      <c r="P307">
        <v>1.8455073251097544E-2</v>
      </c>
      <c r="Q307">
        <v>1.2979634342160096E-3</v>
      </c>
      <c r="R307">
        <v>1.4221088143917386E-3</v>
      </c>
      <c r="S307">
        <v>0.22505955907579975</v>
      </c>
      <c r="T307">
        <v>3.8438354532729981</v>
      </c>
      <c r="U307">
        <v>0</v>
      </c>
      <c r="V307">
        <v>9.4523053561131887E-3</v>
      </c>
      <c r="W307">
        <v>7.2439954390749628E-2</v>
      </c>
      <c r="X307">
        <v>1.0253753620834964E-2</v>
      </c>
      <c r="Y307">
        <v>4.0189880823428637E-3</v>
      </c>
    </row>
    <row r="308" spans="1:25" x14ac:dyDescent="0.25">
      <c r="A308" s="1090"/>
      <c r="B308" s="1448">
        <v>58</v>
      </c>
      <c r="C308" s="1094">
        <v>0.97147957551585784</v>
      </c>
      <c r="D308" s="1094">
        <v>0.97013240611905871</v>
      </c>
      <c r="E308" s="1094">
        <v>1.020425203236244</v>
      </c>
      <c r="F308" s="1094">
        <v>0.98611525338742045</v>
      </c>
      <c r="G308" s="1094">
        <v>1.0073408122009706</v>
      </c>
      <c r="H308" s="1094">
        <v>1.0155923552784438</v>
      </c>
      <c r="I308" s="1094">
        <v>1.0255246297021716</v>
      </c>
      <c r="K308">
        <v>4.4537456908247748</v>
      </c>
      <c r="L308">
        <v>0</v>
      </c>
      <c r="M308">
        <v>1.4622068571647003E-3</v>
      </c>
      <c r="N308">
        <v>0.13443117334903248</v>
      </c>
      <c r="O308">
        <v>3.9301178848642711E-2</v>
      </c>
      <c r="P308">
        <v>1.9234385917372858E-2</v>
      </c>
      <c r="Q308">
        <v>1.3820595180940591E-3</v>
      </c>
      <c r="R308">
        <v>1.4562184231371399E-3</v>
      </c>
      <c r="S308">
        <v>0.24541501729547763</v>
      </c>
      <c r="T308">
        <v>3.9101768304184716</v>
      </c>
      <c r="U308">
        <v>0</v>
      </c>
      <c r="V308">
        <v>9.4523053561131973E-3</v>
      </c>
      <c r="W308">
        <v>7.8984699964540619E-2</v>
      </c>
      <c r="X308">
        <v>1.1258644150251018E-2</v>
      </c>
      <c r="Y308">
        <v>4.1153844408028028E-3</v>
      </c>
    </row>
    <row r="309" spans="1:25" x14ac:dyDescent="0.25">
      <c r="A309" s="1090"/>
      <c r="B309" s="1448">
        <v>59</v>
      </c>
      <c r="C309" s="1094">
        <v>1.010494725216698</v>
      </c>
      <c r="D309" s="1094">
        <v>0.97604066719796156</v>
      </c>
      <c r="E309" s="1094">
        <v>1.0256752269008653</v>
      </c>
      <c r="F309" s="1094">
        <v>0.99224842417751624</v>
      </c>
      <c r="G309" s="1094">
        <v>0.95619888797327202</v>
      </c>
      <c r="H309" s="1094">
        <v>0.99997874283720378</v>
      </c>
      <c r="I309" s="1094">
        <v>0.9847444179159327</v>
      </c>
      <c r="K309">
        <v>4.446776189686485</v>
      </c>
      <c r="L309">
        <v>0</v>
      </c>
      <c r="M309">
        <v>1.3740042843513041E-3</v>
      </c>
      <c r="N309">
        <v>0.12829411824759013</v>
      </c>
      <c r="O309">
        <v>3.7890675733577003E-2</v>
      </c>
      <c r="P309">
        <v>1.9329699004305066E-2</v>
      </c>
      <c r="Q309">
        <v>1.3313655144798512E-3</v>
      </c>
      <c r="R309">
        <v>1.3683243983472857E-3</v>
      </c>
      <c r="S309">
        <v>0.22591961990824203</v>
      </c>
      <c r="T309">
        <v>3.9343001507896576</v>
      </c>
      <c r="U309">
        <v>0</v>
      </c>
      <c r="V309">
        <v>9.4523053561131973E-3</v>
      </c>
      <c r="W309">
        <v>7.5116015493925672E-2</v>
      </c>
      <c r="X309">
        <v>1.1280930308239267E-2</v>
      </c>
      <c r="Y309">
        <v>3.8669892163553259E-3</v>
      </c>
    </row>
    <row r="310" spans="1:25" x14ac:dyDescent="0.25">
      <c r="A310" s="1090"/>
      <c r="B310" s="1448">
        <v>60</v>
      </c>
      <c r="C310" s="1094">
        <v>1.030111858162273</v>
      </c>
      <c r="D310" s="1094">
        <v>1.0219466747787815</v>
      </c>
      <c r="E310" s="1094">
        <v>1.0027320840149494</v>
      </c>
      <c r="F310" s="1094">
        <v>1.0357568663861558</v>
      </c>
      <c r="G310" s="1094">
        <v>0.95954369596879696</v>
      </c>
      <c r="H310" s="1094">
        <v>0.96555340582764804</v>
      </c>
      <c r="I310" s="1094">
        <v>1.0025665002995694</v>
      </c>
      <c r="K310">
        <v>4.6126867191801759</v>
      </c>
      <c r="L310">
        <v>0</v>
      </c>
      <c r="M310">
        <v>1.3996853483486291E-3</v>
      </c>
      <c r="N310">
        <v>0.12211548506808952</v>
      </c>
      <c r="O310">
        <v>3.8249487067986913E-2</v>
      </c>
      <c r="P310">
        <v>1.9799150139205447E-2</v>
      </c>
      <c r="Q310">
        <v>1.2574766747361519E-3</v>
      </c>
      <c r="R310">
        <v>1.3939437285252698E-3</v>
      </c>
      <c r="S310">
        <v>0.22649345681052802</v>
      </c>
      <c r="T310">
        <v>4.1077112962686151</v>
      </c>
      <c r="U310">
        <v>0</v>
      </c>
      <c r="V310">
        <v>9.4523053561131817E-3</v>
      </c>
      <c r="W310">
        <v>7.2605014365303006E-2</v>
      </c>
      <c r="X310">
        <v>1.1069397650041297E-2</v>
      </c>
      <c r="Y310">
        <v>3.9393913993816402E-3</v>
      </c>
    </row>
    <row r="311" spans="1:25" x14ac:dyDescent="0.25">
      <c r="A311" s="1090"/>
      <c r="B311" s="1448">
        <v>61</v>
      </c>
      <c r="C311" s="1094">
        <v>1.0100501908066424</v>
      </c>
      <c r="D311" s="1094">
        <v>0.97038830197123183</v>
      </c>
      <c r="E311" s="1094">
        <v>1.0230974426921093</v>
      </c>
      <c r="F311" s="1094">
        <v>0.99503272655876973</v>
      </c>
      <c r="G311" s="1094">
        <v>1.023420858724666</v>
      </c>
      <c r="H311" s="1094">
        <v>1.0226505665783339</v>
      </c>
      <c r="I311" s="1094">
        <v>1.0239639065667292</v>
      </c>
      <c r="K311">
        <v>4.4754666629171691</v>
      </c>
      <c r="L311">
        <v>0</v>
      </c>
      <c r="M311">
        <v>1.4207017955050279E-3</v>
      </c>
      <c r="N311">
        <v>0.13166045672617033</v>
      </c>
      <c r="O311">
        <v>3.8119846347703379E-2</v>
      </c>
      <c r="P311">
        <v>1.9399157644456919E-2</v>
      </c>
      <c r="Q311">
        <v>1.3321484368970645E-3</v>
      </c>
      <c r="R311">
        <v>1.4149750742697912E-3</v>
      </c>
      <c r="S311">
        <v>0.2376392350266921</v>
      </c>
      <c r="T311">
        <v>3.9454365157117155</v>
      </c>
      <c r="U311">
        <v>0</v>
      </c>
      <c r="V311">
        <v>9.4523053561131991E-3</v>
      </c>
      <c r="W311">
        <v>7.7219223081481062E-2</v>
      </c>
      <c r="X311">
        <v>1.1214673719050449E-2</v>
      </c>
      <c r="Y311">
        <v>3.9988275881229461E-3</v>
      </c>
    </row>
    <row r="312" spans="1:25" x14ac:dyDescent="0.25">
      <c r="A312" s="1090"/>
      <c r="B312" s="1448">
        <v>62</v>
      </c>
      <c r="C312" s="1094">
        <v>1.0471271048203985</v>
      </c>
      <c r="D312" s="1094">
        <v>0.98828413452087005</v>
      </c>
      <c r="E312" s="1094">
        <v>0.99235478371890817</v>
      </c>
      <c r="F312" s="1094">
        <v>1.0248290057609495</v>
      </c>
      <c r="G312" s="1094">
        <v>1.0261928744978386</v>
      </c>
      <c r="H312" s="1094">
        <v>0.97584715468846639</v>
      </c>
      <c r="I312" s="1094">
        <v>1.0120927549385161</v>
      </c>
      <c r="K312">
        <v>4.5666503940724805</v>
      </c>
      <c r="L312">
        <v>0</v>
      </c>
      <c r="M312">
        <v>1.4263916778761586E-3</v>
      </c>
      <c r="N312">
        <v>0.12067665550902869</v>
      </c>
      <c r="O312">
        <v>3.7803160297358807E-2</v>
      </c>
      <c r="P312">
        <v>1.9451336720341449E-2</v>
      </c>
      <c r="Q312">
        <v>1.2426103402393925E-3</v>
      </c>
      <c r="R312">
        <v>1.42054074139951E-3</v>
      </c>
      <c r="S312">
        <v>0.22632351705485276</v>
      </c>
      <c r="T312">
        <v>4.0647779353808184</v>
      </c>
      <c r="U312">
        <v>0</v>
      </c>
      <c r="V312">
        <v>9.4523053561131904E-3</v>
      </c>
      <c r="W312">
        <v>7.2255392872351318E-2</v>
      </c>
      <c r="X312">
        <v>1.0658774889502471E-2</v>
      </c>
      <c r="Y312">
        <v>4.0145565883501159E-3</v>
      </c>
    </row>
    <row r="313" spans="1:25" x14ac:dyDescent="0.25">
      <c r="A313" s="1090"/>
      <c r="B313" s="1448">
        <v>63</v>
      </c>
      <c r="C313" s="1094">
        <v>0.97640422136699978</v>
      </c>
      <c r="D313" s="1094">
        <v>1.0247555865484763</v>
      </c>
      <c r="E313" s="1094">
        <v>0.99996711454757237</v>
      </c>
      <c r="F313" s="1094">
        <v>1.0111760126781488</v>
      </c>
      <c r="G313" s="1094">
        <v>1.0127169171796391</v>
      </c>
      <c r="H313" s="1094">
        <v>0.98594428549169799</v>
      </c>
      <c r="I313" s="1094">
        <v>0.95623580932857499</v>
      </c>
      <c r="K313">
        <v>4.5246474804679471</v>
      </c>
      <c r="L313">
        <v>0</v>
      </c>
      <c r="M313">
        <v>1.4791918640779059E-3</v>
      </c>
      <c r="N313">
        <v>0.12799759566760155</v>
      </c>
      <c r="O313">
        <v>3.9371986279393222E-2</v>
      </c>
      <c r="P313">
        <v>1.9311187069904482E-2</v>
      </c>
      <c r="Q313">
        <v>1.3220552439506062E-3</v>
      </c>
      <c r="R313">
        <v>1.473105727407432E-3</v>
      </c>
      <c r="S313">
        <v>0.22554758120032242</v>
      </c>
      <c r="T313">
        <v>4.0103324128252931</v>
      </c>
      <c r="U313">
        <v>0</v>
      </c>
      <c r="V313">
        <v>9.4523053561131956E-3</v>
      </c>
      <c r="W313">
        <v>7.6244503954866538E-2</v>
      </c>
      <c r="X313">
        <v>1.0910829755215495E-2</v>
      </c>
      <c r="Y313">
        <v>4.1631092519553393E-3</v>
      </c>
    </row>
    <row r="314" spans="1:25" x14ac:dyDescent="0.25">
      <c r="A314" s="1090"/>
      <c r="B314" s="1448">
        <v>64</v>
      </c>
      <c r="C314" s="1094">
        <v>1.0200269685527967</v>
      </c>
      <c r="D314" s="1094">
        <v>0.97021349814909663</v>
      </c>
      <c r="E314" s="1094">
        <v>1.0369201557536856</v>
      </c>
      <c r="F314" s="1094">
        <v>0.95834378457360614</v>
      </c>
      <c r="G314" s="1094">
        <v>0.98474525279966496</v>
      </c>
      <c r="H314" s="1094">
        <v>1.0341761361350648</v>
      </c>
      <c r="I314" s="1094">
        <v>0.96348657070404398</v>
      </c>
      <c r="K314">
        <v>4.3000408446803693</v>
      </c>
      <c r="L314">
        <v>0</v>
      </c>
      <c r="M314">
        <v>1.3310229649220434E-3</v>
      </c>
      <c r="N314">
        <v>0.12848099870026511</v>
      </c>
      <c r="O314">
        <v>3.6267174188860739E-2</v>
      </c>
      <c r="P314">
        <v>1.881477759243624E-2</v>
      </c>
      <c r="Q314">
        <v>1.334636780385805E-3</v>
      </c>
      <c r="R314">
        <v>1.3255152821784312E-3</v>
      </c>
      <c r="S314">
        <v>0.2167360676866851</v>
      </c>
      <c r="T314">
        <v>3.7994629850423656</v>
      </c>
      <c r="U314">
        <v>0</v>
      </c>
      <c r="V314">
        <v>9.4523053561131973E-3</v>
      </c>
      <c r="W314">
        <v>7.466775053755581E-2</v>
      </c>
      <c r="X314">
        <v>1.1083649092700227E-2</v>
      </c>
      <c r="Y314">
        <v>3.7460073857407353E-3</v>
      </c>
    </row>
    <row r="315" spans="1:25" x14ac:dyDescent="0.25">
      <c r="A315" s="1090"/>
      <c r="B315" s="1448">
        <v>65</v>
      </c>
      <c r="C315" s="1094">
        <v>0.97920244675456269</v>
      </c>
      <c r="D315" s="1094">
        <v>0.98436597838020656</v>
      </c>
      <c r="E315" s="1094">
        <v>0.98712424831080969</v>
      </c>
      <c r="F315" s="1094">
        <v>0.98305356504105179</v>
      </c>
      <c r="G315" s="1094">
        <v>0.99714572323283945</v>
      </c>
      <c r="H315" s="1094">
        <v>0.9751628250798321</v>
      </c>
      <c r="I315" s="1094">
        <v>1.0344611212529158</v>
      </c>
      <c r="K315">
        <v>4.4204426992197527</v>
      </c>
      <c r="L315">
        <v>0</v>
      </c>
      <c r="M315">
        <v>1.4809041496840665E-3</v>
      </c>
      <c r="N315">
        <v>0.12333849408041171</v>
      </c>
      <c r="O315">
        <v>3.8875476943319991E-2</v>
      </c>
      <c r="P315">
        <v>1.8694521334817082E-2</v>
      </c>
      <c r="Q315">
        <v>1.324928290764532E-3</v>
      </c>
      <c r="R315">
        <v>1.4745681002382512E-3</v>
      </c>
      <c r="S315">
        <v>0.24078428349037342</v>
      </c>
      <c r="T315">
        <v>3.899280849437524</v>
      </c>
      <c r="U315">
        <v>0</v>
      </c>
      <c r="V315">
        <v>9.4523053561131852E-3</v>
      </c>
      <c r="W315">
        <v>7.4112539497219784E-2</v>
      </c>
      <c r="X315">
        <v>1.0418394809431242E-2</v>
      </c>
      <c r="Y315">
        <v>4.1672420292221193E-3</v>
      </c>
    </row>
    <row r="316" spans="1:25" x14ac:dyDescent="0.25">
      <c r="A316" s="1090"/>
      <c r="B316" s="1448">
        <v>66</v>
      </c>
      <c r="C316" s="1094">
        <v>0.97725641643563843</v>
      </c>
      <c r="D316" s="1094">
        <v>1.0101010737692757</v>
      </c>
      <c r="E316" s="1094">
        <v>0.99107640622583126</v>
      </c>
      <c r="F316" s="1094">
        <v>1.04671832299872</v>
      </c>
      <c r="G316" s="1094">
        <v>1.0228964040721809</v>
      </c>
      <c r="H316" s="1094">
        <v>0.9852001474109312</v>
      </c>
      <c r="I316" s="1094">
        <v>1.0133910105089345</v>
      </c>
      <c r="K316">
        <v>4.6954989679495416</v>
      </c>
      <c r="L316">
        <v>0</v>
      </c>
      <c r="M316">
        <v>1.5663502607393251E-3</v>
      </c>
      <c r="N316">
        <v>0.13203261169922101</v>
      </c>
      <c r="O316">
        <v>4.1020713261559517E-2</v>
      </c>
      <c r="P316">
        <v>1.9911902808624725E-2</v>
      </c>
      <c r="Q316">
        <v>1.3184215594912872E-3</v>
      </c>
      <c r="R316">
        <v>1.5601187874139935E-3</v>
      </c>
      <c r="S316">
        <v>0.24550688074729959</v>
      </c>
      <c r="T316">
        <v>4.1516486678783382</v>
      </c>
      <c r="U316">
        <v>0</v>
      </c>
      <c r="V316">
        <v>9.4523053561131904E-3</v>
      </c>
      <c r="W316">
        <v>7.91235151354273E-2</v>
      </c>
      <c r="X316">
        <v>1.1081166174125866E-2</v>
      </c>
      <c r="Y316">
        <v>4.4090148026667509E-3</v>
      </c>
    </row>
    <row r="317" spans="1:25" x14ac:dyDescent="0.25">
      <c r="A317" s="1090"/>
      <c r="B317" s="1448">
        <v>67</v>
      </c>
      <c r="C317" s="1094">
        <v>0.99207595162743856</v>
      </c>
      <c r="D317" s="1094">
        <v>1.0048482069035742</v>
      </c>
      <c r="E317" s="1094">
        <v>0.9985932837950402</v>
      </c>
      <c r="F317" s="1094">
        <v>1.0068170694653282</v>
      </c>
      <c r="G317" s="1094">
        <v>0.97119317249933679</v>
      </c>
      <c r="H317" s="1094">
        <v>0.96059548598318401</v>
      </c>
      <c r="I317" s="1094">
        <v>1.0024541331640955</v>
      </c>
      <c r="K317">
        <v>4.5046969291701657</v>
      </c>
      <c r="L317">
        <v>0</v>
      </c>
      <c r="M317">
        <v>1.4275559313699099E-3</v>
      </c>
      <c r="N317">
        <v>0.12301192211992777</v>
      </c>
      <c r="O317">
        <v>3.8896495847477397E-2</v>
      </c>
      <c r="P317">
        <v>1.9239909359323491E-2</v>
      </c>
      <c r="Q317">
        <v>1.3098775020161826E-3</v>
      </c>
      <c r="R317">
        <v>1.4215012580183284E-3</v>
      </c>
      <c r="S317">
        <v>0.23144769164863746</v>
      </c>
      <c r="T317">
        <v>3.993097499900883</v>
      </c>
      <c r="U317">
        <v>0</v>
      </c>
      <c r="V317">
        <v>9.4523053561131869E-3</v>
      </c>
      <c r="W317">
        <v>7.3342784043574638E-2</v>
      </c>
      <c r="X317">
        <v>1.0887226983914292E-2</v>
      </c>
      <c r="Y317">
        <v>4.0172710816468718E-3</v>
      </c>
    </row>
    <row r="318" spans="1:25" x14ac:dyDescent="0.25">
      <c r="A318" s="1090"/>
      <c r="B318" s="1448">
        <v>68</v>
      </c>
      <c r="C318" s="1094">
        <v>0.99552469645278552</v>
      </c>
      <c r="D318" s="1094">
        <v>0.99414837652873522</v>
      </c>
      <c r="E318" s="1094">
        <v>1.0198025062478122</v>
      </c>
      <c r="F318" s="1094">
        <v>0.98380775107062923</v>
      </c>
      <c r="G318" s="1094">
        <v>1.0440239740289645</v>
      </c>
      <c r="H318" s="1094">
        <v>0.97340056575451783</v>
      </c>
      <c r="I318" s="1094">
        <v>1.0192731444511107</v>
      </c>
      <c r="K318">
        <v>4.4135457532687115</v>
      </c>
      <c r="L318">
        <v>0</v>
      </c>
      <c r="M318">
        <v>1.3529215365265044E-3</v>
      </c>
      <c r="N318">
        <v>0.12413147556576824</v>
      </c>
      <c r="O318">
        <v>3.7893993981929608E-2</v>
      </c>
      <c r="P318">
        <v>1.9124506586663335E-2</v>
      </c>
      <c r="Q318">
        <v>1.3348469558502761E-3</v>
      </c>
      <c r="R318">
        <v>1.3471270081756213E-3</v>
      </c>
      <c r="S318">
        <v>0.23263729178767065</v>
      </c>
      <c r="T318">
        <v>3.901050144529941</v>
      </c>
      <c r="U318">
        <v>0</v>
      </c>
      <c r="V318">
        <v>9.4523053561131991E-3</v>
      </c>
      <c r="W318">
        <v>7.2963424526308635E-2</v>
      </c>
      <c r="X318">
        <v>1.1156474733427743E-2</v>
      </c>
      <c r="Y318">
        <v>3.8070837733860208E-3</v>
      </c>
    </row>
    <row r="319" spans="1:25" x14ac:dyDescent="0.25">
      <c r="A319" s="1090"/>
      <c r="B319" s="1448">
        <v>69</v>
      </c>
      <c r="C319" s="1094">
        <v>0.9975583617304411</v>
      </c>
      <c r="D319" s="1094">
        <v>1.0171308560110937</v>
      </c>
      <c r="E319" s="1094">
        <v>0.97217888098863681</v>
      </c>
      <c r="F319" s="1094">
        <v>1.0214542866960297</v>
      </c>
      <c r="G319" s="1094">
        <v>0.99803755778849845</v>
      </c>
      <c r="H319" s="1094">
        <v>0.99245737661867783</v>
      </c>
      <c r="I319" s="1094">
        <v>0.98901443381005061</v>
      </c>
      <c r="K319">
        <v>4.5672620999278566</v>
      </c>
      <c r="L319">
        <v>0</v>
      </c>
      <c r="M319">
        <v>1.5653328558270572E-3</v>
      </c>
      <c r="N319">
        <v>0.12474376450685798</v>
      </c>
      <c r="O319">
        <v>3.9238846541213297E-2</v>
      </c>
      <c r="P319">
        <v>1.912077861159214E-2</v>
      </c>
      <c r="Q319">
        <v>1.267077153904194E-3</v>
      </c>
      <c r="R319">
        <v>1.558998682343762E-3</v>
      </c>
      <c r="S319">
        <v>0.23091741092923287</v>
      </c>
      <c r="T319">
        <v>4.052184382274592</v>
      </c>
      <c r="U319">
        <v>0</v>
      </c>
      <c r="V319">
        <v>9.4523053561131904E-3</v>
      </c>
      <c r="W319">
        <v>7.572860570498989E-2</v>
      </c>
      <c r="X319">
        <v>1.0209413722621054E-2</v>
      </c>
      <c r="Y319">
        <v>4.4058493002223E-3</v>
      </c>
    </row>
    <row r="320" spans="1:25" x14ac:dyDescent="0.25">
      <c r="A320" s="1090"/>
      <c r="B320" s="1448">
        <v>70</v>
      </c>
      <c r="C320" s="1094">
        <v>0.96335608286918784</v>
      </c>
      <c r="D320" s="1094">
        <v>0.99154665196885605</v>
      </c>
      <c r="E320" s="1094">
        <v>0.99275681475523236</v>
      </c>
      <c r="F320" s="1094">
        <v>1.0244980529022776</v>
      </c>
      <c r="G320" s="1094">
        <v>0.98913339799312117</v>
      </c>
      <c r="H320" s="1094">
        <v>1.0162264176648454</v>
      </c>
      <c r="I320" s="1094">
        <v>0.97194875489319377</v>
      </c>
      <c r="K320">
        <v>4.6074427298718517</v>
      </c>
      <c r="L320">
        <v>0</v>
      </c>
      <c r="M320">
        <v>1.6105734032665962E-3</v>
      </c>
      <c r="N320">
        <v>0.13644358699697332</v>
      </c>
      <c r="O320">
        <v>4.1020099982932219E-2</v>
      </c>
      <c r="P320">
        <v>1.9509162463977173E-2</v>
      </c>
      <c r="Q320">
        <v>1.3493522502116639E-3</v>
      </c>
      <c r="R320">
        <v>1.6042274314488816E-3</v>
      </c>
      <c r="S320">
        <v>0.23913491549414115</v>
      </c>
      <c r="T320">
        <v>4.0634495356720093</v>
      </c>
      <c r="U320">
        <v>0</v>
      </c>
      <c r="V320">
        <v>9.4523053561131869E-3</v>
      </c>
      <c r="W320">
        <v>8.1673567092029026E-2</v>
      </c>
      <c r="X320">
        <v>1.0882881337037489E-2</v>
      </c>
      <c r="Y320">
        <v>4.5336691982450113E-3</v>
      </c>
    </row>
    <row r="321" spans="1:25" x14ac:dyDescent="0.25">
      <c r="A321" s="1090"/>
      <c r="B321" s="1448">
        <v>71</v>
      </c>
      <c r="C321" s="1094">
        <v>0.98537164295615476</v>
      </c>
      <c r="D321" s="1094">
        <v>1.0082769449250202</v>
      </c>
      <c r="E321" s="1094">
        <v>1.0109761554690693</v>
      </c>
      <c r="F321" s="1094">
        <v>0.99295693350032843</v>
      </c>
      <c r="G321" s="1094">
        <v>0.98913836818915557</v>
      </c>
      <c r="H321" s="1094">
        <v>0.97786435646056702</v>
      </c>
      <c r="I321" s="1094">
        <v>1.0132004502633969</v>
      </c>
      <c r="K321">
        <v>4.4552198479276095</v>
      </c>
      <c r="L321">
        <v>0</v>
      </c>
      <c r="M321">
        <v>1.4039615289798144E-3</v>
      </c>
      <c r="N321">
        <v>0.12550045567356266</v>
      </c>
      <c r="O321">
        <v>3.8483990866219814E-2</v>
      </c>
      <c r="P321">
        <v>1.917693784962619E-2</v>
      </c>
      <c r="Q321">
        <v>1.3310021556121E-3</v>
      </c>
      <c r="R321">
        <v>1.3980307713255583E-3</v>
      </c>
      <c r="S321">
        <v>0.23442749561271553</v>
      </c>
      <c r="T321">
        <v>3.9376602292488934</v>
      </c>
      <c r="U321">
        <v>0</v>
      </c>
      <c r="V321">
        <v>9.4523053561132026E-3</v>
      </c>
      <c r="W321">
        <v>7.4204889704231544E-2</v>
      </c>
      <c r="X321">
        <v>1.1037530523918763E-2</v>
      </c>
      <c r="Y321">
        <v>3.9509416943662124E-3</v>
      </c>
    </row>
    <row r="322" spans="1:25" x14ac:dyDescent="0.25">
      <c r="A322" s="1090"/>
      <c r="B322" s="1448">
        <v>72</v>
      </c>
      <c r="C322" s="1094">
        <v>0.97409221001965784</v>
      </c>
      <c r="D322" s="1094">
        <v>0.99445449499546723</v>
      </c>
      <c r="E322" s="1094">
        <v>0.99188459222409397</v>
      </c>
      <c r="F322" s="1094">
        <v>0.98346178011968377</v>
      </c>
      <c r="G322" s="1094">
        <v>0.98948896313768642</v>
      </c>
      <c r="H322" s="1094">
        <v>0.99955937334721112</v>
      </c>
      <c r="I322" s="1094">
        <v>0.99168242593224942</v>
      </c>
      <c r="K322">
        <v>4.4203783308332101</v>
      </c>
      <c r="L322">
        <v>0</v>
      </c>
      <c r="M322">
        <v>1.5051936890315329E-3</v>
      </c>
      <c r="N322">
        <v>0.12715713858392774</v>
      </c>
      <c r="O322">
        <v>3.8903502550173996E-2</v>
      </c>
      <c r="P322">
        <v>1.8733957547027984E-2</v>
      </c>
      <c r="Q322">
        <v>1.3319170247600813E-3</v>
      </c>
      <c r="R322">
        <v>1.4989134961100978E-3</v>
      </c>
      <c r="S322">
        <v>0.23323359659406082</v>
      </c>
      <c r="T322">
        <v>3.9007208398236553</v>
      </c>
      <c r="U322">
        <v>0</v>
      </c>
      <c r="V322">
        <v>9.4523053561131991E-3</v>
      </c>
      <c r="W322">
        <v>7.6159924177643515E-2</v>
      </c>
      <c r="X322">
        <v>1.0455385392126443E-2</v>
      </c>
      <c r="Y322">
        <v>4.236043976639005E-3</v>
      </c>
    </row>
    <row r="323" spans="1:25" x14ac:dyDescent="0.25">
      <c r="A323" s="1090"/>
      <c r="B323" s="1448">
        <v>73</v>
      </c>
      <c r="C323" s="1094">
        <v>0.98509002514828325</v>
      </c>
      <c r="D323" s="1094">
        <v>0.97902583726591463</v>
      </c>
      <c r="E323" s="1094">
        <v>1.0131454929125296</v>
      </c>
      <c r="F323" s="1094">
        <v>1.0029670299749733</v>
      </c>
      <c r="G323" s="1094">
        <v>1.0325559687735668</v>
      </c>
      <c r="H323" s="1094">
        <v>0.99926374645138039</v>
      </c>
      <c r="I323" s="1094">
        <v>0.96463350207423437</v>
      </c>
      <c r="K323">
        <v>4.4993640629749656</v>
      </c>
      <c r="L323">
        <v>0</v>
      </c>
      <c r="M323">
        <v>1.4599760632759561E-3</v>
      </c>
      <c r="N323">
        <v>0.13136576836652472</v>
      </c>
      <c r="O323">
        <v>3.9328337841158661E-2</v>
      </c>
      <c r="P323">
        <v>1.9361860111775774E-2</v>
      </c>
      <c r="Q323">
        <v>1.3496415531524715E-3</v>
      </c>
      <c r="R323">
        <v>1.4540007476310387E-3</v>
      </c>
      <c r="S323">
        <v>0.22839037184579644</v>
      </c>
      <c r="T323">
        <v>3.9772738036629307</v>
      </c>
      <c r="U323">
        <v>0</v>
      </c>
      <c r="V323">
        <v>9.4523053561132008E-3</v>
      </c>
      <c r="W323">
        <v>7.7560009061085733E-2</v>
      </c>
      <c r="X323">
        <v>1.1178823371560256E-2</v>
      </c>
      <c r="Y323">
        <v>4.1091171205110463E-3</v>
      </c>
    </row>
    <row r="324" spans="1:25" x14ac:dyDescent="0.25">
      <c r="A324" s="1090"/>
      <c r="B324" s="1448">
        <v>74</v>
      </c>
      <c r="C324" s="1094">
        <v>0.98818002592061205</v>
      </c>
      <c r="D324" s="1094">
        <v>0.99814471089389112</v>
      </c>
      <c r="E324" s="1094">
        <v>0.9920497847277101</v>
      </c>
      <c r="F324" s="1094">
        <v>0.9947664945485698</v>
      </c>
      <c r="G324" s="1094">
        <v>1.0171603697515812</v>
      </c>
      <c r="H324" s="1094">
        <v>1.0301800073071377</v>
      </c>
      <c r="I324" s="1094">
        <v>0.95357808394654553</v>
      </c>
      <c r="K324">
        <v>4.4621108448004092</v>
      </c>
      <c r="L324">
        <v>0</v>
      </c>
      <c r="M324">
        <v>1.5438661823085034E-3</v>
      </c>
      <c r="N324">
        <v>0.13051029412783471</v>
      </c>
      <c r="O324">
        <v>3.8731126701316856E-2</v>
      </c>
      <c r="P324">
        <v>1.8900682610539614E-2</v>
      </c>
      <c r="Q324">
        <v>1.3111715942016593E-3</v>
      </c>
      <c r="R324">
        <v>1.5376868343529877E-3</v>
      </c>
      <c r="S324">
        <v>0.22475919841681988</v>
      </c>
      <c r="T324">
        <v>3.9455526346426177</v>
      </c>
      <c r="U324">
        <v>0</v>
      </c>
      <c r="V324">
        <v>9.4523053561131852E-3</v>
      </c>
      <c r="W324">
        <v>7.8159499743522293E-2</v>
      </c>
      <c r="X324">
        <v>1.0394490564679835E-2</v>
      </c>
      <c r="Y324">
        <v>4.3456203907177495E-3</v>
      </c>
    </row>
    <row r="325" spans="1:25" x14ac:dyDescent="0.25">
      <c r="A325" s="1090"/>
      <c r="B325" s="1448">
        <v>75</v>
      </c>
      <c r="C325" s="1094">
        <v>0.96398291321914842</v>
      </c>
      <c r="D325" s="1094">
        <v>1.0189248766820385</v>
      </c>
      <c r="E325" s="1094">
        <v>0.99853010630095185</v>
      </c>
      <c r="F325" s="1094">
        <v>1.0323788808216041</v>
      </c>
      <c r="G325" s="1094">
        <v>0.98748121254970167</v>
      </c>
      <c r="H325" s="1094">
        <v>1.0341682797374909</v>
      </c>
      <c r="I325" s="1094">
        <v>0.98062179936697447</v>
      </c>
      <c r="K325">
        <v>4.6451179344644968</v>
      </c>
      <c r="L325">
        <v>0</v>
      </c>
      <c r="M325">
        <v>1.6128917010272666E-3</v>
      </c>
      <c r="N325">
        <v>0.13901187857928543</v>
      </c>
      <c r="O325">
        <v>4.0819044003111246E-2</v>
      </c>
      <c r="P325">
        <v>1.9746862780324261E-2</v>
      </c>
      <c r="Q325">
        <v>1.3404976324081802E-3</v>
      </c>
      <c r="R325">
        <v>1.606694331509198E-3</v>
      </c>
      <c r="S325">
        <v>0.24183184228987462</v>
      </c>
      <c r="T325">
        <v>4.0944796780128918</v>
      </c>
      <c r="U325">
        <v>0</v>
      </c>
      <c r="V325">
        <v>9.4523053561131939E-3</v>
      </c>
      <c r="W325">
        <v>8.2885900796650661E-2</v>
      </c>
      <c r="X325">
        <v>1.1015481537198278E-2</v>
      </c>
      <c r="Y325">
        <v>4.5406408461543769E-3</v>
      </c>
    </row>
    <row r="326" spans="1:25" x14ac:dyDescent="0.25">
      <c r="A326" s="1090"/>
      <c r="B326" s="1448">
        <v>76</v>
      </c>
      <c r="C326" s="1094">
        <v>1.0038059367178165</v>
      </c>
      <c r="D326" s="1094">
        <v>0.97699439639841024</v>
      </c>
      <c r="E326" s="1094">
        <v>1.0213704057983308</v>
      </c>
      <c r="F326" s="1094">
        <v>0.97345029705877373</v>
      </c>
      <c r="G326" s="1094">
        <v>1.0252256429649256</v>
      </c>
      <c r="H326" s="1094">
        <v>0.99822339841855467</v>
      </c>
      <c r="I326" s="1094">
        <v>1.0060877524533114</v>
      </c>
      <c r="K326">
        <v>4.371075230833668</v>
      </c>
      <c r="L326">
        <v>0</v>
      </c>
      <c r="M326">
        <v>1.3665294651818366E-3</v>
      </c>
      <c r="N326">
        <v>0.12597082082814182</v>
      </c>
      <c r="O326">
        <v>3.7434950003833581E-2</v>
      </c>
      <c r="P326">
        <v>1.8940519193612039E-2</v>
      </c>
      <c r="Q326">
        <v>1.3348528925710215E-3</v>
      </c>
      <c r="R326">
        <v>1.3607617271749609E-3</v>
      </c>
      <c r="S326">
        <v>0.22920117289424549</v>
      </c>
      <c r="T326">
        <v>3.8599226473397628</v>
      </c>
      <c r="U326">
        <v>0</v>
      </c>
      <c r="V326">
        <v>9.4523053561131956E-3</v>
      </c>
      <c r="W326">
        <v>7.3967236787265744E-2</v>
      </c>
      <c r="X326">
        <v>1.1010876745886883E-2</v>
      </c>
      <c r="Y326">
        <v>3.8456165302397077E-3</v>
      </c>
    </row>
    <row r="327" spans="1:25" x14ac:dyDescent="0.25">
      <c r="A327" s="1090"/>
      <c r="B327" s="1448">
        <v>77</v>
      </c>
      <c r="C327" s="1094">
        <v>0.99630370177568062</v>
      </c>
      <c r="D327" s="1094">
        <v>1.0341390456468575</v>
      </c>
      <c r="E327" s="1094">
        <v>0.99331049716488795</v>
      </c>
      <c r="F327" s="1094">
        <v>1.0428722487753368</v>
      </c>
      <c r="G327" s="1094">
        <v>0.9817325998810934</v>
      </c>
      <c r="H327" s="1094">
        <v>1.0276445880219054</v>
      </c>
      <c r="I327" s="1094">
        <v>0.99945633734633854</v>
      </c>
      <c r="K327">
        <v>4.6739948319468718</v>
      </c>
      <c r="L327">
        <v>0</v>
      </c>
      <c r="M327">
        <v>1.5743643812817607E-3</v>
      </c>
      <c r="N327">
        <v>0.13361019771677532</v>
      </c>
      <c r="O327">
        <v>3.9697446372550425E-2</v>
      </c>
      <c r="P327">
        <v>1.9844579688270355E-2</v>
      </c>
      <c r="Q327">
        <v>1.2835746257750672E-3</v>
      </c>
      <c r="R327">
        <v>1.5683376603879296E-3</v>
      </c>
      <c r="S327">
        <v>0.23859536878488449</v>
      </c>
      <c r="T327">
        <v>4.1363047386940952</v>
      </c>
      <c r="U327">
        <v>0</v>
      </c>
      <c r="V327">
        <v>9.4523053561131991E-3</v>
      </c>
      <c r="W327">
        <v>7.9947467306251158E-2</v>
      </c>
      <c r="X327">
        <v>1.0832938157871156E-2</v>
      </c>
      <c r="Y327">
        <v>4.4322419651723639E-3</v>
      </c>
    </row>
    <row r="328" spans="1:25" x14ac:dyDescent="0.25">
      <c r="A328" s="1090"/>
      <c r="B328" s="1448">
        <v>78</v>
      </c>
      <c r="C328" s="1094">
        <v>1.0040803741955671</v>
      </c>
      <c r="D328" s="1094">
        <v>1.0328534489827825</v>
      </c>
      <c r="E328" s="1094">
        <v>1.0146326617191956</v>
      </c>
      <c r="F328" s="1094">
        <v>1.0208959486808253</v>
      </c>
      <c r="G328" s="1094">
        <v>0.98529203145163491</v>
      </c>
      <c r="H328" s="1094">
        <v>0.99095295715678555</v>
      </c>
      <c r="I328" s="1094">
        <v>1.0119759725638167</v>
      </c>
      <c r="K328">
        <v>4.5686193263584398</v>
      </c>
      <c r="L328">
        <v>0</v>
      </c>
      <c r="M328">
        <v>1.4106810781818171E-3</v>
      </c>
      <c r="N328">
        <v>0.12749511557819479</v>
      </c>
      <c r="O328">
        <v>3.8432089667269569E-2</v>
      </c>
      <c r="P328">
        <v>1.9733130573429382E-2</v>
      </c>
      <c r="Q328">
        <v>1.2977072471681555E-3</v>
      </c>
      <c r="R328">
        <v>1.4049609281347815E-3</v>
      </c>
      <c r="S328">
        <v>0.23347699345868803</v>
      </c>
      <c r="T328">
        <v>4.0483136522664296</v>
      </c>
      <c r="U328">
        <v>0</v>
      </c>
      <c r="V328">
        <v>9.4523053561131991E-3</v>
      </c>
      <c r="W328">
        <v>7.5199810947909923E-2</v>
      </c>
      <c r="X328">
        <v>1.1253714566677859E-2</v>
      </c>
      <c r="Y328">
        <v>3.9705268466015192E-3</v>
      </c>
    </row>
    <row r="329" spans="1:25" x14ac:dyDescent="0.25">
      <c r="A329" s="1090"/>
      <c r="B329" s="1448">
        <v>79</v>
      </c>
      <c r="C329" s="1094">
        <v>0.97244228201960159</v>
      </c>
      <c r="D329" s="1094">
        <v>1.0067039508787805</v>
      </c>
      <c r="E329" s="1094">
        <v>1.0186917716025576</v>
      </c>
      <c r="F329" s="1094">
        <v>0.98984246716983892</v>
      </c>
      <c r="G329" s="1094">
        <v>0.99778859689819921</v>
      </c>
      <c r="H329" s="1094">
        <v>1.0281187949687876</v>
      </c>
      <c r="I329" s="1094">
        <v>1.0007443835305674</v>
      </c>
      <c r="K329">
        <v>4.4605437433850028</v>
      </c>
      <c r="L329">
        <v>0</v>
      </c>
      <c r="M329">
        <v>1.4678982617961538E-3</v>
      </c>
      <c r="N329">
        <v>0.13427283339796275</v>
      </c>
      <c r="O329">
        <v>3.8843738135659778E-2</v>
      </c>
      <c r="P329">
        <v>1.9244748226514476E-2</v>
      </c>
      <c r="Q329">
        <v>1.3584105838809538E-3</v>
      </c>
      <c r="R329">
        <v>1.4619820334202892E-3</v>
      </c>
      <c r="S329">
        <v>0.2381091940220818</v>
      </c>
      <c r="T329">
        <v>3.9250208149156047</v>
      </c>
      <c r="U329">
        <v>0</v>
      </c>
      <c r="V329">
        <v>9.4523053561131921E-3</v>
      </c>
      <c r="W329">
        <v>7.8982932997499089E-2</v>
      </c>
      <c r="X329">
        <v>1.1133009134568968E-2</v>
      </c>
      <c r="Y329">
        <v>4.1316728434938124E-3</v>
      </c>
    </row>
    <row r="330" spans="1:25" x14ac:dyDescent="0.25">
      <c r="A330" s="1090"/>
      <c r="B330" s="1448">
        <v>80</v>
      </c>
      <c r="C330" s="1094">
        <v>0.96144724487509314</v>
      </c>
      <c r="D330" s="1094">
        <v>1.0057515141129749</v>
      </c>
      <c r="E330" s="1094">
        <v>0.99868886933165513</v>
      </c>
      <c r="F330" s="1094">
        <v>1.0005253176982578</v>
      </c>
      <c r="G330" s="1094">
        <v>1.0105537449722815</v>
      </c>
      <c r="H330" s="1094">
        <v>0.96362950005266479</v>
      </c>
      <c r="I330" s="1094">
        <v>0.99163853551652115</v>
      </c>
      <c r="K330">
        <v>4.4903826874936046</v>
      </c>
      <c r="L330">
        <v>0</v>
      </c>
      <c r="M330">
        <v>1.4676661692986893E-3</v>
      </c>
      <c r="N330">
        <v>0.12650236443456772</v>
      </c>
      <c r="O330">
        <v>3.9869789197269849E-2</v>
      </c>
      <c r="P330">
        <v>1.914592978931574E-2</v>
      </c>
      <c r="Q330">
        <v>1.3512311881139463E-3</v>
      </c>
      <c r="R330">
        <v>1.4614221148120878E-3</v>
      </c>
      <c r="S330">
        <v>0.23542240954382929</v>
      </c>
      <c r="T330">
        <v>3.9681403868675726</v>
      </c>
      <c r="U330">
        <v>0</v>
      </c>
      <c r="V330">
        <v>9.4523053561131973E-3</v>
      </c>
      <c r="W330">
        <v>7.541899602769607E-2</v>
      </c>
      <c r="X330">
        <v>1.0955428672850325E-2</v>
      </c>
      <c r="Y330">
        <v>4.1300904707592704E-3</v>
      </c>
    </row>
    <row r="331" spans="1:25" x14ac:dyDescent="0.25">
      <c r="A331" s="1090"/>
      <c r="B331" s="1448">
        <v>81</v>
      </c>
      <c r="C331" s="1094">
        <v>1.0359880800761438</v>
      </c>
      <c r="D331" s="1094">
        <v>1.0077631684375168</v>
      </c>
      <c r="E331" s="1094">
        <v>1.0005756226436775</v>
      </c>
      <c r="F331" s="1094">
        <v>1.0080486126367971</v>
      </c>
      <c r="G331" s="1094">
        <v>1.0264105273761686</v>
      </c>
      <c r="H331" s="1094">
        <v>1.004305001954924</v>
      </c>
      <c r="I331" s="1094">
        <v>1.0101202532826337</v>
      </c>
      <c r="K331">
        <v>4.5031862994707073</v>
      </c>
      <c r="L331">
        <v>0</v>
      </c>
      <c r="M331">
        <v>1.423380453969272E-3</v>
      </c>
      <c r="N331">
        <v>0.12339815643465354</v>
      </c>
      <c r="O331">
        <v>3.7236974671246925E-2</v>
      </c>
      <c r="P331">
        <v>1.9268038597421933E-2</v>
      </c>
      <c r="Q331">
        <v>1.2550345105505202E-3</v>
      </c>
      <c r="R331">
        <v>1.4176132574014858E-3</v>
      </c>
      <c r="S331">
        <v>0.22656849015095828</v>
      </c>
      <c r="T331">
        <v>3.9979057625385668</v>
      </c>
      <c r="U331">
        <v>0</v>
      </c>
      <c r="V331">
        <v>9.4523053561131904E-3</v>
      </c>
      <c r="W331">
        <v>7.3474530774290878E-2</v>
      </c>
      <c r="X331">
        <v>1.0626490338403259E-2</v>
      </c>
      <c r="Y331">
        <v>4.0062832950688689E-3</v>
      </c>
    </row>
    <row r="332" spans="1:25" x14ac:dyDescent="0.25">
      <c r="A332" s="1090"/>
      <c r="B332" s="1448">
        <v>82</v>
      </c>
      <c r="C332" s="1094">
        <v>0.99016453073349775</v>
      </c>
      <c r="D332" s="1094">
        <v>0.9641884104961379</v>
      </c>
      <c r="E332" s="1094">
        <v>0.99082074430893796</v>
      </c>
      <c r="F332" s="1094">
        <v>0.99040090224857458</v>
      </c>
      <c r="G332" s="1094">
        <v>0.95993998295476046</v>
      </c>
      <c r="H332" s="1094">
        <v>0.98460261410347627</v>
      </c>
      <c r="I332" s="1094">
        <v>1.0021756506519892</v>
      </c>
      <c r="K332">
        <v>4.4464444207328571</v>
      </c>
      <c r="L332">
        <v>0</v>
      </c>
      <c r="M332">
        <v>1.4904561929526821E-3</v>
      </c>
      <c r="N332">
        <v>0.12551134564894728</v>
      </c>
      <c r="O332">
        <v>3.9028920618416063E-2</v>
      </c>
      <c r="P332">
        <v>1.8847199033736106E-2</v>
      </c>
      <c r="Q332">
        <v>1.3253815584006847E-3</v>
      </c>
      <c r="R332">
        <v>1.4841870730871725E-3</v>
      </c>
      <c r="S332">
        <v>0.23404821482259988</v>
      </c>
      <c r="T332">
        <v>3.9282838884482518</v>
      </c>
      <c r="U332">
        <v>0</v>
      </c>
      <c r="V332">
        <v>9.4523053561131904E-3</v>
      </c>
      <c r="W332">
        <v>7.5228577815283845E-2</v>
      </c>
      <c r="X332">
        <v>1.0530430570104801E-2</v>
      </c>
      <c r="Y332">
        <v>4.1944259808670064E-3</v>
      </c>
    </row>
    <row r="333" spans="1:25" x14ac:dyDescent="0.25">
      <c r="A333" s="1090"/>
      <c r="B333" s="1448">
        <v>83</v>
      </c>
      <c r="C333" s="1094">
        <v>0.97655857138105295</v>
      </c>
      <c r="D333" s="1094">
        <v>0.968940790725354</v>
      </c>
      <c r="E333" s="1094">
        <v>1.0095961154186739</v>
      </c>
      <c r="F333" s="1094">
        <v>1.0104747771457294</v>
      </c>
      <c r="G333" s="1094">
        <v>0.9749211378754582</v>
      </c>
      <c r="H333" s="1094">
        <v>1.0232776816068587</v>
      </c>
      <c r="I333" s="1094">
        <v>1.0151677239563983</v>
      </c>
      <c r="K333">
        <v>4.5574574995344639</v>
      </c>
      <c r="L333">
        <v>0</v>
      </c>
      <c r="M333">
        <v>1.5371386103367913E-3</v>
      </c>
      <c r="N333">
        <v>0.13688025141277188</v>
      </c>
      <c r="O333">
        <v>4.0160353360540253E-2</v>
      </c>
      <c r="P333">
        <v>1.9530702743190985E-2</v>
      </c>
      <c r="Q333">
        <v>1.3629604473850256E-3</v>
      </c>
      <c r="R333">
        <v>1.5310405859964888E-3</v>
      </c>
      <c r="S333">
        <v>0.24638589905284089</v>
      </c>
      <c r="T333">
        <v>4.0071816532629665</v>
      </c>
      <c r="U333">
        <v>0</v>
      </c>
      <c r="V333">
        <v>9.4523053561131991E-3</v>
      </c>
      <c r="W333">
        <v>8.1008442573704723E-2</v>
      </c>
      <c r="X333">
        <v>1.1174191763844203E-2</v>
      </c>
      <c r="Y333">
        <v>4.3268375854452262E-3</v>
      </c>
    </row>
    <row r="334" spans="1:25" x14ac:dyDescent="0.25">
      <c r="A334" s="1090"/>
      <c r="B334" s="1448">
        <v>84</v>
      </c>
      <c r="C334" s="1094">
        <v>1.0002397586172371</v>
      </c>
      <c r="D334" s="1094">
        <v>0.98095284452759346</v>
      </c>
      <c r="E334" s="1094">
        <v>0.98049002434936827</v>
      </c>
      <c r="F334" s="1094">
        <v>1.0278249539481565</v>
      </c>
      <c r="G334" s="1094">
        <v>1.0017751087586124</v>
      </c>
      <c r="H334" s="1094">
        <v>0.98344300072486279</v>
      </c>
      <c r="I334" s="1094">
        <v>1.003550168074286</v>
      </c>
      <c r="K334">
        <v>4.6018831254540871</v>
      </c>
      <c r="L334">
        <v>0</v>
      </c>
      <c r="M334">
        <v>1.5519798092757517E-3</v>
      </c>
      <c r="N334">
        <v>0.12676710687561502</v>
      </c>
      <c r="O334">
        <v>3.9893477418838419E-2</v>
      </c>
      <c r="P334">
        <v>1.9379101355561035E-2</v>
      </c>
      <c r="Q334">
        <v>1.2914251292287634E-3</v>
      </c>
      <c r="R334">
        <v>1.5456812303090268E-3</v>
      </c>
      <c r="S334">
        <v>0.23652397965734492</v>
      </c>
      <c r="T334">
        <v>4.0771282321200273</v>
      </c>
      <c r="U334">
        <v>0</v>
      </c>
      <c r="V334">
        <v>9.4523053561132026E-3</v>
      </c>
      <c r="W334">
        <v>7.6518866005438432E-2</v>
      </c>
      <c r="X334">
        <v>1.0566716950846638E-2</v>
      </c>
      <c r="Y334">
        <v>4.3682131640327736E-3</v>
      </c>
    </row>
    <row r="335" spans="1:25" x14ac:dyDescent="0.25">
      <c r="A335" s="1090"/>
      <c r="B335" s="1448">
        <v>85</v>
      </c>
      <c r="C335" s="1094">
        <v>0.97736402762244667</v>
      </c>
      <c r="D335" s="1094">
        <v>0.99698081980203335</v>
      </c>
      <c r="E335" s="1094">
        <v>0.99464471533591436</v>
      </c>
      <c r="F335" s="1094">
        <v>1.0012406999367165</v>
      </c>
      <c r="G335" s="1094">
        <v>1.030485524096048</v>
      </c>
      <c r="H335" s="1094">
        <v>1.0407743923394011</v>
      </c>
      <c r="I335" s="1094">
        <v>0.98410225442807009</v>
      </c>
      <c r="K335">
        <v>4.5068605876250762</v>
      </c>
      <c r="L335">
        <v>0</v>
      </c>
      <c r="M335">
        <v>1.5793211434475731E-3</v>
      </c>
      <c r="N335">
        <v>0.1345473820428959</v>
      </c>
      <c r="O335">
        <v>3.9414750462447211E-2</v>
      </c>
      <c r="P335">
        <v>1.9106349915285162E-2</v>
      </c>
      <c r="Q335">
        <v>1.3292659455928113E-3</v>
      </c>
      <c r="R335">
        <v>1.5731045252050972E-3</v>
      </c>
      <c r="S335">
        <v>0.23644916321533507</v>
      </c>
      <c r="T335">
        <v>3.9711320808455821</v>
      </c>
      <c r="U335">
        <v>0</v>
      </c>
      <c r="V335">
        <v>9.4523053561131973E-3</v>
      </c>
      <c r="W335">
        <v>8.0435380293884251E-2</v>
      </c>
      <c r="X335">
        <v>1.0554412677099423E-2</v>
      </c>
      <c r="Y335">
        <v>4.4457134890785906E-3</v>
      </c>
    </row>
    <row r="336" spans="1:25" x14ac:dyDescent="0.25">
      <c r="A336" s="1090"/>
      <c r="B336" s="1448">
        <v>86</v>
      </c>
      <c r="C336" s="1094">
        <v>1.0234680304637751</v>
      </c>
      <c r="D336" s="1094">
        <v>0.97799393225709375</v>
      </c>
      <c r="E336" s="1094">
        <v>1.0044595244858205</v>
      </c>
      <c r="F336" s="1094">
        <v>0.99444406951137443</v>
      </c>
      <c r="G336" s="1094">
        <v>1.001000853558611</v>
      </c>
      <c r="H336" s="1094">
        <v>1.0115811106377315</v>
      </c>
      <c r="I336" s="1094">
        <v>0.99800768440934573</v>
      </c>
      <c r="K336">
        <v>4.4539368216305855</v>
      </c>
      <c r="L336">
        <v>0</v>
      </c>
      <c r="M336">
        <v>1.4371926053149263E-3</v>
      </c>
      <c r="N336">
        <v>0.12603417554934776</v>
      </c>
      <c r="O336">
        <v>3.7606313045726709E-2</v>
      </c>
      <c r="P336">
        <v>1.9079341438775994E-2</v>
      </c>
      <c r="Q336">
        <v>1.2899960013167543E-3</v>
      </c>
      <c r="R336">
        <v>1.4313325652814369E-3</v>
      </c>
      <c r="S336">
        <v>0.22711689528722814</v>
      </c>
      <c r="T336">
        <v>3.9438034481604785</v>
      </c>
      <c r="U336">
        <v>0</v>
      </c>
      <c r="V336">
        <v>9.4523053561132008E-3</v>
      </c>
      <c r="W336">
        <v>7.4847686945004599E-2</v>
      </c>
      <c r="X336">
        <v>1.0667464780068654E-2</v>
      </c>
      <c r="Y336">
        <v>4.0450551065572193E-3</v>
      </c>
    </row>
    <row r="337" spans="1:25" x14ac:dyDescent="0.25">
      <c r="A337" s="1090"/>
      <c r="B337" s="1448">
        <v>87</v>
      </c>
      <c r="C337" s="1094">
        <v>1.0002440797136778</v>
      </c>
      <c r="D337" s="1094">
        <v>1.0313100642886399</v>
      </c>
      <c r="E337" s="1094">
        <v>1.0050630757770711</v>
      </c>
      <c r="F337" s="1094">
        <v>1.0169263903427039</v>
      </c>
      <c r="G337" s="1094">
        <v>1.022727486768201</v>
      </c>
      <c r="H337" s="1094">
        <v>1.0134842145515774</v>
      </c>
      <c r="I337" s="1094">
        <v>0.99332557471192817</v>
      </c>
      <c r="K337">
        <v>4.5542594903431599</v>
      </c>
      <c r="L337">
        <v>0</v>
      </c>
      <c r="M337">
        <v>1.4729752396106346E-3</v>
      </c>
      <c r="N337">
        <v>0.12941588494168244</v>
      </c>
      <c r="O337">
        <v>3.8518557340175667E-2</v>
      </c>
      <c r="P337">
        <v>1.9513751297519165E-2</v>
      </c>
      <c r="Q337">
        <v>1.2928834690102912E-3</v>
      </c>
      <c r="R337">
        <v>1.4671125726183399E-3</v>
      </c>
      <c r="S337">
        <v>0.23124588760596851</v>
      </c>
      <c r="T337">
        <v>4.0329413578810929</v>
      </c>
      <c r="U337">
        <v>0</v>
      </c>
      <c r="V337">
        <v>9.4523053561131973E-3</v>
      </c>
      <c r="W337">
        <v>7.6824732517931066E-2</v>
      </c>
      <c r="X337">
        <v>1.0913820461689613E-2</v>
      </c>
      <c r="Y337">
        <v>4.1461721389656429E-3</v>
      </c>
    </row>
    <row r="338" spans="1:25" x14ac:dyDescent="0.25">
      <c r="A338" s="1090"/>
      <c r="B338" s="1448">
        <v>88</v>
      </c>
      <c r="C338" s="1094">
        <v>1.0223697425126337</v>
      </c>
      <c r="D338" s="1094">
        <v>0.99699675480021011</v>
      </c>
      <c r="E338" s="1094">
        <v>1.0068490758162152</v>
      </c>
      <c r="F338" s="1094">
        <v>1.0056457137470318</v>
      </c>
      <c r="G338" s="1094">
        <v>1.0236085409011819</v>
      </c>
      <c r="H338" s="1094">
        <v>1.0134869441006802</v>
      </c>
      <c r="I338" s="1094">
        <v>0.990382375923193</v>
      </c>
      <c r="K338">
        <v>4.4994193048955795</v>
      </c>
      <c r="L338">
        <v>0</v>
      </c>
      <c r="M338">
        <v>1.4391729796064299E-3</v>
      </c>
      <c r="N338">
        <v>0.12711094907666226</v>
      </c>
      <c r="O338">
        <v>3.7762671528005227E-2</v>
      </c>
      <c r="P338">
        <v>1.9311424908322841E-2</v>
      </c>
      <c r="Q338">
        <v>1.2840970009970999E-3</v>
      </c>
      <c r="R338">
        <v>1.4333808740638557E-3</v>
      </c>
      <c r="S338">
        <v>0.22614515117726319</v>
      </c>
      <c r="T338">
        <v>3.9881360909489421</v>
      </c>
      <c r="U338">
        <v>0</v>
      </c>
      <c r="V338">
        <v>9.4523053561131852E-3</v>
      </c>
      <c r="W338">
        <v>7.536579814050165E-2</v>
      </c>
      <c r="X338">
        <v>1.0805765080757517E-2</v>
      </c>
      <c r="Y338">
        <v>4.0508437835573129E-3</v>
      </c>
    </row>
    <row r="339" spans="1:25" x14ac:dyDescent="0.25">
      <c r="A339" s="1090"/>
      <c r="B339" s="1448">
        <v>89</v>
      </c>
      <c r="C339" s="1094">
        <v>1.0000014298619493</v>
      </c>
      <c r="D339" s="1094">
        <v>1.0013962038353283</v>
      </c>
      <c r="E339" s="1094">
        <v>1.0205846883106087</v>
      </c>
      <c r="F339" s="1094">
        <v>0.99954280738024148</v>
      </c>
      <c r="G339" s="1094">
        <v>0.98273672055556993</v>
      </c>
      <c r="H339" s="1094">
        <v>0.98703075939349938</v>
      </c>
      <c r="I339" s="1094">
        <v>1.0121429999986653</v>
      </c>
      <c r="K339">
        <v>4.4816128523905512</v>
      </c>
      <c r="L339">
        <v>0</v>
      </c>
      <c r="M339">
        <v>1.3811673266055802E-3</v>
      </c>
      <c r="N339">
        <v>0.12703262925731423</v>
      </c>
      <c r="O339">
        <v>3.8211132607353954E-2</v>
      </c>
      <c r="P339">
        <v>1.942502399921613E-2</v>
      </c>
      <c r="Q339">
        <v>1.3258928271867813E-3</v>
      </c>
      <c r="R339">
        <v>1.3754249717004726E-3</v>
      </c>
      <c r="S339">
        <v>0.23296916221726185</v>
      </c>
      <c r="T339">
        <v>3.9634142023136398</v>
      </c>
      <c r="U339">
        <v>0</v>
      </c>
      <c r="V339">
        <v>9.4523053561131973E-3</v>
      </c>
      <c r="W339">
        <v>7.4629769832960255E-2</v>
      </c>
      <c r="X339">
        <v>1.1271420355652727E-2</v>
      </c>
      <c r="Y339">
        <v>3.8870559787545626E-3</v>
      </c>
    </row>
    <row r="340" spans="1:25" x14ac:dyDescent="0.25">
      <c r="A340" s="1090"/>
      <c r="B340" s="1448">
        <v>90</v>
      </c>
      <c r="C340" s="1094">
        <v>1.0404484621508403</v>
      </c>
      <c r="D340" s="1094">
        <v>0.99894911899331773</v>
      </c>
      <c r="E340" s="1094">
        <v>1.0411495045638344</v>
      </c>
      <c r="F340" s="1094">
        <v>1.0002993647867993</v>
      </c>
      <c r="G340" s="1094">
        <v>0.97604308161588516</v>
      </c>
      <c r="H340" s="1094">
        <v>0.99293826440846478</v>
      </c>
      <c r="I340" s="1094">
        <v>1.0202247134689753</v>
      </c>
      <c r="K340">
        <v>4.4721049752495983</v>
      </c>
      <c r="L340">
        <v>0</v>
      </c>
      <c r="M340">
        <v>1.2807776285100512E-3</v>
      </c>
      <c r="N340">
        <v>0.12518643738983332</v>
      </c>
      <c r="O340">
        <v>3.6653079647585289E-2</v>
      </c>
      <c r="P340">
        <v>1.969660813779233E-2</v>
      </c>
      <c r="Q340">
        <v>1.2978349421041721E-3</v>
      </c>
      <c r="R340">
        <v>1.2754883229008445E-3</v>
      </c>
      <c r="S340">
        <v>0.22642238975545509</v>
      </c>
      <c r="T340">
        <v>3.9656426435212131</v>
      </c>
      <c r="U340">
        <v>0</v>
      </c>
      <c r="V340">
        <v>9.4523053561131869E-3</v>
      </c>
      <c r="W340">
        <v>7.2550815883635739E-2</v>
      </c>
      <c r="X340">
        <v>1.1603522542031147E-2</v>
      </c>
      <c r="Y340">
        <v>3.6046273794446155E-3</v>
      </c>
    </row>
    <row r="341" spans="1:25" x14ac:dyDescent="0.25">
      <c r="A341" s="1090"/>
      <c r="B341" s="1448">
        <v>91</v>
      </c>
      <c r="C341" s="1094">
        <v>0.98175581966865388</v>
      </c>
      <c r="D341" s="1094">
        <v>0.98442135048425061</v>
      </c>
      <c r="E341" s="1094">
        <v>0.96948012704720998</v>
      </c>
      <c r="F341" s="1094">
        <v>0.99777485970593516</v>
      </c>
      <c r="G341" s="1094">
        <v>1.0368763760022295</v>
      </c>
      <c r="H341" s="1094">
        <v>0.97847635820388601</v>
      </c>
      <c r="I341" s="1094">
        <v>0.98761710661619351</v>
      </c>
      <c r="K341">
        <v>4.4719546763535689</v>
      </c>
      <c r="L341">
        <v>0</v>
      </c>
      <c r="M341">
        <v>1.5608826306210619E-3</v>
      </c>
      <c r="N341">
        <v>0.12337711269548897</v>
      </c>
      <c r="O341">
        <v>3.9477576556724535E-2</v>
      </c>
      <c r="P341">
        <v>1.8668251493738276E-2</v>
      </c>
      <c r="Q341">
        <v>1.3013462053955188E-3</v>
      </c>
      <c r="R341">
        <v>1.5543248027070715E-3</v>
      </c>
      <c r="S341">
        <v>0.23182345547553476</v>
      </c>
      <c r="T341">
        <v>3.9583503512325966</v>
      </c>
      <c r="U341">
        <v>0</v>
      </c>
      <c r="V341">
        <v>9.4523053561131817E-3</v>
      </c>
      <c r="W341">
        <v>7.5038435681404503E-2</v>
      </c>
      <c r="X341">
        <v>1.0079758924952982E-2</v>
      </c>
      <c r="Y341">
        <v>4.3926405595351836E-3</v>
      </c>
    </row>
    <row r="342" spans="1:25" x14ac:dyDescent="0.25">
      <c r="A342" s="1090"/>
      <c r="B342" s="1448">
        <v>92</v>
      </c>
      <c r="C342" s="1094">
        <v>1.0216737920584944</v>
      </c>
      <c r="D342" s="1094">
        <v>1.0321298913361263</v>
      </c>
      <c r="E342" s="1094">
        <v>0.99911718747133915</v>
      </c>
      <c r="F342" s="1094">
        <v>1.0347482624661781</v>
      </c>
      <c r="G342" s="1094">
        <v>0.99354732259233691</v>
      </c>
      <c r="H342" s="1094">
        <v>0.9703602133418251</v>
      </c>
      <c r="I342" s="1094">
        <v>0.9796013479956388</v>
      </c>
      <c r="K342">
        <v>4.6062421594926795</v>
      </c>
      <c r="L342">
        <v>0</v>
      </c>
      <c r="M342">
        <v>1.4220732974391077E-3</v>
      </c>
      <c r="N342">
        <v>0.12274904229728514</v>
      </c>
      <c r="O342">
        <v>3.840016128787635E-2</v>
      </c>
      <c r="P342">
        <v>1.9711123519915736E-2</v>
      </c>
      <c r="Q342">
        <v>1.2589397193927686E-3</v>
      </c>
      <c r="R342">
        <v>1.4162631018119572E-3</v>
      </c>
      <c r="S342">
        <v>0.2226948564804544</v>
      </c>
      <c r="T342">
        <v>4.1038536481639243</v>
      </c>
      <c r="U342">
        <v>0</v>
      </c>
      <c r="V342">
        <v>9.4523053561131852E-3</v>
      </c>
      <c r="W342">
        <v>7.3160118306931296E-2</v>
      </c>
      <c r="X342">
        <v>1.0965306904121484E-2</v>
      </c>
      <c r="Y342">
        <v>4.0024676522933582E-3</v>
      </c>
    </row>
    <row r="343" spans="1:25" x14ac:dyDescent="0.25">
      <c r="A343" s="1090"/>
      <c r="B343" s="1448">
        <v>93</v>
      </c>
      <c r="C343" s="1094">
        <v>1.0247638933688334</v>
      </c>
      <c r="D343" s="1094">
        <v>1.0237451736639802</v>
      </c>
      <c r="E343" s="1094">
        <v>1.0241768503440192</v>
      </c>
      <c r="F343" s="1094">
        <v>1.0194573710250092</v>
      </c>
      <c r="G343" s="1094">
        <v>0.95295884996755742</v>
      </c>
      <c r="H343" s="1094">
        <v>1.0009967892000768</v>
      </c>
      <c r="I343" s="1094">
        <v>1.0024434930760353</v>
      </c>
      <c r="K343">
        <v>4.5556437892500146</v>
      </c>
      <c r="L343">
        <v>0</v>
      </c>
      <c r="M343">
        <v>1.3712827095292513E-3</v>
      </c>
      <c r="N343">
        <v>0.12748844003633059</v>
      </c>
      <c r="O343">
        <v>3.7672026093853339E-2</v>
      </c>
      <c r="P343">
        <v>1.9816863255528078E-2</v>
      </c>
      <c r="Q343">
        <v>1.2863792023125136E-3</v>
      </c>
      <c r="R343">
        <v>1.3657703709991466E-3</v>
      </c>
      <c r="S343">
        <v>0.22773709471526035</v>
      </c>
      <c r="T343">
        <v>4.0422420467722739</v>
      </c>
      <c r="U343">
        <v>0</v>
      </c>
      <c r="V343">
        <v>9.4523053561131817E-3</v>
      </c>
      <c r="W343">
        <v>7.471865864581638E-2</v>
      </c>
      <c r="X343">
        <v>1.1375716170978987E-2</v>
      </c>
      <c r="Y343">
        <v>3.8597713400787218E-3</v>
      </c>
    </row>
    <row r="344" spans="1:25" x14ac:dyDescent="0.25">
      <c r="A344" s="1090"/>
      <c r="B344" s="1448">
        <v>94</v>
      </c>
      <c r="C344" s="1094">
        <v>0.99696771300731757</v>
      </c>
      <c r="D344" s="1094">
        <v>1.0091828804881342</v>
      </c>
      <c r="E344" s="1094">
        <v>1.0058043176044931</v>
      </c>
      <c r="F344" s="1094">
        <v>1.0166461593242495</v>
      </c>
      <c r="G344" s="1094">
        <v>0.98121809444551289</v>
      </c>
      <c r="H344" s="1094">
        <v>0.97152467357829653</v>
      </c>
      <c r="I344" s="1094">
        <v>0.97334987192233835</v>
      </c>
      <c r="K344">
        <v>4.541835806922176</v>
      </c>
      <c r="L344">
        <v>0</v>
      </c>
      <c r="M344">
        <v>1.4263536777348448E-3</v>
      </c>
      <c r="N344">
        <v>0.12557331344833575</v>
      </c>
      <c r="O344">
        <v>3.8965951856924891E-2</v>
      </c>
      <c r="P344">
        <v>1.9493600212852152E-2</v>
      </c>
      <c r="Q344">
        <v>1.3092632328907468E-3</v>
      </c>
      <c r="R344">
        <v>1.4204297551996578E-3</v>
      </c>
      <c r="S344">
        <v>0.22562693757797481</v>
      </c>
      <c r="T344">
        <v>4.0318013930370888</v>
      </c>
      <c r="U344">
        <v>0</v>
      </c>
      <c r="V344">
        <v>9.4523053561131956E-3</v>
      </c>
      <c r="W344">
        <v>7.4506480517224444E-2</v>
      </c>
      <c r="X344">
        <v>1.1098242672426475E-2</v>
      </c>
      <c r="Y344">
        <v>4.0142429328759374E-3</v>
      </c>
    </row>
    <row r="345" spans="1:25" x14ac:dyDescent="0.25">
      <c r="A345" s="1090"/>
      <c r="B345" s="1448">
        <v>95</v>
      </c>
      <c r="C345" s="1094">
        <v>0.97088472016295169</v>
      </c>
      <c r="D345" s="1094">
        <v>1.0427052333944091</v>
      </c>
      <c r="E345" s="1094">
        <v>0.97748526203266106</v>
      </c>
      <c r="F345" s="1094">
        <v>1.033097646713826</v>
      </c>
      <c r="G345" s="1094">
        <v>0.98763875148105651</v>
      </c>
      <c r="H345" s="1094">
        <v>1.0244914322085843</v>
      </c>
      <c r="I345" s="1094">
        <v>1.0108696826037931</v>
      </c>
      <c r="K345">
        <v>4.642586674759948</v>
      </c>
      <c r="L345">
        <v>0</v>
      </c>
      <c r="M345">
        <v>1.6441018989015153E-3</v>
      </c>
      <c r="N345">
        <v>0.13312396014082292</v>
      </c>
      <c r="O345">
        <v>4.0335447318089655E-2</v>
      </c>
      <c r="P345">
        <v>1.9467732233139412E-2</v>
      </c>
      <c r="Q345">
        <v>1.2949912702737395E-3</v>
      </c>
      <c r="R345">
        <v>1.6377293564458222E-3</v>
      </c>
      <c r="S345">
        <v>0.24518258705260026</v>
      </c>
      <c r="T345">
        <v>4.0981631275602384</v>
      </c>
      <c r="U345">
        <v>0</v>
      </c>
      <c r="V345">
        <v>9.45230535611318E-3</v>
      </c>
      <c r="W345">
        <v>8.0521685387759709E-2</v>
      </c>
      <c r="X345">
        <v>1.0422862787329139E-2</v>
      </c>
      <c r="Y345">
        <v>4.6283481960373444E-3</v>
      </c>
    </row>
    <row r="346" spans="1:25" x14ac:dyDescent="0.25">
      <c r="A346" s="1090"/>
      <c r="B346" s="1448">
        <v>96</v>
      </c>
      <c r="C346" s="1094">
        <v>0.99424039159366984</v>
      </c>
      <c r="D346" s="1094">
        <v>0.96994725311740781</v>
      </c>
      <c r="E346" s="1094">
        <v>1.0324813578663046</v>
      </c>
      <c r="F346" s="1094">
        <v>1.0279530828261798</v>
      </c>
      <c r="G346" s="1094">
        <v>0.97838380928517266</v>
      </c>
      <c r="H346" s="1094">
        <v>1.0004755530721199</v>
      </c>
      <c r="I346" s="1094">
        <v>0.99630250122757091</v>
      </c>
      <c r="K346">
        <v>4.6165846215911905</v>
      </c>
      <c r="L346">
        <v>0</v>
      </c>
      <c r="M346">
        <v>1.4301202324466977E-3</v>
      </c>
      <c r="N346">
        <v>0.13626795270582537</v>
      </c>
      <c r="O346">
        <v>3.9946818826518266E-2</v>
      </c>
      <c r="P346">
        <v>2.0141971220205997E-2</v>
      </c>
      <c r="Q346">
        <v>1.3643155670997552E-3</v>
      </c>
      <c r="R346">
        <v>1.4244157288877757E-3</v>
      </c>
      <c r="S346">
        <v>0.23840651219102663</v>
      </c>
      <c r="T346">
        <v>4.0756077639166284</v>
      </c>
      <c r="U346">
        <v>0</v>
      </c>
      <c r="V346">
        <v>9.4523053561131852E-3</v>
      </c>
      <c r="W346">
        <v>7.9425621418519415E-2</v>
      </c>
      <c r="X346">
        <v>1.1951557293979669E-2</v>
      </c>
      <c r="Y346">
        <v>4.0255075988332549E-3</v>
      </c>
    </row>
    <row r="347" spans="1:25" x14ac:dyDescent="0.25">
      <c r="A347" s="1090"/>
      <c r="B347" s="1448">
        <v>97</v>
      </c>
      <c r="C347" s="1094">
        <v>1.0180900630310439</v>
      </c>
      <c r="D347" s="1094">
        <v>1.0090783112206096</v>
      </c>
      <c r="E347" s="1094">
        <v>1.0319902458552461</v>
      </c>
      <c r="F347" s="1094">
        <v>0.99962604545756784</v>
      </c>
      <c r="G347" s="1094">
        <v>1.021290724629236</v>
      </c>
      <c r="H347" s="1094">
        <v>0.96910217728762882</v>
      </c>
      <c r="I347" s="1094">
        <v>1.0211503310995527</v>
      </c>
      <c r="K347">
        <v>4.4703447342348461</v>
      </c>
      <c r="L347">
        <v>0</v>
      </c>
      <c r="M347">
        <v>1.2963876473743158E-3</v>
      </c>
      <c r="N347">
        <v>0.12331576880184077</v>
      </c>
      <c r="O347">
        <v>3.7343886273070413E-2</v>
      </c>
      <c r="P347">
        <v>1.9567996568179872E-2</v>
      </c>
      <c r="Q347">
        <v>1.3109020492204561E-3</v>
      </c>
      <c r="R347">
        <v>1.2908985148008248E-3</v>
      </c>
      <c r="S347">
        <v>0.22898953497815619</v>
      </c>
      <c r="T347">
        <v>3.9633156932299585</v>
      </c>
      <c r="U347">
        <v>0</v>
      </c>
      <c r="V347">
        <v>9.4523053561132008E-3</v>
      </c>
      <c r="W347">
        <v>7.1899613227355774E-2</v>
      </c>
      <c r="X347">
        <v>1.1506345125251926E-2</v>
      </c>
      <c r="Y347">
        <v>3.6481777582664551E-3</v>
      </c>
    </row>
    <row r="348" spans="1:25" x14ac:dyDescent="0.25">
      <c r="A348" s="1090"/>
      <c r="B348" s="1448">
        <v>98</v>
      </c>
      <c r="C348" s="1094">
        <v>0.96280421682791428</v>
      </c>
      <c r="D348" s="1094">
        <v>1.0099445679846974</v>
      </c>
      <c r="E348" s="1094">
        <v>0.97805134406663108</v>
      </c>
      <c r="F348" s="1094">
        <v>0.99836786055813365</v>
      </c>
      <c r="G348" s="1094">
        <v>1.0236366322301647</v>
      </c>
      <c r="H348" s="1094">
        <v>1.0329730894077116</v>
      </c>
      <c r="I348" s="1094">
        <v>0.97154655642735122</v>
      </c>
      <c r="K348">
        <v>4.4921881430968629</v>
      </c>
      <c r="L348">
        <v>0</v>
      </c>
      <c r="M348">
        <v>1.634473842198912E-3</v>
      </c>
      <c r="N348">
        <v>0.13255341394164341</v>
      </c>
      <c r="O348">
        <v>3.9807761406220991E-2</v>
      </c>
      <c r="P348">
        <v>1.8813931704995308E-2</v>
      </c>
      <c r="Q348">
        <v>1.3232924541712798E-3</v>
      </c>
      <c r="R348">
        <v>1.6279729629731358E-3</v>
      </c>
      <c r="S348">
        <v>0.23497926438459057</v>
      </c>
      <c r="T348">
        <v>3.9603728570565977</v>
      </c>
      <c r="U348">
        <v>0</v>
      </c>
      <c r="V348">
        <v>9.4523053561131991E-3</v>
      </c>
      <c r="W348">
        <v>8.0145446339559084E-2</v>
      </c>
      <c r="X348">
        <v>1.0145595448975643E-2</v>
      </c>
      <c r="Y348">
        <v>4.6007758832181259E-3</v>
      </c>
    </row>
    <row r="349" spans="1:25" x14ac:dyDescent="0.25">
      <c r="A349" s="1090"/>
      <c r="B349" s="1448">
        <v>99</v>
      </c>
      <c r="C349" s="1094">
        <v>1.0174985834963117</v>
      </c>
      <c r="D349" s="1094">
        <v>1.0057952755677788</v>
      </c>
      <c r="E349" s="1094">
        <v>1.0065810050312143</v>
      </c>
      <c r="F349" s="1094">
        <v>0.96877228130993032</v>
      </c>
      <c r="G349" s="1094">
        <v>0.98519392624446311</v>
      </c>
      <c r="H349" s="1094">
        <v>1.0110924842152047</v>
      </c>
      <c r="I349" s="1094">
        <v>1.026960499686558</v>
      </c>
      <c r="K349">
        <v>4.3458421842564956</v>
      </c>
      <c r="L349">
        <v>0</v>
      </c>
      <c r="M349">
        <v>1.3858719429276577E-3</v>
      </c>
      <c r="N349">
        <v>0.1222862009955023</v>
      </c>
      <c r="O349">
        <v>3.642571726127132E-2</v>
      </c>
      <c r="P349">
        <v>1.865207156497449E-2</v>
      </c>
      <c r="Q349">
        <v>1.2854237379389974E-3</v>
      </c>
      <c r="R349">
        <v>1.3800692480788891E-3</v>
      </c>
      <c r="S349">
        <v>0.22896351591162339</v>
      </c>
      <c r="T349">
        <v>3.8419152579175253</v>
      </c>
      <c r="U349">
        <v>0</v>
      </c>
      <c r="V349">
        <v>9.4523053561131852E-3</v>
      </c>
      <c r="W349">
        <v>7.2518217999942319E-2</v>
      </c>
      <c r="X349">
        <v>1.0449095148079948E-2</v>
      </c>
      <c r="Y349">
        <v>3.900181058373696E-3</v>
      </c>
    </row>
    <row r="350" spans="1:25" x14ac:dyDescent="0.25">
      <c r="A350" s="1090"/>
      <c r="B350" s="1448">
        <v>100</v>
      </c>
      <c r="C350" s="1094">
        <v>1.0309939549400757</v>
      </c>
      <c r="D350" s="1094">
        <v>0.98547603655656735</v>
      </c>
      <c r="E350" s="1094">
        <v>1.0133688806399703</v>
      </c>
      <c r="F350" s="1094">
        <v>1.0003678949934292</v>
      </c>
      <c r="G350" s="1094">
        <v>0.96702376529704481</v>
      </c>
      <c r="H350" s="1094">
        <v>0.99075113849555319</v>
      </c>
      <c r="I350" s="1094">
        <v>0.98075433775857968</v>
      </c>
      <c r="K350">
        <v>4.4665128537774921</v>
      </c>
      <c r="L350">
        <v>0</v>
      </c>
      <c r="M350">
        <v>1.3752517279567624E-3</v>
      </c>
      <c r="N350">
        <v>0.12381858999944859</v>
      </c>
      <c r="O350">
        <v>3.7380085496483605E-2</v>
      </c>
      <c r="P350">
        <v>1.9281030940673342E-2</v>
      </c>
      <c r="Q350">
        <v>1.286411535726099E-3</v>
      </c>
      <c r="R350">
        <v>1.3695601175641302E-3</v>
      </c>
      <c r="S350">
        <v>0.22041916109823506</v>
      </c>
      <c r="T350">
        <v>3.9669584584237461</v>
      </c>
      <c r="U350">
        <v>0</v>
      </c>
      <c r="V350">
        <v>9.452305356113206E-3</v>
      </c>
      <c r="W350">
        <v>7.3093121713121781E-2</v>
      </c>
      <c r="X350">
        <v>1.0958899371126228E-2</v>
      </c>
      <c r="Y350">
        <v>3.8704814532048268E-3</v>
      </c>
    </row>
    <row r="351" spans="1:25" x14ac:dyDescent="0.25">
      <c r="A351" s="1090"/>
      <c r="B351" s="1448">
        <v>101</v>
      </c>
      <c r="C351" s="1094">
        <v>1.0278867747614149</v>
      </c>
      <c r="D351" s="1094">
        <v>1.0078736169902587</v>
      </c>
      <c r="E351" s="1094">
        <v>0.99660963410925663</v>
      </c>
      <c r="F351" s="1094">
        <v>0.97614192640938824</v>
      </c>
      <c r="G351" s="1094">
        <v>1.0318329280050014</v>
      </c>
      <c r="H351" s="1094">
        <v>0.98516438643259596</v>
      </c>
      <c r="I351" s="1094">
        <v>0.99531415455451611</v>
      </c>
      <c r="K351">
        <v>4.3581499388102607</v>
      </c>
      <c r="L351">
        <v>0</v>
      </c>
      <c r="M351">
        <v>1.3742642526827244E-3</v>
      </c>
      <c r="N351">
        <v>0.11772291312894866</v>
      </c>
      <c r="O351">
        <v>3.6366727472731536E-2</v>
      </c>
      <c r="P351">
        <v>1.8602330383697917E-2</v>
      </c>
      <c r="Q351">
        <v>1.2605748285029774E-3</v>
      </c>
      <c r="R351">
        <v>1.3684031183279549E-3</v>
      </c>
      <c r="S351">
        <v>0.21879508255520186</v>
      </c>
      <c r="T351">
        <v>3.871511847320563</v>
      </c>
      <c r="U351">
        <v>0</v>
      </c>
      <c r="V351">
        <v>9.4523053561131887E-3</v>
      </c>
      <c r="W351">
        <v>7.0283663963724027E-2</v>
      </c>
      <c r="X351">
        <v>1.0293143250100679E-2</v>
      </c>
      <c r="Y351">
        <v>3.8672116850306825E-3</v>
      </c>
    </row>
    <row r="352" spans="1:25" x14ac:dyDescent="0.25">
      <c r="A352" s="1090"/>
      <c r="B352" s="1448">
        <v>102</v>
      </c>
      <c r="C352" s="1094">
        <v>0.98665806019989122</v>
      </c>
      <c r="D352" s="1094">
        <v>0.98945902685473619</v>
      </c>
      <c r="E352" s="1094">
        <v>1.0118255097732685</v>
      </c>
      <c r="F352" s="1094">
        <v>0.98159080076773397</v>
      </c>
      <c r="G352" s="1094">
        <v>1.0031033708255606</v>
      </c>
      <c r="H352" s="1094">
        <v>0.98540779620895713</v>
      </c>
      <c r="I352" s="1094">
        <v>1.0108257160873888</v>
      </c>
      <c r="K352">
        <v>4.409478737886853</v>
      </c>
      <c r="L352">
        <v>0</v>
      </c>
      <c r="M352">
        <v>1.4048871825057109E-3</v>
      </c>
      <c r="N352">
        <v>0.12589735120319653</v>
      </c>
      <c r="O352">
        <v>3.8275436408799414E-2</v>
      </c>
      <c r="P352">
        <v>1.8978577949280942E-2</v>
      </c>
      <c r="Q352">
        <v>1.3402901006699102E-3</v>
      </c>
      <c r="R352">
        <v>1.3989300370621089E-3</v>
      </c>
      <c r="S352">
        <v>0.23368787355075227</v>
      </c>
      <c r="T352">
        <v>3.892555234002173</v>
      </c>
      <c r="U352">
        <v>0</v>
      </c>
      <c r="V352">
        <v>9.4523053561131921E-3</v>
      </c>
      <c r="W352">
        <v>7.4397171235494913E-2</v>
      </c>
      <c r="X352">
        <v>1.0946972137821797E-2</v>
      </c>
      <c r="Y352">
        <v>3.9534830879933954E-3</v>
      </c>
    </row>
    <row r="353" spans="1:25" x14ac:dyDescent="0.25">
      <c r="A353" s="1090"/>
      <c r="B353" s="1448">
        <v>103</v>
      </c>
      <c r="C353" s="1094">
        <v>1.0045927052301677</v>
      </c>
      <c r="D353" s="1094">
        <v>1.0125757413572769</v>
      </c>
      <c r="E353" s="1094">
        <v>0.99921319208288539</v>
      </c>
      <c r="F353" s="1094">
        <v>0.9995567339306769</v>
      </c>
      <c r="G353" s="1094">
        <v>1.0242743192041961</v>
      </c>
      <c r="H353" s="1094">
        <v>0.98616571660668106</v>
      </c>
      <c r="I353" s="1094">
        <v>1.0366823361731101</v>
      </c>
      <c r="K353">
        <v>4.4806852473926604</v>
      </c>
      <c r="L353">
        <v>0</v>
      </c>
      <c r="M353">
        <v>1.4306369376800581E-3</v>
      </c>
      <c r="N353">
        <v>0.12351400259872489</v>
      </c>
      <c r="O353">
        <v>3.8013976757772225E-2</v>
      </c>
      <c r="P353">
        <v>1.914152515280762E-2</v>
      </c>
      <c r="Q353">
        <v>1.2902850211579222E-3</v>
      </c>
      <c r="R353">
        <v>1.424683772555655E-3</v>
      </c>
      <c r="S353">
        <v>0.23666747135365765</v>
      </c>
      <c r="T353">
        <v>3.9642789604395272</v>
      </c>
      <c r="U353">
        <v>0</v>
      </c>
      <c r="V353">
        <v>9.4523053561131852E-3</v>
      </c>
      <c r="W353">
        <v>7.3611265893720995E-2</v>
      </c>
      <c r="X353">
        <v>1.0695142873600893E-2</v>
      </c>
      <c r="Y353">
        <v>4.0262651107028482E-3</v>
      </c>
    </row>
    <row r="354" spans="1:25" x14ac:dyDescent="0.25">
      <c r="A354" s="1090"/>
      <c r="B354" s="1448">
        <v>104</v>
      </c>
      <c r="C354" s="1094">
        <v>0.96157208493074053</v>
      </c>
      <c r="D354" s="1094">
        <v>1.0063868941594856</v>
      </c>
      <c r="E354" s="1094">
        <v>1.0089491456960549</v>
      </c>
      <c r="F354" s="1094">
        <v>0.99804521903312382</v>
      </c>
      <c r="G354" s="1094">
        <v>0.98312915684109103</v>
      </c>
      <c r="H354" s="1094">
        <v>1.0076069350825969</v>
      </c>
      <c r="I354" s="1094">
        <v>0.96076619303897592</v>
      </c>
      <c r="K354">
        <v>4.4857360031437548</v>
      </c>
      <c r="L354">
        <v>0</v>
      </c>
      <c r="M354">
        <v>1.497542958180197E-3</v>
      </c>
      <c r="N354">
        <v>0.13308417345162479</v>
      </c>
      <c r="O354">
        <v>3.9682774426958889E-2</v>
      </c>
      <c r="P354">
        <v>1.9225097022066255E-2</v>
      </c>
      <c r="Q354">
        <v>1.3626151701021647E-3</v>
      </c>
      <c r="R354">
        <v>1.4914347888440862E-3</v>
      </c>
      <c r="S354">
        <v>0.23095518263906759</v>
      </c>
      <c r="T354">
        <v>3.9579149474728532</v>
      </c>
      <c r="U354">
        <v>0</v>
      </c>
      <c r="V354">
        <v>9.4523053561131817E-3</v>
      </c>
      <c r="W354">
        <v>7.8796080373810806E-2</v>
      </c>
      <c r="X354">
        <v>1.1054026821561867E-2</v>
      </c>
      <c r="Y354">
        <v>4.2149085789329657E-3</v>
      </c>
    </row>
    <row r="355" spans="1:25" x14ac:dyDescent="0.25">
      <c r="A355" s="1090"/>
      <c r="B355" s="1448">
        <v>105</v>
      </c>
      <c r="C355" s="1094">
        <v>0.95538910348838268</v>
      </c>
      <c r="D355" s="1094">
        <v>1.0295129214044521</v>
      </c>
      <c r="E355" s="1094">
        <v>0.98167359936364795</v>
      </c>
      <c r="F355" s="1094">
        <v>0.9871443473094107</v>
      </c>
      <c r="G355" s="1094">
        <v>0.99755612515548264</v>
      </c>
      <c r="H355" s="1094">
        <v>1.0175516580548449</v>
      </c>
      <c r="I355" s="1094">
        <v>1.0284685618006766</v>
      </c>
      <c r="K355">
        <v>4.4529083811361998</v>
      </c>
      <c r="L355">
        <v>0</v>
      </c>
      <c r="M355">
        <v>1.5800737199147326E-3</v>
      </c>
      <c r="N355">
        <v>0.12951263804135757</v>
      </c>
      <c r="O355">
        <v>3.9337108177261708E-2</v>
      </c>
      <c r="P355">
        <v>1.8715200285545259E-2</v>
      </c>
      <c r="Q355">
        <v>1.3275334436757466E-3</v>
      </c>
      <c r="R355">
        <v>1.5736217303442331E-3</v>
      </c>
      <c r="S355">
        <v>0.24608938066125277</v>
      </c>
      <c r="T355">
        <v>3.9157133904837123</v>
      </c>
      <c r="U355">
        <v>0</v>
      </c>
      <c r="V355">
        <v>9.4523053561131939E-3</v>
      </c>
      <c r="W355">
        <v>7.8112796137905394E-2</v>
      </c>
      <c r="X355">
        <v>1.0207305388654307E-2</v>
      </c>
      <c r="Y355">
        <v>4.4471751502885327E-3</v>
      </c>
    </row>
    <row r="356" spans="1:25" x14ac:dyDescent="0.25">
      <c r="A356" s="1090"/>
      <c r="B356" s="1448">
        <v>106</v>
      </c>
      <c r="C356" s="1094">
        <v>0.98345043200152571</v>
      </c>
      <c r="D356" s="1094">
        <v>1.0215137675671389</v>
      </c>
      <c r="E356" s="1094">
        <v>0.99541400723720974</v>
      </c>
      <c r="F356" s="1094">
        <v>1.006720149243008</v>
      </c>
      <c r="G356" s="1094">
        <v>0.98564198086269528</v>
      </c>
      <c r="H356" s="1094">
        <v>0.98380622032371656</v>
      </c>
      <c r="I356" s="1094">
        <v>0.97041466595569814</v>
      </c>
      <c r="K356">
        <v>4.5044153555922071</v>
      </c>
      <c r="L356">
        <v>0</v>
      </c>
      <c r="M356">
        <v>1.4748975590712584E-3</v>
      </c>
      <c r="N356">
        <v>0.12591208023425204</v>
      </c>
      <c r="O356">
        <v>3.8998715411429956E-2</v>
      </c>
      <c r="P356">
        <v>1.917120349413191E-2</v>
      </c>
      <c r="Q356">
        <v>1.3091217140197434E-3</v>
      </c>
      <c r="R356">
        <v>1.468789094519253E-3</v>
      </c>
      <c r="S356">
        <v>0.22662517179997471</v>
      </c>
      <c r="T356">
        <v>3.9928351702218432</v>
      </c>
      <c r="U356">
        <v>0</v>
      </c>
      <c r="V356">
        <v>9.4523053561131869E-3</v>
      </c>
      <c r="W356">
        <v>7.5233747344437787E-2</v>
      </c>
      <c r="X356">
        <v>1.0733038362703647E-2</v>
      </c>
      <c r="Y356">
        <v>4.1509101178540137E-3</v>
      </c>
    </row>
    <row r="357" spans="1:25" x14ac:dyDescent="0.25">
      <c r="A357" s="1090"/>
      <c r="B357" s="1448">
        <v>107</v>
      </c>
      <c r="C357" s="1094">
        <v>0.96128373407288836</v>
      </c>
      <c r="D357" s="1094">
        <v>0.9733359130100232</v>
      </c>
      <c r="E357" s="1094">
        <v>1.0074847178548816</v>
      </c>
      <c r="F357" s="1094">
        <v>1.0259706441025942</v>
      </c>
      <c r="G357" s="1094">
        <v>1.0205091545230744</v>
      </c>
      <c r="H357" s="1094">
        <v>0.98031621999390317</v>
      </c>
      <c r="I357" s="1094">
        <v>1.005853522458142</v>
      </c>
      <c r="K357">
        <v>4.6177538123809576</v>
      </c>
      <c r="L357">
        <v>0</v>
      </c>
      <c r="M357">
        <v>1.5228693863008856E-3</v>
      </c>
      <c r="N357">
        <v>0.13474930912246413</v>
      </c>
      <c r="O357">
        <v>4.136489654803481E-2</v>
      </c>
      <c r="P357">
        <v>1.9783122055204622E-2</v>
      </c>
      <c r="Q357">
        <v>1.3796284365409717E-3</v>
      </c>
      <c r="R357">
        <v>1.5166580754658282E-3</v>
      </c>
      <c r="S357">
        <v>0.24669712353047601</v>
      </c>
      <c r="T357">
        <v>4.0687148675804599</v>
      </c>
      <c r="U357">
        <v>0</v>
      </c>
      <c r="V357">
        <v>9.4523053561131973E-3</v>
      </c>
      <c r="W357">
        <v>7.9860534733692118E-2</v>
      </c>
      <c r="X357">
        <v>1.1472044816168054E-2</v>
      </c>
      <c r="Y357">
        <v>4.2861915126328459E-3</v>
      </c>
    </row>
    <row r="358" spans="1:25" x14ac:dyDescent="0.25">
      <c r="A358" s="1090"/>
      <c r="B358" s="1448">
        <v>108</v>
      </c>
      <c r="C358" s="1094">
        <v>0.99641321630553992</v>
      </c>
      <c r="D358" s="1094">
        <v>0.99545939340237266</v>
      </c>
      <c r="E358" s="1094">
        <v>1.0094418030008925</v>
      </c>
      <c r="F358" s="1094">
        <v>0.99449756323280403</v>
      </c>
      <c r="G358" s="1094">
        <v>1.0456294416080356</v>
      </c>
      <c r="H358" s="1094">
        <v>0.9878293144197503</v>
      </c>
      <c r="I358" s="1094">
        <v>1.0219415298807848</v>
      </c>
      <c r="K358">
        <v>4.4634726904478761</v>
      </c>
      <c r="L358">
        <v>0</v>
      </c>
      <c r="M358">
        <v>1.416503464814454E-3</v>
      </c>
      <c r="N358">
        <v>0.12605388185022701</v>
      </c>
      <c r="O358">
        <v>3.8322698981443706E-2</v>
      </c>
      <c r="P358">
        <v>1.9189555192024137E-2</v>
      </c>
      <c r="Q358">
        <v>1.321278769673232E-3</v>
      </c>
      <c r="R358">
        <v>1.4105892269632759E-3</v>
      </c>
      <c r="S358">
        <v>0.23575495218082423</v>
      </c>
      <c r="T358">
        <v>3.9438275525719741</v>
      </c>
      <c r="U358">
        <v>0</v>
      </c>
      <c r="V358">
        <v>9.4523053561131991E-3</v>
      </c>
      <c r="W358">
        <v>7.4608913697135903E-2</v>
      </c>
      <c r="X358">
        <v>1.0961033237515634E-2</v>
      </c>
      <c r="Y358">
        <v>3.9864328487911336E-3</v>
      </c>
    </row>
    <row r="359" spans="1:25" x14ac:dyDescent="0.25">
      <c r="A359" s="1090"/>
      <c r="B359" s="1448">
        <v>109</v>
      </c>
      <c r="C359" s="1094">
        <v>0.96936019623338054</v>
      </c>
      <c r="D359" s="1094">
        <v>1.0166885213057211</v>
      </c>
      <c r="E359" s="1094">
        <v>0.97194472337455917</v>
      </c>
      <c r="F359" s="1094">
        <v>1.0135066617965631</v>
      </c>
      <c r="G359" s="1094">
        <v>0.99032731366079085</v>
      </c>
      <c r="H359" s="1094">
        <v>1.030249914244092</v>
      </c>
      <c r="I359" s="1094">
        <v>0.99325633472454744</v>
      </c>
      <c r="K359">
        <v>4.5581951439601527</v>
      </c>
      <c r="L359">
        <v>0</v>
      </c>
      <c r="M359">
        <v>1.660353965555215E-3</v>
      </c>
      <c r="N359">
        <v>0.1322398475070814</v>
      </c>
      <c r="O359">
        <v>4.0074730369953682E-2</v>
      </c>
      <c r="P359">
        <v>1.9019095940215759E-2</v>
      </c>
      <c r="Q359">
        <v>1.3038962387691064E-3</v>
      </c>
      <c r="R359">
        <v>1.6538311985677351E-3</v>
      </c>
      <c r="S359">
        <v>0.24037284803146278</v>
      </c>
      <c r="T359">
        <v>4.0206647293977991</v>
      </c>
      <c r="U359">
        <v>0</v>
      </c>
      <c r="V359">
        <v>9.4523053561131869E-3</v>
      </c>
      <c r="W359">
        <v>8.0292227491171902E-2</v>
      </c>
      <c r="X359">
        <v>1.0108133163383088E-2</v>
      </c>
      <c r="Y359">
        <v>4.673853231191359E-3</v>
      </c>
    </row>
    <row r="360" spans="1:25" x14ac:dyDescent="0.25">
      <c r="A360" s="1090"/>
      <c r="B360" s="1448">
        <v>110</v>
      </c>
      <c r="C360" s="1094">
        <v>1.0065682987907549</v>
      </c>
      <c r="D360" s="1094">
        <v>1.0148279773586879</v>
      </c>
      <c r="E360" s="1094">
        <v>0.99675911791208849</v>
      </c>
      <c r="F360" s="1094">
        <v>0.98095452360165214</v>
      </c>
      <c r="G360" s="1094">
        <v>1.010853158493743</v>
      </c>
      <c r="H360" s="1094">
        <v>0.98640625496109113</v>
      </c>
      <c r="I360" s="1094">
        <v>1.0479126277909898</v>
      </c>
      <c r="K360">
        <v>4.3999894262022865</v>
      </c>
      <c r="L360">
        <v>0</v>
      </c>
      <c r="M360">
        <v>1.4077163666841202E-3</v>
      </c>
      <c r="N360">
        <v>0.12064511218224287</v>
      </c>
      <c r="O360">
        <v>3.721654216715866E-2</v>
      </c>
      <c r="P360">
        <v>1.8767342543583709E-2</v>
      </c>
      <c r="Q360">
        <v>1.2839019979669088E-3</v>
      </c>
      <c r="R360">
        <v>1.4017494150453101E-3</v>
      </c>
      <c r="S360">
        <v>0.23561677227774777</v>
      </c>
      <c r="T360">
        <v>3.8905936702322399</v>
      </c>
      <c r="U360">
        <v>0</v>
      </c>
      <c r="V360">
        <v>9.4523053561131817E-3</v>
      </c>
      <c r="W360">
        <v>7.2021000163932911E-2</v>
      </c>
      <c r="X360">
        <v>1.0437295367520862E-2</v>
      </c>
      <c r="Y360">
        <v>3.9614508654232479E-3</v>
      </c>
    </row>
    <row r="361" spans="1:25" x14ac:dyDescent="0.25">
      <c r="A361" s="1090"/>
      <c r="B361" s="1448">
        <v>111</v>
      </c>
      <c r="C361" s="1094">
        <v>1.0161628944003251</v>
      </c>
      <c r="D361" s="1094">
        <v>1.0135104156359613</v>
      </c>
      <c r="E361" s="1094">
        <v>1.0192815633020302</v>
      </c>
      <c r="F361" s="1094">
        <v>0.99488218360048841</v>
      </c>
      <c r="G361" s="1094">
        <v>1.0032517386502524</v>
      </c>
      <c r="H361" s="1094">
        <v>1.0013148791093556</v>
      </c>
      <c r="I361" s="1094">
        <v>0.98943296253527402</v>
      </c>
      <c r="K361">
        <v>4.4500909575420113</v>
      </c>
      <c r="L361">
        <v>0</v>
      </c>
      <c r="M361">
        <v>1.3696472212962358E-3</v>
      </c>
      <c r="N361">
        <v>0.12549339011981023</v>
      </c>
      <c r="O361">
        <v>3.725721762575003E-2</v>
      </c>
      <c r="P361">
        <v>1.927843778979367E-2</v>
      </c>
      <c r="Q361">
        <v>1.2971131802316414E-3</v>
      </c>
      <c r="R361">
        <v>1.3640078087186057E-3</v>
      </c>
      <c r="S361">
        <v>0.22364715003587532</v>
      </c>
      <c r="T361">
        <v>3.9449826580377607</v>
      </c>
      <c r="U361">
        <v>0</v>
      </c>
      <c r="V361">
        <v>9.4523053561131991E-3</v>
      </c>
      <c r="W361">
        <v>7.3789581179984215E-2</v>
      </c>
      <c r="X361">
        <v>1.1043953424754997E-2</v>
      </c>
      <c r="Y361">
        <v>3.8547902045086477E-3</v>
      </c>
    </row>
    <row r="362" spans="1:25" x14ac:dyDescent="0.25">
      <c r="A362" s="1090"/>
      <c r="B362" s="1448">
        <v>112</v>
      </c>
      <c r="C362" s="1094">
        <v>1.0139826240295413</v>
      </c>
      <c r="D362" s="1094">
        <v>0.99476329446957468</v>
      </c>
      <c r="E362" s="1094">
        <v>1.007454498521245</v>
      </c>
      <c r="F362" s="1094">
        <v>0.99256699862673825</v>
      </c>
      <c r="G362" s="1094">
        <v>0.99237532554097208</v>
      </c>
      <c r="H362" s="1094">
        <v>1.0385528807290474</v>
      </c>
      <c r="I362" s="1094">
        <v>1.0131832847127864</v>
      </c>
      <c r="K362">
        <v>4.4585275556887485</v>
      </c>
      <c r="L362">
        <v>0</v>
      </c>
      <c r="M362">
        <v>1.4671494807588501E-3</v>
      </c>
      <c r="N362">
        <v>0.12982037413222949</v>
      </c>
      <c r="O362">
        <v>3.7609492364371722E-2</v>
      </c>
      <c r="P362">
        <v>1.9115255310185247E-2</v>
      </c>
      <c r="Q362">
        <v>1.2965498582690953E-3</v>
      </c>
      <c r="R362">
        <v>1.461311680751786E-3</v>
      </c>
      <c r="S362">
        <v>0.2332545679801285</v>
      </c>
      <c r="T362">
        <v>3.9362464171819669</v>
      </c>
      <c r="U362">
        <v>0</v>
      </c>
      <c r="V362">
        <v>9.4523053561131973E-3</v>
      </c>
      <c r="W362">
        <v>7.6940915310571373E-2</v>
      </c>
      <c r="X362">
        <v>1.0667737619245131E-2</v>
      </c>
      <c r="Y362">
        <v>4.1297783756736161E-3</v>
      </c>
    </row>
    <row r="363" spans="1:25" x14ac:dyDescent="0.25">
      <c r="A363" s="1090"/>
      <c r="B363" s="1448">
        <v>113</v>
      </c>
      <c r="C363" s="1094">
        <v>0.99865327339687193</v>
      </c>
      <c r="D363" s="1094">
        <v>0.99337510989640654</v>
      </c>
      <c r="E363" s="1094">
        <v>0.9984537500471371</v>
      </c>
      <c r="F363" s="1094">
        <v>0.98966132905227011</v>
      </c>
      <c r="G363" s="1094">
        <v>1.0193139741935451</v>
      </c>
      <c r="H363" s="1094">
        <v>0.98835100421328415</v>
      </c>
      <c r="I363" s="1094">
        <v>0.99558572244022647</v>
      </c>
      <c r="K363">
        <v>4.4343473577492061</v>
      </c>
      <c r="L363">
        <v>0</v>
      </c>
      <c r="M363">
        <v>1.4413954810024137E-3</v>
      </c>
      <c r="N363">
        <v>0.1241591031566676</v>
      </c>
      <c r="O363">
        <v>3.815771926663742E-2</v>
      </c>
      <c r="P363">
        <v>1.8915814998765799E-2</v>
      </c>
      <c r="Q363">
        <v>1.3070848069114854E-3</v>
      </c>
      <c r="R363">
        <v>1.4353512177254679E-3</v>
      </c>
      <c r="S363">
        <v>0.22859520307887579</v>
      </c>
      <c r="T363">
        <v>3.9250620563944691</v>
      </c>
      <c r="U363">
        <v>0</v>
      </c>
      <c r="V363">
        <v>9.4523053561131852E-3</v>
      </c>
      <c r="W363">
        <v>7.403375065464822E-2</v>
      </c>
      <c r="X363">
        <v>1.0613952174224317E-2</v>
      </c>
      <c r="Y363">
        <v>4.0564121251736506E-3</v>
      </c>
    </row>
    <row r="364" spans="1:25" x14ac:dyDescent="0.25">
      <c r="A364" s="1090"/>
      <c r="B364" s="1448">
        <v>114</v>
      </c>
      <c r="C364" s="1094">
        <v>0.9882256968539842</v>
      </c>
      <c r="D364" s="1094">
        <v>1.0203242879663279</v>
      </c>
      <c r="E364" s="1094">
        <v>1.0182468098053032</v>
      </c>
      <c r="F364" s="1094">
        <v>0.98386294532979757</v>
      </c>
      <c r="G364" s="1094">
        <v>0.9793727641838369</v>
      </c>
      <c r="H364" s="1094">
        <v>0.99760292561281394</v>
      </c>
      <c r="I364" s="1094">
        <v>1.0139368831321973</v>
      </c>
      <c r="K364">
        <v>4.4183127560791924</v>
      </c>
      <c r="L364">
        <v>0</v>
      </c>
      <c r="M364">
        <v>1.3869827189949232E-3</v>
      </c>
      <c r="N364">
        <v>0.12668544667212212</v>
      </c>
      <c r="O364">
        <v>3.7791786261183777E-2</v>
      </c>
      <c r="P364">
        <v>1.9106323220782529E-2</v>
      </c>
      <c r="Q364">
        <v>1.3290474362339312E-3</v>
      </c>
      <c r="R364">
        <v>1.3811867487218737E-3</v>
      </c>
      <c r="S364">
        <v>0.23314214258600366</v>
      </c>
      <c r="T364">
        <v>3.9013267461981651</v>
      </c>
      <c r="U364">
        <v>0</v>
      </c>
      <c r="V364">
        <v>9.4523053561131869E-3</v>
      </c>
      <c r="W364">
        <v>7.4541961531225387E-2</v>
      </c>
      <c r="X364">
        <v>1.1039453587126926E-2</v>
      </c>
      <c r="Y364">
        <v>3.9033392005079085E-3</v>
      </c>
    </row>
    <row r="365" spans="1:25" x14ac:dyDescent="0.25">
      <c r="A365" s="1090"/>
      <c r="B365" s="1448">
        <v>115</v>
      </c>
      <c r="C365" s="1094">
        <v>1.0055816781612701</v>
      </c>
      <c r="D365" s="1094">
        <v>0.99733608539788166</v>
      </c>
      <c r="E365" s="1094">
        <v>1.003808266399173</v>
      </c>
      <c r="F365" s="1094">
        <v>0.98437610229478478</v>
      </c>
      <c r="G365" s="1094">
        <v>1.0147938017287719</v>
      </c>
      <c r="H365" s="1094">
        <v>0.98235968768890303</v>
      </c>
      <c r="I365" s="1094">
        <v>0.99203268484777662</v>
      </c>
      <c r="K365">
        <v>4.4053140809472264</v>
      </c>
      <c r="L365">
        <v>0</v>
      </c>
      <c r="M365">
        <v>1.3971229067111066E-3</v>
      </c>
      <c r="N365">
        <v>0.12226401071968451</v>
      </c>
      <c r="O365">
        <v>3.7596454520348412E-2</v>
      </c>
      <c r="P365">
        <v>1.8876983189975226E-2</v>
      </c>
      <c r="Q365">
        <v>1.3019712082667555E-3</v>
      </c>
      <c r="R365">
        <v>1.3911970467976472E-3</v>
      </c>
      <c r="S365">
        <v>0.22468321201081332</v>
      </c>
      <c r="T365">
        <v>3.9038998911488849</v>
      </c>
      <c r="U365">
        <v>0</v>
      </c>
      <c r="V365">
        <v>9.4523053561131956E-3</v>
      </c>
      <c r="W365">
        <v>7.2640583596127073E-2</v>
      </c>
      <c r="X365">
        <v>1.0672965989802972E-2</v>
      </c>
      <c r="Y365">
        <v>3.9316290671201487E-3</v>
      </c>
    </row>
    <row r="366" spans="1:25" x14ac:dyDescent="0.25">
      <c r="A366" s="1090"/>
      <c r="B366" s="1448">
        <v>116</v>
      </c>
      <c r="C366" s="1094">
        <v>0.98397219735644281</v>
      </c>
      <c r="D366" s="1094">
        <v>0.99677772060187364</v>
      </c>
      <c r="E366" s="1094">
        <v>1.0187912556326297</v>
      </c>
      <c r="F366" s="1094">
        <v>1.0056885228497585</v>
      </c>
      <c r="G366" s="1094">
        <v>0.99748632055278419</v>
      </c>
      <c r="H366" s="1094">
        <v>0.96518233856343816</v>
      </c>
      <c r="I366" s="1094">
        <v>0.99002783712218645</v>
      </c>
      <c r="K366">
        <v>4.5056239535089295</v>
      </c>
      <c r="L366">
        <v>0</v>
      </c>
      <c r="M366">
        <v>1.3888080264099886E-3</v>
      </c>
      <c r="N366">
        <v>0.12705068852956314</v>
      </c>
      <c r="O366">
        <v>3.915732732199316E-2</v>
      </c>
      <c r="P366">
        <v>1.9504081199149009E-2</v>
      </c>
      <c r="Q366">
        <v>1.3479383625009942E-3</v>
      </c>
      <c r="R366">
        <v>1.3829391350730161E-3</v>
      </c>
      <c r="S366">
        <v>0.23119892453455065</v>
      </c>
      <c r="T366">
        <v>3.987851380208205</v>
      </c>
      <c r="U366">
        <v>0</v>
      </c>
      <c r="V366">
        <v>9.4523053561131904E-3</v>
      </c>
      <c r="W366">
        <v>7.4729709385615933E-2</v>
      </c>
      <c r="X366">
        <v>1.1429175924453265E-2</v>
      </c>
      <c r="Y366">
        <v>3.9082915781246058E-3</v>
      </c>
    </row>
    <row r="367" spans="1:25" x14ac:dyDescent="0.25">
      <c r="A367" s="1090"/>
      <c r="B367" s="1448">
        <v>117</v>
      </c>
      <c r="C367" s="1094">
        <v>1.0225645945475161</v>
      </c>
      <c r="D367" s="1094">
        <v>1.0335362488446589</v>
      </c>
      <c r="E367" s="1094">
        <v>0.96751581749961701</v>
      </c>
      <c r="F367" s="1094">
        <v>1.005244532225243</v>
      </c>
      <c r="G367" s="1094">
        <v>0.99179163926748815</v>
      </c>
      <c r="H367" s="1094">
        <v>1.0068424329363634</v>
      </c>
      <c r="I367" s="1094">
        <v>1.0093934575748709</v>
      </c>
      <c r="K367">
        <v>4.4899082931333867</v>
      </c>
      <c r="L367">
        <v>0</v>
      </c>
      <c r="M367">
        <v>1.5298532835613052E-3</v>
      </c>
      <c r="N367">
        <v>0.12023899864798314</v>
      </c>
      <c r="O367">
        <v>3.7462382147345895E-2</v>
      </c>
      <c r="P367">
        <v>1.8752420767158818E-2</v>
      </c>
      <c r="Q367">
        <v>1.2232120005080793E-3</v>
      </c>
      <c r="R367">
        <v>1.5236531294896313E-3</v>
      </c>
      <c r="S367">
        <v>0.22740806648091888</v>
      </c>
      <c r="T367">
        <v>3.988060219551119</v>
      </c>
      <c r="U367">
        <v>0</v>
      </c>
      <c r="V367">
        <v>9.4523053561131869E-3</v>
      </c>
      <c r="W367">
        <v>7.3229084890853349E-2</v>
      </c>
      <c r="X367">
        <v>9.7818433761053761E-3</v>
      </c>
      <c r="Y367">
        <v>4.3059600693512229E-3</v>
      </c>
    </row>
    <row r="368" spans="1:25" x14ac:dyDescent="0.25">
      <c r="A368" s="1090"/>
      <c r="B368" s="1448">
        <v>118</v>
      </c>
      <c r="C368" s="1094">
        <v>0.95706830842332169</v>
      </c>
      <c r="D368" s="1094">
        <v>1.0111076987441225</v>
      </c>
      <c r="E368" s="1094">
        <v>0.99877030979955517</v>
      </c>
      <c r="F368" s="1094">
        <v>1.0205983978963535</v>
      </c>
      <c r="G368" s="1094">
        <v>0.99160184373049542</v>
      </c>
      <c r="H368" s="1094">
        <v>0.99345884329667344</v>
      </c>
      <c r="I368" s="1094">
        <v>0.98191914683749537</v>
      </c>
      <c r="K368">
        <v>4.5865070812955908</v>
      </c>
      <c r="L368">
        <v>0</v>
      </c>
      <c r="M368">
        <v>1.546835822871457E-3</v>
      </c>
      <c r="N368">
        <v>0.13338633814957929</v>
      </c>
      <c r="O368">
        <v>4.076845477015581E-2</v>
      </c>
      <c r="P368">
        <v>1.9526627892559486E-2</v>
      </c>
      <c r="Q368">
        <v>1.354627327335497E-3</v>
      </c>
      <c r="R368">
        <v>1.5405775852563618E-3</v>
      </c>
      <c r="S368">
        <v>0.23932530780233513</v>
      </c>
      <c r="T368">
        <v>4.0477481988623216</v>
      </c>
      <c r="U368">
        <v>0</v>
      </c>
      <c r="V368">
        <v>9.4523053561131869E-3</v>
      </c>
      <c r="W368">
        <v>7.9518747016553287E-2</v>
      </c>
      <c r="X368">
        <v>1.1078942482780496E-2</v>
      </c>
      <c r="Y368">
        <v>4.353789873469076E-3</v>
      </c>
    </row>
    <row r="369" spans="1:25" x14ac:dyDescent="0.25">
      <c r="A369" s="1090"/>
      <c r="B369" s="1448">
        <v>119</v>
      </c>
      <c r="C369" s="1094">
        <v>1.0237476768117624</v>
      </c>
      <c r="D369" s="1094">
        <v>1.0029000860848438</v>
      </c>
      <c r="E369" s="1094">
        <v>1.0151207854745199</v>
      </c>
      <c r="F369" s="1094">
        <v>0.9829220406699396</v>
      </c>
      <c r="G369" s="1094">
        <v>1.0053620302292967</v>
      </c>
      <c r="H369" s="1094">
        <v>1.0004597440235541</v>
      </c>
      <c r="I369" s="1094">
        <v>1.0174611841658214</v>
      </c>
      <c r="K369">
        <v>4.4014999005648461</v>
      </c>
      <c r="L369">
        <v>0</v>
      </c>
      <c r="M369">
        <v>1.3596306263978042E-3</v>
      </c>
      <c r="N369">
        <v>0.12304458028203032</v>
      </c>
      <c r="O369">
        <v>3.6718206234485795E-2</v>
      </c>
      <c r="P369">
        <v>1.901802392252315E-2</v>
      </c>
      <c r="Q369">
        <v>1.2883820506440914E-3</v>
      </c>
      <c r="R369">
        <v>1.3539597793826746E-3</v>
      </c>
      <c r="S369">
        <v>0.22708445223378748</v>
      </c>
      <c r="T369">
        <v>3.8977118138768869</v>
      </c>
      <c r="U369">
        <v>0</v>
      </c>
      <c r="V369">
        <v>9.4523053561131852E-3</v>
      </c>
      <c r="W369">
        <v>7.2551074544241242E-2</v>
      </c>
      <c r="X369">
        <v>1.0810339204676752E-2</v>
      </c>
      <c r="Y369">
        <v>3.8263937064745568E-3</v>
      </c>
    </row>
    <row r="370" spans="1:25" x14ac:dyDescent="0.25">
      <c r="A370" s="1090"/>
      <c r="B370" s="1448">
        <v>120</v>
      </c>
      <c r="C370" s="1094">
        <v>1.0009609032967106</v>
      </c>
      <c r="D370" s="1094">
        <v>0.97746092683930097</v>
      </c>
      <c r="E370" s="1094">
        <v>0.99772349476458744</v>
      </c>
      <c r="F370" s="1094">
        <v>1.008360164820191</v>
      </c>
      <c r="G370" s="1094">
        <v>1.017840151675963</v>
      </c>
      <c r="H370" s="1094">
        <v>0.98565564837776343</v>
      </c>
      <c r="I370" s="1094">
        <v>1.0178592674563314</v>
      </c>
      <c r="K370">
        <v>4.5225120424054586</v>
      </c>
      <c r="L370">
        <v>0</v>
      </c>
      <c r="M370">
        <v>1.4728676272298209E-3</v>
      </c>
      <c r="N370">
        <v>0.1266042161142735</v>
      </c>
      <c r="O370">
        <v>3.9045531135734321E-2</v>
      </c>
      <c r="P370">
        <v>1.9280941382558908E-2</v>
      </c>
      <c r="Q370">
        <v>1.3117008333018091E-3</v>
      </c>
      <c r="R370">
        <v>1.4667888780297064E-3</v>
      </c>
      <c r="S370">
        <v>0.23707912767466507</v>
      </c>
      <c r="T370">
        <v>3.9992509388779824</v>
      </c>
      <c r="U370">
        <v>0</v>
      </c>
      <c r="V370">
        <v>9.4523053561131817E-3</v>
      </c>
      <c r="W370">
        <v>7.5529043110210359E-2</v>
      </c>
      <c r="X370">
        <v>1.0819059316473862E-2</v>
      </c>
      <c r="Y370">
        <v>4.1452573533452509E-3</v>
      </c>
    </row>
    <row r="371" spans="1:25" x14ac:dyDescent="0.25">
      <c r="A371" s="1090"/>
      <c r="B371" s="1448">
        <v>121</v>
      </c>
      <c r="C371" s="1094">
        <v>0.99627277771219469</v>
      </c>
      <c r="D371" s="1094">
        <v>1.0137693476025826</v>
      </c>
      <c r="E371" s="1094">
        <v>1.0361701977528825</v>
      </c>
      <c r="F371" s="1094">
        <v>0.98449766585451703</v>
      </c>
      <c r="G371" s="1094">
        <v>1.0332369873748795</v>
      </c>
      <c r="H371" s="1094">
        <v>0.97420563999403109</v>
      </c>
      <c r="I371" s="1094">
        <v>1.0206882619115629</v>
      </c>
      <c r="K371">
        <v>4.415213429754993</v>
      </c>
      <c r="L371">
        <v>0</v>
      </c>
      <c r="M371">
        <v>1.2977170455895266E-3</v>
      </c>
      <c r="N371">
        <v>0.12497136509123009</v>
      </c>
      <c r="O371">
        <v>3.7486134589691744E-2</v>
      </c>
      <c r="P371">
        <v>1.9358408881328712E-2</v>
      </c>
      <c r="Q371">
        <v>1.3418222765197178E-3</v>
      </c>
      <c r="R371">
        <v>1.2921674253702411E-3</v>
      </c>
      <c r="S371">
        <v>0.23157606846968742</v>
      </c>
      <c r="T371">
        <v>3.9031806347070854</v>
      </c>
      <c r="U371">
        <v>0</v>
      </c>
      <c r="V371">
        <v>9.4523053561131973E-3</v>
      </c>
      <c r="W371">
        <v>7.2664024047487466E-2</v>
      </c>
      <c r="X371">
        <v>1.1536452159652832E-2</v>
      </c>
      <c r="Y371">
        <v>3.6517637964123646E-3</v>
      </c>
    </row>
    <row r="372" spans="1:25" x14ac:dyDescent="0.25">
      <c r="A372" s="1090"/>
      <c r="B372" s="1448">
        <v>122</v>
      </c>
      <c r="C372" s="1094">
        <v>1.0069799839106517</v>
      </c>
      <c r="D372" s="1094">
        <v>0.97749653088275446</v>
      </c>
      <c r="E372" s="1094">
        <v>0.99523801144683721</v>
      </c>
      <c r="F372" s="1094">
        <v>0.97179240903662134</v>
      </c>
      <c r="G372" s="1094">
        <v>1.0094374572454268</v>
      </c>
      <c r="H372" s="1094">
        <v>1.0280031757292905</v>
      </c>
      <c r="I372" s="1094">
        <v>0.99525390512557421</v>
      </c>
      <c r="K372">
        <v>4.365017903690279</v>
      </c>
      <c r="L372">
        <v>0</v>
      </c>
      <c r="M372">
        <v>1.4795143150151382E-3</v>
      </c>
      <c r="N372">
        <v>0.12624493211379764</v>
      </c>
      <c r="O372">
        <v>3.7420701860256221E-2</v>
      </c>
      <c r="P372">
        <v>1.8546629870893942E-2</v>
      </c>
      <c r="Q372">
        <v>1.3010607102353084E-3</v>
      </c>
      <c r="R372">
        <v>1.4734402960553999E-3</v>
      </c>
      <c r="S372">
        <v>0.22791382620351466</v>
      </c>
      <c r="T372">
        <v>3.8543119293379862</v>
      </c>
      <c r="U372">
        <v>0</v>
      </c>
      <c r="V372">
        <v>9.4523053561132026E-3</v>
      </c>
      <c r="W372">
        <v>7.5441631568206255E-2</v>
      </c>
      <c r="X372">
        <v>1.0226905919733688E-2</v>
      </c>
      <c r="Y372">
        <v>4.1640547684976036E-3</v>
      </c>
    </row>
    <row r="373" spans="1:25" x14ac:dyDescent="0.25">
      <c r="A373" s="1090"/>
      <c r="B373" s="1448">
        <v>123</v>
      </c>
      <c r="C373" s="1094">
        <v>0.9592849870606579</v>
      </c>
      <c r="D373" s="1094">
        <v>1.0266630220228172</v>
      </c>
      <c r="E373" s="1094">
        <v>1.0191207376706877</v>
      </c>
      <c r="F373" s="1094">
        <v>1.0289565989745517</v>
      </c>
      <c r="G373" s="1094">
        <v>0.95686665534395943</v>
      </c>
      <c r="H373" s="1094">
        <v>1.0105286077593403</v>
      </c>
      <c r="I373" s="1094">
        <v>0.96543617374894208</v>
      </c>
      <c r="K373">
        <v>4.6228774487145143</v>
      </c>
      <c r="L373">
        <v>0</v>
      </c>
      <c r="M373">
        <v>1.5068710660103076E-3</v>
      </c>
      <c r="N373">
        <v>0.13802463824761182</v>
      </c>
      <c r="O373">
        <v>4.0609177642459311E-2</v>
      </c>
      <c r="P373">
        <v>1.9958105265828224E-2</v>
      </c>
      <c r="Q373">
        <v>1.3667671782793384E-3</v>
      </c>
      <c r="R373">
        <v>1.5009259929848445E-3</v>
      </c>
      <c r="S373">
        <v>0.23633530489576882</v>
      </c>
      <c r="T373">
        <v>4.080103369173302</v>
      </c>
      <c r="U373">
        <v>0</v>
      </c>
      <c r="V373">
        <v>9.4523053561131991E-3</v>
      </c>
      <c r="W373">
        <v>8.1166610182170071E-2</v>
      </c>
      <c r="X373">
        <v>1.1625384399550716E-2</v>
      </c>
      <c r="Y373">
        <v>4.2417314464539063E-3</v>
      </c>
    </row>
    <row r="374" spans="1:25" x14ac:dyDescent="0.25">
      <c r="A374" s="1090"/>
      <c r="B374" s="1448">
        <v>124</v>
      </c>
      <c r="C374" s="1094">
        <v>1.0149910316421877</v>
      </c>
      <c r="D374" s="1094">
        <v>0.97445249118854282</v>
      </c>
      <c r="E374" s="1094">
        <v>0.9607841040635966</v>
      </c>
      <c r="F374" s="1094">
        <v>0.97634253283496919</v>
      </c>
      <c r="G374" s="1094">
        <v>0.9798447651863893</v>
      </c>
      <c r="H374" s="1094">
        <v>1.0457508506023603</v>
      </c>
      <c r="I374" s="1094">
        <v>1.0051194264043994</v>
      </c>
      <c r="K374">
        <v>4.3850763545824778</v>
      </c>
      <c r="L374">
        <v>0</v>
      </c>
      <c r="M374">
        <v>1.6146404827457996E-3</v>
      </c>
      <c r="N374">
        <v>0.12439461414212988</v>
      </c>
      <c r="O374">
        <v>3.7574801210407613E-2</v>
      </c>
      <c r="P374">
        <v>1.8164446612126694E-2</v>
      </c>
      <c r="Q374">
        <v>1.2542748146516713E-3</v>
      </c>
      <c r="R374">
        <v>1.6081544539300193E-3</v>
      </c>
      <c r="S374">
        <v>0.23060868190878769</v>
      </c>
      <c r="T374">
        <v>3.8736533041287666</v>
      </c>
      <c r="U374">
        <v>0</v>
      </c>
      <c r="V374">
        <v>9.4523053561131973E-3</v>
      </c>
      <c r="W374">
        <v>7.611401975798264E-2</v>
      </c>
      <c r="X374">
        <v>9.3216254167337361E-3</v>
      </c>
      <c r="Y374">
        <v>4.5447672635906908E-3</v>
      </c>
    </row>
    <row r="375" spans="1:25" x14ac:dyDescent="0.25">
      <c r="A375" s="1090"/>
      <c r="B375" s="1448">
        <v>125</v>
      </c>
      <c r="C375" s="1094">
        <v>0.97693945964132345</v>
      </c>
      <c r="D375" s="1094">
        <v>0.99619328767912441</v>
      </c>
      <c r="E375" s="1094">
        <v>0.96010688558535595</v>
      </c>
      <c r="F375" s="1094">
        <v>1.0011877826777504</v>
      </c>
      <c r="G375" s="1094">
        <v>0.9888758690040419</v>
      </c>
      <c r="H375" s="1094">
        <v>1.0279969621202447</v>
      </c>
      <c r="I375" s="1094">
        <v>0.98536773413764334</v>
      </c>
      <c r="K375">
        <v>4.4996737623788876</v>
      </c>
      <c r="L375">
        <v>0</v>
      </c>
      <c r="M375">
        <v>1.6783570843372777E-3</v>
      </c>
      <c r="N375">
        <v>0.12904758682218445</v>
      </c>
      <c r="O375">
        <v>3.9684714807000636E-2</v>
      </c>
      <c r="P375">
        <v>1.8613558518959586E-2</v>
      </c>
      <c r="Q375">
        <v>1.2909088113786707E-3</v>
      </c>
      <c r="R375">
        <v>1.6716681683447889E-3</v>
      </c>
      <c r="S375">
        <v>0.23592519359217851</v>
      </c>
      <c r="T375">
        <v>3.9722535134147128</v>
      </c>
      <c r="U375">
        <v>0</v>
      </c>
      <c r="V375">
        <v>9.4523053561131973E-3</v>
      </c>
      <c r="W375">
        <v>7.899819821708029E-2</v>
      </c>
      <c r="X375">
        <v>9.6902098856988805E-3</v>
      </c>
      <c r="Y375">
        <v>4.7242618695695357E-3</v>
      </c>
    </row>
    <row r="376" spans="1:25" x14ac:dyDescent="0.25">
      <c r="A376" s="1090"/>
      <c r="B376" s="1448">
        <v>126</v>
      </c>
      <c r="C376" s="1094">
        <v>1.0456686943690201</v>
      </c>
      <c r="D376" s="1094">
        <v>0.98405880540201895</v>
      </c>
      <c r="E376" s="1094">
        <v>1.0002630870580058</v>
      </c>
      <c r="F376" s="1094">
        <v>1.0018334433115392</v>
      </c>
      <c r="G376" s="1094">
        <v>0.99994325167685583</v>
      </c>
      <c r="H376" s="1094">
        <v>1.0326820018418572</v>
      </c>
      <c r="I376" s="1094">
        <v>1.0014349654915027</v>
      </c>
      <c r="K376">
        <v>4.4812141077136465</v>
      </c>
      <c r="L376">
        <v>0</v>
      </c>
      <c r="M376">
        <v>1.4558897173131467E-3</v>
      </c>
      <c r="N376">
        <v>0.12611069728268784</v>
      </c>
      <c r="O376">
        <v>3.7017607086725572E-2</v>
      </c>
      <c r="P376">
        <v>1.9145657826853513E-2</v>
      </c>
      <c r="Q376">
        <v>1.2549747748608147E-3</v>
      </c>
      <c r="R376">
        <v>1.4501174525876463E-3</v>
      </c>
      <c r="S376">
        <v>0.22529366491518041</v>
      </c>
      <c r="T376">
        <v>3.9732684146884893</v>
      </c>
      <c r="U376">
        <v>0</v>
      </c>
      <c r="V376">
        <v>9.4523053561131973E-3</v>
      </c>
      <c r="W376">
        <v>7.5105508147450428E-2</v>
      </c>
      <c r="X376">
        <v>1.0472907267762713E-2</v>
      </c>
      <c r="Y376">
        <v>4.0981426322428674E-3</v>
      </c>
    </row>
    <row r="377" spans="1:25" x14ac:dyDescent="0.25">
      <c r="A377" s="1090"/>
      <c r="B377" s="1448">
        <v>127</v>
      </c>
      <c r="C377" s="1094">
        <v>1.028379555709908</v>
      </c>
      <c r="D377" s="1094">
        <v>0.96678541910160765</v>
      </c>
      <c r="E377" s="1094">
        <v>0.98595140429191641</v>
      </c>
      <c r="F377" s="1094">
        <v>0.98057659568560229</v>
      </c>
      <c r="G377" s="1094">
        <v>1.0274526411044278</v>
      </c>
      <c r="H377" s="1094">
        <v>1.0040963051970384</v>
      </c>
      <c r="I377" s="1094">
        <v>1.0155242125814126</v>
      </c>
      <c r="K377">
        <v>4.3926823759307565</v>
      </c>
      <c r="L377">
        <v>0</v>
      </c>
      <c r="M377">
        <v>1.4623595977508973E-3</v>
      </c>
      <c r="N377">
        <v>0.12138481538136098</v>
      </c>
      <c r="O377">
        <v>3.7198069858405208E-2</v>
      </c>
      <c r="P377">
        <v>1.8576875473726866E-2</v>
      </c>
      <c r="Q377">
        <v>1.2694094669322207E-3</v>
      </c>
      <c r="R377">
        <v>1.4562678959258544E-3</v>
      </c>
      <c r="S377">
        <v>0.22810249560303211</v>
      </c>
      <c r="T377">
        <v>3.8895000366751278</v>
      </c>
      <c r="U377">
        <v>0</v>
      </c>
      <c r="V377">
        <v>9.4523053561131991E-3</v>
      </c>
      <c r="W377">
        <v>7.2996971563359492E-2</v>
      </c>
      <c r="X377">
        <v>1.0091963999839661E-2</v>
      </c>
      <c r="Y377">
        <v>4.1155242546807805E-3</v>
      </c>
    </row>
    <row r="378" spans="1:25" x14ac:dyDescent="0.25">
      <c r="A378" s="1090"/>
      <c r="B378" s="1448">
        <v>128</v>
      </c>
      <c r="C378" s="1094">
        <v>1.0179859262634983</v>
      </c>
      <c r="D378" s="1094">
        <v>0.99116112611819052</v>
      </c>
      <c r="E378" s="1094">
        <v>0.99764304239661716</v>
      </c>
      <c r="F378" s="1094">
        <v>1.0036622444508172</v>
      </c>
      <c r="G378" s="1094">
        <v>0.98988447119969902</v>
      </c>
      <c r="H378" s="1094">
        <v>1.0115904019364084</v>
      </c>
      <c r="I378" s="1094">
        <v>1.0121930048250467</v>
      </c>
      <c r="K378">
        <v>4.4972547770017925</v>
      </c>
      <c r="L378">
        <v>0</v>
      </c>
      <c r="M378">
        <v>1.4714798916421713E-3</v>
      </c>
      <c r="N378">
        <v>0.12646583223216892</v>
      </c>
      <c r="O378">
        <v>3.8002037705117987E-2</v>
      </c>
      <c r="P378">
        <v>1.9172488263859127E-2</v>
      </c>
      <c r="Q378">
        <v>1.2825142654661807E-3</v>
      </c>
      <c r="R378">
        <v>1.4655349830793949E-3</v>
      </c>
      <c r="S378">
        <v>0.23208037809145293</v>
      </c>
      <c r="T378">
        <v>3.9806216247023838</v>
      </c>
      <c r="U378">
        <v>0</v>
      </c>
      <c r="V378">
        <v>9.4523053561131904E-3</v>
      </c>
      <c r="W378">
        <v>7.5450595622435349E-2</v>
      </c>
      <c r="X378">
        <v>1.0591231920871885E-2</v>
      </c>
      <c r="Y378">
        <v>4.1417137504853197E-3</v>
      </c>
    </row>
    <row r="379" spans="1:25" x14ac:dyDescent="0.25">
      <c r="A379" s="1090"/>
      <c r="B379" s="1448">
        <v>129</v>
      </c>
      <c r="C379" s="1094">
        <v>1.0138265618793108</v>
      </c>
      <c r="D379" s="1094">
        <v>0.9772290691329113</v>
      </c>
      <c r="E379" s="1094">
        <v>0.99948741769844773</v>
      </c>
      <c r="F379" s="1094">
        <v>0.98306451417177787</v>
      </c>
      <c r="G379" s="1094">
        <v>0.97227991468902419</v>
      </c>
      <c r="H379" s="1094">
        <v>1.0080617959314897</v>
      </c>
      <c r="I379" s="1094">
        <v>1.0019296591617843</v>
      </c>
      <c r="K379">
        <v>4.407968176061285</v>
      </c>
      <c r="L379">
        <v>0</v>
      </c>
      <c r="M379">
        <v>1.4448381104500076E-3</v>
      </c>
      <c r="N379">
        <v>0.12484426561887049</v>
      </c>
      <c r="O379">
        <v>3.7574688728222359E-2</v>
      </c>
      <c r="P379">
        <v>1.8809461097536517E-2</v>
      </c>
      <c r="Q379">
        <v>1.2971391790656439E-3</v>
      </c>
      <c r="R379">
        <v>1.438858182378086E-3</v>
      </c>
      <c r="S379">
        <v>0.22819965505924575</v>
      </c>
      <c r="T379">
        <v>3.8988599380027935</v>
      </c>
      <c r="U379">
        <v>0</v>
      </c>
      <c r="V379">
        <v>9.4523053561131991E-3</v>
      </c>
      <c r="W379">
        <v>7.4390274482165702E-2</v>
      </c>
      <c r="X379">
        <v>1.0480105390312447E-2</v>
      </c>
      <c r="Y379">
        <v>4.0663230750260359E-3</v>
      </c>
    </row>
    <row r="380" spans="1:25" x14ac:dyDescent="0.25">
      <c r="A380" s="1090"/>
      <c r="B380" s="1448">
        <v>130</v>
      </c>
      <c r="C380" s="1094">
        <v>0.96415969523725231</v>
      </c>
      <c r="D380" s="1094">
        <v>0.97407898857590247</v>
      </c>
      <c r="E380" s="1094">
        <v>1.0324636863376437</v>
      </c>
      <c r="F380" s="1094">
        <v>1.0037079600850183</v>
      </c>
      <c r="G380" s="1094">
        <v>1.0001442353182159</v>
      </c>
      <c r="H380" s="1094">
        <v>0.98399427494323632</v>
      </c>
      <c r="I380" s="1094">
        <v>0.99827847474756104</v>
      </c>
      <c r="K380">
        <v>4.5200366410572439</v>
      </c>
      <c r="L380">
        <v>0</v>
      </c>
      <c r="M380">
        <v>1.414017642850749E-3</v>
      </c>
      <c r="N380">
        <v>0.13470435723780685</v>
      </c>
      <c r="O380">
        <v>4.0153339290478963E-2</v>
      </c>
      <c r="P380">
        <v>1.9704892553268918E-2</v>
      </c>
      <c r="Q380">
        <v>1.4044697767432196E-3</v>
      </c>
      <c r="R380">
        <v>1.4081449389572944E-3</v>
      </c>
      <c r="S380">
        <v>0.24076711321175473</v>
      </c>
      <c r="T380">
        <v>3.9794818522514119</v>
      </c>
      <c r="U380">
        <v>0</v>
      </c>
      <c r="V380">
        <v>9.4523053561131869E-3</v>
      </c>
      <c r="W380">
        <v>7.8515176032997513E-2</v>
      </c>
      <c r="X380">
        <v>1.1879482946287479E-2</v>
      </c>
      <c r="Y380">
        <v>3.9795251042736689E-3</v>
      </c>
    </row>
    <row r="381" spans="1:25" x14ac:dyDescent="0.25">
      <c r="A381" s="1090"/>
      <c r="B381" s="1448">
        <v>131</v>
      </c>
      <c r="C381" s="1094">
        <v>1.0163604298298599</v>
      </c>
      <c r="D381" s="1094">
        <v>0.96004231633707315</v>
      </c>
      <c r="E381" s="1094">
        <v>1.0110931241278356</v>
      </c>
      <c r="F381" s="1094">
        <v>0.99648417420487601</v>
      </c>
      <c r="G381" s="1094">
        <v>0.98255068438190452</v>
      </c>
      <c r="H381" s="1094">
        <v>0.99627467442734485</v>
      </c>
      <c r="I381" s="1094">
        <v>0.997599729305226</v>
      </c>
      <c r="K381">
        <v>4.4657673305365941</v>
      </c>
      <c r="L381">
        <v>0</v>
      </c>
      <c r="M381">
        <v>1.4188950073582599E-3</v>
      </c>
      <c r="N381">
        <v>0.12689110112648369</v>
      </c>
      <c r="O381">
        <v>3.8183793591436525E-2</v>
      </c>
      <c r="P381">
        <v>1.921823415343096E-2</v>
      </c>
      <c r="Q381">
        <v>1.3161036293650396E-3</v>
      </c>
      <c r="R381">
        <v>1.4130326658593235E-3</v>
      </c>
      <c r="S381">
        <v>0.22908783639233124</v>
      </c>
      <c r="T381">
        <v>3.9516434056217769</v>
      </c>
      <c r="U381">
        <v>0</v>
      </c>
      <c r="V381">
        <v>9.4523053561131817E-3</v>
      </c>
      <c r="W381">
        <v>7.5021252308624525E-2</v>
      </c>
      <c r="X381">
        <v>1.0965822504876668E-2</v>
      </c>
      <c r="Y381">
        <v>3.9933381936590991E-3</v>
      </c>
    </row>
    <row r="382" spans="1:25" x14ac:dyDescent="0.25">
      <c r="A382" s="1090"/>
      <c r="B382" s="1448">
        <v>132</v>
      </c>
      <c r="C382" s="1094">
        <v>1.0071656247546845</v>
      </c>
      <c r="D382" s="1094">
        <v>0.97469632597850953</v>
      </c>
      <c r="E382" s="1094">
        <v>1.0363292120300851</v>
      </c>
      <c r="F382" s="1094">
        <v>0.98616093718859266</v>
      </c>
      <c r="G382" s="1094">
        <v>0.97077457367341435</v>
      </c>
      <c r="H382" s="1094">
        <v>0.97594862310406716</v>
      </c>
      <c r="I382" s="1094">
        <v>1.0141004856260187</v>
      </c>
      <c r="K382">
        <v>4.4229827396081962</v>
      </c>
      <c r="L382">
        <v>0</v>
      </c>
      <c r="M382">
        <v>1.3081135616305928E-3</v>
      </c>
      <c r="N382">
        <v>0.12603364088731403</v>
      </c>
      <c r="O382">
        <v>3.7730848456102382E-2</v>
      </c>
      <c r="P382">
        <v>1.9387479225588339E-2</v>
      </c>
      <c r="Q382">
        <v>1.3485223184962068E-3</v>
      </c>
      <c r="R382">
        <v>1.3025388509459131E-3</v>
      </c>
      <c r="S382">
        <v>0.23073481146732219</v>
      </c>
      <c r="T382">
        <v>3.9097690446260045</v>
      </c>
      <c r="U382">
        <v>0</v>
      </c>
      <c r="V382">
        <v>9.4523053561131939E-3</v>
      </c>
      <c r="W382">
        <v>7.3273994453353281E-2</v>
      </c>
      <c r="X382">
        <v>1.1576593291672327E-2</v>
      </c>
      <c r="Y382">
        <v>3.6810742369100982E-3</v>
      </c>
    </row>
    <row r="383" spans="1:25" x14ac:dyDescent="0.25">
      <c r="A383" s="1090"/>
      <c r="B383" s="1448">
        <v>133</v>
      </c>
      <c r="C383" s="1094">
        <v>0.9731902895615544</v>
      </c>
      <c r="D383" s="1094">
        <v>1.0007894828306685</v>
      </c>
      <c r="E383" s="1094">
        <v>0.95708044546490079</v>
      </c>
      <c r="F383" s="1094">
        <v>0.99248112306346759</v>
      </c>
      <c r="G383" s="1094">
        <v>1.0068926137773286</v>
      </c>
      <c r="H383" s="1094">
        <v>0.99745750088856522</v>
      </c>
      <c r="I383" s="1094">
        <v>0.98481420820670984</v>
      </c>
      <c r="K383">
        <v>4.453406490519102</v>
      </c>
      <c r="L383">
        <v>0</v>
      </c>
      <c r="M383">
        <v>1.6279056941479219E-3</v>
      </c>
      <c r="N383">
        <v>0.12402793311014837</v>
      </c>
      <c r="O383">
        <v>3.9439538207250234E-2</v>
      </c>
      <c r="P383">
        <v>1.8404011674103049E-2</v>
      </c>
      <c r="Q383">
        <v>1.2900577419188103E-3</v>
      </c>
      <c r="R383">
        <v>1.6211607908774327E-3</v>
      </c>
      <c r="S383">
        <v>0.23264967004439246</v>
      </c>
      <c r="T383">
        <v>3.9378261711070426</v>
      </c>
      <c r="U383">
        <v>0</v>
      </c>
      <c r="V383">
        <v>9.4523053561131921E-3</v>
      </c>
      <c r="W383">
        <v>7.6085271538742907E-2</v>
      </c>
      <c r="X383">
        <v>9.6567524778650472E-3</v>
      </c>
      <c r="Y383">
        <v>4.5815241647909326E-3</v>
      </c>
    </row>
    <row r="384" spans="1:25" x14ac:dyDescent="0.25">
      <c r="A384" s="1090"/>
      <c r="B384" s="1448">
        <v>134</v>
      </c>
      <c r="C384" s="1094">
        <v>0.99480110103987229</v>
      </c>
      <c r="D384" s="1094">
        <v>0.99784014570080048</v>
      </c>
      <c r="E384" s="1094">
        <v>1.0169367828036509</v>
      </c>
      <c r="F384" s="1094">
        <v>0.9829687074422766</v>
      </c>
      <c r="G384" s="1094">
        <v>0.9985780669880775</v>
      </c>
      <c r="H384" s="1094">
        <v>0.98485173905659806</v>
      </c>
      <c r="I384" s="1094">
        <v>1.010398145972828</v>
      </c>
      <c r="K384">
        <v>4.4104449575132607</v>
      </c>
      <c r="L384">
        <v>0</v>
      </c>
      <c r="M384">
        <v>1.3749378937144372E-3</v>
      </c>
      <c r="N384">
        <v>0.12509211699553924</v>
      </c>
      <c r="O384">
        <v>3.7852592743758628E-2</v>
      </c>
      <c r="P384">
        <v>1.9063162811569011E-2</v>
      </c>
      <c r="Q384">
        <v>1.3306048107433559E-3</v>
      </c>
      <c r="R384">
        <v>1.3691125936163338E-3</v>
      </c>
      <c r="S384">
        <v>0.23125413930872357</v>
      </c>
      <c r="T384">
        <v>3.8978294252466932</v>
      </c>
      <c r="U384">
        <v>0</v>
      </c>
      <c r="V384">
        <v>9.4523053561131904E-3</v>
      </c>
      <c r="W384">
        <v>7.3668870244892853E-2</v>
      </c>
      <c r="X384">
        <v>1.1038348578962029E-2</v>
      </c>
      <c r="Y384">
        <v>3.8692167163615174E-3</v>
      </c>
    </row>
    <row r="385" spans="1:25" x14ac:dyDescent="0.25">
      <c r="A385" s="1090"/>
      <c r="B385" s="1448">
        <v>135</v>
      </c>
      <c r="C385" s="1094">
        <v>1.0376146197924176</v>
      </c>
      <c r="D385" s="1094">
        <v>0.99130391251365324</v>
      </c>
      <c r="E385" s="1094">
        <v>1.0123003780607822</v>
      </c>
      <c r="F385" s="1094">
        <v>1.0020743251620574</v>
      </c>
      <c r="G385" s="1094">
        <v>0.99465272747245237</v>
      </c>
      <c r="H385" s="1094">
        <v>1.0212675854723097</v>
      </c>
      <c r="I385" s="1094">
        <v>0.98704642460534464</v>
      </c>
      <c r="K385">
        <v>4.4796526671760111</v>
      </c>
      <c r="L385">
        <v>0</v>
      </c>
      <c r="M385">
        <v>1.4108122804548505E-3</v>
      </c>
      <c r="N385">
        <v>0.12663569570117952</v>
      </c>
      <c r="O385">
        <v>3.712440991714764E-2</v>
      </c>
      <c r="P385">
        <v>1.9306604788362408E-2</v>
      </c>
      <c r="Q385">
        <v>1.2740345087307637E-3</v>
      </c>
      <c r="R385">
        <v>1.4051575739221663E-3</v>
      </c>
      <c r="S385">
        <v>0.22248761395303207</v>
      </c>
      <c r="T385">
        <v>3.9737658238857376</v>
      </c>
      <c r="U385">
        <v>0</v>
      </c>
      <c r="V385">
        <v>9.4523053561131904E-3</v>
      </c>
      <c r="W385">
        <v>7.4809666338512729E-2</v>
      </c>
      <c r="X385">
        <v>1.0831084851119038E-2</v>
      </c>
      <c r="Y385">
        <v>3.9710825826098639E-3</v>
      </c>
    </row>
    <row r="386" spans="1:25" x14ac:dyDescent="0.25">
      <c r="A386" s="1090"/>
      <c r="B386" s="1448">
        <v>136</v>
      </c>
      <c r="C386" s="1094">
        <v>0.99998171839535466</v>
      </c>
      <c r="D386" s="1094">
        <v>0.98249818592548654</v>
      </c>
      <c r="E386" s="1094">
        <v>0.99299956007593493</v>
      </c>
      <c r="F386" s="1094">
        <v>1.026834687324409</v>
      </c>
      <c r="G386" s="1094">
        <v>1.0160005280043884</v>
      </c>
      <c r="H386" s="1094">
        <v>1.0062603979969833</v>
      </c>
      <c r="I386" s="1094">
        <v>0.98802326925385198</v>
      </c>
      <c r="K386">
        <v>4.6016530834893228</v>
      </c>
      <c r="L386">
        <v>0</v>
      </c>
      <c r="M386">
        <v>1.544725920368536E-3</v>
      </c>
      <c r="N386">
        <v>0.1309554223885665</v>
      </c>
      <c r="O386">
        <v>3.9751602509321353E-2</v>
      </c>
      <c r="P386">
        <v>1.9533312047431556E-2</v>
      </c>
      <c r="Q386">
        <v>1.3049787531034499E-3</v>
      </c>
      <c r="R386">
        <v>1.5385930510161201E-3</v>
      </c>
      <c r="S386">
        <v>0.23442888424288125</v>
      </c>
      <c r="T386">
        <v>4.0727077647430514</v>
      </c>
      <c r="U386">
        <v>0</v>
      </c>
      <c r="V386">
        <v>9.4523053561132026E-3</v>
      </c>
      <c r="W386">
        <v>7.8375492561877397E-2</v>
      </c>
      <c r="X386">
        <v>1.0801272328132635E-2</v>
      </c>
      <c r="Y386">
        <v>4.3481814281941316E-3</v>
      </c>
    </row>
    <row r="387" spans="1:25" x14ac:dyDescent="0.25">
      <c r="A387" s="1090"/>
      <c r="B387" s="1448">
        <v>137</v>
      </c>
      <c r="C387" s="1094">
        <v>0.98730329326677457</v>
      </c>
      <c r="D387" s="1094">
        <v>1.0239175427487233</v>
      </c>
      <c r="E387" s="1094">
        <v>0.99222744125284079</v>
      </c>
      <c r="F387" s="1094">
        <v>1.0291345743835179</v>
      </c>
      <c r="G387" s="1094">
        <v>0.98816274342225707</v>
      </c>
      <c r="H387" s="1094">
        <v>0.99782574849265138</v>
      </c>
      <c r="I387" s="1094">
        <v>0.96272995885332802</v>
      </c>
      <c r="K387">
        <v>4.6023491962640533</v>
      </c>
      <c r="L387">
        <v>0</v>
      </c>
      <c r="M387">
        <v>1.5319234650425192E-3</v>
      </c>
      <c r="N387">
        <v>0.12956994291832041</v>
      </c>
      <c r="O387">
        <v>3.9696688973713951E-2</v>
      </c>
      <c r="P387">
        <v>1.9535384086923922E-2</v>
      </c>
      <c r="Q387">
        <v>1.2992205588696149E-3</v>
      </c>
      <c r="R387">
        <v>1.5258036645851636E-3</v>
      </c>
      <c r="S387">
        <v>0.22823628473936647</v>
      </c>
      <c r="T387">
        <v>4.0818601159350445</v>
      </c>
      <c r="U387">
        <v>0</v>
      </c>
      <c r="V387">
        <v>9.4523053561132112E-3</v>
      </c>
      <c r="W387">
        <v>7.7586979272928125E-2</v>
      </c>
      <c r="X387">
        <v>1.0806356577506176E-2</v>
      </c>
      <c r="Y387">
        <v>4.3120376457167851E-3</v>
      </c>
    </row>
    <row r="388" spans="1:25" x14ac:dyDescent="0.25">
      <c r="A388" s="1090"/>
      <c r="B388" s="1448">
        <v>138</v>
      </c>
      <c r="C388" s="1094">
        <v>0.98902056548008932</v>
      </c>
      <c r="D388" s="1094">
        <v>0.98179212118409809</v>
      </c>
      <c r="E388" s="1094">
        <v>1.0147907748065512</v>
      </c>
      <c r="F388" s="1094">
        <v>0.97330358700806174</v>
      </c>
      <c r="G388" s="1094">
        <v>0.99889834379978626</v>
      </c>
      <c r="H388" s="1094">
        <v>0.99496236068488864</v>
      </c>
      <c r="I388" s="1094">
        <v>0.99422800569712144</v>
      </c>
      <c r="K388">
        <v>4.3723335777198518</v>
      </c>
      <c r="L388">
        <v>0</v>
      </c>
      <c r="M388">
        <v>1.3988157250502025E-3</v>
      </c>
      <c r="N388">
        <v>0.12645902210694446</v>
      </c>
      <c r="O388">
        <v>3.7959398577478917E-2</v>
      </c>
      <c r="P388">
        <v>1.8848104052095846E-2</v>
      </c>
      <c r="Q388">
        <v>1.3446394645672342E-3</v>
      </c>
      <c r="R388">
        <v>1.3928914760174096E-3</v>
      </c>
      <c r="S388">
        <v>0.22926951771367921</v>
      </c>
      <c r="T388">
        <v>3.8595826191053186</v>
      </c>
      <c r="U388">
        <v>0</v>
      </c>
      <c r="V388">
        <v>9.4523053561131921E-3</v>
      </c>
      <c r="W388">
        <v>7.4580805635373143E-2</v>
      </c>
      <c r="X388">
        <v>1.0906672303851265E-2</v>
      </c>
      <c r="Y388">
        <v>3.9364176534587483E-3</v>
      </c>
    </row>
    <row r="389" spans="1:25" x14ac:dyDescent="0.25">
      <c r="A389" s="1090"/>
      <c r="B389" s="1448">
        <v>139</v>
      </c>
      <c r="C389" s="1094">
        <v>1.0127015774917234</v>
      </c>
      <c r="D389" s="1094">
        <v>0.98050361694199606</v>
      </c>
      <c r="E389" s="1094">
        <v>0.96496192451595497</v>
      </c>
      <c r="F389" s="1094">
        <v>0.99654293662219584</v>
      </c>
      <c r="G389" s="1094">
        <v>0.99580330563061514</v>
      </c>
      <c r="H389" s="1094">
        <v>0.97647337203162543</v>
      </c>
      <c r="I389" s="1094">
        <v>1.0147435940924954</v>
      </c>
      <c r="K389">
        <v>4.4577308700051281</v>
      </c>
      <c r="L389">
        <v>0</v>
      </c>
      <c r="M389">
        <v>1.525006240101275E-3</v>
      </c>
      <c r="N389">
        <v>0.11893283988175066</v>
      </c>
      <c r="O389">
        <v>3.8315594171626562E-2</v>
      </c>
      <c r="P389">
        <v>1.8578416704851157E-2</v>
      </c>
      <c r="Q389">
        <v>1.258607520355655E-3</v>
      </c>
      <c r="R389">
        <v>1.5185780952329346E-3</v>
      </c>
      <c r="S389">
        <v>0.23084975061801821</v>
      </c>
      <c r="T389">
        <v>3.9536372925467416</v>
      </c>
      <c r="U389">
        <v>0</v>
      </c>
      <c r="V389">
        <v>9.4523053561131869E-3</v>
      </c>
      <c r="W389">
        <v>7.2561646705595756E-2</v>
      </c>
      <c r="X389">
        <v>9.8592270098639846E-3</v>
      </c>
      <c r="Y389">
        <v>4.2916176350812612E-3</v>
      </c>
    </row>
    <row r="390" spans="1:25" x14ac:dyDescent="0.25">
      <c r="A390" s="1090"/>
      <c r="B390" s="1448">
        <v>140</v>
      </c>
      <c r="C390" s="1094">
        <v>1.0340408642953445</v>
      </c>
      <c r="D390" s="1094">
        <v>1.017251495352812</v>
      </c>
      <c r="E390" s="1094">
        <v>1.0175599706870415</v>
      </c>
      <c r="F390" s="1094">
        <v>1.0303434588595994</v>
      </c>
      <c r="G390" s="1094">
        <v>1.0062421548151144</v>
      </c>
      <c r="H390" s="1094">
        <v>0.97174632553751594</v>
      </c>
      <c r="I390" s="1094">
        <v>1.0024590964744677</v>
      </c>
      <c r="K390">
        <v>4.5912302205723092</v>
      </c>
      <c r="L390">
        <v>0</v>
      </c>
      <c r="M390">
        <v>1.355514820384525E-3</v>
      </c>
      <c r="N390">
        <v>0.12356994854653755</v>
      </c>
      <c r="O390">
        <v>3.7873975171233323E-2</v>
      </c>
      <c r="P390">
        <v>1.9911307694809807E-2</v>
      </c>
      <c r="Q390">
        <v>1.270954854596415E-3</v>
      </c>
      <c r="R390">
        <v>1.3499609154128374E-3</v>
      </c>
      <c r="S390">
        <v>0.22557407390144335</v>
      </c>
      <c r="T390">
        <v>4.0856633479767748</v>
      </c>
      <c r="U390">
        <v>0</v>
      </c>
      <c r="V390">
        <v>9.4523053561131869E-3</v>
      </c>
      <c r="W390">
        <v>7.2742150083441814E-2</v>
      </c>
      <c r="X390">
        <v>1.1362618280731606E-2</v>
      </c>
      <c r="Y390">
        <v>3.8150926115969757E-3</v>
      </c>
    </row>
    <row r="391" spans="1:25" x14ac:dyDescent="0.25">
      <c r="A391" s="1090"/>
      <c r="B391" s="1448">
        <v>141</v>
      </c>
      <c r="C391" s="1094">
        <v>0.99381429673030797</v>
      </c>
      <c r="D391" s="1094">
        <v>0.9783608976261059</v>
      </c>
      <c r="E391" s="1094">
        <v>1.0313298577042402</v>
      </c>
      <c r="F391" s="1094">
        <v>1.0344346911019173</v>
      </c>
      <c r="G391" s="1094">
        <v>0.98278003757233856</v>
      </c>
      <c r="H391" s="1094">
        <v>0.99331477832516746</v>
      </c>
      <c r="I391" s="1094">
        <v>0.97843148739166563</v>
      </c>
      <c r="K391">
        <v>4.6372274321911222</v>
      </c>
      <c r="L391">
        <v>0</v>
      </c>
      <c r="M391">
        <v>1.4279595758809338E-3</v>
      </c>
      <c r="N391">
        <v>0.13559923305729449</v>
      </c>
      <c r="O391">
        <v>4.0085574489839071E-2</v>
      </c>
      <c r="P391">
        <v>2.0224771633356422E-2</v>
      </c>
      <c r="Q391">
        <v>1.358878421997865E-3</v>
      </c>
      <c r="R391">
        <v>1.4222584336181846E-3</v>
      </c>
      <c r="S391">
        <v>0.23406015999075833</v>
      </c>
      <c r="T391">
        <v>4.1013505634528311</v>
      </c>
      <c r="U391">
        <v>0</v>
      </c>
      <c r="V391">
        <v>9.4523053561131973E-3</v>
      </c>
      <c r="W391">
        <v>7.9096071141514443E-2</v>
      </c>
      <c r="X391">
        <v>1.1986164871976618E-2</v>
      </c>
      <c r="Y391">
        <v>4.0194109176996881E-3</v>
      </c>
    </row>
    <row r="392" spans="1:25" x14ac:dyDescent="0.25">
      <c r="A392" s="1090"/>
      <c r="B392" s="1448">
        <v>142</v>
      </c>
      <c r="C392" s="1094">
        <v>1.0137275657756641</v>
      </c>
      <c r="D392" s="1094">
        <v>0.98046163589650759</v>
      </c>
      <c r="E392" s="1094">
        <v>1.0205269000896424</v>
      </c>
      <c r="F392" s="1094">
        <v>0.97211756720423159</v>
      </c>
      <c r="G392" s="1094">
        <v>0.98468099183860369</v>
      </c>
      <c r="H392" s="1094">
        <v>0.96412883488043022</v>
      </c>
      <c r="I392" s="1094">
        <v>0.99844350709219909</v>
      </c>
      <c r="K392">
        <v>4.3488038004412832</v>
      </c>
      <c r="L392">
        <v>0</v>
      </c>
      <c r="M392">
        <v>1.3056322472512389E-3</v>
      </c>
      <c r="N392">
        <v>0.12003845111468911</v>
      </c>
      <c r="O392">
        <v>3.6971010533115078E-2</v>
      </c>
      <c r="P392">
        <v>1.8872635821434273E-2</v>
      </c>
      <c r="Q392">
        <v>1.3189753833028051E-3</v>
      </c>
      <c r="R392">
        <v>1.2999188746442953E-3</v>
      </c>
      <c r="S392">
        <v>0.22228638177323107</v>
      </c>
      <c r="T392">
        <v>3.8546690151225378</v>
      </c>
      <c r="U392">
        <v>0</v>
      </c>
      <c r="V392">
        <v>9.4523053561131939E-3</v>
      </c>
      <c r="W392">
        <v>7.0523511147648404E-2</v>
      </c>
      <c r="X392">
        <v>1.1003557577959427E-2</v>
      </c>
      <c r="Y392">
        <v>3.6736699838559976E-3</v>
      </c>
    </row>
    <row r="393" spans="1:25" x14ac:dyDescent="0.25">
      <c r="A393" s="1090"/>
      <c r="B393" s="1448">
        <v>143</v>
      </c>
      <c r="C393" s="1094">
        <v>0.99525891183204207</v>
      </c>
      <c r="D393" s="1094">
        <v>0.97272726193699521</v>
      </c>
      <c r="E393" s="1094">
        <v>1.0084840166443394</v>
      </c>
      <c r="F393" s="1094">
        <v>0.9847514294305435</v>
      </c>
      <c r="G393" s="1094">
        <v>1.0181937252352053</v>
      </c>
      <c r="H393" s="1094">
        <v>0.980049982921126</v>
      </c>
      <c r="I393" s="1094">
        <v>1.0010378837166256</v>
      </c>
      <c r="K393">
        <v>4.417976087987034</v>
      </c>
      <c r="L393">
        <v>0</v>
      </c>
      <c r="M393">
        <v>1.4090232632687761E-3</v>
      </c>
      <c r="N393">
        <v>0.12502375623591902</v>
      </c>
      <c r="O393">
        <v>3.835040788100913E-2</v>
      </c>
      <c r="P393">
        <v>1.8976176230550122E-2</v>
      </c>
      <c r="Q393">
        <v>1.3340016888759684E-3</v>
      </c>
      <c r="R393">
        <v>1.4030351174233952E-3</v>
      </c>
      <c r="S393">
        <v>0.23072316540409596</v>
      </c>
      <c r="T393">
        <v>3.905213573231177</v>
      </c>
      <c r="U393">
        <v>0</v>
      </c>
      <c r="V393">
        <v>9.4523053561131991E-3</v>
      </c>
      <c r="W393">
        <v>7.4046829870182407E-2</v>
      </c>
      <c r="X393">
        <v>1.0896775876451114E-2</v>
      </c>
      <c r="Y393">
        <v>3.9650843585024506E-3</v>
      </c>
    </row>
    <row r="394" spans="1:25" x14ac:dyDescent="0.25">
      <c r="A394" s="1090"/>
      <c r="B394" s="1448">
        <v>144</v>
      </c>
      <c r="C394" s="1094">
        <v>1.0126655049041839</v>
      </c>
      <c r="D394" s="1094">
        <v>0.98592274116794687</v>
      </c>
      <c r="E394" s="1094">
        <v>0.96451425010213476</v>
      </c>
      <c r="F394" s="1094">
        <v>1.0015916799682092</v>
      </c>
      <c r="G394" s="1094">
        <v>1.0065293247245797</v>
      </c>
      <c r="H394" s="1094">
        <v>1.0291620438395086</v>
      </c>
      <c r="I394" s="1094">
        <v>0.99882198659678478</v>
      </c>
      <c r="K394">
        <v>4.4897037777243982</v>
      </c>
      <c r="L394">
        <v>0</v>
      </c>
      <c r="M394">
        <v>1.6134139595716708E-3</v>
      </c>
      <c r="N394">
        <v>0.12569015561364971</v>
      </c>
      <c r="O394">
        <v>3.8429310582256709E-2</v>
      </c>
      <c r="P394">
        <v>1.8664079506569741E-2</v>
      </c>
      <c r="Q394">
        <v>1.2553877835531451E-3</v>
      </c>
      <c r="R394">
        <v>1.6069937263165997E-3</v>
      </c>
      <c r="S394">
        <v>0.23159164645734917</v>
      </c>
      <c r="T394">
        <v>3.97368480606705</v>
      </c>
      <c r="U394">
        <v>0</v>
      </c>
      <c r="V394">
        <v>9.4523053561131973E-3</v>
      </c>
      <c r="W394">
        <v>7.6708096509323212E-2</v>
      </c>
      <c r="X394">
        <v>9.6929231230465911E-3</v>
      </c>
      <c r="Y394">
        <v>4.5414869587378061E-3</v>
      </c>
    </row>
    <row r="395" spans="1:25" x14ac:dyDescent="0.25">
      <c r="A395" s="1090"/>
      <c r="B395" s="1448">
        <v>145</v>
      </c>
      <c r="C395" s="1094">
        <v>1.0210324676065543</v>
      </c>
      <c r="D395" s="1094">
        <v>0.98141114117311379</v>
      </c>
      <c r="E395" s="1094">
        <v>0.99706482026852639</v>
      </c>
      <c r="F395" s="1094">
        <v>1.0235915144305505</v>
      </c>
      <c r="G395" s="1094">
        <v>0.99901275036768256</v>
      </c>
      <c r="H395" s="1094">
        <v>0.9799005761517775</v>
      </c>
      <c r="I395" s="1094">
        <v>0.98927300954040576</v>
      </c>
      <c r="K395">
        <v>4.5707272921442952</v>
      </c>
      <c r="L395">
        <v>0</v>
      </c>
      <c r="M395">
        <v>1.456747660601972E-3</v>
      </c>
      <c r="N395">
        <v>0.12497907229304622</v>
      </c>
      <c r="O395">
        <v>3.879809284266237E-2</v>
      </c>
      <c r="P395">
        <v>1.950216206218338E-2</v>
      </c>
      <c r="Q395">
        <v>1.2831166997845692E-3</v>
      </c>
      <c r="R395">
        <v>1.450789758904121E-3</v>
      </c>
      <c r="S395">
        <v>0.2274731785206994</v>
      </c>
      <c r="T395">
        <v>4.0596856065983182</v>
      </c>
      <c r="U395">
        <v>0</v>
      </c>
      <c r="V395">
        <v>9.4523053561131921E-3</v>
      </c>
      <c r="W395">
        <v>7.4592779896214281E-2</v>
      </c>
      <c r="X395">
        <v>1.0866893155748975E-2</v>
      </c>
      <c r="Y395">
        <v>4.100042621221385E-3</v>
      </c>
    </row>
    <row r="396" spans="1:25" x14ac:dyDescent="0.25">
      <c r="A396" s="1090"/>
      <c r="B396" s="1448">
        <v>146</v>
      </c>
      <c r="C396" s="1094">
        <v>1.0024601054769742</v>
      </c>
      <c r="D396" s="1094">
        <v>0.99100501626436732</v>
      </c>
      <c r="E396" s="1094">
        <v>1.0446621809546968</v>
      </c>
      <c r="F396" s="1094">
        <v>0.97045973683710174</v>
      </c>
      <c r="G396" s="1094">
        <v>1.035856902008121</v>
      </c>
      <c r="H396" s="1094">
        <v>0.98944839050091205</v>
      </c>
      <c r="I396" s="1094">
        <v>1.0179852760140204</v>
      </c>
      <c r="K396">
        <v>4.3589316795919055</v>
      </c>
      <c r="L396">
        <v>0</v>
      </c>
      <c r="M396">
        <v>1.2798349993487226E-3</v>
      </c>
      <c r="N396">
        <v>0.12638095210638131</v>
      </c>
      <c r="O396">
        <v>3.7001723294465182E-2</v>
      </c>
      <c r="P396">
        <v>1.9206881211945703E-2</v>
      </c>
      <c r="Q396">
        <v>1.3552902560239164E-3</v>
      </c>
      <c r="R396">
        <v>1.2743685449731249E-3</v>
      </c>
      <c r="S396">
        <v>0.23006890283514908</v>
      </c>
      <c r="T396">
        <v>3.8472176820218551</v>
      </c>
      <c r="U396">
        <v>0</v>
      </c>
      <c r="V396">
        <v>9.4523053561131939E-3</v>
      </c>
      <c r="W396">
        <v>7.307435636888239E-2</v>
      </c>
      <c r="X396">
        <v>1.1577589793933401E-2</v>
      </c>
      <c r="Y396">
        <v>3.6014628015298786E-3</v>
      </c>
    </row>
    <row r="397" spans="1:25" x14ac:dyDescent="0.25">
      <c r="A397" s="1090"/>
      <c r="B397" s="1448">
        <v>147</v>
      </c>
      <c r="C397" s="1094">
        <v>1.025398419649082</v>
      </c>
      <c r="D397" s="1094">
        <v>1.0188517490846702</v>
      </c>
      <c r="E397" s="1094">
        <v>0.9786499991609543</v>
      </c>
      <c r="F397" s="1094">
        <v>0.99863322412887423</v>
      </c>
      <c r="G397" s="1094">
        <v>1.0066334917389479</v>
      </c>
      <c r="H397" s="1094">
        <v>1.008942717867261</v>
      </c>
      <c r="I397" s="1094">
        <v>0.97336126193741579</v>
      </c>
      <c r="K397">
        <v>4.455557053376749</v>
      </c>
      <c r="L397">
        <v>0</v>
      </c>
      <c r="M397">
        <v>1.4922607369700148E-3</v>
      </c>
      <c r="N397">
        <v>0.12122394244612811</v>
      </c>
      <c r="O397">
        <v>3.725263362219499E-2</v>
      </c>
      <c r="P397">
        <v>1.8754615328484825E-2</v>
      </c>
      <c r="Q397">
        <v>1.2388014705183965E-3</v>
      </c>
      <c r="R397">
        <v>1.4861857354894913E-3</v>
      </c>
      <c r="S397">
        <v>0.21878769123246802</v>
      </c>
      <c r="T397">
        <v>3.9614025072342507</v>
      </c>
      <c r="U397">
        <v>0</v>
      </c>
      <c r="V397">
        <v>9.4523053561131991E-3</v>
      </c>
      <c r="W397">
        <v>7.3265245409346438E-2</v>
      </c>
      <c r="X397">
        <v>9.9853119253132117E-3</v>
      </c>
      <c r="Y397">
        <v>4.2000743534066137E-3</v>
      </c>
    </row>
    <row r="398" spans="1:25" x14ac:dyDescent="0.25">
      <c r="A398" s="1090"/>
      <c r="B398" s="1448">
        <v>148</v>
      </c>
      <c r="C398" s="1094">
        <v>1.004781862007919</v>
      </c>
      <c r="D398" s="1094">
        <v>0.9930571952106414</v>
      </c>
      <c r="E398" s="1094">
        <v>1.0468800604862538</v>
      </c>
      <c r="F398" s="1094">
        <v>0.98376477016689878</v>
      </c>
      <c r="G398" s="1094">
        <v>1.0325024809315839</v>
      </c>
      <c r="H398" s="1094">
        <v>0.99193792955732696</v>
      </c>
      <c r="I398" s="1094">
        <v>0.97990623704131663</v>
      </c>
      <c r="K398">
        <v>4.4082344028188007</v>
      </c>
      <c r="L398">
        <v>0</v>
      </c>
      <c r="M398">
        <v>1.2904102321617179E-3</v>
      </c>
      <c r="N398">
        <v>0.1282712894834927</v>
      </c>
      <c r="O398">
        <v>3.7376350964142664E-2</v>
      </c>
      <c r="P398">
        <v>1.9452074412049977E-2</v>
      </c>
      <c r="Q398">
        <v>1.3535371520227621E-3</v>
      </c>
      <c r="R398">
        <v>1.2849864870444273E-3</v>
      </c>
      <c r="S398">
        <v>0.223011509845331</v>
      </c>
      <c r="T398">
        <v>3.8998819402753631</v>
      </c>
      <c r="U398">
        <v>0</v>
      </c>
      <c r="V398">
        <v>9.4523053561131973E-3</v>
      </c>
      <c r="W398">
        <v>7.4059643959794627E-2</v>
      </c>
      <c r="X398">
        <v>1.1749705199140648E-2</v>
      </c>
      <c r="Y398">
        <v>3.631469916464907E-3</v>
      </c>
    </row>
    <row r="399" spans="1:25" x14ac:dyDescent="0.25">
      <c r="A399" s="1090"/>
      <c r="B399" s="1448">
        <v>149</v>
      </c>
      <c r="C399" s="1094">
        <v>1.0003130275921823</v>
      </c>
      <c r="D399" s="1094">
        <v>0.99155606764863924</v>
      </c>
      <c r="E399" s="1094">
        <v>0.97467848166312165</v>
      </c>
      <c r="F399" s="1094">
        <v>0.97445571661529928</v>
      </c>
      <c r="G399" s="1094">
        <v>1.0163255262289184</v>
      </c>
      <c r="H399" s="1094">
        <v>0.99779589066557006</v>
      </c>
      <c r="I399" s="1094">
        <v>1.0076236140504926</v>
      </c>
      <c r="K399">
        <v>4.3698988233818552</v>
      </c>
      <c r="L399">
        <v>0</v>
      </c>
      <c r="M399">
        <v>1.5049202450802893E-3</v>
      </c>
      <c r="N399">
        <v>0.12080185324840827</v>
      </c>
      <c r="O399">
        <v>3.7695825908014187E-2</v>
      </c>
      <c r="P399">
        <v>1.8318133374892756E-2</v>
      </c>
      <c r="Q399">
        <v>1.2793092437789074E-3</v>
      </c>
      <c r="R399">
        <v>1.4985722057951581E-3</v>
      </c>
      <c r="S399">
        <v>0.22942662447990925</v>
      </c>
      <c r="T399">
        <v>3.8656436365493776</v>
      </c>
      <c r="U399">
        <v>0</v>
      </c>
      <c r="V399">
        <v>9.4523053561131852E-3</v>
      </c>
      <c r="W399">
        <v>7.3209529392980088E-2</v>
      </c>
      <c r="X399">
        <v>9.8428744035158472E-3</v>
      </c>
      <c r="Y399">
        <v>4.2350794641527007E-3</v>
      </c>
    </row>
    <row r="400" spans="1:25" x14ac:dyDescent="0.25">
      <c r="A400" s="1090"/>
      <c r="B400" s="1448">
        <v>150</v>
      </c>
      <c r="C400" s="1094">
        <v>1.0071263410041031</v>
      </c>
      <c r="D400" s="1094">
        <v>1.0251394144005244</v>
      </c>
      <c r="E400" s="1094">
        <v>0.97118978681832158</v>
      </c>
      <c r="F400" s="1094">
        <v>0.96970817793977182</v>
      </c>
      <c r="G400" s="1094">
        <v>1.0163651736672878</v>
      </c>
      <c r="H400" s="1094">
        <v>0.96509559864965166</v>
      </c>
      <c r="I400" s="1094">
        <v>0.97848678212614604</v>
      </c>
      <c r="K400">
        <v>4.3249298948399915</v>
      </c>
      <c r="L400">
        <v>0</v>
      </c>
      <c r="M400">
        <v>1.4301212398135728E-3</v>
      </c>
      <c r="N400">
        <v>0.11359601344569342</v>
      </c>
      <c r="O400">
        <v>3.6788013563324798E-2</v>
      </c>
      <c r="P400">
        <v>1.8126436000598656E-2</v>
      </c>
      <c r="Q400">
        <v>1.2500290931075203E-3</v>
      </c>
      <c r="R400">
        <v>1.4238539113763605E-3</v>
      </c>
      <c r="S400">
        <v>0.21601307848506152</v>
      </c>
      <c r="T400">
        <v>3.8469407865182563</v>
      </c>
      <c r="U400">
        <v>0</v>
      </c>
      <c r="V400">
        <v>9.4523053561131852E-3</v>
      </c>
      <c r="W400">
        <v>6.9008118161335966E-2</v>
      </c>
      <c r="X400">
        <v>9.7374616852856175E-3</v>
      </c>
      <c r="Y400">
        <v>4.0239198596532582E-3</v>
      </c>
    </row>
    <row r="401" spans="1:25" x14ac:dyDescent="0.25">
      <c r="A401" s="1090"/>
      <c r="B401" s="1448">
        <v>151</v>
      </c>
      <c r="C401" s="1094">
        <v>0.99370091904208535</v>
      </c>
      <c r="D401" s="1094">
        <v>0.97885100765651212</v>
      </c>
      <c r="E401" s="1094">
        <v>1.0138327470616582</v>
      </c>
      <c r="F401" s="1094">
        <v>0.98913597818989529</v>
      </c>
      <c r="G401" s="1094">
        <v>0.98945407417646891</v>
      </c>
      <c r="H401" s="1094">
        <v>0.9795984871516682</v>
      </c>
      <c r="I401" s="1094">
        <v>0.98641444255947197</v>
      </c>
      <c r="K401">
        <v>4.4339845849384556</v>
      </c>
      <c r="L401">
        <v>0</v>
      </c>
      <c r="M401">
        <v>1.397427488536384E-3</v>
      </c>
      <c r="N401">
        <v>0.12597606740958631</v>
      </c>
      <c r="O401">
        <v>3.8447895311884729E-2</v>
      </c>
      <c r="P401">
        <v>1.9117270506131771E-2</v>
      </c>
      <c r="Q401">
        <v>1.3388234506141318E-3</v>
      </c>
      <c r="R401">
        <v>1.3915121140105427E-3</v>
      </c>
      <c r="S401">
        <v>0.22790987974625929</v>
      </c>
      <c r="T401">
        <v>3.9224009411389003</v>
      </c>
      <c r="U401">
        <v>0</v>
      </c>
      <c r="V401">
        <v>9.4523053561131904E-3</v>
      </c>
      <c r="W401">
        <v>7.4343635324837024E-2</v>
      </c>
      <c r="X401">
        <v>1.1071162597534184E-2</v>
      </c>
      <c r="Y401">
        <v>3.932519471118035E-3</v>
      </c>
    </row>
    <row r="402" spans="1:25" x14ac:dyDescent="0.25">
      <c r="A402" s="1090"/>
      <c r="B402" s="1448">
        <v>152</v>
      </c>
      <c r="C402" s="1094">
        <v>1.0063169667890346</v>
      </c>
      <c r="D402" s="1094">
        <v>1.0028151997586594</v>
      </c>
      <c r="E402" s="1094">
        <v>0.99651606843039175</v>
      </c>
      <c r="F402" s="1094">
        <v>1.0079743564818764</v>
      </c>
      <c r="G402" s="1094">
        <v>0.99307895521281486</v>
      </c>
      <c r="H402" s="1094">
        <v>1.0041686452722942</v>
      </c>
      <c r="I402" s="1094">
        <v>0.97815008993745156</v>
      </c>
      <c r="K402">
        <v>4.5096753485723324</v>
      </c>
      <c r="L402">
        <v>0</v>
      </c>
      <c r="M402">
        <v>1.4805298525115951E-3</v>
      </c>
      <c r="N402">
        <v>0.12681776114511498</v>
      </c>
      <c r="O402">
        <v>3.8435501201940198E-2</v>
      </c>
      <c r="P402">
        <v>1.9207370671564541E-2</v>
      </c>
      <c r="Q402">
        <v>1.2900848635694928E-3</v>
      </c>
      <c r="R402">
        <v>1.4745298455175998E-3</v>
      </c>
      <c r="S402">
        <v>0.226180375299565</v>
      </c>
      <c r="T402">
        <v>3.9977671986197447</v>
      </c>
      <c r="U402">
        <v>0</v>
      </c>
      <c r="V402">
        <v>9.4523053561131869E-3</v>
      </c>
      <c r="W402">
        <v>7.5718325908215145E-2</v>
      </c>
      <c r="X402">
        <v>1.0645291595040338E-2</v>
      </c>
      <c r="Y402">
        <v>4.1671339184609479E-3</v>
      </c>
    </row>
    <row r="403" spans="1:25" x14ac:dyDescent="0.25">
      <c r="A403" s="1090"/>
      <c r="B403" s="1448">
        <v>153</v>
      </c>
      <c r="C403" s="1094">
        <v>0.99678217456348195</v>
      </c>
      <c r="D403" s="1094">
        <v>0.97077536304915679</v>
      </c>
      <c r="E403" s="1094">
        <v>1.0272169853386786</v>
      </c>
      <c r="F403" s="1094">
        <v>0.96585179774549668</v>
      </c>
      <c r="G403" s="1094">
        <v>0.99498576128498761</v>
      </c>
      <c r="H403" s="1094">
        <v>1.031919370591414</v>
      </c>
      <c r="I403" s="1094">
        <v>0.99679061586316298</v>
      </c>
      <c r="K403">
        <v>4.3499496045058139</v>
      </c>
      <c r="L403">
        <v>0</v>
      </c>
      <c r="M403">
        <v>1.3977835302630701E-3</v>
      </c>
      <c r="N403">
        <v>0.13111334288688112</v>
      </c>
      <c r="O403">
        <v>3.7460632441061854E-2</v>
      </c>
      <c r="P403">
        <v>1.8886405661264163E-2</v>
      </c>
      <c r="Q403">
        <v>1.3543629236036888E-3</v>
      </c>
      <c r="R403">
        <v>1.3920318157898631E-3</v>
      </c>
      <c r="S403">
        <v>0.23044443753618954</v>
      </c>
      <c r="T403">
        <v>3.8295806216689177</v>
      </c>
      <c r="U403">
        <v>0</v>
      </c>
      <c r="V403">
        <v>9.4523053561131852E-3</v>
      </c>
      <c r="W403">
        <v>7.6688131913657892E-2</v>
      </c>
      <c r="X403">
        <v>1.1041127644575354E-2</v>
      </c>
      <c r="Y403">
        <v>3.9339881880237487E-3</v>
      </c>
    </row>
    <row r="404" spans="1:25" x14ac:dyDescent="0.25">
      <c r="A404" s="1090"/>
      <c r="B404" s="1448">
        <v>154</v>
      </c>
      <c r="C404" s="1094">
        <v>1.0052299561560325</v>
      </c>
      <c r="D404" s="1094">
        <v>0.99330791816134933</v>
      </c>
      <c r="E404" s="1094">
        <v>0.99064499432378317</v>
      </c>
      <c r="F404" s="1094">
        <v>1.0327531930410307</v>
      </c>
      <c r="G404" s="1094">
        <v>0.95163750073241127</v>
      </c>
      <c r="H404" s="1094">
        <v>1.0135776966046388</v>
      </c>
      <c r="I404" s="1094">
        <v>0.97470439088810845</v>
      </c>
      <c r="K404">
        <v>4.6218339899338252</v>
      </c>
      <c r="L404">
        <v>0</v>
      </c>
      <c r="M404">
        <v>1.5576170266105689E-3</v>
      </c>
      <c r="N404">
        <v>0.13113642991252344</v>
      </c>
      <c r="O404">
        <v>3.9614922830758903E-2</v>
      </c>
      <c r="P404">
        <v>1.958870270550107E-2</v>
      </c>
      <c r="Q404">
        <v>1.2898769087005141E-3</v>
      </c>
      <c r="R404">
        <v>1.5515126653376245E-3</v>
      </c>
      <c r="S404">
        <v>0.23076094774031308</v>
      </c>
      <c r="T404">
        <v>4.0962751511326134</v>
      </c>
      <c r="U404">
        <v>0</v>
      </c>
      <c r="V404">
        <v>9.4523053561131991E-3</v>
      </c>
      <c r="W404">
        <v>7.8609518361325584E-2</v>
      </c>
      <c r="X404">
        <v>1.0727546102612279E-2</v>
      </c>
      <c r="Y404">
        <v>4.3846932446325957E-3</v>
      </c>
    </row>
    <row r="405" spans="1:25" x14ac:dyDescent="0.25">
      <c r="A405" s="1090"/>
      <c r="B405" s="1448">
        <v>155</v>
      </c>
      <c r="C405" s="1094">
        <v>0.99688839859800138</v>
      </c>
      <c r="D405" s="1094">
        <v>1.0318739171778681</v>
      </c>
      <c r="E405" s="1094">
        <v>1.029859676943041</v>
      </c>
      <c r="F405" s="1094">
        <v>0.97560655943729058</v>
      </c>
      <c r="G405" s="1094">
        <v>0.97558938617357949</v>
      </c>
      <c r="H405" s="1094">
        <v>1.0206762897643527</v>
      </c>
      <c r="I405" s="1094">
        <v>1.0053256422379349</v>
      </c>
      <c r="K405">
        <v>4.3815473930043218</v>
      </c>
      <c r="L405">
        <v>0</v>
      </c>
      <c r="M405">
        <v>1.3550367009839579E-3</v>
      </c>
      <c r="N405">
        <v>0.12810018724015199</v>
      </c>
      <c r="O405">
        <v>3.6904790121891885E-2</v>
      </c>
      <c r="P405">
        <v>1.9094358412769161E-2</v>
      </c>
      <c r="Q405">
        <v>1.3244988693898118E-3</v>
      </c>
      <c r="R405">
        <v>1.3494555931155593E-3</v>
      </c>
      <c r="S405">
        <v>0.22877969680109658</v>
      </c>
      <c r="T405">
        <v>3.8681612270069188</v>
      </c>
      <c r="U405">
        <v>0</v>
      </c>
      <c r="V405">
        <v>9.4523053561131991E-3</v>
      </c>
      <c r="W405">
        <v>7.4794583956006355E-2</v>
      </c>
      <c r="X405">
        <v>1.1127661815640634E-2</v>
      </c>
      <c r="Y405">
        <v>3.8136645322053354E-3</v>
      </c>
    </row>
    <row r="406" spans="1:25" x14ac:dyDescent="0.25">
      <c r="A406" s="1090"/>
      <c r="B406" s="1448">
        <v>156</v>
      </c>
      <c r="C406" s="1094">
        <v>1.0239513390025323</v>
      </c>
      <c r="D406" s="1094">
        <v>1.0354593506157774</v>
      </c>
      <c r="E406" s="1094">
        <v>1.0023717420907969</v>
      </c>
      <c r="F406" s="1094">
        <v>0.99644491623110432</v>
      </c>
      <c r="G406" s="1094">
        <v>1.0034090873707069</v>
      </c>
      <c r="H406" s="1094">
        <v>0.98123560768581986</v>
      </c>
      <c r="I406" s="1094">
        <v>1.0044775944795601</v>
      </c>
      <c r="K406">
        <v>4.4460284953687381</v>
      </c>
      <c r="L406">
        <v>0</v>
      </c>
      <c r="M406">
        <v>1.3707037038754445E-3</v>
      </c>
      <c r="N406">
        <v>0.11944823485227872</v>
      </c>
      <c r="O406">
        <v>3.6827500423933637E-2</v>
      </c>
      <c r="P406">
        <v>1.9065925299473624E-2</v>
      </c>
      <c r="Q406">
        <v>1.2580247212073826E-3</v>
      </c>
      <c r="R406">
        <v>1.3649534466821189E-3</v>
      </c>
      <c r="S406">
        <v>0.22264825715642955</v>
      </c>
      <c r="T406">
        <v>3.9518175702363885</v>
      </c>
      <c r="U406">
        <v>0</v>
      </c>
      <c r="V406">
        <v>9.4523053561131817E-3</v>
      </c>
      <c r="W406">
        <v>7.1036441996042324E-2</v>
      </c>
      <c r="X406">
        <v>1.0622522934478271E-2</v>
      </c>
      <c r="Y406">
        <v>3.8574626495895803E-3</v>
      </c>
    </row>
    <row r="407" spans="1:25" x14ac:dyDescent="0.25">
      <c r="A407" s="1090"/>
      <c r="B407" s="1448">
        <v>157</v>
      </c>
      <c r="C407" s="1094">
        <v>1.0028170259793829</v>
      </c>
      <c r="D407" s="1094">
        <v>0.99486102611709992</v>
      </c>
      <c r="E407" s="1094">
        <v>1.0258333652481608</v>
      </c>
      <c r="F407" s="1094">
        <v>0.98251077033882539</v>
      </c>
      <c r="G407" s="1094">
        <v>1.020848060787928</v>
      </c>
      <c r="H407" s="1094">
        <v>0.99555258452734785</v>
      </c>
      <c r="I407" s="1094">
        <v>0.96935330779872553</v>
      </c>
      <c r="K407">
        <v>4.3996323990018311</v>
      </c>
      <c r="L407">
        <v>0</v>
      </c>
      <c r="M407">
        <v>1.3540838811759131E-3</v>
      </c>
      <c r="N407">
        <v>0.12648570483451307</v>
      </c>
      <c r="O407">
        <v>3.7517286292282563E-2</v>
      </c>
      <c r="P407">
        <v>1.9130038503731354E-2</v>
      </c>
      <c r="Q407">
        <v>1.3315263312392064E-3</v>
      </c>
      <c r="R407">
        <v>1.3484059650823708E-3</v>
      </c>
      <c r="S407">
        <v>0.22099112476618141</v>
      </c>
      <c r="T407">
        <v>3.8956841664673263</v>
      </c>
      <c r="U407">
        <v>0</v>
      </c>
      <c r="V407">
        <v>9.4523053561131904E-3</v>
      </c>
      <c r="W407">
        <v>7.404941386146506E-2</v>
      </c>
      <c r="X407">
        <v>1.1185812301819368E-2</v>
      </c>
      <c r="Y407">
        <v>3.8106982032482359E-3</v>
      </c>
    </row>
    <row r="408" spans="1:25" x14ac:dyDescent="0.25">
      <c r="A408" s="1090"/>
      <c r="B408" s="1448">
        <v>158</v>
      </c>
      <c r="C408" s="1094">
        <v>0.98624904611444497</v>
      </c>
      <c r="D408" s="1094">
        <v>1.0162692091289591</v>
      </c>
      <c r="E408" s="1094">
        <v>1.0100784294711138</v>
      </c>
      <c r="F408" s="1094">
        <v>0.99286128618782221</v>
      </c>
      <c r="G408" s="1094">
        <v>1.0456457558993726</v>
      </c>
      <c r="H408" s="1094">
        <v>0.99874183768882319</v>
      </c>
      <c r="I408" s="1094">
        <v>1.0153768208383589</v>
      </c>
      <c r="K408">
        <v>4.4593391876806381</v>
      </c>
      <c r="L408">
        <v>0</v>
      </c>
      <c r="M408">
        <v>1.4307127473312238E-3</v>
      </c>
      <c r="N408">
        <v>0.12756354720051311</v>
      </c>
      <c r="O408">
        <v>3.833099823210008E-2</v>
      </c>
      <c r="P408">
        <v>1.9168737110023176E-2</v>
      </c>
      <c r="Q408">
        <v>1.3246121727296112E-3</v>
      </c>
      <c r="R408">
        <v>1.4247947542476629E-3</v>
      </c>
      <c r="S408">
        <v>0.23575572236044143</v>
      </c>
      <c r="T408">
        <v>3.937314698226293</v>
      </c>
      <c r="U408">
        <v>0</v>
      </c>
      <c r="V408">
        <v>9.4523053561132008E-3</v>
      </c>
      <c r="W408">
        <v>7.5470190041203325E-2</v>
      </c>
      <c r="X408">
        <v>1.0937716220864495E-2</v>
      </c>
      <c r="Y408">
        <v>4.026578753437514E-3</v>
      </c>
    </row>
    <row r="409" spans="1:25" x14ac:dyDescent="0.25">
      <c r="A409" s="1090"/>
      <c r="B409" s="1448">
        <v>159</v>
      </c>
      <c r="C409" s="1094">
        <v>0.99079229165830296</v>
      </c>
      <c r="D409" s="1094">
        <v>1.0166703256538674</v>
      </c>
      <c r="E409" s="1094">
        <v>0.98663372631263202</v>
      </c>
      <c r="F409" s="1094">
        <v>1.0009832314840466</v>
      </c>
      <c r="G409" s="1094">
        <v>0.9828639300802734</v>
      </c>
      <c r="H409" s="1094">
        <v>0.99231257810129903</v>
      </c>
      <c r="I409" s="1094">
        <v>0.99541745361458145</v>
      </c>
      <c r="K409">
        <v>4.4837455038290113</v>
      </c>
      <c r="L409">
        <v>0</v>
      </c>
      <c r="M409">
        <v>1.4984547464934519E-3</v>
      </c>
      <c r="N409">
        <v>0.12463742451968166</v>
      </c>
      <c r="O409">
        <v>3.8622797640474937E-2</v>
      </c>
      <c r="P409">
        <v>1.8963099270473637E-2</v>
      </c>
      <c r="Q409">
        <v>1.2920779541414258E-3</v>
      </c>
      <c r="R409">
        <v>1.4922667976063019E-3</v>
      </c>
      <c r="S409">
        <v>0.23082066114037655</v>
      </c>
      <c r="T409">
        <v>3.9704176687248385</v>
      </c>
      <c r="U409">
        <v>0</v>
      </c>
      <c r="V409">
        <v>9.4523053561131817E-3</v>
      </c>
      <c r="W409">
        <v>7.4918106329682987E-2</v>
      </c>
      <c r="X409">
        <v>1.0410290942900309E-2</v>
      </c>
      <c r="Y409">
        <v>4.2172598992158521E-3</v>
      </c>
    </row>
    <row r="410" spans="1:25" x14ac:dyDescent="0.25">
      <c r="A410" s="1090"/>
      <c r="B410" s="1448">
        <v>160</v>
      </c>
      <c r="C410" s="1094">
        <v>1.0345281390503809</v>
      </c>
      <c r="D410" s="1094">
        <v>1.0050665689717351</v>
      </c>
      <c r="E410" s="1094">
        <v>1.0343293202866737</v>
      </c>
      <c r="F410" s="1094">
        <v>1.0001013027310639</v>
      </c>
      <c r="G410" s="1094">
        <v>1.0151066346804418</v>
      </c>
      <c r="H410" s="1094">
        <v>1.0093148744214879</v>
      </c>
      <c r="I410" s="1094">
        <v>0.99827408427802888</v>
      </c>
      <c r="K410">
        <v>4.4717642111959632</v>
      </c>
      <c r="L410">
        <v>0</v>
      </c>
      <c r="M410">
        <v>1.3249010162147841E-3</v>
      </c>
      <c r="N410">
        <v>0.12692410634871015</v>
      </c>
      <c r="O410">
        <v>3.6811053076944454E-2</v>
      </c>
      <c r="P410">
        <v>1.9584257883441588E-2</v>
      </c>
      <c r="Q410">
        <v>1.2946686937642677E-3</v>
      </c>
      <c r="R410">
        <v>1.3195172079873041E-3</v>
      </c>
      <c r="S410">
        <v>0.22357309691430474</v>
      </c>
      <c r="T410">
        <v>3.9651123609759198</v>
      </c>
      <c r="U410">
        <v>0</v>
      </c>
      <c r="V410">
        <v>9.4523053561131783E-3</v>
      </c>
      <c r="W410">
        <v>7.3889151755452881E-2</v>
      </c>
      <c r="X410">
        <v>1.1399537629395421E-2</v>
      </c>
      <c r="Y410">
        <v>3.7290563701453099E-3</v>
      </c>
    </row>
    <row r="411" spans="1:25" x14ac:dyDescent="0.25">
      <c r="A411" s="1090"/>
      <c r="B411" s="1448">
        <v>161</v>
      </c>
      <c r="C411" s="1094">
        <v>1.0433988765660704</v>
      </c>
      <c r="D411" s="1094">
        <v>1.0064622886141321</v>
      </c>
      <c r="E411" s="1094">
        <v>1.0364550721007759</v>
      </c>
      <c r="F411" s="1094">
        <v>0.99183124120262889</v>
      </c>
      <c r="G411" s="1094">
        <v>1.0041011920907927</v>
      </c>
      <c r="H411" s="1094">
        <v>0.99927468367632755</v>
      </c>
      <c r="I411" s="1094">
        <v>0.97534760868561698</v>
      </c>
      <c r="K411">
        <v>4.4237024837742354</v>
      </c>
      <c r="L411">
        <v>0</v>
      </c>
      <c r="M411">
        <v>1.2833542508265353E-3</v>
      </c>
      <c r="N411">
        <v>0.12370943665032227</v>
      </c>
      <c r="O411">
        <v>3.6162290363138713E-2</v>
      </c>
      <c r="P411">
        <v>1.9418735523215627E-2</v>
      </c>
      <c r="Q411">
        <v>1.2852368660321357E-3</v>
      </c>
      <c r="R411">
        <v>1.2780431340782164E-3</v>
      </c>
      <c r="S411">
        <v>0.21457321664445927</v>
      </c>
      <c r="T411">
        <v>3.9322450667522415</v>
      </c>
      <c r="U411">
        <v>0</v>
      </c>
      <c r="V411">
        <v>9.4523053561131904E-3</v>
      </c>
      <c r="W411">
        <v>7.1916768981186097E-2</v>
      </c>
      <c r="X411">
        <v>1.133289028339155E-2</v>
      </c>
      <c r="Y411">
        <v>3.6118474708824728E-3</v>
      </c>
    </row>
    <row r="412" spans="1:25" x14ac:dyDescent="0.25">
      <c r="A412" s="1090"/>
      <c r="B412" s="1448">
        <v>162</v>
      </c>
      <c r="C412" s="1094">
        <v>1.035397645606027</v>
      </c>
      <c r="D412" s="1094">
        <v>0.98144014375204958</v>
      </c>
      <c r="E412" s="1094">
        <v>1.0266488471596447</v>
      </c>
      <c r="F412" s="1094">
        <v>1.0003237724736582</v>
      </c>
      <c r="G412" s="1094">
        <v>0.99774353190143317</v>
      </c>
      <c r="H412" s="1094">
        <v>1.0021993510186336</v>
      </c>
      <c r="I412" s="1094">
        <v>1.0075898515981025</v>
      </c>
      <c r="K412">
        <v>4.4756444000053248</v>
      </c>
      <c r="L412">
        <v>0</v>
      </c>
      <c r="M412">
        <v>1.3490610989695486E-3</v>
      </c>
      <c r="N412">
        <v>0.12633368488337457</v>
      </c>
      <c r="O412">
        <v>3.7191592586295619E-2</v>
      </c>
      <c r="P412">
        <v>1.9494997557047276E-2</v>
      </c>
      <c r="Q412">
        <v>1.2975444292461712E-3</v>
      </c>
      <c r="R412">
        <v>1.343541416134125E-3</v>
      </c>
      <c r="S412">
        <v>0.22661433106466694</v>
      </c>
      <c r="T412">
        <v>3.9662825809455673</v>
      </c>
      <c r="U412">
        <v>0</v>
      </c>
      <c r="V412">
        <v>9.4523053561131921E-3</v>
      </c>
      <c r="W412">
        <v>7.3920379369430494E-2</v>
      </c>
      <c r="X412">
        <v>1.1265552879887959E-2</v>
      </c>
      <c r="Y412">
        <v>3.7969506165297499E-3</v>
      </c>
    </row>
    <row r="413" spans="1:25" x14ac:dyDescent="0.25">
      <c r="A413" s="1090"/>
      <c r="B413" s="1448">
        <v>163</v>
      </c>
      <c r="C413" s="1094">
        <v>0.99044065818617888</v>
      </c>
      <c r="D413" s="1094">
        <v>0.99200248025374604</v>
      </c>
      <c r="E413" s="1094">
        <v>0.99589407992106516</v>
      </c>
      <c r="F413" s="1094">
        <v>1.0098101671280832</v>
      </c>
      <c r="G413" s="1094">
        <v>1.043746859489163</v>
      </c>
      <c r="H413" s="1094">
        <v>1.0326176347844351</v>
      </c>
      <c r="I413" s="1094">
        <v>1.0084444336914</v>
      </c>
      <c r="K413">
        <v>4.5425541875359849</v>
      </c>
      <c r="L413">
        <v>0</v>
      </c>
      <c r="M413">
        <v>1.5584584192951758E-3</v>
      </c>
      <c r="N413">
        <v>0.13326292113608287</v>
      </c>
      <c r="O413">
        <v>3.9297113240352365E-2</v>
      </c>
      <c r="P413">
        <v>1.9295237409837004E-2</v>
      </c>
      <c r="Q413">
        <v>1.3157573606613455E-3</v>
      </c>
      <c r="R413">
        <v>1.552327721847552E-3</v>
      </c>
      <c r="S413">
        <v>0.24021883913172543</v>
      </c>
      <c r="T413">
        <v>4.0050722428719681</v>
      </c>
      <c r="U413">
        <v>0</v>
      </c>
      <c r="V413">
        <v>9.4523053561131921E-3</v>
      </c>
      <c r="W413">
        <v>7.9600041218246959E-2</v>
      </c>
      <c r="X413">
        <v>1.0658863851885116E-2</v>
      </c>
      <c r="Y413">
        <v>4.3869966565562718E-3</v>
      </c>
    </row>
    <row r="414" spans="1:25" x14ac:dyDescent="0.25">
      <c r="A414" s="1090"/>
      <c r="B414" s="1448">
        <v>164</v>
      </c>
      <c r="C414" s="1094">
        <v>1.0192262974555255</v>
      </c>
      <c r="D414" s="1094">
        <v>1.0073747423547521</v>
      </c>
      <c r="E414" s="1094">
        <v>0.99159651042974484</v>
      </c>
      <c r="F414" s="1094">
        <v>0.95460086222644958</v>
      </c>
      <c r="G414" s="1094">
        <v>0.98063707598381589</v>
      </c>
      <c r="H414" s="1094">
        <v>0.95723320557572367</v>
      </c>
      <c r="I414" s="1094">
        <v>0.9723791771001028</v>
      </c>
      <c r="K414">
        <v>4.2549213838747475</v>
      </c>
      <c r="L414">
        <v>0</v>
      </c>
      <c r="M414">
        <v>1.3312841829573978E-3</v>
      </c>
      <c r="N414">
        <v>0.11233381805993274</v>
      </c>
      <c r="O414">
        <v>3.5905612921652903E-2</v>
      </c>
      <c r="P414">
        <v>1.8109684192391343E-2</v>
      </c>
      <c r="Q414">
        <v>1.2660660762179711E-3</v>
      </c>
      <c r="R414">
        <v>1.3253093864671582E-3</v>
      </c>
      <c r="S414">
        <v>0.21049122941830445</v>
      </c>
      <c r="T414">
        <v>3.7862598150861571</v>
      </c>
      <c r="U414">
        <v>0</v>
      </c>
      <c r="V414">
        <v>9.4523053561131991E-3</v>
      </c>
      <c r="W414">
        <v>6.7294769926512024E-2</v>
      </c>
      <c r="X414">
        <v>1.0068632125209268E-2</v>
      </c>
      <c r="Y414">
        <v>3.7454255087412841E-3</v>
      </c>
    </row>
    <row r="415" spans="1:25" x14ac:dyDescent="0.25">
      <c r="A415" s="1090"/>
      <c r="B415" s="1448">
        <v>165</v>
      </c>
      <c r="C415" s="1094">
        <v>1.006645807752427</v>
      </c>
      <c r="D415" s="1094">
        <v>0.98685458478675192</v>
      </c>
      <c r="E415" s="1094">
        <v>0.98235900130855347</v>
      </c>
      <c r="F415" s="1094">
        <v>0.96703725332271029</v>
      </c>
      <c r="G415" s="1094">
        <v>0.99674240098424649</v>
      </c>
      <c r="H415" s="1094">
        <v>1.0285304745069095</v>
      </c>
      <c r="I415" s="1094">
        <v>0.97080740815173194</v>
      </c>
      <c r="K415">
        <v>4.3357687482669904</v>
      </c>
      <c r="L415">
        <v>0</v>
      </c>
      <c r="M415">
        <v>1.5082316767748899E-3</v>
      </c>
      <c r="N415">
        <v>0.12387068564750141</v>
      </c>
      <c r="O415">
        <v>3.7193505696503572E-2</v>
      </c>
      <c r="P415">
        <v>1.8254313563073336E-2</v>
      </c>
      <c r="Q415">
        <v>1.2822082634259633E-3</v>
      </c>
      <c r="R415">
        <v>1.5020126331008676E-3</v>
      </c>
      <c r="S415">
        <v>0.22104127612323468</v>
      </c>
      <c r="T415">
        <v>3.8359289577822056</v>
      </c>
      <c r="U415">
        <v>0</v>
      </c>
      <c r="V415">
        <v>9.4523053561131817E-3</v>
      </c>
      <c r="W415">
        <v>7.4674945712035035E-2</v>
      </c>
      <c r="X415">
        <v>9.8319667921907029E-3</v>
      </c>
      <c r="Y415">
        <v>4.2448023743828361E-3</v>
      </c>
    </row>
    <row r="416" spans="1:25" x14ac:dyDescent="0.25">
      <c r="A416" s="1090"/>
      <c r="B416" s="1448">
        <v>166</v>
      </c>
      <c r="C416" s="1094">
        <v>0.97713831865044687</v>
      </c>
      <c r="D416" s="1094">
        <v>0.97224655312435093</v>
      </c>
      <c r="E416" s="1094">
        <v>1.0177644110698096</v>
      </c>
      <c r="F416" s="1094">
        <v>1.0315197559280487</v>
      </c>
      <c r="G416" s="1094">
        <v>1.0090353689971641</v>
      </c>
      <c r="H416" s="1094">
        <v>0.98948157908446033</v>
      </c>
      <c r="I416" s="1094">
        <v>0.95768622837647954</v>
      </c>
      <c r="K416">
        <v>4.6262295470939838</v>
      </c>
      <c r="L416">
        <v>0</v>
      </c>
      <c r="M416">
        <v>1.4883585912490414E-3</v>
      </c>
      <c r="N416">
        <v>0.13577284581591723</v>
      </c>
      <c r="O416">
        <v>4.0856661665519753E-2</v>
      </c>
      <c r="P416">
        <v>1.9968627475530465E-2</v>
      </c>
      <c r="Q416">
        <v>1.3697704604467003E-3</v>
      </c>
      <c r="R416">
        <v>1.4823764951322801E-3</v>
      </c>
      <c r="S416">
        <v>0.23270545490862102</v>
      </c>
      <c r="T416">
        <v>4.0903198061002719</v>
      </c>
      <c r="U416">
        <v>0</v>
      </c>
      <c r="V416">
        <v>9.4523053561131973E-3</v>
      </c>
      <c r="W416">
        <v>7.9914740391287584E-2</v>
      </c>
      <c r="X416">
        <v>1.1686007867053512E-2</v>
      </c>
      <c r="Y416">
        <v>4.1893091493353926E-3</v>
      </c>
    </row>
    <row r="417" spans="1:25" x14ac:dyDescent="0.25">
      <c r="A417" s="1090"/>
      <c r="B417" s="1448">
        <v>167</v>
      </c>
      <c r="C417" s="1094">
        <v>1.0050555936701793</v>
      </c>
      <c r="D417" s="1094">
        <v>1.0244111757296472</v>
      </c>
      <c r="E417" s="1094">
        <v>1.0179698101587071</v>
      </c>
      <c r="F417" s="1094">
        <v>1.0327208705307636</v>
      </c>
      <c r="G417" s="1094">
        <v>0.98876066092635417</v>
      </c>
      <c r="H417" s="1094">
        <v>0.98115194469824163</v>
      </c>
      <c r="I417" s="1094">
        <v>1.0223213477915121</v>
      </c>
      <c r="K417">
        <v>4.6214358741642103</v>
      </c>
      <c r="L417">
        <v>0</v>
      </c>
      <c r="M417">
        <v>1.4061704273452484E-3</v>
      </c>
      <c r="N417">
        <v>0.12834957319980683</v>
      </c>
      <c r="O417">
        <v>3.8943863677538486E-2</v>
      </c>
      <c r="P417">
        <v>2.0014749221727683E-2</v>
      </c>
      <c r="Q417">
        <v>1.304398183123924E-3</v>
      </c>
      <c r="R417">
        <v>1.400477287946771E-3</v>
      </c>
      <c r="S417">
        <v>0.23730291472450513</v>
      </c>
      <c r="T417">
        <v>4.0950746191117533</v>
      </c>
      <c r="U417">
        <v>0</v>
      </c>
      <c r="V417">
        <v>9.4523053561131852E-3</v>
      </c>
      <c r="W417">
        <v>7.5535104652175777E-2</v>
      </c>
      <c r="X417">
        <v>1.1506183439744118E-2</v>
      </c>
      <c r="Y417">
        <v>3.9578557371204659E-3</v>
      </c>
    </row>
    <row r="418" spans="1:25" x14ac:dyDescent="0.25">
      <c r="A418" s="1090"/>
      <c r="B418" s="1448">
        <v>168</v>
      </c>
      <c r="C418" s="1094">
        <v>1.014761969411927</v>
      </c>
      <c r="D418" s="1094">
        <v>0.99858270959079254</v>
      </c>
      <c r="E418" s="1094">
        <v>0.96383970723509416</v>
      </c>
      <c r="F418" s="1094">
        <v>0.99168746260279139</v>
      </c>
      <c r="G418" s="1094">
        <v>0.97300792531052915</v>
      </c>
      <c r="H418" s="1094">
        <v>1.0097239340610329</v>
      </c>
      <c r="I418" s="1094">
        <v>1.0252846868183672</v>
      </c>
      <c r="K418">
        <v>4.4437649853698789</v>
      </c>
      <c r="L418">
        <v>0</v>
      </c>
      <c r="M418">
        <v>1.558351348396743E-3</v>
      </c>
      <c r="N418">
        <v>0.12114333641740728</v>
      </c>
      <c r="O418">
        <v>3.7781901303009673E-2</v>
      </c>
      <c r="P418">
        <v>1.84879345302962E-2</v>
      </c>
      <c r="Q418">
        <v>1.2456797134076112E-3</v>
      </c>
      <c r="R418">
        <v>1.5519679843878501E-3</v>
      </c>
      <c r="S418">
        <v>0.23325062352852732</v>
      </c>
      <c r="T418">
        <v>3.9344170288302136</v>
      </c>
      <c r="U418">
        <v>0</v>
      </c>
      <c r="V418">
        <v>9.4523053561131939E-3</v>
      </c>
      <c r="W418">
        <v>7.3967742386515267E-2</v>
      </c>
      <c r="X418">
        <v>9.6388366573623586E-3</v>
      </c>
      <c r="Y418">
        <v>4.385980011030498E-3</v>
      </c>
    </row>
    <row r="419" spans="1:25" x14ac:dyDescent="0.25">
      <c r="A419" s="1090"/>
      <c r="B419" s="1448">
        <v>169</v>
      </c>
      <c r="C419" s="1094">
        <v>1.0344100561258773</v>
      </c>
      <c r="D419" s="1094">
        <v>0.98055153378484927</v>
      </c>
      <c r="E419" s="1094">
        <v>1.0029521022572021</v>
      </c>
      <c r="F419" s="1094">
        <v>0.99232571005925951</v>
      </c>
      <c r="G419" s="1094">
        <v>1.0193469560866444</v>
      </c>
      <c r="H419" s="1094">
        <v>1.0090767450763638</v>
      </c>
      <c r="I419" s="1094">
        <v>1.0101378469624229</v>
      </c>
      <c r="K419">
        <v>4.4410643533560412</v>
      </c>
      <c r="L419">
        <v>0</v>
      </c>
      <c r="M419">
        <v>1.4184808501632334E-3</v>
      </c>
      <c r="N419">
        <v>0.12383671109378316</v>
      </c>
      <c r="O419">
        <v>3.7100495496598003E-2</v>
      </c>
      <c r="P419">
        <v>1.9018286665170674E-2</v>
      </c>
      <c r="Q419">
        <v>1.2733754098505378E-3</v>
      </c>
      <c r="R419">
        <v>1.4126704252388829E-3</v>
      </c>
      <c r="S419">
        <v>0.22675180728885855</v>
      </c>
      <c r="T419">
        <v>3.9354592391174554</v>
      </c>
      <c r="U419">
        <v>0</v>
      </c>
      <c r="V419">
        <v>9.4523053561131921E-3</v>
      </c>
      <c r="W419">
        <v>7.361745996876122E-2</v>
      </c>
      <c r="X419">
        <v>1.0568168910364712E-2</v>
      </c>
      <c r="Y419">
        <v>3.9923144740099704E-3</v>
      </c>
    </row>
    <row r="420" spans="1:25" x14ac:dyDescent="0.25">
      <c r="A420" s="1090"/>
      <c r="B420" s="1448">
        <v>170</v>
      </c>
      <c r="C420" s="1094">
        <v>1.0202393404122911</v>
      </c>
      <c r="D420" s="1094">
        <v>1.0001661411733858</v>
      </c>
      <c r="E420" s="1094">
        <v>1.0223118126036395</v>
      </c>
      <c r="F420" s="1094">
        <v>0.98018166947980689</v>
      </c>
      <c r="G420" s="1094">
        <v>1.014905334805599</v>
      </c>
      <c r="H420" s="1094">
        <v>0.97584435421194682</v>
      </c>
      <c r="I420" s="1094">
        <v>1.018341143240826</v>
      </c>
      <c r="K420">
        <v>4.385769294035244</v>
      </c>
      <c r="L420">
        <v>0</v>
      </c>
      <c r="M420">
        <v>1.3084701708074749E-3</v>
      </c>
      <c r="N420">
        <v>0.12094694158556461</v>
      </c>
      <c r="O420">
        <v>3.6734325956566484E-2</v>
      </c>
      <c r="P420">
        <v>1.9062018768074906E-2</v>
      </c>
      <c r="Q420">
        <v>1.3021308865524795E-3</v>
      </c>
      <c r="R420">
        <v>1.3028594673665937E-3</v>
      </c>
      <c r="S420">
        <v>0.22599951537420043</v>
      </c>
      <c r="T420">
        <v>3.88657910571101</v>
      </c>
      <c r="U420">
        <v>0</v>
      </c>
      <c r="V420">
        <v>9.4523053561131939E-3</v>
      </c>
      <c r="W420">
        <v>7.0972818198609719E-2</v>
      </c>
      <c r="X420">
        <v>1.1043762578596563E-2</v>
      </c>
      <c r="Y420">
        <v>3.6819803233928477E-3</v>
      </c>
    </row>
    <row r="421" spans="1:25" x14ac:dyDescent="0.25">
      <c r="A421" s="1090"/>
      <c r="B421" s="1448">
        <v>171</v>
      </c>
      <c r="C421" s="1094">
        <v>1.0017207021076773</v>
      </c>
      <c r="D421" s="1094">
        <v>1.003890385952084</v>
      </c>
      <c r="E421" s="1094">
        <v>1.0415371411689291</v>
      </c>
      <c r="F421" s="1094">
        <v>0.9974293183387255</v>
      </c>
      <c r="G421" s="1094">
        <v>1.0277700768585984</v>
      </c>
      <c r="H421" s="1094">
        <v>1.0264101430490244</v>
      </c>
      <c r="I421" s="1094">
        <v>0.95648666443871244</v>
      </c>
      <c r="K421">
        <v>4.4715740701606821</v>
      </c>
      <c r="L421">
        <v>0</v>
      </c>
      <c r="M421">
        <v>1.3673814901844121E-3</v>
      </c>
      <c r="N421">
        <v>0.1338209984844683</v>
      </c>
      <c r="O421">
        <v>3.7883391995348965E-2</v>
      </c>
      <c r="P421">
        <v>1.9628589617322424E-2</v>
      </c>
      <c r="Q421">
        <v>1.3457883505947829E-3</v>
      </c>
      <c r="R421">
        <v>1.3619030279091132E-3</v>
      </c>
      <c r="S421">
        <v>0.2221401594219671</v>
      </c>
      <c r="T421">
        <v>3.9542500469370205</v>
      </c>
      <c r="U421">
        <v>0</v>
      </c>
      <c r="V421">
        <v>9.4523053561131852E-3</v>
      </c>
      <c r="W421">
        <v>7.7535150707838674E-2</v>
      </c>
      <c r="X421">
        <v>1.1674275819038236E-2</v>
      </c>
      <c r="Y421">
        <v>3.8488419332486103E-3</v>
      </c>
    </row>
    <row r="422" spans="1:25" x14ac:dyDescent="0.25">
      <c r="A422" s="1090"/>
      <c r="B422" s="1448">
        <v>172</v>
      </c>
      <c r="C422" s="1094">
        <v>0.98871906232878715</v>
      </c>
      <c r="D422" s="1094">
        <v>0.9937705025368645</v>
      </c>
      <c r="E422" s="1094">
        <v>1.0327117544311462</v>
      </c>
      <c r="F422" s="1094">
        <v>0.99817025469630527</v>
      </c>
      <c r="G422" s="1094">
        <v>1.0131348774938462</v>
      </c>
      <c r="H422" s="1094">
        <v>1.0173452742315532</v>
      </c>
      <c r="I422" s="1094">
        <v>1.0130544600022593</v>
      </c>
      <c r="K422">
        <v>4.4927419095596779</v>
      </c>
      <c r="L422">
        <v>0</v>
      </c>
      <c r="M422">
        <v>1.4057530150992648E-3</v>
      </c>
      <c r="N422">
        <v>0.13403060531438488</v>
      </c>
      <c r="O422">
        <v>3.8627691104548223E-2</v>
      </c>
      <c r="P422">
        <v>1.9595633897211355E-2</v>
      </c>
      <c r="Q422">
        <v>1.3589458008412604E-3</v>
      </c>
      <c r="R422">
        <v>1.4000748319432012E-3</v>
      </c>
      <c r="S422">
        <v>0.23852424433653049</v>
      </c>
      <c r="T422">
        <v>3.9575167869522145</v>
      </c>
      <c r="U422">
        <v>0</v>
      </c>
      <c r="V422">
        <v>9.4523053561131869E-3</v>
      </c>
      <c r="W422">
        <v>7.8109654108385662E-2</v>
      </c>
      <c r="X422">
        <v>1.157500250687396E-2</v>
      </c>
      <c r="Y422">
        <v>3.9567183657283162E-3</v>
      </c>
    </row>
    <row r="423" spans="1:25" x14ac:dyDescent="0.25">
      <c r="A423" s="1090"/>
      <c r="B423" s="1448">
        <v>173</v>
      </c>
      <c r="C423" s="1094">
        <v>1.0058806721458031</v>
      </c>
      <c r="D423" s="1094">
        <v>0.99608518827600789</v>
      </c>
      <c r="E423" s="1094">
        <v>0.98110173026292469</v>
      </c>
      <c r="F423" s="1094">
        <v>1.017936794943211</v>
      </c>
      <c r="G423" s="1094">
        <v>1.0033472873263243</v>
      </c>
      <c r="H423" s="1094">
        <v>1.0192415764741747</v>
      </c>
      <c r="I423" s="1094">
        <v>1.0344075222158498</v>
      </c>
      <c r="K423">
        <v>4.5705546404931665</v>
      </c>
      <c r="L423">
        <v>0</v>
      </c>
      <c r="M423">
        <v>1.5724361768105232E-3</v>
      </c>
      <c r="N423">
        <v>0.12868485498218843</v>
      </c>
      <c r="O423">
        <v>3.9044032139856341E-2</v>
      </c>
      <c r="P423">
        <v>1.9239254240525815E-2</v>
      </c>
      <c r="Q423">
        <v>1.2770209628507573E-3</v>
      </c>
      <c r="R423">
        <v>1.5662191447269528E-3</v>
      </c>
      <c r="S423">
        <v>0.24258361920939206</v>
      </c>
      <c r="T423">
        <v>4.0378804084473154</v>
      </c>
      <c r="U423">
        <v>0</v>
      </c>
      <c r="V423">
        <v>9.4523053561132078E-3</v>
      </c>
      <c r="W423">
        <v>7.7643922990047964E-2</v>
      </c>
      <c r="X423">
        <v>1.032918431878161E-2</v>
      </c>
      <c r="Y423">
        <v>4.426254878173423E-3</v>
      </c>
    </row>
    <row r="424" spans="1:25" x14ac:dyDescent="0.25">
      <c r="A424" s="1090"/>
      <c r="B424" s="1448">
        <v>174</v>
      </c>
      <c r="C424" s="1094">
        <v>1.0009258042536371</v>
      </c>
      <c r="D424" s="1094">
        <v>1.0330744533305127</v>
      </c>
      <c r="E424" s="1094">
        <v>1.0076092252599549</v>
      </c>
      <c r="F424" s="1094">
        <v>0.98508370541738488</v>
      </c>
      <c r="G424" s="1094">
        <v>0.98981480385290077</v>
      </c>
      <c r="H424" s="1094">
        <v>0.98332710283613955</v>
      </c>
      <c r="I424" s="1094">
        <v>0.99681426000910578</v>
      </c>
      <c r="K424">
        <v>4.4065336100909462</v>
      </c>
      <c r="L424">
        <v>0</v>
      </c>
      <c r="M424">
        <v>1.3752856102900576E-3</v>
      </c>
      <c r="N424">
        <v>0.12171639094851951</v>
      </c>
      <c r="O424">
        <v>3.7244539295777916E-2</v>
      </c>
      <c r="P424">
        <v>1.8942029632649123E-2</v>
      </c>
      <c r="Q424">
        <v>1.2939289086687431E-3</v>
      </c>
      <c r="R424">
        <v>1.3694622801050252E-3</v>
      </c>
      <c r="S424">
        <v>0.22459296177449786</v>
      </c>
      <c r="T424">
        <v>3.9065639615265564</v>
      </c>
      <c r="U424">
        <v>0</v>
      </c>
      <c r="V424">
        <v>9.4523053561131921E-3</v>
      </c>
      <c r="W424">
        <v>7.2130405410150991E-2</v>
      </c>
      <c r="X424">
        <v>1.0732705611118949E-2</v>
      </c>
      <c r="Y424">
        <v>3.8702049570758599E-3</v>
      </c>
    </row>
    <row r="425" spans="1:25" x14ac:dyDescent="0.25">
      <c r="A425" s="1090"/>
      <c r="B425" s="1448">
        <v>175</v>
      </c>
      <c r="C425" s="1094">
        <v>0.95541238508190562</v>
      </c>
      <c r="D425" s="1094">
        <v>1.0043146571362891</v>
      </c>
      <c r="E425" s="1094">
        <v>1.0149345696117398</v>
      </c>
      <c r="F425" s="1094">
        <v>1.0010405033177721</v>
      </c>
      <c r="G425" s="1094">
        <v>0.97984611937206822</v>
      </c>
      <c r="H425" s="1094">
        <v>1.0304918328352493</v>
      </c>
      <c r="I425" s="1094">
        <v>1.001282558772437</v>
      </c>
      <c r="K425">
        <v>4.5198430353630217</v>
      </c>
      <c r="L425">
        <v>0</v>
      </c>
      <c r="M425">
        <v>1.527895186603196E-3</v>
      </c>
      <c r="N425">
        <v>0.13822308842597206</v>
      </c>
      <c r="O425">
        <v>4.0048456046520721E-2</v>
      </c>
      <c r="P425">
        <v>1.9426973432630907E-2</v>
      </c>
      <c r="Q425">
        <v>1.3795365889882898E-3</v>
      </c>
      <c r="R425">
        <v>1.5218197730592262E-3</v>
      </c>
      <c r="S425">
        <v>0.24470685922918212</v>
      </c>
      <c r="T425">
        <v>3.9695664157505668</v>
      </c>
      <c r="U425">
        <v>0</v>
      </c>
      <c r="V425">
        <v>9.4523053561131991E-3</v>
      </c>
      <c r="W425">
        <v>8.1510969482268977E-2</v>
      </c>
      <c r="X425">
        <v>1.1233727600209046E-2</v>
      </c>
      <c r="Y425">
        <v>4.3007788641087567E-3</v>
      </c>
    </row>
    <row r="426" spans="1:25" x14ac:dyDescent="0.25">
      <c r="A426" s="1090"/>
      <c r="B426" s="1448">
        <v>176</v>
      </c>
      <c r="C426" s="1094">
        <v>1.0301972871637222</v>
      </c>
      <c r="D426" s="1094">
        <v>1.0011266136091999</v>
      </c>
      <c r="E426" s="1094">
        <v>0.99822159737269966</v>
      </c>
      <c r="F426" s="1094">
        <v>0.96835687603838849</v>
      </c>
      <c r="G426" s="1094">
        <v>0.99972568329512668</v>
      </c>
      <c r="H426" s="1094">
        <v>0.98907221123862765</v>
      </c>
      <c r="I426" s="1094">
        <v>0.98106112930602873</v>
      </c>
      <c r="K426">
        <v>4.3221715475480682</v>
      </c>
      <c r="L426">
        <v>0</v>
      </c>
      <c r="M426">
        <v>1.364723569868132E-3</v>
      </c>
      <c r="N426">
        <v>0.11746341661085008</v>
      </c>
      <c r="O426">
        <v>3.6082224575855783E-2</v>
      </c>
      <c r="P426">
        <v>1.8465791655005771E-2</v>
      </c>
      <c r="Q426">
        <v>1.2628777216225125E-3</v>
      </c>
      <c r="R426">
        <v>1.3588797115381749E-3</v>
      </c>
      <c r="S426">
        <v>0.2147425292015501</v>
      </c>
      <c r="T426">
        <v>3.8405757594239618</v>
      </c>
      <c r="U426">
        <v>0</v>
      </c>
      <c r="V426">
        <v>9.4523053561132008E-3</v>
      </c>
      <c r="W426">
        <v>7.0052241179800412E-2</v>
      </c>
      <c r="X426">
        <v>1.0239947871266622E-2</v>
      </c>
      <c r="Y426">
        <v>3.8402978103650506E-3</v>
      </c>
    </row>
    <row r="427" spans="1:25" x14ac:dyDescent="0.25">
      <c r="A427" s="1090"/>
      <c r="B427" s="1448">
        <v>177</v>
      </c>
      <c r="C427" s="1094">
        <v>1.002786630255228</v>
      </c>
      <c r="D427" s="1094">
        <v>1.0076839943879066</v>
      </c>
      <c r="E427" s="1094">
        <v>0.99808372065874085</v>
      </c>
      <c r="F427" s="1094">
        <v>0.98963183670902077</v>
      </c>
      <c r="G427" s="1094">
        <v>0.9969387855361278</v>
      </c>
      <c r="H427" s="1094">
        <v>0.99883544706517757</v>
      </c>
      <c r="I427" s="1094">
        <v>0.98032476652526612</v>
      </c>
      <c r="K427">
        <v>4.4292033846287335</v>
      </c>
      <c r="L427">
        <v>0</v>
      </c>
      <c r="M427">
        <v>1.4434877488846308E-3</v>
      </c>
      <c r="N427">
        <v>0.12420853545270359</v>
      </c>
      <c r="O427">
        <v>3.7785045590836806E-2</v>
      </c>
      <c r="P427">
        <v>1.8889030960897363E-2</v>
      </c>
      <c r="Q427">
        <v>1.2938610782066832E-3</v>
      </c>
      <c r="R427">
        <v>1.4374980709699968E-3</v>
      </c>
      <c r="S427">
        <v>0.22395210918103065</v>
      </c>
      <c r="T427">
        <v>3.9249590445639613</v>
      </c>
      <c r="U427">
        <v>0</v>
      </c>
      <c r="V427">
        <v>9.4523053561131852E-3</v>
      </c>
      <c r="W427">
        <v>7.4081773025121908E-2</v>
      </c>
      <c r="X427">
        <v>1.0525189801430765E-2</v>
      </c>
      <c r="Y427">
        <v>4.0624792963471802E-3</v>
      </c>
    </row>
    <row r="428" spans="1:25" x14ac:dyDescent="0.25">
      <c r="A428" s="1090"/>
      <c r="B428" s="1448">
        <v>178</v>
      </c>
      <c r="C428" s="1094">
        <v>1.0196187200841718</v>
      </c>
      <c r="D428" s="1094">
        <v>1.0203451018939851</v>
      </c>
      <c r="E428" s="1094">
        <v>1.0170638623137245</v>
      </c>
      <c r="F428" s="1094">
        <v>0.97544925758531442</v>
      </c>
      <c r="G428" s="1094">
        <v>0.99135438250627761</v>
      </c>
      <c r="H428" s="1094">
        <v>0.99946645361938846</v>
      </c>
      <c r="I428" s="1094">
        <v>0.96930177748151303</v>
      </c>
      <c r="K428">
        <v>4.356922570361645</v>
      </c>
      <c r="L428">
        <v>0</v>
      </c>
      <c r="M428">
        <v>1.338649530454125E-3</v>
      </c>
      <c r="N428">
        <v>0.12184006266441688</v>
      </c>
      <c r="O428">
        <v>3.6322414416512211E-2</v>
      </c>
      <c r="P428">
        <v>1.8852208425568669E-2</v>
      </c>
      <c r="Q428">
        <v>1.2868261952348563E-3</v>
      </c>
      <c r="R428">
        <v>1.3330180084261457E-3</v>
      </c>
      <c r="S428">
        <v>0.21489828831212499</v>
      </c>
      <c r="T428">
        <v>3.868007383002948</v>
      </c>
      <c r="U428">
        <v>0</v>
      </c>
      <c r="V428">
        <v>9.4523053561131783E-3</v>
      </c>
      <c r="W428">
        <v>7.1747588151840291E-2</v>
      </c>
      <c r="X428">
        <v>1.0753914695993152E-2</v>
      </c>
      <c r="Y428">
        <v>3.7672106629228282E-3</v>
      </c>
    </row>
    <row r="429" spans="1:25" x14ac:dyDescent="0.25">
      <c r="A429" s="1090"/>
      <c r="B429" s="1448">
        <v>179</v>
      </c>
      <c r="C429" s="1094">
        <v>1.0029881555591185</v>
      </c>
      <c r="D429" s="1094">
        <v>0.98037582518978261</v>
      </c>
      <c r="E429" s="1094">
        <v>1.0128736603655235</v>
      </c>
      <c r="F429" s="1094">
        <v>0.98991617895778594</v>
      </c>
      <c r="G429" s="1094">
        <v>1.0317429753937579</v>
      </c>
      <c r="H429" s="1094">
        <v>0.9764199634031534</v>
      </c>
      <c r="I429" s="1094">
        <v>1.0262968536029977</v>
      </c>
      <c r="K429">
        <v>4.4409097184359512</v>
      </c>
      <c r="L429">
        <v>0</v>
      </c>
      <c r="M429">
        <v>1.3830162702191666E-3</v>
      </c>
      <c r="N429">
        <v>0.12432216551643316</v>
      </c>
      <c r="O429">
        <v>3.8104766317023406E-2</v>
      </c>
      <c r="P429">
        <v>1.9149307954911314E-2</v>
      </c>
      <c r="Q429">
        <v>1.324520968131393E-3</v>
      </c>
      <c r="R429">
        <v>1.3771474513550443E-3</v>
      </c>
      <c r="S429">
        <v>0.23469445422948448</v>
      </c>
      <c r="T429">
        <v>3.9255307311338257</v>
      </c>
      <c r="U429">
        <v>0</v>
      </c>
      <c r="V429">
        <v>9.4523053561131973E-3</v>
      </c>
      <c r="W429">
        <v>7.3414745495268566E-2</v>
      </c>
      <c r="X429">
        <v>1.1030666445857817E-2</v>
      </c>
      <c r="Y429">
        <v>3.891923837763483E-3</v>
      </c>
    </row>
    <row r="430" spans="1:25" x14ac:dyDescent="0.25">
      <c r="A430" s="1090"/>
      <c r="B430" s="1448">
        <v>180</v>
      </c>
      <c r="C430" s="1094">
        <v>1.0013669657749575</v>
      </c>
      <c r="D430" s="1094">
        <v>0.99358536081265469</v>
      </c>
      <c r="E430" s="1094">
        <v>0.99373505570217602</v>
      </c>
      <c r="F430" s="1094">
        <v>1.0184341414913465</v>
      </c>
      <c r="G430" s="1094">
        <v>0.99202301464060527</v>
      </c>
      <c r="H430" s="1094">
        <v>1.0033809734380621</v>
      </c>
      <c r="I430" s="1094">
        <v>1.005843511436751</v>
      </c>
      <c r="K430">
        <v>4.5655665614482386</v>
      </c>
      <c r="L430">
        <v>0</v>
      </c>
      <c r="M430">
        <v>1.5164604450594134E-3</v>
      </c>
      <c r="N430">
        <v>0.12883409400711862</v>
      </c>
      <c r="O430">
        <v>3.919038141653005E-2</v>
      </c>
      <c r="P430">
        <v>1.9400096732550928E-2</v>
      </c>
      <c r="Q430">
        <v>1.2981586842965732E-3</v>
      </c>
      <c r="R430">
        <v>1.5103729144858441E-3</v>
      </c>
      <c r="S430">
        <v>0.23597414668543115</v>
      </c>
      <c r="T430">
        <v>4.0393602807658251</v>
      </c>
      <c r="U430">
        <v>0</v>
      </c>
      <c r="V430">
        <v>9.4523053561131973E-3</v>
      </c>
      <c r="W430">
        <v>7.7067406073928008E-2</v>
      </c>
      <c r="X430">
        <v>1.0727350089161444E-2</v>
      </c>
      <c r="Y430">
        <v>4.268429167854069E-3</v>
      </c>
    </row>
    <row r="431" spans="1:25" x14ac:dyDescent="0.25">
      <c r="A431" s="1090"/>
      <c r="B431" s="1448">
        <v>181</v>
      </c>
      <c r="C431" s="1094">
        <v>0.9740003178264699</v>
      </c>
      <c r="D431" s="1094">
        <v>0.96962149792412156</v>
      </c>
      <c r="E431" s="1094">
        <v>0.98120354763442064</v>
      </c>
      <c r="F431" s="1094">
        <v>1.020395613545044</v>
      </c>
      <c r="G431" s="1094">
        <v>0.99544992693443612</v>
      </c>
      <c r="H431" s="1094">
        <v>0.98061239412610612</v>
      </c>
      <c r="I431" s="1094">
        <v>0.95875592792947961</v>
      </c>
      <c r="K431">
        <v>4.5728168324138156</v>
      </c>
      <c r="L431">
        <v>0</v>
      </c>
      <c r="M431">
        <v>1.5827380513878952E-3</v>
      </c>
      <c r="N431">
        <v>0.12954809808562873</v>
      </c>
      <c r="O431">
        <v>4.0856356838201872E-2</v>
      </c>
      <c r="P431">
        <v>1.923482156244281E-2</v>
      </c>
      <c r="Q431">
        <v>1.3332188476884973E-3</v>
      </c>
      <c r="R431">
        <v>1.576249386800167E-3</v>
      </c>
      <c r="S431">
        <v>0.23151577786736027</v>
      </c>
      <c r="T431">
        <v>4.0476298851601378</v>
      </c>
      <c r="U431">
        <v>0</v>
      </c>
      <c r="V431">
        <v>9.4523053561132008E-3</v>
      </c>
      <c r="W431">
        <v>7.8159325397567453E-2</v>
      </c>
      <c r="X431">
        <v>1.0638930855210437E-2</v>
      </c>
      <c r="Y431">
        <v>4.454601108045084E-3</v>
      </c>
    </row>
    <row r="432" spans="1:25" x14ac:dyDescent="0.25">
      <c r="A432" s="1090"/>
      <c r="B432" s="1448">
        <v>182</v>
      </c>
      <c r="C432" s="1094">
        <v>0.97971510197156231</v>
      </c>
      <c r="D432" s="1094">
        <v>1.0235420892770544</v>
      </c>
      <c r="E432" s="1094">
        <v>0.99474373930994486</v>
      </c>
      <c r="F432" s="1094">
        <v>1.0087246225973969</v>
      </c>
      <c r="G432" s="1094">
        <v>1.0063597919728746</v>
      </c>
      <c r="H432" s="1094">
        <v>0.99744728064207</v>
      </c>
      <c r="I432" s="1094">
        <v>1.0096175253048332</v>
      </c>
      <c r="K432">
        <v>4.5277843144552907</v>
      </c>
      <c r="L432">
        <v>0</v>
      </c>
      <c r="M432">
        <v>1.5049539915094343E-3</v>
      </c>
      <c r="N432">
        <v>0.12823133889422755</v>
      </c>
      <c r="O432">
        <v>3.9198930452241709E-2</v>
      </c>
      <c r="P432">
        <v>1.9248927273803122E-2</v>
      </c>
      <c r="Q432">
        <v>1.3123142580872625E-3</v>
      </c>
      <c r="R432">
        <v>1.4988184529024463E-3</v>
      </c>
      <c r="S432">
        <v>0.23792396862068199</v>
      </c>
      <c r="T432">
        <v>4.0008110850574434</v>
      </c>
      <c r="U432">
        <v>0</v>
      </c>
      <c r="V432">
        <v>9.4523053561131869E-3</v>
      </c>
      <c r="W432">
        <v>7.6654361976639038E-2</v>
      </c>
      <c r="X432">
        <v>1.0721442727383188E-2</v>
      </c>
      <c r="Y432">
        <v>4.2357753772779751E-3</v>
      </c>
    </row>
    <row r="433" spans="1:25" x14ac:dyDescent="0.25">
      <c r="A433" s="1090"/>
      <c r="B433" s="1448">
        <v>183</v>
      </c>
      <c r="C433" s="1094">
        <v>1.0260272724009187</v>
      </c>
      <c r="D433" s="1094">
        <v>0.97429934832020348</v>
      </c>
      <c r="E433" s="1094">
        <v>1.0042552436111507</v>
      </c>
      <c r="F433" s="1094">
        <v>0.98677075564276484</v>
      </c>
      <c r="G433" s="1094">
        <v>1.0204073655933708</v>
      </c>
      <c r="H433" s="1094">
        <v>0.99658746779469409</v>
      </c>
      <c r="I433" s="1094">
        <v>0.96810088546389017</v>
      </c>
      <c r="K433">
        <v>4.4088096580787148</v>
      </c>
      <c r="L433">
        <v>0</v>
      </c>
      <c r="M433">
        <v>1.4042335903056656E-3</v>
      </c>
      <c r="N433">
        <v>0.12305781398734893</v>
      </c>
      <c r="O433">
        <v>3.7280817817011695E-2</v>
      </c>
      <c r="P433">
        <v>1.8895131375855596E-2</v>
      </c>
      <c r="Q433">
        <v>1.288502947496128E-3</v>
      </c>
      <c r="R433">
        <v>1.3983767899702652E-3</v>
      </c>
      <c r="S433">
        <v>0.21780753659152</v>
      </c>
      <c r="T433">
        <v>3.9133799932054316</v>
      </c>
      <c r="U433">
        <v>0</v>
      </c>
      <c r="V433">
        <v>9.4523053561131956E-3</v>
      </c>
      <c r="W433">
        <v>7.3090181469532806E-2</v>
      </c>
      <c r="X433">
        <v>1.0611312559265316E-2</v>
      </c>
      <c r="Y433">
        <v>3.9519195694734275E-3</v>
      </c>
    </row>
    <row r="434" spans="1:25" x14ac:dyDescent="0.25">
      <c r="A434" s="1090"/>
      <c r="B434" s="1448">
        <v>184</v>
      </c>
      <c r="C434" s="1094">
        <v>1.021435764651162</v>
      </c>
      <c r="D434" s="1094">
        <v>1.013675774801422</v>
      </c>
      <c r="E434" s="1094">
        <v>0.97554487611596252</v>
      </c>
      <c r="F434" s="1094">
        <v>0.99799027305650134</v>
      </c>
      <c r="G434" s="1094">
        <v>1.0037090542725711</v>
      </c>
      <c r="H434" s="1094">
        <v>1.0049663382089773</v>
      </c>
      <c r="I434" s="1094">
        <v>0.96716256441198489</v>
      </c>
      <c r="K434">
        <v>4.4525631166960418</v>
      </c>
      <c r="L434">
        <v>0</v>
      </c>
      <c r="M434">
        <v>1.5039979069435504E-3</v>
      </c>
      <c r="N434">
        <v>0.12105432156529457</v>
      </c>
      <c r="O434">
        <v>3.7469931538758737E-2</v>
      </c>
      <c r="P434">
        <v>1.8696852700508103E-2</v>
      </c>
      <c r="Q434">
        <v>1.2427830520760135E-3</v>
      </c>
      <c r="R434">
        <v>1.4978469532755958E-3</v>
      </c>
      <c r="S434">
        <v>0.21819400954932189</v>
      </c>
      <c r="T434">
        <v>3.9589713596719802</v>
      </c>
      <c r="U434">
        <v>0</v>
      </c>
      <c r="V434">
        <v>9.4523053561131887E-3</v>
      </c>
      <c r="W434">
        <v>7.3318852662442563E-2</v>
      </c>
      <c r="X434">
        <v>9.9358217080505982E-3</v>
      </c>
      <c r="Y434">
        <v>4.2330298451620082E-3</v>
      </c>
    </row>
    <row r="435" spans="1:25" x14ac:dyDescent="0.25">
      <c r="A435" s="1090"/>
      <c r="B435" s="1448">
        <v>185</v>
      </c>
      <c r="C435" s="1094">
        <v>0.97868460045440431</v>
      </c>
      <c r="D435" s="1094">
        <v>1.028085284982295</v>
      </c>
      <c r="E435" s="1094">
        <v>0.99953706357617578</v>
      </c>
      <c r="F435" s="1094">
        <v>1.0043084605736419</v>
      </c>
      <c r="G435" s="1094">
        <v>1.0321820459456359</v>
      </c>
      <c r="H435" s="1094">
        <v>1.0061231205486481</v>
      </c>
      <c r="I435" s="1094">
        <v>0.97147677518255493</v>
      </c>
      <c r="K435">
        <v>4.5020637590903716</v>
      </c>
      <c r="L435">
        <v>0</v>
      </c>
      <c r="M435">
        <v>1.4951760628810131E-3</v>
      </c>
      <c r="N435">
        <v>0.1292231282224956</v>
      </c>
      <c r="O435">
        <v>3.8965875813853725E-2</v>
      </c>
      <c r="P435">
        <v>1.9196191905633077E-2</v>
      </c>
      <c r="Q435">
        <v>1.3167789200883046E-3</v>
      </c>
      <c r="R435">
        <v>1.4891064867656179E-3</v>
      </c>
      <c r="S435">
        <v>0.22884013879071544</v>
      </c>
      <c r="T435">
        <v>3.9831120937512168</v>
      </c>
      <c r="U435">
        <v>0</v>
      </c>
      <c r="V435">
        <v>9.4523053561131973E-3</v>
      </c>
      <c r="W435">
        <v>7.6996899077633116E-2</v>
      </c>
      <c r="X435">
        <v>1.0758088209233477E-2</v>
      </c>
      <c r="Y435">
        <v>4.2083286195017605E-3</v>
      </c>
    </row>
    <row r="436" spans="1:25" x14ac:dyDescent="0.25">
      <c r="A436" s="1090"/>
      <c r="B436" s="1448">
        <v>186</v>
      </c>
      <c r="C436" s="1094">
        <v>0.99937794247106426</v>
      </c>
      <c r="D436" s="1094">
        <v>1.0045717417822377</v>
      </c>
      <c r="E436" s="1094">
        <v>1.0029246982352042</v>
      </c>
      <c r="F436" s="1094">
        <v>0.96722486156417031</v>
      </c>
      <c r="G436" s="1094">
        <v>1.0301043660702656</v>
      </c>
      <c r="H436" s="1094">
        <v>1.0037459243432911</v>
      </c>
      <c r="I436" s="1094">
        <v>1.0086422557075274</v>
      </c>
      <c r="K436">
        <v>4.3412006807676784</v>
      </c>
      <c r="L436">
        <v>0</v>
      </c>
      <c r="M436">
        <v>1.4100246355870775E-3</v>
      </c>
      <c r="N436">
        <v>0.12307262999921001</v>
      </c>
      <c r="O436">
        <v>3.7069250787155381E-2</v>
      </c>
      <c r="P436">
        <v>1.857093817269934E-2</v>
      </c>
      <c r="Q436">
        <v>1.3052840724217232E-3</v>
      </c>
      <c r="R436">
        <v>1.4040681275851162E-3</v>
      </c>
      <c r="S436">
        <v>0.22825451697279892</v>
      </c>
      <c r="T436">
        <v>3.8359129259058928</v>
      </c>
      <c r="U436">
        <v>0</v>
      </c>
      <c r="V436">
        <v>9.4523053561131939E-3</v>
      </c>
      <c r="W436">
        <v>7.3164587555843708E-2</v>
      </c>
      <c r="X436">
        <v>1.0436194729457029E-2</v>
      </c>
      <c r="Y436">
        <v>3.9680037240860683E-3</v>
      </c>
    </row>
    <row r="437" spans="1:25" x14ac:dyDescent="0.25">
      <c r="A437" s="1090"/>
      <c r="B437" s="1448">
        <v>187</v>
      </c>
      <c r="C437" s="1094">
        <v>1.0182498695384712</v>
      </c>
      <c r="D437" s="1094">
        <v>1.0097053041053243</v>
      </c>
      <c r="E437" s="1094">
        <v>1.0189028533350397</v>
      </c>
      <c r="F437" s="1094">
        <v>0.96714351505044749</v>
      </c>
      <c r="G437" s="1094">
        <v>1.0227363375409604</v>
      </c>
      <c r="H437" s="1094">
        <v>0.96988479387058346</v>
      </c>
      <c r="I437" s="1094">
        <v>1.0055356873393615</v>
      </c>
      <c r="K437">
        <v>4.3231585195303177</v>
      </c>
      <c r="L437">
        <v>0</v>
      </c>
      <c r="M437">
        <v>1.2901452284530062E-3</v>
      </c>
      <c r="N437">
        <v>0.11804645589533851</v>
      </c>
      <c r="O437">
        <v>3.6201093438065872E-2</v>
      </c>
      <c r="P437">
        <v>1.8751396585344589E-2</v>
      </c>
      <c r="Q437">
        <v>1.295988102336783E-3</v>
      </c>
      <c r="R437">
        <v>1.2845043902101787E-3</v>
      </c>
      <c r="S437">
        <v>0.22053027284484705</v>
      </c>
      <c r="T437">
        <v>3.8350049925561054</v>
      </c>
      <c r="U437">
        <v>0</v>
      </c>
      <c r="V437">
        <v>9.4523053561131904E-3</v>
      </c>
      <c r="W437">
        <v>6.9428355942569617E-2</v>
      </c>
      <c r="X437">
        <v>1.0823192173831504E-2</v>
      </c>
      <c r="Y437">
        <v>3.6301074740049694E-3</v>
      </c>
    </row>
    <row r="438" spans="1:25" x14ac:dyDescent="0.25">
      <c r="A438" s="1090"/>
      <c r="B438" s="1448">
        <v>188</v>
      </c>
      <c r="C438" s="1094">
        <v>1.016632251204119</v>
      </c>
      <c r="D438" s="1094">
        <v>0.99963900360675939</v>
      </c>
      <c r="E438" s="1094">
        <v>1.0043088433433442</v>
      </c>
      <c r="F438" s="1094">
        <v>0.98185467454057329</v>
      </c>
      <c r="G438" s="1094">
        <v>0.97292611097337067</v>
      </c>
      <c r="H438" s="1094">
        <v>0.98058613236830017</v>
      </c>
      <c r="I438" s="1094">
        <v>0.98613657215545947</v>
      </c>
      <c r="K438">
        <v>4.3870441191405565</v>
      </c>
      <c r="L438">
        <v>0</v>
      </c>
      <c r="M438">
        <v>1.3732048174689546E-3</v>
      </c>
      <c r="N438">
        <v>0.12034698266263305</v>
      </c>
      <c r="O438">
        <v>3.7055008145588687E-2</v>
      </c>
      <c r="P438">
        <v>1.8818083281657624E-2</v>
      </c>
      <c r="Q438">
        <v>1.2871821884691125E-3</v>
      </c>
      <c r="R438">
        <v>1.3673549493718688E-3</v>
      </c>
      <c r="S438">
        <v>0.22025740840434563</v>
      </c>
      <c r="T438">
        <v>3.8938815770356578</v>
      </c>
      <c r="U438">
        <v>0</v>
      </c>
      <c r="V438">
        <v>9.4523053561131887E-3</v>
      </c>
      <c r="W438">
        <v>7.1477501431051693E-2</v>
      </c>
      <c r="X438">
        <v>1.0609671023600239E-2</v>
      </c>
      <c r="Y438">
        <v>3.8642494795368704E-3</v>
      </c>
    </row>
    <row r="439" spans="1:25" x14ac:dyDescent="0.25">
      <c r="A439" s="1090"/>
      <c r="B439" s="1448">
        <v>189</v>
      </c>
      <c r="C439" s="1094">
        <v>0.99286636329044342</v>
      </c>
      <c r="D439" s="1094">
        <v>1.0027244304411653</v>
      </c>
      <c r="E439" s="1094">
        <v>0.99367850134990032</v>
      </c>
      <c r="F439" s="1094">
        <v>0.99010936779484937</v>
      </c>
      <c r="G439" s="1094">
        <v>0.9752376651547473</v>
      </c>
      <c r="H439" s="1094">
        <v>0.99571646224622323</v>
      </c>
      <c r="I439" s="1094">
        <v>1.0230849069708208</v>
      </c>
      <c r="K439">
        <v>4.4454284279368794</v>
      </c>
      <c r="L439">
        <v>0</v>
      </c>
      <c r="M439">
        <v>1.4704990350383176E-3</v>
      </c>
      <c r="N439">
        <v>0.1248900750315573</v>
      </c>
      <c r="O439">
        <v>3.8286528576949766E-2</v>
      </c>
      <c r="P439">
        <v>1.8891886587775804E-2</v>
      </c>
      <c r="Q439">
        <v>1.3044232961619496E-3</v>
      </c>
      <c r="R439">
        <v>1.4643811018933937E-3</v>
      </c>
      <c r="S439">
        <v>0.23624584699904475</v>
      </c>
      <c r="T439">
        <v>3.9270194009355794</v>
      </c>
      <c r="U439">
        <v>0</v>
      </c>
      <c r="V439">
        <v>9.4523053561131973E-3</v>
      </c>
      <c r="W439">
        <v>7.4710996996430204E-2</v>
      </c>
      <c r="X439">
        <v>1.0494629296251187E-2</v>
      </c>
      <c r="Y439">
        <v>4.1384527941590189E-3</v>
      </c>
    </row>
    <row r="440" spans="1:25" x14ac:dyDescent="0.25">
      <c r="A440" s="1090"/>
      <c r="B440" s="1448">
        <v>190</v>
      </c>
      <c r="C440" s="1094">
        <v>0.96769780899965341</v>
      </c>
      <c r="D440" s="1094">
        <v>0.99931679139848739</v>
      </c>
      <c r="E440" s="1094">
        <v>1.0074898338838589</v>
      </c>
      <c r="F440" s="1094">
        <v>1.0001302193710155</v>
      </c>
      <c r="G440" s="1094">
        <v>1.0113988480301053</v>
      </c>
      <c r="H440" s="1094">
        <v>1.0188199474242314</v>
      </c>
      <c r="I440" s="1094">
        <v>1.010875589660744</v>
      </c>
      <c r="K440">
        <v>4.508210672996193</v>
      </c>
      <c r="L440">
        <v>0</v>
      </c>
      <c r="M440">
        <v>1.5166709293431642E-3</v>
      </c>
      <c r="N440">
        <v>0.13421004268840295</v>
      </c>
      <c r="O440">
        <v>3.9635908805929168E-2</v>
      </c>
      <c r="P440">
        <v>1.9298488096077725E-2</v>
      </c>
      <c r="Q440">
        <v>1.3561249106048944E-3</v>
      </c>
      <c r="R440">
        <v>1.5105655276901517E-3</v>
      </c>
      <c r="S440">
        <v>0.24320935503193661</v>
      </c>
      <c r="T440">
        <v>3.9662387196813658</v>
      </c>
      <c r="U440">
        <v>0</v>
      </c>
      <c r="V440">
        <v>9.4523053561131835E-3</v>
      </c>
      <c r="W440">
        <v>7.9540659408972952E-2</v>
      </c>
      <c r="X440">
        <v>1.1006200910971741E-2</v>
      </c>
      <c r="Y440">
        <v>4.268973507474765E-3</v>
      </c>
    </row>
    <row r="441" spans="1:25" x14ac:dyDescent="0.25">
      <c r="A441" s="1090"/>
      <c r="B441" s="1448">
        <v>191</v>
      </c>
      <c r="C441" s="1094">
        <v>1.0067046344631176</v>
      </c>
      <c r="D441" s="1094">
        <v>0.97131965190244651</v>
      </c>
      <c r="E441" s="1094">
        <v>1.0243884850648688</v>
      </c>
      <c r="F441" s="1094">
        <v>0.99897074997467905</v>
      </c>
      <c r="G441" s="1094">
        <v>0.97128395335349549</v>
      </c>
      <c r="H441" s="1094">
        <v>0.9638061996702868</v>
      </c>
      <c r="I441" s="1094">
        <v>1.000944914208169</v>
      </c>
      <c r="K441">
        <v>4.4723024084037561</v>
      </c>
      <c r="L441">
        <v>0</v>
      </c>
      <c r="M441">
        <v>1.3445065351820687E-3</v>
      </c>
      <c r="N441">
        <v>0.12504713225288885</v>
      </c>
      <c r="O441">
        <v>3.8374235502836349E-2</v>
      </c>
      <c r="P441">
        <v>1.9450160913089397E-2</v>
      </c>
      <c r="Q441">
        <v>1.3375197395412079E-3</v>
      </c>
      <c r="R441">
        <v>1.3387786377959635E-3</v>
      </c>
      <c r="S441">
        <v>0.22913864506100845</v>
      </c>
      <c r="T441">
        <v>3.9610027589769023</v>
      </c>
      <c r="U441">
        <v>0</v>
      </c>
      <c r="V441">
        <v>9.4523053561131817E-3</v>
      </c>
      <c r="W441">
        <v>7.3277541035763075E-2</v>
      </c>
      <c r="X441">
        <v>1.1444346821674911E-2</v>
      </c>
      <c r="Y441">
        <v>3.7834906413251809E-3</v>
      </c>
    </row>
    <row r="442" spans="1:25" x14ac:dyDescent="0.25">
      <c r="A442" s="1090"/>
      <c r="B442" s="1448">
        <v>192</v>
      </c>
      <c r="C442" s="1094">
        <v>0.96654052124650458</v>
      </c>
      <c r="D442" s="1094">
        <v>0.99436498097517667</v>
      </c>
      <c r="E442" s="1094">
        <v>1.0474684710398949</v>
      </c>
      <c r="F442" s="1094">
        <v>0.98537928737030811</v>
      </c>
      <c r="G442" s="1094">
        <v>0.97348378716915274</v>
      </c>
      <c r="H442" s="1094">
        <v>0.97566205232551362</v>
      </c>
      <c r="I442" s="1094">
        <v>0.97276699306933434</v>
      </c>
      <c r="K442">
        <v>4.4275182738848287</v>
      </c>
      <c r="L442">
        <v>0</v>
      </c>
      <c r="M442">
        <v>1.3192680427775653E-3</v>
      </c>
      <c r="N442">
        <v>0.13135956291266046</v>
      </c>
      <c r="O442">
        <v>3.8894283977336304E-2</v>
      </c>
      <c r="P442">
        <v>1.951887821211654E-2</v>
      </c>
      <c r="Q442">
        <v>1.4070380470227945E-3</v>
      </c>
      <c r="R442">
        <v>1.313639701758547E-3</v>
      </c>
      <c r="S442">
        <v>0.22908012801603506</v>
      </c>
      <c r="T442">
        <v>3.9062607106789162</v>
      </c>
      <c r="U442">
        <v>0</v>
      </c>
      <c r="V442">
        <v>9.4523053561131817E-3</v>
      </c>
      <c r="W442">
        <v>7.5813500155821945E-2</v>
      </c>
      <c r="X442">
        <v>1.2025048781011405E-2</v>
      </c>
      <c r="Y442">
        <v>3.7124460888164684E-3</v>
      </c>
    </row>
    <row r="443" spans="1:25" x14ac:dyDescent="0.25">
      <c r="A443" s="1090"/>
      <c r="B443" s="1448">
        <v>193</v>
      </c>
      <c r="C443" s="1094">
        <v>1.0142523089218078</v>
      </c>
      <c r="D443" s="1094">
        <v>0.96089036092923896</v>
      </c>
      <c r="E443" s="1094">
        <v>0.98531721935903782</v>
      </c>
      <c r="F443" s="1094">
        <v>1.0185913403490223</v>
      </c>
      <c r="G443" s="1094">
        <v>0.99826506310924523</v>
      </c>
      <c r="H443" s="1094">
        <v>1.0171215821630879</v>
      </c>
      <c r="I443" s="1094">
        <v>1.0398418362804336</v>
      </c>
      <c r="K443">
        <v>4.5768024891263179</v>
      </c>
      <c r="L443">
        <v>0</v>
      </c>
      <c r="M443">
        <v>1.5658529994746592E-3</v>
      </c>
      <c r="N443">
        <v>0.12975800252902814</v>
      </c>
      <c r="O443">
        <v>3.9278763639394594E-2</v>
      </c>
      <c r="P443">
        <v>1.9320033228974322E-2</v>
      </c>
      <c r="Q443">
        <v>1.2895359296492522E-3</v>
      </c>
      <c r="R443">
        <v>1.5596530622918627E-3</v>
      </c>
      <c r="S443">
        <v>0.24444595088979201</v>
      </c>
      <c r="T443">
        <v>4.0403119591052707</v>
      </c>
      <c r="U443">
        <v>0</v>
      </c>
      <c r="V443">
        <v>9.4523053561131783E-3</v>
      </c>
      <c r="W443">
        <v>7.8066122757798936E-2</v>
      </c>
      <c r="X443">
        <v>1.0478316999566837E-2</v>
      </c>
      <c r="Y443">
        <v>4.407698627915178E-3</v>
      </c>
    </row>
    <row r="444" spans="1:25" x14ac:dyDescent="0.25">
      <c r="A444" s="1090"/>
      <c r="B444" s="1448">
        <v>194</v>
      </c>
      <c r="C444" s="1094">
        <v>1.0004455200903111</v>
      </c>
      <c r="D444" s="1094">
        <v>0.98952070202661568</v>
      </c>
      <c r="E444" s="1094">
        <v>1.0002222171467869</v>
      </c>
      <c r="F444" s="1094">
        <v>1.0241286162014733</v>
      </c>
      <c r="G444" s="1094">
        <v>1.0061667455456165</v>
      </c>
      <c r="H444" s="1094">
        <v>1.0331545514738649</v>
      </c>
      <c r="I444" s="1094">
        <v>0.97699113465069032</v>
      </c>
      <c r="K444">
        <v>4.5941785816629546</v>
      </c>
      <c r="L444">
        <v>0</v>
      </c>
      <c r="M444">
        <v>1.5528300907232035E-3</v>
      </c>
      <c r="N444">
        <v>0.13450333460529193</v>
      </c>
      <c r="O444">
        <v>3.946477411699599E-2</v>
      </c>
      <c r="P444">
        <v>1.9581703425725207E-2</v>
      </c>
      <c r="Q444">
        <v>1.3087566943157968E-3</v>
      </c>
      <c r="R444">
        <v>1.5468097267207223E-3</v>
      </c>
      <c r="S444">
        <v>0.23283858077172914</v>
      </c>
      <c r="T444">
        <v>4.0616925968531215</v>
      </c>
      <c r="U444">
        <v>0</v>
      </c>
      <c r="V444">
        <v>9.4523053561131835E-3</v>
      </c>
      <c r="W444">
        <v>8.0105974463404561E-2</v>
      </c>
      <c r="X444">
        <v>1.0865173359213299E-2</v>
      </c>
      <c r="Y444">
        <v>4.3714023810488504E-3</v>
      </c>
    </row>
    <row r="445" spans="1:25" x14ac:dyDescent="0.25">
      <c r="A445" s="1090"/>
      <c r="B445" s="1448">
        <v>195</v>
      </c>
      <c r="C445" s="1094">
        <v>0.99522607548118336</v>
      </c>
      <c r="D445" s="1094">
        <v>1.0109930165426144</v>
      </c>
      <c r="E445" s="1094">
        <v>0.98300029398563693</v>
      </c>
      <c r="F445" s="1094">
        <v>0.99769915984327517</v>
      </c>
      <c r="G445" s="1094">
        <v>0.97742296549626329</v>
      </c>
      <c r="H445" s="1094">
        <v>1.0148077918770735</v>
      </c>
      <c r="I445" s="1094">
        <v>0.99623041968152426</v>
      </c>
      <c r="K445">
        <v>4.4741590427788998</v>
      </c>
      <c r="L445">
        <v>0</v>
      </c>
      <c r="M445">
        <v>1.5357003834395959E-3</v>
      </c>
      <c r="N445">
        <v>0.12637603162933245</v>
      </c>
      <c r="O445">
        <v>3.8435359620734411E-2</v>
      </c>
      <c r="P445">
        <v>1.8856519258602746E-2</v>
      </c>
      <c r="Q445">
        <v>1.2851589909793101E-3</v>
      </c>
      <c r="R445">
        <v>1.5294788760738176E-3</v>
      </c>
      <c r="S445">
        <v>0.23155131761718104</v>
      </c>
      <c r="T445">
        <v>3.9575304098927742</v>
      </c>
      <c r="U445">
        <v>0</v>
      </c>
      <c r="V445">
        <v>9.4523053561132026E-3</v>
      </c>
      <c r="W445">
        <v>7.6151878366683273E-2</v>
      </c>
      <c r="X445">
        <v>1.0203859479889433E-2</v>
      </c>
      <c r="Y445">
        <v>4.3224240739728453E-3</v>
      </c>
    </row>
    <row r="446" spans="1:25" x14ac:dyDescent="0.25">
      <c r="A446" s="1090"/>
      <c r="B446" s="1448">
        <v>196</v>
      </c>
      <c r="C446" s="1094">
        <v>1.0004718218374513</v>
      </c>
      <c r="D446" s="1094">
        <v>1.0232913039612606</v>
      </c>
      <c r="E446" s="1094">
        <v>0.98823919546467009</v>
      </c>
      <c r="F446" s="1094">
        <v>1.0078438341807126</v>
      </c>
      <c r="G446" s="1094">
        <v>0.97847939783704041</v>
      </c>
      <c r="H446" s="1094">
        <v>0.9838582198092255</v>
      </c>
      <c r="I446" s="1094">
        <v>1.0375265598022658</v>
      </c>
      <c r="K446">
        <v>4.5156825675997503</v>
      </c>
      <c r="L446">
        <v>0</v>
      </c>
      <c r="M446">
        <v>1.4725383302644959E-3</v>
      </c>
      <c r="N446">
        <v>0.12306544356762622</v>
      </c>
      <c r="O446">
        <v>3.8400431856320603E-2</v>
      </c>
      <c r="P446">
        <v>1.9141924048088742E-2</v>
      </c>
      <c r="Q446">
        <v>1.2780303999081527E-3</v>
      </c>
      <c r="R446">
        <v>1.4664467307143134E-3</v>
      </c>
      <c r="S446">
        <v>0.23823684486436109</v>
      </c>
      <c r="T446">
        <v>3.9975683751480005</v>
      </c>
      <c r="U446">
        <v>0</v>
      </c>
      <c r="V446">
        <v>9.4523053561132008E-3</v>
      </c>
      <c r="W446">
        <v>7.3892294902962646E-2</v>
      </c>
      <c r="X446">
        <v>1.0508718637004614E-2</v>
      </c>
      <c r="Y446">
        <v>4.14429041891024E-3</v>
      </c>
    </row>
    <row r="447" spans="1:25" x14ac:dyDescent="0.25">
      <c r="A447" s="1090"/>
      <c r="B447" s="1448">
        <v>197</v>
      </c>
      <c r="C447" s="1094">
        <v>1.0310922805910687</v>
      </c>
      <c r="D447" s="1094">
        <v>0.98119042831263514</v>
      </c>
      <c r="E447" s="1094">
        <v>0.97550020961418515</v>
      </c>
      <c r="F447" s="1094">
        <v>0.95577384355165196</v>
      </c>
      <c r="G447" s="1094">
        <v>0.98254155048422831</v>
      </c>
      <c r="H447" s="1094">
        <v>0.96649719083921637</v>
      </c>
      <c r="I447" s="1094">
        <v>0.98405593654486923</v>
      </c>
      <c r="K447">
        <v>4.2624757312482311</v>
      </c>
      <c r="L447">
        <v>0</v>
      </c>
      <c r="M447">
        <v>1.3906457262976536E-3</v>
      </c>
      <c r="N447">
        <v>0.1118766412308586</v>
      </c>
      <c r="O447">
        <v>3.6015297183113963E-2</v>
      </c>
      <c r="P447">
        <v>1.7925642501937247E-2</v>
      </c>
      <c r="Q447">
        <v>1.2472406764011373E-3</v>
      </c>
      <c r="R447">
        <v>1.3844718918320164E-3</v>
      </c>
      <c r="S447">
        <v>0.21310862196581817</v>
      </c>
      <c r="T447">
        <v>3.791502800089555</v>
      </c>
      <c r="U447">
        <v>0</v>
      </c>
      <c r="V447">
        <v>9.4523053561131904E-3</v>
      </c>
      <c r="W447">
        <v>6.7762295985819995E-2</v>
      </c>
      <c r="X447">
        <v>9.6784368273338372E-3</v>
      </c>
      <c r="Y447">
        <v>3.9126232657459839E-3</v>
      </c>
    </row>
    <row r="448" spans="1:25" x14ac:dyDescent="0.25">
      <c r="A448" s="1090"/>
      <c r="B448" s="1448">
        <v>198</v>
      </c>
      <c r="C448" s="1094">
        <v>1.0460682582779286</v>
      </c>
      <c r="D448" s="1094">
        <v>0.99601672909531203</v>
      </c>
      <c r="E448" s="1094">
        <v>1.0001748462205113</v>
      </c>
      <c r="F448" s="1094">
        <v>0.96639775663224681</v>
      </c>
      <c r="G448" s="1094">
        <v>0.99865152288130488</v>
      </c>
      <c r="H448" s="1094">
        <v>0.95699640069313396</v>
      </c>
      <c r="I448" s="1094">
        <v>1.017122180021834</v>
      </c>
      <c r="K448">
        <v>4.3072647229065186</v>
      </c>
      <c r="L448">
        <v>0</v>
      </c>
      <c r="M448">
        <v>1.2951328405528294E-3</v>
      </c>
      <c r="N448">
        <v>0.11210354294452392</v>
      </c>
      <c r="O448">
        <v>3.5523147013003756E-2</v>
      </c>
      <c r="P448">
        <v>1.8467389100402357E-2</v>
      </c>
      <c r="Q448">
        <v>1.2483547183545856E-3</v>
      </c>
      <c r="R448">
        <v>1.289389523426224E-3</v>
      </c>
      <c r="S448">
        <v>0.2170187689922615</v>
      </c>
      <c r="T448">
        <v>3.8327338352156075</v>
      </c>
      <c r="U448">
        <v>0</v>
      </c>
      <c r="V448">
        <v>9.4523053561131904E-3</v>
      </c>
      <c r="W448">
        <v>6.6767497301076839E-2</v>
      </c>
      <c r="X448">
        <v>1.0311712348865264E-2</v>
      </c>
      <c r="Y448">
        <v>3.6439132334357915E-3</v>
      </c>
    </row>
    <row r="449" spans="1:25" x14ac:dyDescent="0.25">
      <c r="A449" s="1090"/>
      <c r="B449" s="1448">
        <v>199</v>
      </c>
      <c r="C449" s="1094">
        <v>0.97810934321738841</v>
      </c>
      <c r="D449" s="1094">
        <v>1.0043016586271907</v>
      </c>
      <c r="E449" s="1094">
        <v>1.0290785335155566</v>
      </c>
      <c r="F449" s="1094">
        <v>1.0035638900826473</v>
      </c>
      <c r="G449" s="1094">
        <v>0.98628315036798719</v>
      </c>
      <c r="H449" s="1094">
        <v>1.0008595566840828</v>
      </c>
      <c r="I449" s="1094">
        <v>1.0153934280034405</v>
      </c>
      <c r="K449">
        <v>4.5154207991124657</v>
      </c>
      <c r="L449">
        <v>0</v>
      </c>
      <c r="M449">
        <v>1.41038397175564E-3</v>
      </c>
      <c r="N449">
        <v>0.13302961720659756</v>
      </c>
      <c r="O449">
        <v>3.9118160029298146E-2</v>
      </c>
      <c r="P449">
        <v>1.9653173364572937E-2</v>
      </c>
      <c r="Q449">
        <v>1.3637361370951832E-3</v>
      </c>
      <c r="R449">
        <v>1.4046242413222098E-3</v>
      </c>
      <c r="S449">
        <v>0.24047760392778347</v>
      </c>
      <c r="T449">
        <v>3.9790380597129524</v>
      </c>
      <c r="U449">
        <v>0</v>
      </c>
      <c r="V449">
        <v>9.4523053561131939E-3</v>
      </c>
      <c r="W449">
        <v>7.7712967494824842E-2</v>
      </c>
      <c r="X449">
        <v>1.1611360269693697E-2</v>
      </c>
      <c r="Y449">
        <v>3.9695753439643704E-3</v>
      </c>
    </row>
    <row r="450" spans="1:25" x14ac:dyDescent="0.25">
      <c r="A450" s="1090"/>
      <c r="B450" s="1448">
        <v>200</v>
      </c>
      <c r="C450" s="1094">
        <v>0.98734967823260478</v>
      </c>
      <c r="D450" s="1094">
        <v>1.02554671418649</v>
      </c>
      <c r="E450" s="1094">
        <v>0.96171250781016548</v>
      </c>
      <c r="F450" s="1094">
        <v>1.0013387717065998</v>
      </c>
      <c r="G450" s="1094">
        <v>0.99088523406144502</v>
      </c>
      <c r="H450" s="1094">
        <v>1.0012622721531899</v>
      </c>
      <c r="I450" s="1094">
        <v>1.0250637152940516</v>
      </c>
      <c r="K450">
        <v>4.4922579841009833</v>
      </c>
      <c r="L450">
        <v>0</v>
      </c>
      <c r="M450">
        <v>1.5936691106906036E-3</v>
      </c>
      <c r="N450">
        <v>0.12310895769476922</v>
      </c>
      <c r="O450">
        <v>3.8807681664957863E-2</v>
      </c>
      <c r="P450">
        <v>1.8651104173625588E-2</v>
      </c>
      <c r="Q450">
        <v>1.2643293588329486E-3</v>
      </c>
      <c r="R450">
        <v>1.5871491003129794E-3</v>
      </c>
      <c r="S450">
        <v>0.23865912845516701</v>
      </c>
      <c r="T450">
        <v>3.9727901788920583</v>
      </c>
      <c r="U450">
        <v>0</v>
      </c>
      <c r="V450">
        <v>9.4523053561131956E-3</v>
      </c>
      <c r="W450">
        <v>7.5278841516163153E-2</v>
      </c>
      <c r="X450">
        <v>9.7665724690833393E-3</v>
      </c>
      <c r="Y450">
        <v>4.4854045305860518E-3</v>
      </c>
    </row>
    <row r="451" spans="1:25" x14ac:dyDescent="0.25">
      <c r="A451" s="1090"/>
      <c r="B451" s="1448">
        <v>201</v>
      </c>
      <c r="C451" s="1094">
        <v>0.99689269102073541</v>
      </c>
      <c r="D451" s="1094">
        <v>0.97807250511444499</v>
      </c>
      <c r="E451" s="1094">
        <v>0.95397950387357777</v>
      </c>
      <c r="F451" s="1094">
        <v>1.0012554765421156</v>
      </c>
      <c r="G451" s="1094">
        <v>1.0088080386394911</v>
      </c>
      <c r="H451" s="1094">
        <v>0.96643038730163033</v>
      </c>
      <c r="I451" s="1094">
        <v>0.97349483507628309</v>
      </c>
      <c r="K451">
        <v>4.4727669828969159</v>
      </c>
      <c r="L451">
        <v>0</v>
      </c>
      <c r="M451">
        <v>1.5778524352680523E-3</v>
      </c>
      <c r="N451">
        <v>0.11909991117000385</v>
      </c>
      <c r="O451">
        <v>3.9221981365812834E-2</v>
      </c>
      <c r="P451">
        <v>1.848010311866681E-2</v>
      </c>
      <c r="Q451">
        <v>1.2675343000608339E-3</v>
      </c>
      <c r="R451">
        <v>1.571163919251189E-3</v>
      </c>
      <c r="S451">
        <v>0.2251108348299303</v>
      </c>
      <c r="T451">
        <v>3.9727605997397157</v>
      </c>
      <c r="U451">
        <v>0</v>
      </c>
      <c r="V451">
        <v>9.4523053561132026E-3</v>
      </c>
      <c r="W451">
        <v>7.3220177924189264E-2</v>
      </c>
      <c r="X451">
        <v>9.7199944199411678E-3</v>
      </c>
      <c r="Y451">
        <v>4.440229188494591E-3</v>
      </c>
    </row>
    <row r="452" spans="1:25" x14ac:dyDescent="0.25">
      <c r="A452" s="1090"/>
      <c r="B452" s="1448">
        <v>202</v>
      </c>
      <c r="C452" s="1094">
        <v>0.98288202076353626</v>
      </c>
      <c r="D452" s="1094">
        <v>0.99365078019210173</v>
      </c>
      <c r="E452" s="1094">
        <v>0.98877502975690257</v>
      </c>
      <c r="F452" s="1094">
        <v>0.99885967991877722</v>
      </c>
      <c r="G452" s="1094">
        <v>0.98345424076038279</v>
      </c>
      <c r="H452" s="1094">
        <v>1.0062193111999869</v>
      </c>
      <c r="I452" s="1094">
        <v>0.97880485231581449</v>
      </c>
      <c r="K452">
        <v>4.4824183355993608</v>
      </c>
      <c r="L452">
        <v>0</v>
      </c>
      <c r="M452">
        <v>1.5355867467772017E-3</v>
      </c>
      <c r="N452">
        <v>0.12854590803254159</v>
      </c>
      <c r="O452">
        <v>3.9193636870307379E-2</v>
      </c>
      <c r="P452">
        <v>1.8956637496798694E-2</v>
      </c>
      <c r="Q452">
        <v>1.3168968600699908E-3</v>
      </c>
      <c r="R452">
        <v>1.5293198603303711E-3</v>
      </c>
      <c r="S452">
        <v>0.2311046460897111</v>
      </c>
      <c r="T452">
        <v>3.9619126250089294</v>
      </c>
      <c r="U452">
        <v>0</v>
      </c>
      <c r="V452">
        <v>9.4523053561131991E-3</v>
      </c>
      <c r="W452">
        <v>7.7154768795230547E-2</v>
      </c>
      <c r="X452">
        <v>1.0465203292760636E-2</v>
      </c>
      <c r="Y452">
        <v>4.3219746833415866E-3</v>
      </c>
    </row>
    <row r="453" spans="1:25" x14ac:dyDescent="0.25">
      <c r="A453" s="1090"/>
      <c r="B453" s="1448">
        <v>203</v>
      </c>
      <c r="C453" s="1094">
        <v>0.99459462474638716</v>
      </c>
      <c r="D453" s="1094">
        <v>0.96379442744040378</v>
      </c>
      <c r="E453" s="1094">
        <v>0.97940344872935814</v>
      </c>
      <c r="F453" s="1094">
        <v>0.98208689541063343</v>
      </c>
      <c r="G453" s="1094">
        <v>0.99016165453015936</v>
      </c>
      <c r="H453" s="1094">
        <v>1.0129591954847115</v>
      </c>
      <c r="I453" s="1094">
        <v>1.0216773847491609</v>
      </c>
      <c r="K453">
        <v>4.4190435618201684</v>
      </c>
      <c r="L453">
        <v>0</v>
      </c>
      <c r="M453">
        <v>1.5507951990396394E-3</v>
      </c>
      <c r="N453">
        <v>0.12625441029895049</v>
      </c>
      <c r="O453">
        <v>3.8613570234784025E-2</v>
      </c>
      <c r="P453">
        <v>1.8559273592380857E-2</v>
      </c>
      <c r="Q453">
        <v>1.3067216738332727E-3</v>
      </c>
      <c r="R453">
        <v>1.5444014332420318E-3</v>
      </c>
      <c r="S453">
        <v>0.23844079300940069</v>
      </c>
      <c r="T453">
        <v>3.89573766256186</v>
      </c>
      <c r="U453">
        <v>0</v>
      </c>
      <c r="V453">
        <v>9.4523053561131991E-3</v>
      </c>
      <c r="W453">
        <v>7.6266150372085964E-2</v>
      </c>
      <c r="X453">
        <v>1.0054472126741277E-2</v>
      </c>
      <c r="Y453">
        <v>4.3645963598135619E-3</v>
      </c>
    </row>
    <row r="454" spans="1:25" x14ac:dyDescent="0.25">
      <c r="A454" s="1090"/>
      <c r="B454" s="1448">
        <v>204</v>
      </c>
      <c r="C454" s="1094">
        <v>0.99050839190325612</v>
      </c>
      <c r="D454" s="1094">
        <v>1.0215868893364293</v>
      </c>
      <c r="E454" s="1094">
        <v>1.0163946564202728</v>
      </c>
      <c r="F454" s="1094">
        <v>1.0263929612273326</v>
      </c>
      <c r="G454" s="1094">
        <v>1.0198879094891555</v>
      </c>
      <c r="H454" s="1094">
        <v>0.99888662794770788</v>
      </c>
      <c r="I454" s="1094">
        <v>1.0316706463686334</v>
      </c>
      <c r="K454">
        <v>4.6085286428502954</v>
      </c>
      <c r="L454">
        <v>0</v>
      </c>
      <c r="M454">
        <v>1.4501575126237287E-3</v>
      </c>
      <c r="N454">
        <v>0.13175527521048402</v>
      </c>
      <c r="O454">
        <v>3.9328221354941434E-2</v>
      </c>
      <c r="P454">
        <v>1.9905336965491842E-2</v>
      </c>
      <c r="Q454">
        <v>1.3232496733406821E-3</v>
      </c>
      <c r="R454">
        <v>1.4443551113877144E-3</v>
      </c>
      <c r="S454">
        <v>0.24359302455714216</v>
      </c>
      <c r="T454">
        <v>4.0700434451578138</v>
      </c>
      <c r="U454">
        <v>0</v>
      </c>
      <c r="V454">
        <v>9.4523053561131939E-3</v>
      </c>
      <c r="W454">
        <v>7.7621034013091394E-2</v>
      </c>
      <c r="X454">
        <v>1.1430695147033943E-2</v>
      </c>
      <c r="Y454">
        <v>4.0818578160779218E-3</v>
      </c>
    </row>
    <row r="455" spans="1:25" x14ac:dyDescent="0.25">
      <c r="A455" s="1090"/>
      <c r="B455" s="1448">
        <v>205</v>
      </c>
      <c r="C455" s="1094">
        <v>0.99498151419774805</v>
      </c>
      <c r="D455" s="1094">
        <v>1.0139273294908431</v>
      </c>
      <c r="E455" s="1094">
        <v>1.0348781390417505</v>
      </c>
      <c r="F455" s="1094">
        <v>1.0163545631238762</v>
      </c>
      <c r="G455" s="1094">
        <v>0.98648084264254854</v>
      </c>
      <c r="H455" s="1094">
        <v>1.0353881737413959</v>
      </c>
      <c r="I455" s="1094">
        <v>0.99975144083398315</v>
      </c>
      <c r="K455">
        <v>4.5685209748514479</v>
      </c>
      <c r="L455">
        <v>0</v>
      </c>
      <c r="M455">
        <v>1.4293238595173199E-3</v>
      </c>
      <c r="N455">
        <v>0.13717275660496636</v>
      </c>
      <c r="O455">
        <v>3.8755994580978337E-2</v>
      </c>
      <c r="P455">
        <v>1.995418298082257E-2</v>
      </c>
      <c r="Q455">
        <v>1.3420261581410695E-3</v>
      </c>
      <c r="R455">
        <v>1.4237521623614441E-3</v>
      </c>
      <c r="S455">
        <v>0.23675567522613108</v>
      </c>
      <c r="T455">
        <v>4.0295309567022679</v>
      </c>
      <c r="U455">
        <v>0</v>
      </c>
      <c r="V455">
        <v>9.4523053561131817E-3</v>
      </c>
      <c r="W455">
        <v>7.9826495061565514E-2</v>
      </c>
      <c r="X455">
        <v>1.1712521568448613E-2</v>
      </c>
      <c r="Y455">
        <v>4.0236323091689327E-3</v>
      </c>
    </row>
    <row r="456" spans="1:25" x14ac:dyDescent="0.25">
      <c r="A456" s="1090"/>
      <c r="B456" s="1448">
        <v>206</v>
      </c>
      <c r="C456" s="1094">
        <v>0.99109966773471336</v>
      </c>
      <c r="D456" s="1094">
        <v>0.9525088822089216</v>
      </c>
      <c r="E456" s="1094">
        <v>0.96035911543861119</v>
      </c>
      <c r="F456" s="1094">
        <v>1.0151645443366326</v>
      </c>
      <c r="G456" s="1094">
        <v>0.97582055003779467</v>
      </c>
      <c r="H456" s="1094">
        <v>0.97616259085144685</v>
      </c>
      <c r="I456" s="1094">
        <v>0.97150189913725638</v>
      </c>
      <c r="K456">
        <v>4.5439271182454384</v>
      </c>
      <c r="L456">
        <v>0</v>
      </c>
      <c r="M456">
        <v>1.6207723435042287E-3</v>
      </c>
      <c r="N456">
        <v>0.12469409295612678</v>
      </c>
      <c r="O456">
        <v>4.0379877819451224E-2</v>
      </c>
      <c r="P456">
        <v>1.8838700100416852E-2</v>
      </c>
      <c r="Q456">
        <v>1.2957822109391027E-3</v>
      </c>
      <c r="R456">
        <v>1.6140632064771195E-3</v>
      </c>
      <c r="S456">
        <v>0.23066533947666698</v>
      </c>
      <c r="T456">
        <v>4.0276969480530358</v>
      </c>
      <c r="U456">
        <v>0</v>
      </c>
      <c r="V456">
        <v>9.4523053561131991E-3</v>
      </c>
      <c r="W456">
        <v>7.6319779536187363E-2</v>
      </c>
      <c r="X456">
        <v>1.0029536024122484E-2</v>
      </c>
      <c r="Y456">
        <v>4.5614658494007119E-3</v>
      </c>
    </row>
    <row r="457" spans="1:25" x14ac:dyDescent="0.25">
      <c r="A457" s="1090"/>
      <c r="B457" s="1448">
        <v>207</v>
      </c>
      <c r="C457" s="1094">
        <v>0.99015315288974115</v>
      </c>
      <c r="D457" s="1094">
        <v>0.97781960483719899</v>
      </c>
      <c r="E457" s="1094">
        <v>0.99700864233199993</v>
      </c>
      <c r="F457" s="1094">
        <v>1.0170835467229531</v>
      </c>
      <c r="G457" s="1094">
        <v>1.0226178668274439</v>
      </c>
      <c r="H457" s="1094">
        <v>0.99324075319710858</v>
      </c>
      <c r="I457" s="1094">
        <v>0.97756454368780588</v>
      </c>
      <c r="K457">
        <v>4.5586847459493125</v>
      </c>
      <c r="L457">
        <v>0</v>
      </c>
      <c r="M457">
        <v>1.5153863360643071E-3</v>
      </c>
      <c r="N457">
        <v>0.12999204300151967</v>
      </c>
      <c r="O457">
        <v>3.9812437139226546E-2</v>
      </c>
      <c r="P457">
        <v>1.9405093554007765E-2</v>
      </c>
      <c r="Q457">
        <v>1.3250103884050461E-3</v>
      </c>
      <c r="R457">
        <v>1.5092328848076966E-3</v>
      </c>
      <c r="S457">
        <v>0.23207570190410581</v>
      </c>
      <c r="T457">
        <v>4.0338764121609882</v>
      </c>
      <c r="U457">
        <v>0</v>
      </c>
      <c r="V457">
        <v>9.4523053561131956E-3</v>
      </c>
      <c r="W457">
        <v>7.7587683998383825E-2</v>
      </c>
      <c r="X457">
        <v>1.0899004540872698E-2</v>
      </c>
      <c r="Y457">
        <v>4.265207356946475E-3</v>
      </c>
    </row>
    <row r="458" spans="1:25" x14ac:dyDescent="0.25">
      <c r="A458" s="1090"/>
      <c r="B458" s="1448">
        <v>208</v>
      </c>
      <c r="C458" s="1094">
        <v>1.0017352341543058</v>
      </c>
      <c r="D458" s="1094">
        <v>1.0110417791795376</v>
      </c>
      <c r="E458" s="1094">
        <v>0.97369846573348739</v>
      </c>
      <c r="F458" s="1094">
        <v>1.002778151281031</v>
      </c>
      <c r="G458" s="1094">
        <v>1.0036850672066582</v>
      </c>
      <c r="H458" s="1094">
        <v>1.022328648245342</v>
      </c>
      <c r="I458" s="1094">
        <v>0.98369913948374688</v>
      </c>
      <c r="K458">
        <v>4.491462743149321</v>
      </c>
      <c r="L458">
        <v>0</v>
      </c>
      <c r="M458">
        <v>1.5752458762882948E-3</v>
      </c>
      <c r="N458">
        <v>0.1261071200654823</v>
      </c>
      <c r="O458">
        <v>3.84426837728346E-2</v>
      </c>
      <c r="P458">
        <v>1.8801500896624721E-2</v>
      </c>
      <c r="Q458">
        <v>1.2665051524763864E-3</v>
      </c>
      <c r="R458">
        <v>1.5689430617584655E-3</v>
      </c>
      <c r="S458">
        <v>0.22849322203098088</v>
      </c>
      <c r="T458">
        <v>3.9780359843515032</v>
      </c>
      <c r="U458">
        <v>0</v>
      </c>
      <c r="V458">
        <v>9.4523053561131869E-3</v>
      </c>
      <c r="W458">
        <v>7.6476215326468491E-2</v>
      </c>
      <c r="X458">
        <v>9.9595561357017914E-3</v>
      </c>
      <c r="Y458">
        <v>4.4339528756657054E-3</v>
      </c>
    </row>
    <row r="459" spans="1:25" x14ac:dyDescent="0.25">
      <c r="A459" s="1090"/>
      <c r="B459" s="1448">
        <v>209</v>
      </c>
      <c r="C459" s="1094">
        <v>1.0090126577628984</v>
      </c>
      <c r="D459" s="1094">
        <v>0.97064173906192686</v>
      </c>
      <c r="E459" s="1094">
        <v>0.99837106315571222</v>
      </c>
      <c r="F459" s="1094">
        <v>1.006258359121728</v>
      </c>
      <c r="G459" s="1094">
        <v>1.0037804258435548</v>
      </c>
      <c r="H459" s="1094">
        <v>0.99875834929505569</v>
      </c>
      <c r="I459" s="1094">
        <v>0.97338647317954319</v>
      </c>
      <c r="K459">
        <v>4.5039753663158777</v>
      </c>
      <c r="L459">
        <v>0</v>
      </c>
      <c r="M459">
        <v>1.4795887805075822E-3</v>
      </c>
      <c r="N459">
        <v>0.12743209071931205</v>
      </c>
      <c r="O459">
        <v>3.8757126293705764E-2</v>
      </c>
      <c r="P459">
        <v>1.9202178105074699E-2</v>
      </c>
      <c r="Q459">
        <v>1.3056079899301794E-3</v>
      </c>
      <c r="R459">
        <v>1.4735498668591526E-3</v>
      </c>
      <c r="S459">
        <v>0.22605302780564623</v>
      </c>
      <c r="T459">
        <v>3.9908901424607728</v>
      </c>
      <c r="U459">
        <v>0</v>
      </c>
      <c r="V459">
        <v>9.4523053561131973E-3</v>
      </c>
      <c r="W459">
        <v>7.59896231233914E-2</v>
      </c>
      <c r="X459">
        <v>1.0734938951621663E-2</v>
      </c>
      <c r="Y459">
        <v>4.164364423954345E-3</v>
      </c>
    </row>
    <row r="460" spans="1:25" x14ac:dyDescent="0.25">
      <c r="A460" s="1090"/>
      <c r="B460" s="1448">
        <v>210</v>
      </c>
      <c r="C460" s="1094">
        <v>0.98760187040431824</v>
      </c>
      <c r="D460" s="1094">
        <v>0.99200913154626646</v>
      </c>
      <c r="E460" s="1094">
        <v>1.0055017592341464</v>
      </c>
      <c r="F460" s="1094">
        <v>1.00274794348108</v>
      </c>
      <c r="G460" s="1094">
        <v>1.0057684088088479</v>
      </c>
      <c r="H460" s="1094">
        <v>0.99181124870809279</v>
      </c>
      <c r="I460" s="1094">
        <v>0.9783041206052483</v>
      </c>
      <c r="K460">
        <v>4.4951430553251024</v>
      </c>
      <c r="L460">
        <v>0</v>
      </c>
      <c r="M460">
        <v>1.4608529274909639E-3</v>
      </c>
      <c r="N460">
        <v>0.12849907790937601</v>
      </c>
      <c r="O460">
        <v>3.9067143858907333E-2</v>
      </c>
      <c r="P460">
        <v>1.9255288484628E-2</v>
      </c>
      <c r="Q460">
        <v>1.3304410452435508E-3</v>
      </c>
      <c r="R460">
        <v>1.4548277866646478E-3</v>
      </c>
      <c r="S460">
        <v>0.22951462084265134</v>
      </c>
      <c r="T460">
        <v>3.9766955606459846</v>
      </c>
      <c r="U460">
        <v>0</v>
      </c>
      <c r="V460">
        <v>9.4523053561131904E-3</v>
      </c>
      <c r="W460">
        <v>7.6257958750659841E-2</v>
      </c>
      <c r="X460">
        <v>1.0965229176399751E-2</v>
      </c>
      <c r="Y460">
        <v>4.1114543959614672E-3</v>
      </c>
    </row>
    <row r="461" spans="1:25" x14ac:dyDescent="0.25">
      <c r="A461" s="1090"/>
      <c r="B461" s="1448">
        <v>211</v>
      </c>
      <c r="C461" s="1094">
        <v>0.97942368171749294</v>
      </c>
      <c r="D461" s="1094">
        <v>0.9936050011318277</v>
      </c>
      <c r="E461" s="1094">
        <v>0.96781244290919188</v>
      </c>
      <c r="F461" s="1094">
        <v>1.0111627050277383</v>
      </c>
      <c r="G461" s="1094">
        <v>0.98716118716425627</v>
      </c>
      <c r="H461" s="1094">
        <v>0.99042648134286748</v>
      </c>
      <c r="I461" s="1094">
        <v>0.9874678350334134</v>
      </c>
      <c r="K461">
        <v>4.533525879069952</v>
      </c>
      <c r="L461">
        <v>0</v>
      </c>
      <c r="M461">
        <v>1.6045176189875695E-3</v>
      </c>
      <c r="N461">
        <v>0.12621293088851923</v>
      </c>
      <c r="O461">
        <v>3.9965648458427032E-2</v>
      </c>
      <c r="P461">
        <v>1.8893247402379097E-2</v>
      </c>
      <c r="Q461">
        <v>1.2977151343241905E-3</v>
      </c>
      <c r="R461">
        <v>1.5979456197479493E-3</v>
      </c>
      <c r="S461">
        <v>0.23469963990318549</v>
      </c>
      <c r="T461">
        <v>4.0115275115412619</v>
      </c>
      <c r="U461">
        <v>0</v>
      </c>
      <c r="V461">
        <v>9.4523053561131817E-3</v>
      </c>
      <c r="W461">
        <v>7.6851633132531058E-2</v>
      </c>
      <c r="X461">
        <v>1.0115902933668678E-2</v>
      </c>
      <c r="Y461">
        <v>4.5159163187845422E-3</v>
      </c>
    </row>
    <row r="462" spans="1:25" x14ac:dyDescent="0.25">
      <c r="A462" s="1090"/>
      <c r="B462" s="1448">
        <v>212</v>
      </c>
      <c r="C462" s="1094">
        <v>1.0345308240178006</v>
      </c>
      <c r="D462" s="1094">
        <v>0.99402337499190785</v>
      </c>
      <c r="E462" s="1094">
        <v>1.0115462508220197</v>
      </c>
      <c r="F462" s="1094">
        <v>1.0240331368490279</v>
      </c>
      <c r="G462" s="1094">
        <v>1.0061269497243781</v>
      </c>
      <c r="H462" s="1094">
        <v>1.0362981647544163</v>
      </c>
      <c r="I462" s="1094">
        <v>1.0075258371817415</v>
      </c>
      <c r="K462">
        <v>4.5858026925303577</v>
      </c>
      <c r="L462">
        <v>0</v>
      </c>
      <c r="M462">
        <v>1.467905458601285E-3</v>
      </c>
      <c r="N462">
        <v>0.13148541190361948</v>
      </c>
      <c r="O462">
        <v>3.8014490676765107E-2</v>
      </c>
      <c r="P462">
        <v>1.9739672526214627E-2</v>
      </c>
      <c r="Q462">
        <v>1.2756142375602143E-3</v>
      </c>
      <c r="R462">
        <v>1.4622310867728487E-3</v>
      </c>
      <c r="S462">
        <v>0.23210955397903787</v>
      </c>
      <c r="T462">
        <v>4.0608736062025148</v>
      </c>
      <c r="U462">
        <v>0</v>
      </c>
      <c r="V462">
        <v>9.4523053561132043E-3</v>
      </c>
      <c r="W462">
        <v>7.7713903762962763E-2</v>
      </c>
      <c r="X462">
        <v>1.1011431570109066E-2</v>
      </c>
      <c r="Y462">
        <v>4.1323766872824706E-3</v>
      </c>
    </row>
    <row r="463" spans="1:25" x14ac:dyDescent="0.25">
      <c r="A463" s="1090"/>
      <c r="B463" s="1448">
        <v>213</v>
      </c>
      <c r="C463" s="1094">
        <v>0.9766400859697435</v>
      </c>
      <c r="D463" s="1094">
        <v>0.96765472205559599</v>
      </c>
      <c r="E463" s="1094">
        <v>1.0258836381576564</v>
      </c>
      <c r="F463" s="1094">
        <v>0.9893703663169775</v>
      </c>
      <c r="G463" s="1094">
        <v>0.98670387206036969</v>
      </c>
      <c r="H463" s="1094">
        <v>0.98835811649465311</v>
      </c>
      <c r="I463" s="1094">
        <v>1.011601789820421</v>
      </c>
      <c r="K463">
        <v>4.4552438711927449</v>
      </c>
      <c r="L463">
        <v>0</v>
      </c>
      <c r="M463">
        <v>1.4052788089242299E-3</v>
      </c>
      <c r="N463">
        <v>0.13128718858166266</v>
      </c>
      <c r="O463">
        <v>3.922410206088342E-2</v>
      </c>
      <c r="P463">
        <v>1.9342123620358909E-2</v>
      </c>
      <c r="Q463">
        <v>1.3825222144609602E-3</v>
      </c>
      <c r="R463">
        <v>1.3993843117733782E-3</v>
      </c>
      <c r="S463">
        <v>0.23938468846843453</v>
      </c>
      <c r="T463">
        <v>3.9228807966860897</v>
      </c>
      <c r="U463">
        <v>0</v>
      </c>
      <c r="V463">
        <v>9.4523053561131904E-3</v>
      </c>
      <c r="W463">
        <v>7.6857813932077829E-2</v>
      </c>
      <c r="X463">
        <v>1.1483457866806421E-2</v>
      </c>
      <c r="Y463">
        <v>3.9547669030096759E-3</v>
      </c>
    </row>
    <row r="464" spans="1:25" x14ac:dyDescent="0.25">
      <c r="A464" s="1090"/>
      <c r="B464" s="1448">
        <v>214</v>
      </c>
      <c r="C464" s="1094">
        <v>1.012547913635766</v>
      </c>
      <c r="D464" s="1094">
        <v>0.99068117203424877</v>
      </c>
      <c r="E464" s="1094">
        <v>0.98501889484589711</v>
      </c>
      <c r="F464" s="1094">
        <v>1.0196448587994305</v>
      </c>
      <c r="G464" s="1094">
        <v>1.0226005583100162</v>
      </c>
      <c r="H464" s="1094">
        <v>1.0054595444145245</v>
      </c>
      <c r="I464" s="1094">
        <v>0.98037132443053143</v>
      </c>
      <c r="K464">
        <v>4.5596201921552515</v>
      </c>
      <c r="L464">
        <v>0</v>
      </c>
      <c r="M464">
        <v>1.5342229452748146E-3</v>
      </c>
      <c r="N464">
        <v>0.12701912113449398</v>
      </c>
      <c r="O464">
        <v>3.8909550166610476E-2</v>
      </c>
      <c r="P464">
        <v>1.9260546152444262E-2</v>
      </c>
      <c r="Q464">
        <v>1.2756976280819717E-3</v>
      </c>
      <c r="R464">
        <v>1.5280841111882878E-3</v>
      </c>
      <c r="S464">
        <v>0.22799950815220826</v>
      </c>
      <c r="T464">
        <v>4.0445024793549456</v>
      </c>
      <c r="U464">
        <v>0</v>
      </c>
      <c r="V464">
        <v>9.4523053561131921E-3</v>
      </c>
      <c r="W464">
        <v>7.6433899374830666E-2</v>
      </c>
      <c r="X464">
        <v>1.0454741307685611E-2</v>
      </c>
      <c r="Y464">
        <v>4.3184823619210775E-3</v>
      </c>
    </row>
    <row r="465" spans="1:25" x14ac:dyDescent="0.25">
      <c r="A465" s="1090"/>
      <c r="B465" s="1448">
        <v>215</v>
      </c>
      <c r="C465" s="1094">
        <v>0.97020981525377148</v>
      </c>
      <c r="D465" s="1094">
        <v>0.99771996810301555</v>
      </c>
      <c r="E465" s="1094">
        <v>1.0263278298655778</v>
      </c>
      <c r="F465" s="1094">
        <v>1.0135138730444813</v>
      </c>
      <c r="G465" s="1094">
        <v>0.99499267174914197</v>
      </c>
      <c r="H465" s="1094">
        <v>0.99992880347850877</v>
      </c>
      <c r="I465" s="1094">
        <v>0.98624296926067856</v>
      </c>
      <c r="K465">
        <v>4.5569459849102145</v>
      </c>
      <c r="L465">
        <v>0</v>
      </c>
      <c r="M465">
        <v>1.4467412558598614E-3</v>
      </c>
      <c r="N465">
        <v>0.13535841548467017</v>
      </c>
      <c r="O465">
        <v>3.9952375032905989E-2</v>
      </c>
      <c r="P465">
        <v>1.9783338588460785E-2</v>
      </c>
      <c r="Q465">
        <v>1.3752710974106485E-3</v>
      </c>
      <c r="R465">
        <v>1.4408853716896123E-3</v>
      </c>
      <c r="S465">
        <v>0.23745422105030459</v>
      </c>
      <c r="T465">
        <v>4.0185935428666646</v>
      </c>
      <c r="U465">
        <v>0</v>
      </c>
      <c r="V465">
        <v>9.4523053561131904E-3</v>
      </c>
      <c r="W465">
        <v>7.9217811451241668E-2</v>
      </c>
      <c r="X465">
        <v>1.1692507799823906E-2</v>
      </c>
      <c r="Y465">
        <v>4.0720520667889906E-3</v>
      </c>
    </row>
    <row r="466" spans="1:25" x14ac:dyDescent="0.25">
      <c r="A466" s="1090"/>
      <c r="B466" s="1448">
        <v>216</v>
      </c>
      <c r="C466" s="1094">
        <v>0.98176869684418</v>
      </c>
      <c r="D466" s="1094">
        <v>0.99687048878794493</v>
      </c>
      <c r="E466" s="1094">
        <v>1.0277625984880636</v>
      </c>
      <c r="F466" s="1094">
        <v>0.99239527384321435</v>
      </c>
      <c r="G466" s="1094">
        <v>0.96469342615729436</v>
      </c>
      <c r="H466" s="1094">
        <v>0.99367931777473784</v>
      </c>
      <c r="I466" s="1094">
        <v>0.98864550229221548</v>
      </c>
      <c r="K466">
        <v>4.4570907593148243</v>
      </c>
      <c r="L466">
        <v>0</v>
      </c>
      <c r="M466">
        <v>1.3875455774402785E-3</v>
      </c>
      <c r="N466">
        <v>0.13035733596488738</v>
      </c>
      <c r="O466">
        <v>3.8662473038853319E-2</v>
      </c>
      <c r="P466">
        <v>1.9387293517529092E-2</v>
      </c>
      <c r="Q466">
        <v>1.3611867365365851E-3</v>
      </c>
      <c r="R466">
        <v>1.3817742023100614E-3</v>
      </c>
      <c r="S466">
        <v>0.23149063446858217</v>
      </c>
      <c r="T466">
        <v>3.934804565420658</v>
      </c>
      <c r="U466">
        <v>0</v>
      </c>
      <c r="V466">
        <v>9.4523053561131852E-3</v>
      </c>
      <c r="W466">
        <v>7.6218349722690579E-2</v>
      </c>
      <c r="X466">
        <v>1.1457387074906761E-2</v>
      </c>
      <c r="Y466">
        <v>3.9049993891980854E-3</v>
      </c>
    </row>
    <row r="467" spans="1:25" x14ac:dyDescent="0.25">
      <c r="A467" s="1090"/>
      <c r="B467" s="1448">
        <v>217</v>
      </c>
      <c r="C467" s="1094">
        <v>1.0160934829705788</v>
      </c>
      <c r="D467" s="1094">
        <v>1.0056114692245401</v>
      </c>
      <c r="E467" s="1094">
        <v>1.0122079746296564</v>
      </c>
      <c r="F467" s="1094">
        <v>0.96519713579184807</v>
      </c>
      <c r="G467" s="1094">
        <v>1.0204774130143233</v>
      </c>
      <c r="H467" s="1094">
        <v>1.0065854548698563</v>
      </c>
      <c r="I467" s="1094">
        <v>0.96259011305103714</v>
      </c>
      <c r="K467">
        <v>4.3157820393696174</v>
      </c>
      <c r="L467">
        <v>0</v>
      </c>
      <c r="M467">
        <v>1.360385729902624E-3</v>
      </c>
      <c r="N467">
        <v>0.1220498408058437</v>
      </c>
      <c r="O467">
        <v>3.6307463747366674E-2</v>
      </c>
      <c r="P467">
        <v>1.8595427801253905E-2</v>
      </c>
      <c r="Q467">
        <v>1.2934812055028545E-3</v>
      </c>
      <c r="R467">
        <v>1.3546431400548852E-3</v>
      </c>
      <c r="S467">
        <v>0.21407697390010852</v>
      </c>
      <c r="T467">
        <v>3.8275312301222564</v>
      </c>
      <c r="U467">
        <v>0</v>
      </c>
      <c r="V467">
        <v>9.4523053561131748E-3</v>
      </c>
      <c r="W467">
        <v>7.2105051805549242E-2</v>
      </c>
      <c r="X467">
        <v>1.0547682279570057E-2</v>
      </c>
      <c r="Y467">
        <v>3.8283249359063434E-3</v>
      </c>
    </row>
    <row r="468" spans="1:25" x14ac:dyDescent="0.25">
      <c r="A468" s="1090"/>
      <c r="B468" s="1448">
        <v>218</v>
      </c>
      <c r="C468" s="1094">
        <v>1.0434689184202319</v>
      </c>
      <c r="D468" s="1094">
        <v>0.97171406612553224</v>
      </c>
      <c r="E468" s="1094">
        <v>1.0032117088921904</v>
      </c>
      <c r="F468" s="1094">
        <v>0.98622408214961421</v>
      </c>
      <c r="G468" s="1094">
        <v>1.0160798211078559</v>
      </c>
      <c r="H468" s="1094">
        <v>0.96538672350920218</v>
      </c>
      <c r="I468" s="1094">
        <v>0.95564009969442143</v>
      </c>
      <c r="K468">
        <v>4.387975238045561</v>
      </c>
      <c r="L468">
        <v>0</v>
      </c>
      <c r="M468">
        <v>1.3411628319574456E-3</v>
      </c>
      <c r="N468">
        <v>0.1171518286656683</v>
      </c>
      <c r="O468">
        <v>3.6683171369268797E-2</v>
      </c>
      <c r="P468">
        <v>1.8832193908581828E-2</v>
      </c>
      <c r="Q468">
        <v>1.2671816824811723E-3</v>
      </c>
      <c r="R468">
        <v>1.3353851140171821E-3</v>
      </c>
      <c r="S468">
        <v>0.20934495394176017</v>
      </c>
      <c r="T468">
        <v>3.9112510904044724</v>
      </c>
      <c r="U468">
        <v>0</v>
      </c>
      <c r="V468">
        <v>9.4523053561131904E-3</v>
      </c>
      <c r="W468">
        <v>6.9631291237163065E-2</v>
      </c>
      <c r="X468">
        <v>1.059309891395062E-2</v>
      </c>
      <c r="Y468">
        <v>3.7739002840430609E-3</v>
      </c>
    </row>
    <row r="469" spans="1:25" x14ac:dyDescent="0.25">
      <c r="A469" s="1090"/>
      <c r="B469" s="1448">
        <v>219</v>
      </c>
      <c r="C469" s="1094">
        <v>1.0214621691022707</v>
      </c>
      <c r="D469" s="1094">
        <v>1.0063431207640754</v>
      </c>
      <c r="E469" s="1094">
        <v>1.0268011859996047</v>
      </c>
      <c r="F469" s="1094">
        <v>0.97764443687841296</v>
      </c>
      <c r="G469" s="1094">
        <v>1.0297431340917218</v>
      </c>
      <c r="H469" s="1094">
        <v>1.0290926129120999</v>
      </c>
      <c r="I469" s="1094">
        <v>0.99076472912042224</v>
      </c>
      <c r="K469">
        <v>4.3817975951791572</v>
      </c>
      <c r="L469">
        <v>0</v>
      </c>
      <c r="M469">
        <v>1.358331280543832E-3</v>
      </c>
      <c r="N469">
        <v>0.12726101303464996</v>
      </c>
      <c r="O469">
        <v>3.6475828519139046E-2</v>
      </c>
      <c r="P469">
        <v>1.9061496447057787E-2</v>
      </c>
      <c r="Q469">
        <v>1.3022967769646832E-3</v>
      </c>
      <c r="R469">
        <v>1.352793876547697E-3</v>
      </c>
      <c r="S469">
        <v>0.22264219207672359</v>
      </c>
      <c r="T469">
        <v>3.8763534449121444</v>
      </c>
      <c r="U469">
        <v>0</v>
      </c>
      <c r="V469">
        <v>9.4523053561131887E-3</v>
      </c>
      <c r="W469">
        <v>7.4455448563473484E-2</v>
      </c>
      <c r="X469">
        <v>1.0976008120836477E-2</v>
      </c>
      <c r="Y469">
        <v>3.8230987760504405E-3</v>
      </c>
    </row>
    <row r="470" spans="1:25" x14ac:dyDescent="0.25">
      <c r="A470" s="1090"/>
      <c r="B470" s="1448">
        <v>220</v>
      </c>
      <c r="C470" s="1094">
        <v>0.97042299740749605</v>
      </c>
      <c r="D470" s="1094">
        <v>0.98767024240251944</v>
      </c>
      <c r="E470" s="1094">
        <v>0.97505220557768502</v>
      </c>
      <c r="F470" s="1094">
        <v>0.99507026485527872</v>
      </c>
      <c r="G470" s="1094">
        <v>1.0302333905531702</v>
      </c>
      <c r="H470" s="1094">
        <v>1.0044974985078365</v>
      </c>
      <c r="I470" s="1094">
        <v>1.0116024309406793</v>
      </c>
      <c r="K470">
        <v>4.4788698702610832</v>
      </c>
      <c r="L470">
        <v>0</v>
      </c>
      <c r="M470">
        <v>1.5958457733065326E-3</v>
      </c>
      <c r="N470">
        <v>0.12825751091529192</v>
      </c>
      <c r="O470">
        <v>3.9738648941559714E-2</v>
      </c>
      <c r="P470">
        <v>1.8742726367286792E-2</v>
      </c>
      <c r="Q470">
        <v>1.3212160948463409E-3</v>
      </c>
      <c r="R470">
        <v>1.5892970578749871E-3</v>
      </c>
      <c r="S470">
        <v>0.24160456638756581</v>
      </c>
      <c r="T470">
        <v>3.9474067448382768</v>
      </c>
      <c r="U470">
        <v>0</v>
      </c>
      <c r="V470">
        <v>9.4523053561131904E-3</v>
      </c>
      <c r="W470">
        <v>7.7707910995864646E-2</v>
      </c>
      <c r="X470">
        <v>1.0153314257062382E-2</v>
      </c>
      <c r="Y470">
        <v>4.4914748226450888E-3</v>
      </c>
    </row>
    <row r="471" spans="1:25" x14ac:dyDescent="0.25">
      <c r="A471" s="1090"/>
      <c r="B471" s="1448">
        <v>221</v>
      </c>
      <c r="C471" s="1094">
        <v>1.0175533478145078</v>
      </c>
      <c r="D471" s="1094">
        <v>0.9967058192420839</v>
      </c>
      <c r="E471" s="1094">
        <v>0.99061591913675262</v>
      </c>
      <c r="F471" s="1094">
        <v>0.97865389336883035</v>
      </c>
      <c r="G471" s="1094">
        <v>0.98591764257669656</v>
      </c>
      <c r="H471" s="1094">
        <v>0.98802338977453552</v>
      </c>
      <c r="I471" s="1094">
        <v>1.0136172962984196</v>
      </c>
      <c r="K471">
        <v>4.3798444135620205</v>
      </c>
      <c r="L471">
        <v>0</v>
      </c>
      <c r="M471">
        <v>1.4198430853920728E-3</v>
      </c>
      <c r="N471">
        <v>0.11948815923068362</v>
      </c>
      <c r="O471">
        <v>3.7034683999589244E-2</v>
      </c>
      <c r="P471">
        <v>1.8599545058240109E-2</v>
      </c>
      <c r="Q471">
        <v>1.2724841386192261E-3</v>
      </c>
      <c r="R471">
        <v>1.413820516482612E-3</v>
      </c>
      <c r="S471">
        <v>0.22644987331981431</v>
      </c>
      <c r="T471">
        <v>3.881698721598497</v>
      </c>
      <c r="U471">
        <v>0</v>
      </c>
      <c r="V471">
        <v>9.4523053561131973E-3</v>
      </c>
      <c r="W471">
        <v>7.1628398114075106E-2</v>
      </c>
      <c r="X471">
        <v>1.0230700595624387E-2</v>
      </c>
      <c r="Y471">
        <v>3.9955647196700606E-3</v>
      </c>
    </row>
    <row r="472" spans="1:25" x14ac:dyDescent="0.25">
      <c r="A472" s="1090"/>
      <c r="B472" s="1448">
        <v>222</v>
      </c>
      <c r="C472" s="1094">
        <v>1.0056909843145907</v>
      </c>
      <c r="D472" s="1094">
        <v>0.98892808613687544</v>
      </c>
      <c r="E472" s="1094">
        <v>1.0113397569435791</v>
      </c>
      <c r="F472" s="1094">
        <v>1.0139358615018326</v>
      </c>
      <c r="G472" s="1094">
        <v>1.0094009237401791</v>
      </c>
      <c r="H472" s="1094">
        <v>1.0159787468524433</v>
      </c>
      <c r="I472" s="1094">
        <v>1.0341783409823861</v>
      </c>
      <c r="K472">
        <v>4.5567273422513681</v>
      </c>
      <c r="L472">
        <v>0</v>
      </c>
      <c r="M472">
        <v>1.4695101857733529E-3</v>
      </c>
      <c r="N472">
        <v>0.13153333638814099</v>
      </c>
      <c r="O472">
        <v>3.8800147943663661E-2</v>
      </c>
      <c r="P472">
        <v>1.959929515614766E-2</v>
      </c>
      <c r="Q472">
        <v>1.3146637548585153E-3</v>
      </c>
      <c r="R472">
        <v>1.463658532118079E-3</v>
      </c>
      <c r="S472">
        <v>0.24219626450872056</v>
      </c>
      <c r="T472">
        <v>4.0208400969308542</v>
      </c>
      <c r="U472">
        <v>0</v>
      </c>
      <c r="V472">
        <v>9.4523053561132043E-3</v>
      </c>
      <c r="W472">
        <v>7.7752996286273482E-2</v>
      </c>
      <c r="X472">
        <v>1.1107676823439432E-2</v>
      </c>
      <c r="Y472">
        <v>4.136410756808386E-3</v>
      </c>
    </row>
    <row r="473" spans="1:25" x14ac:dyDescent="0.25">
      <c r="A473" s="1090"/>
      <c r="B473" s="1448">
        <v>223</v>
      </c>
      <c r="C473" s="1094">
        <v>0.99886816877101581</v>
      </c>
      <c r="D473" s="1094">
        <v>0.9677335789363396</v>
      </c>
      <c r="E473" s="1094">
        <v>0.97368381598232434</v>
      </c>
      <c r="F473" s="1094">
        <v>1.0202657769282804</v>
      </c>
      <c r="G473" s="1094">
        <v>0.98441213919998216</v>
      </c>
      <c r="H473" s="1094">
        <v>1.0136030089811356</v>
      </c>
      <c r="I473" s="1094">
        <v>0.99390120591877773</v>
      </c>
      <c r="K473">
        <v>4.5772878036855982</v>
      </c>
      <c r="L473">
        <v>0</v>
      </c>
      <c r="M473">
        <v>1.6216874399457056E-3</v>
      </c>
      <c r="N473">
        <v>0.12982386733999882</v>
      </c>
      <c r="O473">
        <v>3.9918422967098362E-2</v>
      </c>
      <c r="P473">
        <v>1.9147347848573054E-2</v>
      </c>
      <c r="Q473">
        <v>1.2925623708718254E-3</v>
      </c>
      <c r="R473">
        <v>1.6152546708418937E-3</v>
      </c>
      <c r="S473">
        <v>0.23671810126010431</v>
      </c>
      <c r="T473">
        <v>4.0474102343780514</v>
      </c>
      <c r="U473">
        <v>0</v>
      </c>
      <c r="V473">
        <v>9.4523053561131869E-3</v>
      </c>
      <c r="W473">
        <v>7.8730987674198893E-2</v>
      </c>
      <c r="X473">
        <v>1.023557424103108E-2</v>
      </c>
      <c r="Y473">
        <v>4.5648330186595669E-3</v>
      </c>
    </row>
    <row r="474" spans="1:25" x14ac:dyDescent="0.25">
      <c r="A474" s="1090"/>
      <c r="B474" s="1448">
        <v>224</v>
      </c>
      <c r="C474" s="1094">
        <v>0.99883942974463202</v>
      </c>
      <c r="D474" s="1094">
        <v>0.99544541210573234</v>
      </c>
      <c r="E474" s="1094">
        <v>0.9758935791651443</v>
      </c>
      <c r="F474" s="1094">
        <v>0.96594610440594597</v>
      </c>
      <c r="G474" s="1094">
        <v>1.0009416393325776</v>
      </c>
      <c r="H474" s="1094">
        <v>1.0192167162485231</v>
      </c>
      <c r="I474" s="1094">
        <v>1.0157615105311308</v>
      </c>
      <c r="K474">
        <v>4.3402963146286755</v>
      </c>
      <c r="L474">
        <v>0</v>
      </c>
      <c r="M474">
        <v>1.519841772632635E-3</v>
      </c>
      <c r="N474">
        <v>0.12244690369104783</v>
      </c>
      <c r="O474">
        <v>3.7355165079816344E-2</v>
      </c>
      <c r="P474">
        <v>1.8193760083486082E-2</v>
      </c>
      <c r="Q474">
        <v>1.2805459474908827E-3</v>
      </c>
      <c r="R474">
        <v>1.5135104742628775E-3</v>
      </c>
      <c r="S474">
        <v>0.23158754461438807</v>
      </c>
      <c r="T474">
        <v>3.8318409638528088</v>
      </c>
      <c r="U474">
        <v>0</v>
      </c>
      <c r="V474">
        <v>9.4523053561131852E-3</v>
      </c>
      <c r="W474">
        <v>7.4144528892035239E-2</v>
      </c>
      <c r="X474">
        <v>9.723632258534759E-3</v>
      </c>
      <c r="Y474">
        <v>4.2772961513253228E-3</v>
      </c>
    </row>
    <row r="475" spans="1:25" x14ac:dyDescent="0.25">
      <c r="A475" s="1090"/>
      <c r="B475" s="1448">
        <v>225</v>
      </c>
      <c r="C475" s="1094">
        <v>0.99731628126898719</v>
      </c>
      <c r="D475" s="1094">
        <v>1.0412614060923053</v>
      </c>
      <c r="E475" s="1094">
        <v>0.98282414983150035</v>
      </c>
      <c r="F475" s="1094">
        <v>1.0149696906263046</v>
      </c>
      <c r="G475" s="1094">
        <v>1.0126700152195782</v>
      </c>
      <c r="H475" s="1094">
        <v>1.0049881073858367</v>
      </c>
      <c r="I475" s="1094">
        <v>0.97542053717582566</v>
      </c>
      <c r="K475">
        <v>4.5364517877788115</v>
      </c>
      <c r="L475">
        <v>0</v>
      </c>
      <c r="M475">
        <v>1.5262706995017466E-3</v>
      </c>
      <c r="N475">
        <v>0.12553817428266587</v>
      </c>
      <c r="O475">
        <v>3.8562235959297475E-2</v>
      </c>
      <c r="P475">
        <v>1.9137500375215853E-2</v>
      </c>
      <c r="Q475">
        <v>1.2672280289218339E-3</v>
      </c>
      <c r="R475">
        <v>1.5201327900086713E-3</v>
      </c>
      <c r="S475">
        <v>0.22616946159733639</v>
      </c>
      <c r="T475">
        <v>4.0260435475708336</v>
      </c>
      <c r="U475">
        <v>0</v>
      </c>
      <c r="V475">
        <v>9.4523053561131887E-3</v>
      </c>
      <c r="W475">
        <v>7.565611257234385E-2</v>
      </c>
      <c r="X475">
        <v>1.0335348624364138E-2</v>
      </c>
      <c r="Y475">
        <v>4.2960113212128269E-3</v>
      </c>
    </row>
    <row r="476" spans="1:25" x14ac:dyDescent="0.25">
      <c r="A476" s="1090"/>
      <c r="B476" s="1448">
        <v>226</v>
      </c>
      <c r="C476" s="1094">
        <v>0.99882729747582033</v>
      </c>
      <c r="D476" s="1094">
        <v>0.97438875234636335</v>
      </c>
      <c r="E476" s="1094">
        <v>0.99891802408548236</v>
      </c>
      <c r="F476" s="1094">
        <v>1.0328707225441747</v>
      </c>
      <c r="G476" s="1094">
        <v>1.0003713993704941</v>
      </c>
      <c r="H476" s="1094">
        <v>1.0192408623832341</v>
      </c>
      <c r="I476" s="1094">
        <v>1.0011252722925519</v>
      </c>
      <c r="K476">
        <v>4.6378584834339156</v>
      </c>
      <c r="L476">
        <v>0</v>
      </c>
      <c r="M476">
        <v>1.5612952264747889E-3</v>
      </c>
      <c r="N476">
        <v>0.13471229276546223</v>
      </c>
      <c r="O476">
        <v>4.0121989668938082E-2</v>
      </c>
      <c r="P476">
        <v>1.9754822080184455E-2</v>
      </c>
      <c r="Q476">
        <v>1.3175085659760056E-3</v>
      </c>
      <c r="R476">
        <v>1.5552111373296343E-3</v>
      </c>
      <c r="S476">
        <v>0.24039015556706148</v>
      </c>
      <c r="T476">
        <v>4.0964150859314294</v>
      </c>
      <c r="U476">
        <v>0</v>
      </c>
      <c r="V476">
        <v>9.4523053561131991E-3</v>
      </c>
      <c r="W476">
        <v>8.0301195983224494E-2</v>
      </c>
      <c r="X476">
        <v>1.1004066195819881E-2</v>
      </c>
      <c r="Y476">
        <v>4.3951454088469941E-3</v>
      </c>
    </row>
    <row r="477" spans="1:25" x14ac:dyDescent="0.25">
      <c r="A477" s="1090"/>
      <c r="B477" s="1448">
        <v>227</v>
      </c>
      <c r="C477" s="1094">
        <v>0.99295736375094434</v>
      </c>
      <c r="D477" s="1094">
        <v>1.0234413514914042</v>
      </c>
      <c r="E477" s="1094">
        <v>0.99258283450907425</v>
      </c>
      <c r="F477" s="1094">
        <v>0.98570963517953258</v>
      </c>
      <c r="G477" s="1094">
        <v>0.991593800403476</v>
      </c>
      <c r="H477" s="1094">
        <v>0.99674636506415604</v>
      </c>
      <c r="I477" s="1094">
        <v>1.0200395345227202</v>
      </c>
      <c r="K477">
        <v>4.422021721628111</v>
      </c>
      <c r="L477">
        <v>0</v>
      </c>
      <c r="M477">
        <v>1.4567876522934892E-3</v>
      </c>
      <c r="N477">
        <v>0.12332258863445893</v>
      </c>
      <c r="O477">
        <v>3.7809799877233576E-2</v>
      </c>
      <c r="P477">
        <v>1.8784938266145686E-2</v>
      </c>
      <c r="Q477">
        <v>1.2924584743190151E-3</v>
      </c>
      <c r="R477">
        <v>1.450706114653413E-3</v>
      </c>
      <c r="S477">
        <v>0.23344325490091353</v>
      </c>
      <c r="T477">
        <v>3.9096102356002302</v>
      </c>
      <c r="U477">
        <v>0</v>
      </c>
      <c r="V477">
        <v>9.4523053561131835E-3</v>
      </c>
      <c r="W477">
        <v>7.3828212059833961E-2</v>
      </c>
      <c r="X477">
        <v>1.0384203760321453E-2</v>
      </c>
      <c r="Y477">
        <v>4.0998062361829466E-3</v>
      </c>
    </row>
    <row r="478" spans="1:25" x14ac:dyDescent="0.25">
      <c r="A478" s="1090"/>
      <c r="B478" s="1448">
        <v>228</v>
      </c>
      <c r="C478" s="1094">
        <v>0.98422623514852792</v>
      </c>
      <c r="D478" s="1094">
        <v>0.98802964020509998</v>
      </c>
      <c r="E478" s="1094">
        <v>1.0064101958291389</v>
      </c>
      <c r="F478" s="1094">
        <v>1.0372582471277525</v>
      </c>
      <c r="G478" s="1094">
        <v>0.98204685255663493</v>
      </c>
      <c r="H478" s="1094">
        <v>0.98388252521731334</v>
      </c>
      <c r="I478" s="1094">
        <v>1.0355452306209445</v>
      </c>
      <c r="K478">
        <v>4.6609023237820937</v>
      </c>
      <c r="L478">
        <v>0</v>
      </c>
      <c r="M478">
        <v>1.503523947926067E-3</v>
      </c>
      <c r="N478">
        <v>0.13262271473739348</v>
      </c>
      <c r="O478">
        <v>4.0608909160400213E-2</v>
      </c>
      <c r="P478">
        <v>1.9983054019781555E-2</v>
      </c>
      <c r="Q478">
        <v>1.3381898308020103E-3</v>
      </c>
      <c r="R478">
        <v>1.4974799983369733E-3</v>
      </c>
      <c r="S478">
        <v>0.24907708807745657</v>
      </c>
      <c r="T478">
        <v>4.1135206676995404</v>
      </c>
      <c r="U478">
        <v>0</v>
      </c>
      <c r="V478">
        <v>9.4523053561131939E-3</v>
      </c>
      <c r="W478">
        <v>7.8657022216778463E-2</v>
      </c>
      <c r="X478">
        <v>1.141642383092302E-2</v>
      </c>
      <c r="Y478">
        <v>4.2319928024897747E-3</v>
      </c>
    </row>
    <row r="479" spans="1:25" x14ac:dyDescent="0.25">
      <c r="A479" s="1090"/>
      <c r="B479" s="1448">
        <v>229</v>
      </c>
      <c r="C479" s="1094">
        <v>1.0225804801055256</v>
      </c>
      <c r="D479" s="1094">
        <v>0.99931608785934545</v>
      </c>
      <c r="E479" s="1094">
        <v>0.97217673826655226</v>
      </c>
      <c r="F479" s="1094">
        <v>0.99723454389403365</v>
      </c>
      <c r="G479" s="1094">
        <v>1.018565271569658</v>
      </c>
      <c r="H479" s="1094">
        <v>0.9883250812125739</v>
      </c>
      <c r="I479" s="1094">
        <v>1.0174585229500777</v>
      </c>
      <c r="K479">
        <v>4.4576443924811713</v>
      </c>
      <c r="L479">
        <v>0</v>
      </c>
      <c r="M479">
        <v>1.4952979439547098E-3</v>
      </c>
      <c r="N479">
        <v>0.11914803395155868</v>
      </c>
      <c r="O479">
        <v>3.7636148285452281E-2</v>
      </c>
      <c r="P479">
        <v>1.8683805519410273E-2</v>
      </c>
      <c r="Q479">
        <v>1.244837445673634E-3</v>
      </c>
      <c r="R479">
        <v>1.4890749081442336E-3</v>
      </c>
      <c r="S479">
        <v>0.22890630007974397</v>
      </c>
      <c r="T479">
        <v>3.9561029613443126</v>
      </c>
      <c r="U479">
        <v>0</v>
      </c>
      <c r="V479">
        <v>9.4523053561131973E-3</v>
      </c>
      <c r="W479">
        <v>7.2331693983220507E-2</v>
      </c>
      <c r="X479">
        <v>9.936290175586367E-3</v>
      </c>
      <c r="Y479">
        <v>4.2082393759068143E-3</v>
      </c>
    </row>
    <row r="480" spans="1:25" x14ac:dyDescent="0.25">
      <c r="A480" s="1090"/>
      <c r="B480" s="1448">
        <v>230</v>
      </c>
      <c r="C480" s="1094">
        <v>1.0222533675420871</v>
      </c>
      <c r="D480" s="1094">
        <v>1.0044492800764968</v>
      </c>
      <c r="E480" s="1094">
        <v>1.0354563528528669</v>
      </c>
      <c r="F480" s="1094">
        <v>0.98808195947323307</v>
      </c>
      <c r="G480" s="1094">
        <v>1.0303619367756871</v>
      </c>
      <c r="H480" s="1094">
        <v>0.99463547514201767</v>
      </c>
      <c r="I480" s="1094">
        <v>1.0021048956079117</v>
      </c>
      <c r="K480">
        <v>4.4216963945475634</v>
      </c>
      <c r="L480">
        <v>0</v>
      </c>
      <c r="M480">
        <v>1.3027036042745055E-3</v>
      </c>
      <c r="N480">
        <v>0.12520016004625709</v>
      </c>
      <c r="O480">
        <v>3.680689560067988E-2</v>
      </c>
      <c r="P480">
        <v>1.9380661606871873E-2</v>
      </c>
      <c r="Q480">
        <v>1.3117752662466238E-3</v>
      </c>
      <c r="R480">
        <v>1.2972667981270463E-3</v>
      </c>
      <c r="S480">
        <v>0.22424250405563159</v>
      </c>
      <c r="T480">
        <v>3.9174174621959033</v>
      </c>
      <c r="U480">
        <v>0</v>
      </c>
      <c r="V480">
        <v>9.4523053561131991E-3</v>
      </c>
      <c r="W480">
        <v>7.2831346817249676E-2</v>
      </c>
      <c r="X480">
        <v>1.1392545395610978E-2</v>
      </c>
      <c r="Y480">
        <v>3.6661750131417878E-3</v>
      </c>
    </row>
    <row r="481" spans="1:25" x14ac:dyDescent="0.25">
      <c r="A481" s="1090"/>
      <c r="B481" s="1448">
        <v>231</v>
      </c>
      <c r="C481" s="1094">
        <v>0.98604590105515155</v>
      </c>
      <c r="D481" s="1094">
        <v>0.99041938963741227</v>
      </c>
      <c r="E481" s="1094">
        <v>1.0098565185265658</v>
      </c>
      <c r="F481" s="1094">
        <v>1.0006863188240951</v>
      </c>
      <c r="G481" s="1094">
        <v>1.0471610639314628</v>
      </c>
      <c r="H481" s="1094">
        <v>0.9980409383104818</v>
      </c>
      <c r="I481" s="1094">
        <v>0.99215518429020955</v>
      </c>
      <c r="K481">
        <v>4.4926565656619131</v>
      </c>
      <c r="L481">
        <v>0</v>
      </c>
      <c r="M481">
        <v>1.4568388080070712E-3</v>
      </c>
      <c r="N481">
        <v>0.12981147638864451</v>
      </c>
      <c r="O481">
        <v>3.9042905121805319E-2</v>
      </c>
      <c r="P481">
        <v>1.9297027459428757E-2</v>
      </c>
      <c r="Q481">
        <v>1.3383570310147176E-3</v>
      </c>
      <c r="R481">
        <v>1.4508554768488508E-3</v>
      </c>
      <c r="S481">
        <v>0.23339901880823952</v>
      </c>
      <c r="T481">
        <v>3.9683542517095982</v>
      </c>
      <c r="U481">
        <v>0</v>
      </c>
      <c r="V481">
        <v>9.45230535611318E-3</v>
      </c>
      <c r="W481">
        <v>7.6811570399837825E-2</v>
      </c>
      <c r="X481">
        <v>1.1055408373237206E-2</v>
      </c>
      <c r="Y481">
        <v>4.1002283451505184E-3</v>
      </c>
    </row>
    <row r="482" spans="1:25" x14ac:dyDescent="0.25">
      <c r="A482" s="1090"/>
      <c r="B482" s="1448">
        <v>232</v>
      </c>
      <c r="C482" s="1094">
        <v>1.0109798169905337</v>
      </c>
      <c r="D482" s="1094">
        <v>1.0242979486503003</v>
      </c>
      <c r="E482" s="1094">
        <v>0.9939954133816804</v>
      </c>
      <c r="F482" s="1094">
        <v>1.0052689766682266</v>
      </c>
      <c r="G482" s="1094">
        <v>0.98274568670005669</v>
      </c>
      <c r="H482" s="1094">
        <v>1.0093975271419688</v>
      </c>
      <c r="I482" s="1094">
        <v>0.96181228065321334</v>
      </c>
      <c r="K482">
        <v>4.4894643057758854</v>
      </c>
      <c r="L482">
        <v>0</v>
      </c>
      <c r="M482">
        <v>1.4727333878498091E-3</v>
      </c>
      <c r="N482">
        <v>0.12521223653390379</v>
      </c>
      <c r="O482">
        <v>3.785044302788703E-2</v>
      </c>
      <c r="P482">
        <v>1.9094783896711702E-2</v>
      </c>
      <c r="Q482">
        <v>1.2705372304049462E-3</v>
      </c>
      <c r="R482">
        <v>1.4667799806563132E-3</v>
      </c>
      <c r="S482">
        <v>0.21994614961466896</v>
      </c>
      <c r="T482">
        <v>3.9871340024331605</v>
      </c>
      <c r="U482">
        <v>0</v>
      </c>
      <c r="V482">
        <v>9.4523053561131904E-3</v>
      </c>
      <c r="W482">
        <v>7.4887609152602327E-2</v>
      </c>
      <c r="X482">
        <v>1.0476959728936884E-2</v>
      </c>
      <c r="Y482">
        <v>4.1452322086887603E-3</v>
      </c>
    </row>
    <row r="483" spans="1:25" x14ac:dyDescent="0.25">
      <c r="A483" s="1090"/>
      <c r="B483" s="1448">
        <v>233</v>
      </c>
      <c r="C483" s="1094">
        <v>1.0029537727663751</v>
      </c>
      <c r="D483" s="1094">
        <v>0.98084943741116981</v>
      </c>
      <c r="E483" s="1094">
        <v>0.98307861992028489</v>
      </c>
      <c r="F483" s="1094">
        <v>0.98965191007999453</v>
      </c>
      <c r="G483" s="1094">
        <v>1.0294861706691534</v>
      </c>
      <c r="H483" s="1094">
        <v>1.0191111033679239</v>
      </c>
      <c r="I483" s="1094">
        <v>1.0349633410370531</v>
      </c>
      <c r="K483">
        <v>4.4504372521022564</v>
      </c>
      <c r="L483">
        <v>0</v>
      </c>
      <c r="M483">
        <v>1.5362762572740593E-3</v>
      </c>
      <c r="N483">
        <v>0.12645082611427821</v>
      </c>
      <c r="O483">
        <v>3.8291899868890839E-2</v>
      </c>
      <c r="P483">
        <v>1.8751922308634254E-2</v>
      </c>
      <c r="Q483">
        <v>1.2908788408756292E-3</v>
      </c>
      <c r="R483">
        <v>1.5300285118300778E-3</v>
      </c>
      <c r="S483">
        <v>0.23993738090535713</v>
      </c>
      <c r="T483">
        <v>3.9256067535615573</v>
      </c>
      <c r="U483">
        <v>0</v>
      </c>
      <c r="V483">
        <v>9.4523053561132026E-3</v>
      </c>
      <c r="W483">
        <v>7.6192867721614363E-2</v>
      </c>
      <c r="X483">
        <v>1.0144687783792456E-2</v>
      </c>
      <c r="Y483">
        <v>4.3239773865827412E-3</v>
      </c>
    </row>
    <row r="484" spans="1:25" x14ac:dyDescent="0.25">
      <c r="A484" s="1090"/>
      <c r="B484" s="1448">
        <v>234</v>
      </c>
      <c r="C484" s="1094">
        <v>1.0177809721248796</v>
      </c>
      <c r="D484" s="1094">
        <v>0.99582845999173308</v>
      </c>
      <c r="E484" s="1094">
        <v>0.99792155155141948</v>
      </c>
      <c r="F484" s="1094">
        <v>1.0011069651689963</v>
      </c>
      <c r="G484" s="1094">
        <v>1.0468582904342794</v>
      </c>
      <c r="H484" s="1094">
        <v>1.0282139208577394</v>
      </c>
      <c r="I484" s="1094">
        <v>1.017437337992154</v>
      </c>
      <c r="K484">
        <v>4.4911651392115974</v>
      </c>
      <c r="L484">
        <v>0</v>
      </c>
      <c r="M484">
        <v>1.4884945159568206E-3</v>
      </c>
      <c r="N484">
        <v>0.12804087497118338</v>
      </c>
      <c r="O484">
        <v>3.7839858285506553E-2</v>
      </c>
      <c r="P484">
        <v>1.9138472735742634E-2</v>
      </c>
      <c r="Q484">
        <v>1.2806703365179464E-3</v>
      </c>
      <c r="R484">
        <v>1.4825630522007399E-3</v>
      </c>
      <c r="S484">
        <v>0.23385800868746198</v>
      </c>
      <c r="T484">
        <v>3.9704765105727313</v>
      </c>
      <c r="U484">
        <v>0</v>
      </c>
      <c r="V484">
        <v>9.4523053561131921E-3</v>
      </c>
      <c r="W484">
        <v>7.6375879780421277E-2</v>
      </c>
      <c r="X484">
        <v>1.0518653575819952E-2</v>
      </c>
      <c r="Y484">
        <v>4.1898363738538192E-3</v>
      </c>
    </row>
    <row r="485" spans="1:25" x14ac:dyDescent="0.25">
      <c r="A485" s="1090"/>
      <c r="B485" s="1448">
        <v>235</v>
      </c>
      <c r="C485" s="1094">
        <v>1.0161790333434089</v>
      </c>
      <c r="D485" s="1094">
        <v>0.97001755433538106</v>
      </c>
      <c r="E485" s="1094">
        <v>1.0288528789771094</v>
      </c>
      <c r="F485" s="1094">
        <v>1.0091376709348225</v>
      </c>
      <c r="G485" s="1094">
        <v>1.0009691921431381</v>
      </c>
      <c r="H485" s="1094">
        <v>0.98385645892844575</v>
      </c>
      <c r="I485" s="1094">
        <v>1.0381100162750492</v>
      </c>
      <c r="K485">
        <v>4.5274676554189544</v>
      </c>
      <c r="L485">
        <v>0</v>
      </c>
      <c r="M485">
        <v>1.3612874930515793E-3</v>
      </c>
      <c r="N485">
        <v>0.12830697617662218</v>
      </c>
      <c r="O485">
        <v>3.8393041101476622E-2</v>
      </c>
      <c r="P485">
        <v>1.9744479403408264E-2</v>
      </c>
      <c r="Q485">
        <v>1.3307574333677301E-3</v>
      </c>
      <c r="R485">
        <v>1.3556632968832034E-3</v>
      </c>
      <c r="S485">
        <v>0.23871338442850479</v>
      </c>
      <c r="T485">
        <v>4.0011461338546619</v>
      </c>
      <c r="U485">
        <v>0</v>
      </c>
      <c r="V485">
        <v>9.4523053561131939E-3</v>
      </c>
      <c r="W485">
        <v>7.4965315513477751E-2</v>
      </c>
      <c r="X485">
        <v>1.1589678370499353E-2</v>
      </c>
      <c r="Y485">
        <v>3.8312079769884599E-3</v>
      </c>
    </row>
    <row r="486" spans="1:25" x14ac:dyDescent="0.25">
      <c r="A486" s="1090"/>
      <c r="B486" s="1448">
        <v>236</v>
      </c>
      <c r="C486" s="1094">
        <v>0.98228084804141957</v>
      </c>
      <c r="D486" s="1094">
        <v>1.0088711262438914</v>
      </c>
      <c r="E486" s="1094">
        <v>1.037640123065741</v>
      </c>
      <c r="F486" s="1094">
        <v>1.0130719223836517</v>
      </c>
      <c r="G486" s="1094">
        <v>0.9958313603829797</v>
      </c>
      <c r="H486" s="1094">
        <v>1.018852902133647</v>
      </c>
      <c r="I486" s="1094">
        <v>0.99665191533909225</v>
      </c>
      <c r="K486">
        <v>4.5561876559617573</v>
      </c>
      <c r="L486">
        <v>0</v>
      </c>
      <c r="M486">
        <v>1.4146451038006384E-3</v>
      </c>
      <c r="N486">
        <v>0.13686618514218188</v>
      </c>
      <c r="O486">
        <v>3.9189047492521119E-2</v>
      </c>
      <c r="P486">
        <v>1.9936689233157483E-2</v>
      </c>
      <c r="Q486">
        <v>1.3652539160925415E-3</v>
      </c>
      <c r="R486">
        <v>1.4090230453541752E-3</v>
      </c>
      <c r="S486">
        <v>0.23761962447120691</v>
      </c>
      <c r="T486">
        <v>4.0164116486226611</v>
      </c>
      <c r="U486">
        <v>0</v>
      </c>
      <c r="V486">
        <v>9.4523053561131921E-3</v>
      </c>
      <c r="W486">
        <v>7.9503134159490507E-2</v>
      </c>
      <c r="X486">
        <v>1.1867382926785389E-2</v>
      </c>
      <c r="Y486">
        <v>3.9820066999915055E-3</v>
      </c>
    </row>
    <row r="487" spans="1:25" x14ac:dyDescent="0.25">
      <c r="A487" s="1090"/>
      <c r="B487" s="1448">
        <v>237</v>
      </c>
      <c r="C487" s="1094">
        <v>1.0150864815170775</v>
      </c>
      <c r="D487" s="1094">
        <v>1.0339462389409757</v>
      </c>
      <c r="E487" s="1094">
        <v>1.0030833349422781</v>
      </c>
      <c r="F487" s="1094">
        <v>0.97573787491582298</v>
      </c>
      <c r="G487" s="1094">
        <v>1.0088004015252727</v>
      </c>
      <c r="H487" s="1094">
        <v>1.0091305722757486</v>
      </c>
      <c r="I487" s="1094">
        <v>1.0070704827336263</v>
      </c>
      <c r="K487">
        <v>4.3676376045348464</v>
      </c>
      <c r="L487">
        <v>0</v>
      </c>
      <c r="M487">
        <v>1.391280424422851E-3</v>
      </c>
      <c r="N487">
        <v>0.12150084411147535</v>
      </c>
      <c r="O487">
        <v>3.6393774700019185E-2</v>
      </c>
      <c r="P487">
        <v>1.870816268058546E-2</v>
      </c>
      <c r="Q487">
        <v>1.27052696486633E-3</v>
      </c>
      <c r="R487">
        <v>1.3854852502977635E-3</v>
      </c>
      <c r="S487">
        <v>0.22411622318771318</v>
      </c>
      <c r="T487">
        <v>3.8696687632250666</v>
      </c>
      <c r="U487">
        <v>0</v>
      </c>
      <c r="V487">
        <v>9.4523053561131817E-3</v>
      </c>
      <c r="W487">
        <v>7.2222459317000068E-2</v>
      </c>
      <c r="X487">
        <v>1.0394853071994977E-2</v>
      </c>
      <c r="Y487">
        <v>3.9154870941364422E-3</v>
      </c>
    </row>
    <row r="488" spans="1:25" x14ac:dyDescent="0.25">
      <c r="A488" s="1090"/>
      <c r="B488" s="1448">
        <v>238</v>
      </c>
      <c r="C488" s="1094">
        <v>0.99396783243268771</v>
      </c>
      <c r="D488" s="1094">
        <v>1.036570388481719</v>
      </c>
      <c r="E488" s="1094">
        <v>0.98809999013006822</v>
      </c>
      <c r="F488" s="1094">
        <v>0.98499239296254504</v>
      </c>
      <c r="G488" s="1094">
        <v>0.98399477010505487</v>
      </c>
      <c r="H488" s="1094">
        <v>0.97292568993078021</v>
      </c>
      <c r="I488" s="1094">
        <v>0.99021607449316751</v>
      </c>
      <c r="K488">
        <v>4.4024747066904668</v>
      </c>
      <c r="L488">
        <v>0</v>
      </c>
      <c r="M488">
        <v>1.4256542300450801E-3</v>
      </c>
      <c r="N488">
        <v>0.11908087307785555</v>
      </c>
      <c r="O488">
        <v>3.7581943578816938E-2</v>
      </c>
      <c r="P488">
        <v>1.866558546368299E-2</v>
      </c>
      <c r="Q488">
        <v>1.279622021100028E-3</v>
      </c>
      <c r="R488">
        <v>1.4195525257993168E-3</v>
      </c>
      <c r="S488">
        <v>0.223664249208646</v>
      </c>
      <c r="T488">
        <v>3.9069343872544411</v>
      </c>
      <c r="U488">
        <v>0</v>
      </c>
      <c r="V488">
        <v>9.4523053561131956E-3</v>
      </c>
      <c r="W488">
        <v>7.1506617364418906E-2</v>
      </c>
      <c r="X488">
        <v>1.0303461254020025E-2</v>
      </c>
      <c r="Y488">
        <v>4.0117638156172766E-3</v>
      </c>
    </row>
    <row r="489" spans="1:25" x14ac:dyDescent="0.25">
      <c r="A489" s="1090"/>
      <c r="B489" s="1448">
        <v>239</v>
      </c>
      <c r="C489" s="1094">
        <v>0.98479535731437884</v>
      </c>
      <c r="D489" s="1094">
        <v>0.98283400811596189</v>
      </c>
      <c r="E489" s="1094">
        <v>1.0210232972518425</v>
      </c>
      <c r="F489" s="1094">
        <v>0.99210738620133787</v>
      </c>
      <c r="G489" s="1094">
        <v>0.99923085949173918</v>
      </c>
      <c r="H489" s="1094">
        <v>0.99314286944278862</v>
      </c>
      <c r="I489" s="1094">
        <v>0.98275333235790419</v>
      </c>
      <c r="K489">
        <v>4.4544783174880207</v>
      </c>
      <c r="L489">
        <v>0</v>
      </c>
      <c r="M489">
        <v>1.4099395407704931E-3</v>
      </c>
      <c r="N489">
        <v>0.12984664222143871</v>
      </c>
      <c r="O489">
        <v>3.8798758701610717E-2</v>
      </c>
      <c r="P489">
        <v>1.9282704915554675E-2</v>
      </c>
      <c r="Q489">
        <v>1.3569831821482899E-3</v>
      </c>
      <c r="R489">
        <v>1.4040701565296045E-3</v>
      </c>
      <c r="S489">
        <v>0.23031497187187039</v>
      </c>
      <c r="T489">
        <v>3.9339146673206069</v>
      </c>
      <c r="U489">
        <v>0</v>
      </c>
      <c r="V489">
        <v>9.4523053561131869E-3</v>
      </c>
      <c r="W489">
        <v>7.6260666107658109E-2</v>
      </c>
      <c r="X489">
        <v>1.1288477737221312E-2</v>
      </c>
      <c r="Y489">
        <v>3.9680094580380942E-3</v>
      </c>
    </row>
    <row r="490" spans="1:25" x14ac:dyDescent="0.25">
      <c r="A490" s="1090"/>
      <c r="B490" s="1448">
        <v>240</v>
      </c>
      <c r="C490" s="1094">
        <v>1.001142057012133</v>
      </c>
      <c r="D490" s="1094">
        <v>0.97079615372217609</v>
      </c>
      <c r="E490" s="1094">
        <v>1.000422037233393</v>
      </c>
      <c r="F490" s="1094">
        <v>0.97985882486109577</v>
      </c>
      <c r="G490" s="1094">
        <v>1.0027207189760674</v>
      </c>
      <c r="H490" s="1094">
        <v>0.99825100071149642</v>
      </c>
      <c r="I490" s="1094">
        <v>1.0275590551071005</v>
      </c>
      <c r="K490">
        <v>4.404328442472627</v>
      </c>
      <c r="L490">
        <v>0</v>
      </c>
      <c r="M490">
        <v>1.4451725468619888E-3</v>
      </c>
      <c r="N490">
        <v>0.12521262110620893</v>
      </c>
      <c r="O490">
        <v>3.8020653662207277E-2</v>
      </c>
      <c r="P490">
        <v>1.8801023950698902E-2</v>
      </c>
      <c r="Q490">
        <v>1.3181042110660369E-3</v>
      </c>
      <c r="R490">
        <v>1.4391127724119163E-3</v>
      </c>
      <c r="S490">
        <v>0.23621330130449719</v>
      </c>
      <c r="T490">
        <v>3.8861112141391247</v>
      </c>
      <c r="U490">
        <v>0</v>
      </c>
      <c r="V490">
        <v>9.4523053561131939E-3</v>
      </c>
      <c r="W490">
        <v>7.4562648011319538E-2</v>
      </c>
      <c r="X490">
        <v>1.0575587939940985E-2</v>
      </c>
      <c r="Y490">
        <v>4.067042565898669E-3</v>
      </c>
    </row>
    <row r="491" spans="1:25" x14ac:dyDescent="0.25">
      <c r="A491" s="1090"/>
      <c r="B491" s="1448">
        <v>241</v>
      </c>
      <c r="C491" s="1094">
        <v>0.99271591008224647</v>
      </c>
      <c r="D491" s="1094">
        <v>1.0129016291849742</v>
      </c>
      <c r="E491" s="1094">
        <v>0.96991466920561931</v>
      </c>
      <c r="F491" s="1094">
        <v>0.98977088785244793</v>
      </c>
      <c r="G491" s="1094">
        <v>1.0088523462380952</v>
      </c>
      <c r="H491" s="1094">
        <v>1.0218805105759445</v>
      </c>
      <c r="I491" s="1094">
        <v>1.0167963466059002</v>
      </c>
      <c r="K491">
        <v>4.4454971670797052</v>
      </c>
      <c r="L491">
        <v>0</v>
      </c>
      <c r="M491">
        <v>1.5796652264174677E-3</v>
      </c>
      <c r="N491">
        <v>0.12504131505967417</v>
      </c>
      <c r="O491">
        <v>3.828628372873058E-2</v>
      </c>
      <c r="P491">
        <v>1.8552025139022668E-2</v>
      </c>
      <c r="Q491">
        <v>1.2728632588759918E-3</v>
      </c>
      <c r="R491">
        <v>1.5732592034615538E-3</v>
      </c>
      <c r="S491">
        <v>0.2360574072679302</v>
      </c>
      <c r="T491">
        <v>3.9265805508849834</v>
      </c>
      <c r="U491">
        <v>0</v>
      </c>
      <c r="V491">
        <v>9.4523053561131869E-3</v>
      </c>
      <c r="W491">
        <v>7.6027811883342955E-2</v>
      </c>
      <c r="X491">
        <v>9.7868599023462986E-3</v>
      </c>
      <c r="Y491">
        <v>4.4461506216404642E-3</v>
      </c>
    </row>
    <row r="492" spans="1:25" x14ac:dyDescent="0.25">
      <c r="A492" s="1090"/>
      <c r="B492" s="1448">
        <v>242</v>
      </c>
      <c r="C492" s="1094">
        <v>1.0186178038049101</v>
      </c>
      <c r="D492" s="1094">
        <v>1.0223274077268409</v>
      </c>
      <c r="E492" s="1094">
        <v>0.99512780303409909</v>
      </c>
      <c r="F492" s="1094">
        <v>0.96330392190288472</v>
      </c>
      <c r="G492" s="1094">
        <v>0.99390053302263626</v>
      </c>
      <c r="H492" s="1094">
        <v>0.96700499563253961</v>
      </c>
      <c r="I492" s="1094">
        <v>0.98226748901861305</v>
      </c>
      <c r="K492">
        <v>4.2959815843003106</v>
      </c>
      <c r="L492">
        <v>0</v>
      </c>
      <c r="M492">
        <v>1.3399228525743257E-3</v>
      </c>
      <c r="N492">
        <v>0.11426232540492678</v>
      </c>
      <c r="O492">
        <v>3.6018860124792905E-2</v>
      </c>
      <c r="P492">
        <v>1.8328396026919373E-2</v>
      </c>
      <c r="Q492">
        <v>1.2632115263049048E-3</v>
      </c>
      <c r="R492">
        <v>1.3340236062921965E-3</v>
      </c>
      <c r="S492">
        <v>0.21376547506027724</v>
      </c>
      <c r="T492">
        <v>3.8206490411763134</v>
      </c>
      <c r="U492">
        <v>0</v>
      </c>
      <c r="V492">
        <v>9.4523053561131939E-3</v>
      </c>
      <c r="W492">
        <v>6.8286150792313871E-2</v>
      </c>
      <c r="X492">
        <v>1.0191665519361045E-2</v>
      </c>
      <c r="Y492">
        <v>3.7700525592660535E-3</v>
      </c>
    </row>
    <row r="493" spans="1:25" x14ac:dyDescent="0.25">
      <c r="A493" s="1090"/>
      <c r="B493" s="1448">
        <v>243</v>
      </c>
      <c r="C493" s="1094">
        <v>0.99311502252362605</v>
      </c>
      <c r="D493" s="1094">
        <v>0.99526902281311758</v>
      </c>
      <c r="E493" s="1094">
        <v>0.96960612635200383</v>
      </c>
      <c r="F493" s="1094">
        <v>1.0199576726195789</v>
      </c>
      <c r="G493" s="1094">
        <v>0.96974831458711408</v>
      </c>
      <c r="H493" s="1094">
        <v>0.99678056123427317</v>
      </c>
      <c r="I493" s="1094">
        <v>1.0123341674170352</v>
      </c>
      <c r="K493">
        <v>4.5730281667027475</v>
      </c>
      <c r="L493">
        <v>0</v>
      </c>
      <c r="M493">
        <v>1.599247556410204E-3</v>
      </c>
      <c r="N493">
        <v>0.12647804850326494</v>
      </c>
      <c r="O493">
        <v>3.9718289982613245E-2</v>
      </c>
      <c r="P493">
        <v>1.909348009373393E-2</v>
      </c>
      <c r="Q493">
        <v>1.2809754776593799E-3</v>
      </c>
      <c r="R493">
        <v>1.5927947969000197E-3</v>
      </c>
      <c r="S493">
        <v>0.23907029542115055</v>
      </c>
      <c r="T493">
        <v>4.0463485493701601</v>
      </c>
      <c r="U493">
        <v>0</v>
      </c>
      <c r="V493">
        <v>9.4523053561131921E-3</v>
      </c>
      <c r="W493">
        <v>7.6917748917930476E-2</v>
      </c>
      <c r="X493">
        <v>1.0173566639461297E-2</v>
      </c>
      <c r="Y493">
        <v>4.5013597001695724E-3</v>
      </c>
    </row>
    <row r="494" spans="1:25" x14ac:dyDescent="0.25">
      <c r="A494" s="1090"/>
      <c r="B494" s="1448">
        <v>244</v>
      </c>
      <c r="C494" s="1094">
        <v>1.0170269975637836</v>
      </c>
      <c r="D494" s="1094">
        <v>0.97819102276639247</v>
      </c>
      <c r="E494" s="1094">
        <v>0.99919636719915483</v>
      </c>
      <c r="F494" s="1094">
        <v>1.0069803588272312</v>
      </c>
      <c r="G494" s="1094">
        <v>1.0076279924712224</v>
      </c>
      <c r="H494" s="1094">
        <v>0.972083522386196</v>
      </c>
      <c r="I494" s="1094">
        <v>0.98965398764274048</v>
      </c>
      <c r="K494">
        <v>4.4984721543934327</v>
      </c>
      <c r="L494">
        <v>0</v>
      </c>
      <c r="M494">
        <v>1.4228463022670813E-3</v>
      </c>
      <c r="N494">
        <v>0.12283166174955609</v>
      </c>
      <c r="O494">
        <v>3.8354580638045636E-2</v>
      </c>
      <c r="P494">
        <v>1.9224776667415677E-2</v>
      </c>
      <c r="Q494">
        <v>1.2922259765065459E-3</v>
      </c>
      <c r="R494">
        <v>1.4168838846449383E-3</v>
      </c>
      <c r="S494">
        <v>0.22559073734680868</v>
      </c>
      <c r="T494">
        <v>3.9937219766603502</v>
      </c>
      <c r="U494">
        <v>0</v>
      </c>
      <c r="V494">
        <v>9.4523053561131869E-3</v>
      </c>
      <c r="W494">
        <v>7.320544066153524E-2</v>
      </c>
      <c r="X494">
        <v>1.0800189722751064E-2</v>
      </c>
      <c r="Y494">
        <v>4.0042220319738905E-3</v>
      </c>
    </row>
    <row r="495" spans="1:25" x14ac:dyDescent="0.25">
      <c r="A495" s="1090"/>
      <c r="B495" s="1448">
        <v>245</v>
      </c>
      <c r="C495" s="1094">
        <v>1.0370028795974546</v>
      </c>
      <c r="D495" s="1094">
        <v>1.0237640575659739</v>
      </c>
      <c r="E495" s="1094">
        <v>0.97720686845609606</v>
      </c>
      <c r="F495" s="1094">
        <v>1.0109488791751551</v>
      </c>
      <c r="G495" s="1094">
        <v>1.0218425558819622</v>
      </c>
      <c r="H495" s="1094">
        <v>0.99304273224661233</v>
      </c>
      <c r="I495" s="1094">
        <v>1.0270836990905061</v>
      </c>
      <c r="K495">
        <v>4.5111666662892098</v>
      </c>
      <c r="L495">
        <v>0</v>
      </c>
      <c r="M495">
        <v>1.4717702740063663E-3</v>
      </c>
      <c r="N495">
        <v>0.11904663354288397</v>
      </c>
      <c r="O495">
        <v>3.7227899080387671E-2</v>
      </c>
      <c r="P495">
        <v>1.8996928120747981E-2</v>
      </c>
      <c r="Q495">
        <v>1.221051798192383E-3</v>
      </c>
      <c r="R495">
        <v>1.4657566146636931E-3</v>
      </c>
      <c r="S495">
        <v>0.22866624779037462</v>
      </c>
      <c r="T495">
        <v>4.0103127020733371</v>
      </c>
      <c r="U495">
        <v>0</v>
      </c>
      <c r="V495">
        <v>9.4523053561131887E-3</v>
      </c>
      <c r="W495">
        <v>7.2020599575860142E-2</v>
      </c>
      <c r="X495">
        <v>1.0085972512394143E-2</v>
      </c>
      <c r="Y495">
        <v>4.1423400982633163E-3</v>
      </c>
    </row>
    <row r="496" spans="1:25" x14ac:dyDescent="0.25">
      <c r="A496" s="1090"/>
      <c r="B496" s="1448">
        <v>246</v>
      </c>
      <c r="C496" s="1094">
        <v>1.0264459344261985</v>
      </c>
      <c r="D496" s="1094">
        <v>0.97137799456718865</v>
      </c>
      <c r="E496" s="1094">
        <v>1.0335906805821753</v>
      </c>
      <c r="F496" s="1094">
        <v>1.041956872653891</v>
      </c>
      <c r="G496" s="1094">
        <v>0.98549262658168257</v>
      </c>
      <c r="H496" s="1094">
        <v>0.9903470449000964</v>
      </c>
      <c r="I496" s="1094">
        <v>0.9942256134120373</v>
      </c>
      <c r="K496">
        <v>4.6586371340526469</v>
      </c>
      <c r="L496">
        <v>0</v>
      </c>
      <c r="M496">
        <v>1.385754336194643E-3</v>
      </c>
      <c r="N496">
        <v>0.13247598287526555</v>
      </c>
      <c r="O496">
        <v>3.9189601044619757E-2</v>
      </c>
      <c r="P496">
        <v>2.038547459721202E-2</v>
      </c>
      <c r="Q496">
        <v>1.3219603662290612E-3</v>
      </c>
      <c r="R496">
        <v>1.3802450229548255E-3</v>
      </c>
      <c r="S496">
        <v>0.2316850175688932</v>
      </c>
      <c r="T496">
        <v>4.1310864070456956</v>
      </c>
      <c r="U496">
        <v>0</v>
      </c>
      <c r="V496">
        <v>9.4523053561131835E-3</v>
      </c>
      <c r="W496">
        <v>7.7158825960547933E-2</v>
      </c>
      <c r="X496">
        <v>1.1986390739719879E-2</v>
      </c>
      <c r="Y496">
        <v>3.9006778115928697E-3</v>
      </c>
    </row>
    <row r="497" spans="1:25" x14ac:dyDescent="0.25">
      <c r="A497" s="1090"/>
      <c r="B497" s="1448">
        <v>247</v>
      </c>
      <c r="C497" s="1094">
        <v>1.0078928657536368</v>
      </c>
      <c r="D497" s="1094">
        <v>0.98257754173907341</v>
      </c>
      <c r="E497" s="1094">
        <v>0.98661274577188207</v>
      </c>
      <c r="F497" s="1094">
        <v>0.99820028578510045</v>
      </c>
      <c r="G497" s="1094">
        <v>1.0251401791814885</v>
      </c>
      <c r="H497" s="1094">
        <v>1.0188733009153337</v>
      </c>
      <c r="I497" s="1094">
        <v>1.0095633869871508</v>
      </c>
      <c r="K497">
        <v>4.4797645368785552</v>
      </c>
      <c r="L497">
        <v>0</v>
      </c>
      <c r="M497">
        <v>1.5290577520066847E-3</v>
      </c>
      <c r="N497">
        <v>0.12718730752040369</v>
      </c>
      <c r="O497">
        <v>3.8382195409109567E-2</v>
      </c>
      <c r="P497">
        <v>1.8927909586420884E-2</v>
      </c>
      <c r="Q497">
        <v>1.2875805695600755E-3</v>
      </c>
      <c r="R497">
        <v>1.5228909580227981E-3</v>
      </c>
      <c r="S497">
        <v>0.23411087983423073</v>
      </c>
      <c r="T497">
        <v>3.9593798681828321</v>
      </c>
      <c r="U497">
        <v>0</v>
      </c>
      <c r="V497">
        <v>9.4523053561131939E-3</v>
      </c>
      <c r="W497">
        <v>7.6451905343115092E-2</v>
      </c>
      <c r="X497">
        <v>1.0286945756153602E-2</v>
      </c>
      <c r="Y497">
        <v>4.3038061145969147E-3</v>
      </c>
    </row>
    <row r="498" spans="1:25" x14ac:dyDescent="0.25">
      <c r="A498" s="1090"/>
      <c r="B498" s="1448">
        <v>248</v>
      </c>
      <c r="C498" s="1094">
        <v>0.97912762439300183</v>
      </c>
      <c r="D498" s="1094">
        <v>0.96261777747112531</v>
      </c>
      <c r="E498" s="1094">
        <v>1.0109772378112276</v>
      </c>
      <c r="F498" s="1094">
        <v>1.005081936848869</v>
      </c>
      <c r="G498" s="1094">
        <v>0.97704491277675476</v>
      </c>
      <c r="H498" s="1094">
        <v>0.9669128967453976</v>
      </c>
      <c r="I498" s="1094">
        <v>1.0390206790131449</v>
      </c>
      <c r="K498">
        <v>4.5227171991862614</v>
      </c>
      <c r="L498">
        <v>0</v>
      </c>
      <c r="M498">
        <v>1.4405339741194276E-3</v>
      </c>
      <c r="N498">
        <v>0.12877053819008802</v>
      </c>
      <c r="O498">
        <v>3.9935783913189318E-2</v>
      </c>
      <c r="P498">
        <v>1.9452771879083643E-2</v>
      </c>
      <c r="Q498">
        <v>1.3645526551635259E-3</v>
      </c>
      <c r="R498">
        <v>1.4344537396599802E-3</v>
      </c>
      <c r="S498">
        <v>0.24648633531367159</v>
      </c>
      <c r="T498">
        <v>3.9857429818249046</v>
      </c>
      <c r="U498">
        <v>0</v>
      </c>
      <c r="V498">
        <v>9.4523053561131852E-3</v>
      </c>
      <c r="W498">
        <v>7.6138342239698814E-2</v>
      </c>
      <c r="X498">
        <v>1.1325792265165287E-2</v>
      </c>
      <c r="Y498">
        <v>4.0538757836413742E-3</v>
      </c>
    </row>
    <row r="499" spans="1:25" x14ac:dyDescent="0.25">
      <c r="A499" s="1090"/>
      <c r="B499" s="1448">
        <v>249</v>
      </c>
      <c r="C499" s="1094">
        <v>0.98206574328612473</v>
      </c>
      <c r="D499" s="1094">
        <v>1.0055276632710222</v>
      </c>
      <c r="E499" s="1094">
        <v>0.98622896110081104</v>
      </c>
      <c r="F499" s="1094">
        <v>0.98574103097190546</v>
      </c>
      <c r="G499" s="1094">
        <v>0.992366569661988</v>
      </c>
      <c r="H499" s="1094">
        <v>0.95747424316320462</v>
      </c>
      <c r="I499" s="1094">
        <v>1.0008115036560097</v>
      </c>
      <c r="K499">
        <v>4.4143550278617543</v>
      </c>
      <c r="L499">
        <v>0</v>
      </c>
      <c r="M499">
        <v>1.4441480011474742E-3</v>
      </c>
      <c r="N499">
        <v>0.1199501752320367</v>
      </c>
      <c r="O499">
        <v>3.8544956553275334E-2</v>
      </c>
      <c r="P499">
        <v>1.8680797807575134E-2</v>
      </c>
      <c r="Q499">
        <v>1.308860194338792E-3</v>
      </c>
      <c r="R499">
        <v>1.4378721499684278E-3</v>
      </c>
      <c r="S499">
        <v>0.22984630728482425</v>
      </c>
      <c r="T499">
        <v>3.9099745058773618</v>
      </c>
      <c r="U499">
        <v>0</v>
      </c>
      <c r="V499">
        <v>9.4523053561131869E-3</v>
      </c>
      <c r="W499">
        <v>7.2120565394182573E-2</v>
      </c>
      <c r="X499">
        <v>1.0419293541071616E-2</v>
      </c>
      <c r="Y499">
        <v>4.0635364721563266E-3</v>
      </c>
    </row>
    <row r="500" spans="1:25" x14ac:dyDescent="0.25">
      <c r="A500" s="1090"/>
      <c r="B500" s="1448">
        <v>250</v>
      </c>
      <c r="C500" s="1094">
        <v>1.0208996702518855</v>
      </c>
      <c r="D500" s="1094">
        <v>0.98564306572832538</v>
      </c>
      <c r="E500" s="1094">
        <v>0.99631878103241167</v>
      </c>
      <c r="F500" s="1094">
        <v>0.9965442764177217</v>
      </c>
      <c r="G500" s="1094">
        <v>0.9954209638831707</v>
      </c>
      <c r="H500" s="1094">
        <v>1.0469142587644487</v>
      </c>
      <c r="I500" s="1094">
        <v>1.010997801383954</v>
      </c>
      <c r="K500">
        <v>4.4748643603530249</v>
      </c>
      <c r="L500">
        <v>0</v>
      </c>
      <c r="M500">
        <v>1.5153800914166967E-3</v>
      </c>
      <c r="N500">
        <v>0.12974282312411281</v>
      </c>
      <c r="O500">
        <v>3.7717873173911544E-2</v>
      </c>
      <c r="P500">
        <v>1.9030252111786997E-2</v>
      </c>
      <c r="Q500">
        <v>1.2802562578474903E-3</v>
      </c>
      <c r="R500">
        <v>1.5094223133573679E-3</v>
      </c>
      <c r="S500">
        <v>0.23308623421003838</v>
      </c>
      <c r="T500">
        <v>3.9524414033477191</v>
      </c>
      <c r="U500">
        <v>0</v>
      </c>
      <c r="V500">
        <v>9.4523053561131817E-3</v>
      </c>
      <c r="W500">
        <v>7.7475130365748573E-2</v>
      </c>
      <c r="X500">
        <v>1.037829748731477E-2</v>
      </c>
      <c r="Y500">
        <v>4.2657426964900335E-3</v>
      </c>
    </row>
    <row r="501" spans="1:25" x14ac:dyDescent="0.25">
      <c r="A501" s="1090"/>
      <c r="B501" s="1448">
        <v>251</v>
      </c>
      <c r="C501" s="1094">
        <v>1.0083741047235064</v>
      </c>
      <c r="D501" s="1094">
        <v>1.0184075411495321</v>
      </c>
      <c r="E501" s="1094">
        <v>1.0300258237459159</v>
      </c>
      <c r="F501" s="1094">
        <v>0.97886210358758841</v>
      </c>
      <c r="G501" s="1094">
        <v>0.97649541564436659</v>
      </c>
      <c r="H501" s="1094">
        <v>1.0038596101950314</v>
      </c>
      <c r="I501" s="1094">
        <v>0.96934692465340566</v>
      </c>
      <c r="K501">
        <v>4.3798716924346843</v>
      </c>
      <c r="L501">
        <v>0</v>
      </c>
      <c r="M501">
        <v>1.3284064197186393E-3</v>
      </c>
      <c r="N501">
        <v>0.12563740416514554</v>
      </c>
      <c r="O501">
        <v>3.67979295087634E-2</v>
      </c>
      <c r="P501">
        <v>1.9107703315917962E-2</v>
      </c>
      <c r="Q501">
        <v>1.3164947685444738E-3</v>
      </c>
      <c r="R501">
        <v>1.3228617633243226E-3</v>
      </c>
      <c r="S501">
        <v>0.21825338182713461</v>
      </c>
      <c r="T501">
        <v>3.8810629610119722</v>
      </c>
      <c r="U501">
        <v>0</v>
      </c>
      <c r="V501">
        <v>9.4523053561131956E-3</v>
      </c>
      <c r="W501">
        <v>7.3348552776188555E-2</v>
      </c>
      <c r="X501">
        <v>1.1161996022422989E-2</v>
      </c>
      <c r="Y501">
        <v>3.7385083388724442E-3</v>
      </c>
    </row>
    <row r="502" spans="1:25" x14ac:dyDescent="0.25">
      <c r="A502" s="1090"/>
      <c r="B502" s="1448">
        <v>252</v>
      </c>
      <c r="C502" s="1094">
        <v>1.0449209716595744</v>
      </c>
      <c r="D502" s="1094">
        <v>1.0229204983368532</v>
      </c>
      <c r="E502" s="1094">
        <v>1.0160910216807317</v>
      </c>
      <c r="F502" s="1094">
        <v>1.0439935112313246</v>
      </c>
      <c r="G502" s="1094">
        <v>1.0112505270391485</v>
      </c>
      <c r="H502" s="1094">
        <v>0.99632429770470565</v>
      </c>
      <c r="I502" s="1094">
        <v>1.0053077969295929</v>
      </c>
      <c r="K502">
        <v>4.6524509851635214</v>
      </c>
      <c r="L502">
        <v>0</v>
      </c>
      <c r="M502">
        <v>1.3947007941410164E-3</v>
      </c>
      <c r="N502">
        <v>0.12661014969111842</v>
      </c>
      <c r="O502">
        <v>3.7901834844969562E-2</v>
      </c>
      <c r="P502">
        <v>2.014754275457659E-2</v>
      </c>
      <c r="Q502">
        <v>1.2533663394285121E-3</v>
      </c>
      <c r="R502">
        <v>1.3891998879890495E-3</v>
      </c>
      <c r="S502">
        <v>0.22736859134260479</v>
      </c>
      <c r="T502">
        <v>4.1398483806348416</v>
      </c>
      <c r="U502">
        <v>0</v>
      </c>
      <c r="V502">
        <v>9.4523053561131939E-3</v>
      </c>
      <c r="W502">
        <v>7.4605025666934499E-2</v>
      </c>
      <c r="X502">
        <v>1.1343304495233374E-2</v>
      </c>
      <c r="Y502">
        <v>3.9259849438511895E-3</v>
      </c>
    </row>
    <row r="503" spans="1:25" x14ac:dyDescent="0.25">
      <c r="A503" s="1090"/>
      <c r="B503" s="1448">
        <v>253</v>
      </c>
      <c r="C503" s="1094">
        <v>1.0004148160488402</v>
      </c>
      <c r="D503" s="1094">
        <v>0.99910906667675814</v>
      </c>
      <c r="E503" s="1094">
        <v>1.0150144582274283</v>
      </c>
      <c r="F503" s="1094">
        <v>0.97893552049495691</v>
      </c>
      <c r="G503" s="1094">
        <v>1.019683121212561</v>
      </c>
      <c r="H503" s="1094">
        <v>1.0287731883440636</v>
      </c>
      <c r="I503" s="1094">
        <v>1.0131081397628696</v>
      </c>
      <c r="K503">
        <v>4.4024073124207321</v>
      </c>
      <c r="L503">
        <v>0</v>
      </c>
      <c r="M503">
        <v>1.4274192304967858E-3</v>
      </c>
      <c r="N503">
        <v>0.12915145705507017</v>
      </c>
      <c r="O503">
        <v>3.7479646963369057E-2</v>
      </c>
      <c r="P503">
        <v>1.8971750439656952E-2</v>
      </c>
      <c r="Q503">
        <v>1.3203108402854325E-3</v>
      </c>
      <c r="R503">
        <v>1.4216060189998372E-3</v>
      </c>
      <c r="S503">
        <v>0.233151454049527</v>
      </c>
      <c r="T503">
        <v>3.8819074683891657</v>
      </c>
      <c r="U503">
        <v>0</v>
      </c>
      <c r="V503">
        <v>9.4523053561131921E-3</v>
      </c>
      <c r="W503">
        <v>7.6157304319546107E-2</v>
      </c>
      <c r="X503">
        <v>1.0803861075316558E-2</v>
      </c>
      <c r="Y503">
        <v>4.0175671441787381E-3</v>
      </c>
    </row>
    <row r="504" spans="1:25" x14ac:dyDescent="0.25">
      <c r="A504" s="1090"/>
      <c r="B504" s="1448">
        <v>254</v>
      </c>
      <c r="C504" s="1094">
        <v>0.96756740759483006</v>
      </c>
      <c r="D504" s="1094">
        <v>1.0248209198628802</v>
      </c>
      <c r="E504" s="1094">
        <v>0.99268920185750353</v>
      </c>
      <c r="F504" s="1094">
        <v>0.98502526066264418</v>
      </c>
      <c r="G504" s="1094">
        <v>1.0157695480892648</v>
      </c>
      <c r="H504" s="1094">
        <v>1.0178377429502838</v>
      </c>
      <c r="I504" s="1094">
        <v>1.0022757253312216</v>
      </c>
      <c r="K504">
        <v>4.433102025919907</v>
      </c>
      <c r="L504">
        <v>0</v>
      </c>
      <c r="M504">
        <v>1.5244316391959055E-3</v>
      </c>
      <c r="N504">
        <v>0.129100455255521</v>
      </c>
      <c r="O504">
        <v>3.8753404836094227E-2</v>
      </c>
      <c r="P504">
        <v>1.8789355055221429E-2</v>
      </c>
      <c r="Q504">
        <v>1.3257808336035468E-3</v>
      </c>
      <c r="R504">
        <v>1.5181952732868701E-3</v>
      </c>
      <c r="S504">
        <v>0.23680633181055399</v>
      </c>
      <c r="T504">
        <v>3.9068918035539175</v>
      </c>
      <c r="U504">
        <v>0</v>
      </c>
      <c r="V504">
        <v>9.4523053561131887E-3</v>
      </c>
      <c r="W504">
        <v>7.72816016231892E-2</v>
      </c>
      <c r="X504">
        <v>1.041668821056726E-2</v>
      </c>
      <c r="Y504">
        <v>4.2905357510346111E-3</v>
      </c>
    </row>
    <row r="505" spans="1:25" x14ac:dyDescent="0.25">
      <c r="A505" s="1090"/>
      <c r="B505" s="1448">
        <v>255</v>
      </c>
      <c r="C505" s="1094">
        <v>1.0081448717578989</v>
      </c>
      <c r="D505" s="1094">
        <v>1.0247585679437445</v>
      </c>
      <c r="E505" s="1094">
        <v>0.98864353909404512</v>
      </c>
      <c r="F505" s="1094">
        <v>0.99889401454739302</v>
      </c>
      <c r="G505" s="1094">
        <v>0.99256189997646638</v>
      </c>
      <c r="H505" s="1094">
        <v>1.02044079650663</v>
      </c>
      <c r="I505" s="1094">
        <v>1.030251037182772</v>
      </c>
      <c r="K505">
        <v>4.4809365594837507</v>
      </c>
      <c r="L505">
        <v>0</v>
      </c>
      <c r="M505">
        <v>1.5001261081014636E-3</v>
      </c>
      <c r="N505">
        <v>0.12553568277633284</v>
      </c>
      <c r="O505">
        <v>3.774539720767954E-2</v>
      </c>
      <c r="P505">
        <v>1.897771668088169E-2</v>
      </c>
      <c r="Q505">
        <v>1.2680191166597051E-3</v>
      </c>
      <c r="R505">
        <v>1.4940894690618823E-3</v>
      </c>
      <c r="S505">
        <v>0.23605250330623032</v>
      </c>
      <c r="T505">
        <v>3.9620538404345358</v>
      </c>
      <c r="U505">
        <v>0</v>
      </c>
      <c r="V505">
        <v>9.4523053561131869E-3</v>
      </c>
      <c r="W505">
        <v>7.5354744258999656E-2</v>
      </c>
      <c r="X505">
        <v>1.0279976077455209E-2</v>
      </c>
      <c r="Y505">
        <v>4.2224109079037038E-3</v>
      </c>
    </row>
    <row r="506" spans="1:25" x14ac:dyDescent="0.25">
      <c r="A506" s="1090"/>
      <c r="B506" s="1448">
        <v>256</v>
      </c>
      <c r="C506" s="1094">
        <v>0.98373675512282899</v>
      </c>
      <c r="D506" s="1094">
        <v>1.028289270108953</v>
      </c>
      <c r="E506" s="1094">
        <v>0.98629879859263236</v>
      </c>
      <c r="F506" s="1094">
        <v>1.0032419728180415</v>
      </c>
      <c r="G506" s="1094">
        <v>0.98595407152246095</v>
      </c>
      <c r="H506" s="1094">
        <v>1.0053866617797076</v>
      </c>
      <c r="I506" s="1094">
        <v>0.99469114767612787</v>
      </c>
      <c r="K506">
        <v>4.4986466316249487</v>
      </c>
      <c r="L506">
        <v>0</v>
      </c>
      <c r="M506">
        <v>1.5266464546455176E-3</v>
      </c>
      <c r="N506">
        <v>0.12686426110552862</v>
      </c>
      <c r="O506">
        <v>3.8813085811626048E-2</v>
      </c>
      <c r="P506">
        <v>1.9007918062163648E-2</v>
      </c>
      <c r="Q506">
        <v>1.2950681829147573E-3</v>
      </c>
      <c r="R506">
        <v>1.5204380208824395E-3</v>
      </c>
      <c r="S506">
        <v>0.23286667632365288</v>
      </c>
      <c r="T506">
        <v>3.9793898863912545</v>
      </c>
      <c r="U506">
        <v>0</v>
      </c>
      <c r="V506">
        <v>9.4523053561131939E-3</v>
      </c>
      <c r="W506">
        <v>7.6274055549395023E-2</v>
      </c>
      <c r="X506">
        <v>1.0392709349097626E-2</v>
      </c>
      <c r="Y506">
        <v>4.2968739269653696E-3</v>
      </c>
    </row>
    <row r="507" spans="1:25" x14ac:dyDescent="0.25">
      <c r="A507" s="1090"/>
      <c r="B507" s="1448">
        <v>257</v>
      </c>
      <c r="C507" s="1094">
        <v>1.0162828115310338</v>
      </c>
      <c r="D507" s="1094">
        <v>0.9750660506349752</v>
      </c>
      <c r="E507" s="1094">
        <v>0.98198875133000385</v>
      </c>
      <c r="F507" s="1094">
        <v>1.0066552868842678</v>
      </c>
      <c r="G507" s="1094">
        <v>1.0175281908433489</v>
      </c>
      <c r="H507" s="1094">
        <v>0.97544288513617139</v>
      </c>
      <c r="I507" s="1094">
        <v>0.99710799289474206</v>
      </c>
      <c r="K507">
        <v>4.4987647910373179</v>
      </c>
      <c r="L507">
        <v>0</v>
      </c>
      <c r="M507">
        <v>1.4828774538553971E-3</v>
      </c>
      <c r="N507">
        <v>0.1216480440828344</v>
      </c>
      <c r="O507">
        <v>3.8537454978347326E-2</v>
      </c>
      <c r="P507">
        <v>1.8985227426019668E-2</v>
      </c>
      <c r="Q507">
        <v>1.2757599020635528E-3</v>
      </c>
      <c r="R507">
        <v>1.476682885491959E-3</v>
      </c>
      <c r="S507">
        <v>0.22788311264456218</v>
      </c>
      <c r="T507">
        <v>3.9930954025298133</v>
      </c>
      <c r="U507">
        <v>0</v>
      </c>
      <c r="V507">
        <v>9.4523053561131904E-3</v>
      </c>
      <c r="W507">
        <v>7.3353612870699442E-2</v>
      </c>
      <c r="X507">
        <v>1.0366847241418122E-2</v>
      </c>
      <c r="Y507">
        <v>4.1732185738053117E-3</v>
      </c>
    </row>
    <row r="508" spans="1:25" x14ac:dyDescent="0.25">
      <c r="A508" s="1090"/>
      <c r="B508" s="1448">
        <v>258</v>
      </c>
      <c r="C508" s="1094">
        <v>1.002592128059024</v>
      </c>
      <c r="D508" s="1094">
        <v>0.99155627729008577</v>
      </c>
      <c r="E508" s="1094">
        <v>0.95952501820014025</v>
      </c>
      <c r="F508" s="1094">
        <v>1.0266799127606046</v>
      </c>
      <c r="G508" s="1094">
        <v>0.97766190081047477</v>
      </c>
      <c r="H508" s="1094">
        <v>1.0476271528645726</v>
      </c>
      <c r="I508" s="1094">
        <v>0.96403966840535138</v>
      </c>
      <c r="K508">
        <v>4.6002292013429287</v>
      </c>
      <c r="L508">
        <v>0</v>
      </c>
      <c r="M508">
        <v>1.7141832920438667E-3</v>
      </c>
      <c r="N508">
        <v>0.13159716205724944</v>
      </c>
      <c r="O508">
        <v>3.9732070332154951E-2</v>
      </c>
      <c r="P508">
        <v>1.9027931941805555E-2</v>
      </c>
      <c r="Q508">
        <v>1.2595842410018298E-3</v>
      </c>
      <c r="R508">
        <v>1.7076453904980719E-3</v>
      </c>
      <c r="S508">
        <v>0.23059416153073148</v>
      </c>
      <c r="T508">
        <v>4.0734177769276689</v>
      </c>
      <c r="U508">
        <v>0</v>
      </c>
      <c r="V508">
        <v>9.4523053561131869E-3</v>
      </c>
      <c r="W508">
        <v>8.0591522690940026E-2</v>
      </c>
      <c r="X508">
        <v>9.737287920703705E-3</v>
      </c>
      <c r="Y508">
        <v>4.8259362461056873E-3</v>
      </c>
    </row>
    <row r="509" spans="1:25" x14ac:dyDescent="0.25">
      <c r="A509" s="1090"/>
      <c r="B509" s="1448">
        <v>259</v>
      </c>
      <c r="C509" s="1094">
        <v>1.0113360408960097</v>
      </c>
      <c r="D509" s="1094">
        <v>0.97039845233407018</v>
      </c>
      <c r="E509" s="1094">
        <v>0.96970182131632643</v>
      </c>
      <c r="F509" s="1094">
        <v>1.020422510148902</v>
      </c>
      <c r="G509" s="1094">
        <v>0.98947310390232257</v>
      </c>
      <c r="H509" s="1094">
        <v>1.0242575115752468</v>
      </c>
      <c r="I509" s="1094">
        <v>1.0109530982666071</v>
      </c>
      <c r="K509">
        <v>4.5779855806245324</v>
      </c>
      <c r="L509">
        <v>0</v>
      </c>
      <c r="M509">
        <v>1.6305551770261235E-3</v>
      </c>
      <c r="N509">
        <v>0.12900494271549037</v>
      </c>
      <c r="O509">
        <v>3.9416793603832725E-2</v>
      </c>
      <c r="P509">
        <v>1.9100390716846088E-2</v>
      </c>
      <c r="Q509">
        <v>1.270800433285036E-3</v>
      </c>
      <c r="R509">
        <v>1.624155491992355E-3</v>
      </c>
      <c r="S509">
        <v>0.23846958021687045</v>
      </c>
      <c r="T509">
        <v>4.0481888667245922</v>
      </c>
      <c r="U509">
        <v>0</v>
      </c>
      <c r="V509">
        <v>9.4523053561131904E-3</v>
      </c>
      <c r="W509">
        <v>7.8449302049502123E-2</v>
      </c>
      <c r="X509">
        <v>1.0049011074255477E-2</v>
      </c>
      <c r="Y509">
        <v>4.5899874187763177E-3</v>
      </c>
    </row>
    <row r="510" spans="1:25" x14ac:dyDescent="0.25">
      <c r="A510" s="1090"/>
      <c r="B510" s="1448">
        <v>260</v>
      </c>
      <c r="C510" s="1094">
        <v>1.0029994811557847</v>
      </c>
      <c r="D510" s="1094">
        <v>1.0257936775579595</v>
      </c>
      <c r="E510" s="1094">
        <v>0.98001549172281321</v>
      </c>
      <c r="F510" s="1094">
        <v>0.99000536402576211</v>
      </c>
      <c r="G510" s="1094">
        <v>1.0434483465086284</v>
      </c>
      <c r="H510" s="1094">
        <v>0.96035321031355847</v>
      </c>
      <c r="I510" s="1094">
        <v>0.97019536938036566</v>
      </c>
      <c r="K510">
        <v>4.4132163767133319</v>
      </c>
      <c r="L510">
        <v>0</v>
      </c>
      <c r="M510">
        <v>1.4316068891766095E-3</v>
      </c>
      <c r="N510">
        <v>0.11674042240873639</v>
      </c>
      <c r="O510">
        <v>3.764398064485857E-2</v>
      </c>
      <c r="P510">
        <v>1.8615567826590726E-2</v>
      </c>
      <c r="Q510">
        <v>1.2645296657783805E-3</v>
      </c>
      <c r="R510">
        <v>1.4254307952754617E-3</v>
      </c>
      <c r="S510">
        <v>0.21769337507761774</v>
      </c>
      <c r="T510">
        <v>3.9271253038721738</v>
      </c>
      <c r="U510">
        <v>0</v>
      </c>
      <c r="V510">
        <v>9.4523053561131939E-3</v>
      </c>
      <c r="W510">
        <v>7.0489491751510688E-2</v>
      </c>
      <c r="X510">
        <v>1.0169199949911951E-2</v>
      </c>
      <c r="Y510">
        <v>4.0283762539415078E-3</v>
      </c>
    </row>
    <row r="511" spans="1:25" x14ac:dyDescent="0.25">
      <c r="A511" s="1090"/>
      <c r="B511" s="1448">
        <v>261</v>
      </c>
      <c r="C511" s="1094">
        <v>0.99039993685398542</v>
      </c>
      <c r="D511" s="1094">
        <v>0.99161385854631356</v>
      </c>
      <c r="E511" s="1094">
        <v>0.95933464608576391</v>
      </c>
      <c r="F511" s="1094">
        <v>1.0332143283719075</v>
      </c>
      <c r="G511" s="1094">
        <v>0.99699236877708541</v>
      </c>
      <c r="H511" s="1094">
        <v>0.9585269037493247</v>
      </c>
      <c r="I511" s="1094">
        <v>1.0136682811986395</v>
      </c>
      <c r="K511">
        <v>4.6214589702373594</v>
      </c>
      <c r="L511">
        <v>0</v>
      </c>
      <c r="M511">
        <v>1.5983643664500397E-3</v>
      </c>
      <c r="N511">
        <v>0.12259597418865061</v>
      </c>
      <c r="O511">
        <v>4.0477597062448752E-2</v>
      </c>
      <c r="P511">
        <v>1.9178142442050652E-2</v>
      </c>
      <c r="Q511">
        <v>1.2748470966342537E-3</v>
      </c>
      <c r="R511">
        <v>1.5917434978927976E-3</v>
      </c>
      <c r="S511">
        <v>0.23935158304901466</v>
      </c>
      <c r="T511">
        <v>4.0993511241092397</v>
      </c>
      <c r="U511">
        <v>0</v>
      </c>
      <c r="V511">
        <v>9.4523053561131887E-3</v>
      </c>
      <c r="W511">
        <v>7.5089029965269546E-2</v>
      </c>
      <c r="X511">
        <v>1.0196599187580986E-2</v>
      </c>
      <c r="Y511">
        <v>4.4983886489122805E-3</v>
      </c>
    </row>
    <row r="512" spans="1:25" x14ac:dyDescent="0.25">
      <c r="A512" s="1090"/>
      <c r="B512" s="1448">
        <v>262</v>
      </c>
      <c r="C512" s="1094">
        <v>0.98235226845890378</v>
      </c>
      <c r="D512" s="1094">
        <v>0.97078340609910918</v>
      </c>
      <c r="E512" s="1094">
        <v>0.99784450566120719</v>
      </c>
      <c r="F512" s="1094">
        <v>0.9770644595960456</v>
      </c>
      <c r="G512" s="1094">
        <v>1.0272073369241248</v>
      </c>
      <c r="H512" s="1094">
        <v>0.96843363320183229</v>
      </c>
      <c r="I512" s="1094">
        <v>0.96849333956452954</v>
      </c>
      <c r="K512">
        <v>4.3787724027945432</v>
      </c>
      <c r="L512">
        <v>0</v>
      </c>
      <c r="M512">
        <v>1.4325260698607736E-3</v>
      </c>
      <c r="N512">
        <v>0.12315506673019698</v>
      </c>
      <c r="O512">
        <v>3.8655399442055857E-2</v>
      </c>
      <c r="P512">
        <v>1.866072944553674E-2</v>
      </c>
      <c r="Q512">
        <v>1.3403573051992228E-3</v>
      </c>
      <c r="R512">
        <v>1.4263167465369123E-3</v>
      </c>
      <c r="S512">
        <v>0.22425999161700066</v>
      </c>
      <c r="T512">
        <v>3.8751247308651284</v>
      </c>
      <c r="U512">
        <v>0</v>
      </c>
      <c r="V512">
        <v>9.45230535611318E-3</v>
      </c>
      <c r="W512">
        <v>7.3465345311401448E-2</v>
      </c>
      <c r="X512">
        <v>1.0633806025390102E-2</v>
      </c>
      <c r="Y512">
        <v>4.0308800198455468E-3</v>
      </c>
    </row>
    <row r="513" spans="1:25" x14ac:dyDescent="0.25">
      <c r="A513" s="1090"/>
      <c r="B513" s="1448">
        <v>263</v>
      </c>
      <c r="C513" s="1094">
        <v>0.98504826764695463</v>
      </c>
      <c r="D513" s="1094">
        <v>1.0266183778076889</v>
      </c>
      <c r="E513" s="1094">
        <v>1.0267320498911907</v>
      </c>
      <c r="F513" s="1094">
        <v>0.97971572782159888</v>
      </c>
      <c r="G513" s="1094">
        <v>1.0287055397401768</v>
      </c>
      <c r="H513" s="1094">
        <v>0.99517166404757362</v>
      </c>
      <c r="I513" s="1094">
        <v>1.0258657824330213</v>
      </c>
      <c r="K513">
        <v>4.4035629138876962</v>
      </c>
      <c r="L513">
        <v>0</v>
      </c>
      <c r="M513">
        <v>1.3543397361755086E-3</v>
      </c>
      <c r="N513">
        <v>0.12684454040281412</v>
      </c>
      <c r="O513">
        <v>3.760359119421447E-2</v>
      </c>
      <c r="P513">
        <v>1.915760207394308E-2</v>
      </c>
      <c r="Q513">
        <v>1.3396281368197854E-3</v>
      </c>
      <c r="R513">
        <v>1.3486424334940362E-3</v>
      </c>
      <c r="S513">
        <v>0.235348016616997</v>
      </c>
      <c r="T513">
        <v>3.884568644665185</v>
      </c>
      <c r="U513">
        <v>0</v>
      </c>
      <c r="V513">
        <v>9.4523053561131904E-3</v>
      </c>
      <c r="W513">
        <v>7.4215192284603548E-2</v>
      </c>
      <c r="X513">
        <v>1.1227723978652579E-2</v>
      </c>
      <c r="Y513">
        <v>3.8113664810331114E-3</v>
      </c>
    </row>
    <row r="514" spans="1:25" x14ac:dyDescent="0.25">
      <c r="A514" s="1090"/>
      <c r="B514" s="1448">
        <v>264</v>
      </c>
      <c r="C514" s="1094">
        <v>1.001837503101344</v>
      </c>
      <c r="D514" s="1094">
        <v>0.99394332015667008</v>
      </c>
      <c r="E514" s="1094">
        <v>1.0285820945296977</v>
      </c>
      <c r="F514" s="1094">
        <v>1.0044317575165971</v>
      </c>
      <c r="G514" s="1094">
        <v>1.0453973106214318</v>
      </c>
      <c r="H514" s="1094">
        <v>0.99316584516232742</v>
      </c>
      <c r="I514" s="1094">
        <v>1.0035836503523345</v>
      </c>
      <c r="K514">
        <v>4.5041378103614509</v>
      </c>
      <c r="L514">
        <v>0</v>
      </c>
      <c r="M514">
        <v>1.3746972042055618E-3</v>
      </c>
      <c r="N514">
        <v>0.12946975315135939</v>
      </c>
      <c r="O514">
        <v>3.8386975198935407E-2</v>
      </c>
      <c r="P514">
        <v>1.962430140884101E-2</v>
      </c>
      <c r="Q514">
        <v>1.3364110809447104E-3</v>
      </c>
      <c r="R514">
        <v>1.3690445901669221E-3</v>
      </c>
      <c r="S514">
        <v>0.23232890967223496</v>
      </c>
      <c r="T514">
        <v>3.9824977936032866</v>
      </c>
      <c r="U514">
        <v>0</v>
      </c>
      <c r="V514">
        <v>9.4523053561131904E-3</v>
      </c>
      <c r="W514">
        <v>7.5658264997477451E-2</v>
      </c>
      <c r="X514">
        <v>1.1519723972876861E-2</v>
      </c>
      <c r="Y514">
        <v>3.8690245334216619E-3</v>
      </c>
    </row>
    <row r="515" spans="1:25" x14ac:dyDescent="0.25">
      <c r="A515" s="1090"/>
      <c r="B515" s="1448">
        <v>265</v>
      </c>
      <c r="C515" s="1094">
        <v>1.0077106349058613</v>
      </c>
      <c r="D515" s="1094">
        <v>1.0148576889915657</v>
      </c>
      <c r="E515" s="1094">
        <v>0.98657737653170474</v>
      </c>
      <c r="F515" s="1094">
        <v>1.0044262489463152</v>
      </c>
      <c r="G515" s="1094">
        <v>0.98623250523264061</v>
      </c>
      <c r="H515" s="1094">
        <v>0.97150736130229642</v>
      </c>
      <c r="I515" s="1094">
        <v>0.98933019746903461</v>
      </c>
      <c r="K515">
        <v>4.4839628362380228</v>
      </c>
      <c r="L515">
        <v>0</v>
      </c>
      <c r="M515">
        <v>1.4485536651315627E-3</v>
      </c>
      <c r="N515">
        <v>0.12045769619585335</v>
      </c>
      <c r="O515">
        <v>3.8132573375073191E-2</v>
      </c>
      <c r="P515">
        <v>1.8996051774635852E-2</v>
      </c>
      <c r="Q515">
        <v>1.2712306072247285E-3</v>
      </c>
      <c r="R515">
        <v>1.442464539635953E-3</v>
      </c>
      <c r="S515">
        <v>0.22465857888308743</v>
      </c>
      <c r="T515">
        <v>3.9840766277524664</v>
      </c>
      <c r="U515">
        <v>0</v>
      </c>
      <c r="V515">
        <v>9.4523053561131921E-3</v>
      </c>
      <c r="W515">
        <v>7.2408503115495043E-2</v>
      </c>
      <c r="X515">
        <v>1.043884338759613E-2</v>
      </c>
      <c r="Y515">
        <v>4.0765149159691172E-3</v>
      </c>
    </row>
    <row r="516" spans="1:25" x14ac:dyDescent="0.25">
      <c r="A516" s="1090"/>
      <c r="B516" s="1448">
        <v>266</v>
      </c>
      <c r="C516" s="1094">
        <v>0.99362010299125791</v>
      </c>
      <c r="D516" s="1094">
        <v>1.0131606203279608</v>
      </c>
      <c r="E516" s="1094">
        <v>1.0159468401256757</v>
      </c>
      <c r="F516" s="1094">
        <v>0.9735711493670256</v>
      </c>
      <c r="G516" s="1094">
        <v>0.99388689292541788</v>
      </c>
      <c r="H516" s="1094">
        <v>1.0062884312333982</v>
      </c>
      <c r="I516" s="1094">
        <v>0.98716596248935806</v>
      </c>
      <c r="K516">
        <v>4.3676020166123237</v>
      </c>
      <c r="L516">
        <v>0</v>
      </c>
      <c r="M516">
        <v>1.38757616582746E-3</v>
      </c>
      <c r="N516">
        <v>0.12587902359601538</v>
      </c>
      <c r="O516">
        <v>3.7313835871735014E-2</v>
      </c>
      <c r="P516">
        <v>1.8850427171242884E-2</v>
      </c>
      <c r="Q516">
        <v>1.3229804105407952E-3</v>
      </c>
      <c r="R516">
        <v>1.3817672519859576E-3</v>
      </c>
      <c r="S516">
        <v>0.22527488624687575</v>
      </c>
      <c r="T516">
        <v>3.8606010856904356</v>
      </c>
      <c r="U516">
        <v>0</v>
      </c>
      <c r="V516">
        <v>9.4523053561131869E-3</v>
      </c>
      <c r="W516">
        <v>7.4181360179226913E-2</v>
      </c>
      <c r="X516">
        <v>1.082694125692632E-2</v>
      </c>
      <c r="Y516">
        <v>3.9049797470515363E-3</v>
      </c>
    </row>
    <row r="517" spans="1:25" x14ac:dyDescent="0.25">
      <c r="A517" s="1090"/>
      <c r="B517" s="1448">
        <v>267</v>
      </c>
      <c r="C517" s="1094">
        <v>1.0116745369196112</v>
      </c>
      <c r="D517" s="1094">
        <v>1.012012184373609</v>
      </c>
      <c r="E517" s="1094">
        <v>1.0305145409682734</v>
      </c>
      <c r="F517" s="1094">
        <v>1.002608400438008</v>
      </c>
      <c r="G517" s="1094">
        <v>0.97087155259844871</v>
      </c>
      <c r="H517" s="1094">
        <v>1.0268689336460197</v>
      </c>
      <c r="I517" s="1094">
        <v>1.0122686071601543</v>
      </c>
      <c r="K517">
        <v>4.5000158365635379</v>
      </c>
      <c r="L517">
        <v>0</v>
      </c>
      <c r="M517">
        <v>1.389203609880681E-3</v>
      </c>
      <c r="N517">
        <v>0.13160249427824819</v>
      </c>
      <c r="O517">
        <v>3.7659113227150084E-2</v>
      </c>
      <c r="P517">
        <v>1.9621321301163078E-2</v>
      </c>
      <c r="Q517">
        <v>1.3160512186791231E-3</v>
      </c>
      <c r="R517">
        <v>1.3836688240784405E-3</v>
      </c>
      <c r="S517">
        <v>0.23306865891945491</v>
      </c>
      <c r="T517">
        <v>3.9751956069824619</v>
      </c>
      <c r="U517">
        <v>0</v>
      </c>
      <c r="V517">
        <v>9.4523053561131869E-3</v>
      </c>
      <c r="W517">
        <v>7.6806180407599067E-2</v>
      </c>
      <c r="X517">
        <v>1.1389285923506751E-2</v>
      </c>
      <c r="Y517">
        <v>3.9103537349630558E-3</v>
      </c>
    </row>
    <row r="518" spans="1:25" x14ac:dyDescent="0.25">
      <c r="A518" s="1090"/>
      <c r="B518" s="1448">
        <v>268</v>
      </c>
      <c r="C518" s="1094">
        <v>1.0032244927291423</v>
      </c>
      <c r="D518" s="1094">
        <v>0.97145912476323237</v>
      </c>
      <c r="E518" s="1094">
        <v>1.0164608259288648</v>
      </c>
      <c r="F518" s="1094">
        <v>0.97409679765230872</v>
      </c>
      <c r="G518" s="1094">
        <v>0.9999685387394589</v>
      </c>
      <c r="H518" s="1094">
        <v>1.0145275061125116</v>
      </c>
      <c r="I518" s="1094">
        <v>1.0053443990796884</v>
      </c>
      <c r="K518">
        <v>4.3789912369379538</v>
      </c>
      <c r="L518">
        <v>0</v>
      </c>
      <c r="M518">
        <v>1.4082640940678536E-3</v>
      </c>
      <c r="N518">
        <v>0.1279549359602723</v>
      </c>
      <c r="O518">
        <v>3.7600007654543161E-2</v>
      </c>
      <c r="P518">
        <v>1.8892922868473737E-2</v>
      </c>
      <c r="Q518">
        <v>1.3331116162669872E-3</v>
      </c>
      <c r="R518">
        <v>1.402419593153582E-3</v>
      </c>
      <c r="S518">
        <v>0.23089197221251828</v>
      </c>
      <c r="T518">
        <v>3.8626665780006331</v>
      </c>
      <c r="U518">
        <v>0</v>
      </c>
      <c r="V518">
        <v>9.4523053561131835E-3</v>
      </c>
      <c r="W518">
        <v>7.5378804851460812E-2</v>
      </c>
      <c r="X518">
        <v>1.0863098078664073E-2</v>
      </c>
      <c r="Y518">
        <v>3.9633448399229018E-3</v>
      </c>
    </row>
    <row r="519" spans="1:25" x14ac:dyDescent="0.25">
      <c r="A519" s="1090"/>
      <c r="B519" s="1448">
        <v>269</v>
      </c>
      <c r="C519" s="1094">
        <v>0.99769360688570052</v>
      </c>
      <c r="D519" s="1094">
        <v>0.96853976361623495</v>
      </c>
      <c r="E519" s="1094">
        <v>0.96415980862310613</v>
      </c>
      <c r="F519" s="1094">
        <v>1.0014463395302156</v>
      </c>
      <c r="G519" s="1094">
        <v>1.0122441730859537</v>
      </c>
      <c r="H519" s="1094">
        <v>1.0379519273593016</v>
      </c>
      <c r="I519" s="1094">
        <v>1.0079398784248128</v>
      </c>
      <c r="K519">
        <v>4.5040137300995271</v>
      </c>
      <c r="L519">
        <v>0</v>
      </c>
      <c r="M519">
        <v>1.6644005881992188E-3</v>
      </c>
      <c r="N519">
        <v>0.12953002702734973</v>
      </c>
      <c r="O519">
        <v>3.9281290846197255E-2</v>
      </c>
      <c r="P519">
        <v>1.8690062762113161E-2</v>
      </c>
      <c r="Q519">
        <v>1.2829269652925644E-3</v>
      </c>
      <c r="R519">
        <v>1.6578326033094212E-3</v>
      </c>
      <c r="S519">
        <v>0.23917306570247904</v>
      </c>
      <c r="T519">
        <v>3.9731219383799306</v>
      </c>
      <c r="U519">
        <v>0</v>
      </c>
      <c r="V519">
        <v>9.4523053561131835E-3</v>
      </c>
      <c r="W519">
        <v>7.9070957253284779E-2</v>
      </c>
      <c r="X519">
        <v>9.7325622851748145E-3</v>
      </c>
      <c r="Y519">
        <v>4.6851615064841647E-3</v>
      </c>
    </row>
    <row r="520" spans="1:25" x14ac:dyDescent="0.25">
      <c r="A520" s="1090"/>
      <c r="B520" s="1448">
        <v>270</v>
      </c>
      <c r="C520" s="1094">
        <v>0.96245999343082345</v>
      </c>
      <c r="D520" s="1094">
        <v>1.0042029123544207</v>
      </c>
      <c r="E520" s="1094">
        <v>0.98679871349659265</v>
      </c>
      <c r="F520" s="1094">
        <v>1.0111964561785365</v>
      </c>
      <c r="G520" s="1094">
        <v>0.99530639987559244</v>
      </c>
      <c r="H520" s="1094">
        <v>1.0164934564054482</v>
      </c>
      <c r="I520" s="1094">
        <v>1.0223344388332742</v>
      </c>
      <c r="K520">
        <v>4.5586804239908485</v>
      </c>
      <c r="L520">
        <v>0</v>
      </c>
      <c r="M520">
        <v>1.6035529387372716E-3</v>
      </c>
      <c r="N520">
        <v>0.13346308869292364</v>
      </c>
      <c r="O520">
        <v>4.0362969527834087E-2</v>
      </c>
      <c r="P520">
        <v>1.9228000164493241E-2</v>
      </c>
      <c r="Q520">
        <v>1.3368849943208828E-3</v>
      </c>
      <c r="R520">
        <v>1.5971535346323976E-3</v>
      </c>
      <c r="S520">
        <v>0.24860388757090499</v>
      </c>
      <c r="T520">
        <v>4.0109222104570463</v>
      </c>
      <c r="U520">
        <v>0</v>
      </c>
      <c r="V520">
        <v>9.4523053561131973E-3</v>
      </c>
      <c r="W520">
        <v>8.021408407220057E-2</v>
      </c>
      <c r="X520">
        <v>1.0589714733336584E-2</v>
      </c>
      <c r="Y520">
        <v>4.5136778257751538E-3</v>
      </c>
    </row>
    <row r="521" spans="1:25" x14ac:dyDescent="0.25">
      <c r="A521" s="1090"/>
      <c r="B521" s="1448">
        <v>271</v>
      </c>
      <c r="C521" s="1094">
        <v>1.0027709068783563</v>
      </c>
      <c r="D521" s="1094">
        <v>0.99077915657260895</v>
      </c>
      <c r="E521" s="1094">
        <v>1.0266901838032572</v>
      </c>
      <c r="F521" s="1094">
        <v>1.0037550291387776</v>
      </c>
      <c r="G521" s="1094">
        <v>1.0095173263894717</v>
      </c>
      <c r="H521" s="1094">
        <v>0.99714460783298964</v>
      </c>
      <c r="I521" s="1094">
        <v>1.0020357168548868</v>
      </c>
      <c r="K521">
        <v>4.5018219283260814</v>
      </c>
      <c r="L521">
        <v>0</v>
      </c>
      <c r="M521">
        <v>1.3852844991287742E-3</v>
      </c>
      <c r="N521">
        <v>0.129740828410596</v>
      </c>
      <c r="O521">
        <v>3.8387418908763356E-2</v>
      </c>
      <c r="P521">
        <v>1.9584501896543705E-2</v>
      </c>
      <c r="Q521">
        <v>1.3347428256084743E-3</v>
      </c>
      <c r="R521">
        <v>1.3796072703678994E-3</v>
      </c>
      <c r="S521">
        <v>0.23217716601236996</v>
      </c>
      <c r="T521">
        <v>3.9798859502307513</v>
      </c>
      <c r="U521">
        <v>0</v>
      </c>
      <c r="V521">
        <v>9.4523053561131887E-3</v>
      </c>
      <c r="W521">
        <v>7.5911884582643738E-2</v>
      </c>
      <c r="X521">
        <v>1.1453931857357521E-2</v>
      </c>
      <c r="Y521">
        <v>3.8988754740921102E-3</v>
      </c>
    </row>
    <row r="522" spans="1:25" x14ac:dyDescent="0.25">
      <c r="A522" s="1090"/>
      <c r="B522" s="1448">
        <v>272</v>
      </c>
      <c r="C522" s="1094">
        <v>1.0186506364859498</v>
      </c>
      <c r="D522" s="1094">
        <v>0.98054371068282198</v>
      </c>
      <c r="E522" s="1094">
        <v>0.96422281981767588</v>
      </c>
      <c r="F522" s="1094">
        <v>1.018140071646749</v>
      </c>
      <c r="G522" s="1094">
        <v>0.99319367071998421</v>
      </c>
      <c r="H522" s="1094">
        <v>1.0279324235777767</v>
      </c>
      <c r="I522" s="1094">
        <v>0.98264403925049038</v>
      </c>
      <c r="K522">
        <v>4.5563508801762556</v>
      </c>
      <c r="L522">
        <v>0</v>
      </c>
      <c r="M522">
        <v>1.6329417396137638E-3</v>
      </c>
      <c r="N522">
        <v>0.12710896557219725</v>
      </c>
      <c r="O522">
        <v>3.8921797877794324E-2</v>
      </c>
      <c r="P522">
        <v>1.8940577576386539E-2</v>
      </c>
      <c r="Q522">
        <v>1.2504261752592223E-3</v>
      </c>
      <c r="R522">
        <v>1.6265413417826571E-3</v>
      </c>
      <c r="S522">
        <v>0.22932559809938124</v>
      </c>
      <c r="T522">
        <v>4.0393498943487769</v>
      </c>
      <c r="U522">
        <v>0</v>
      </c>
      <c r="V522">
        <v>9.4523053561131973E-3</v>
      </c>
      <c r="W522">
        <v>7.7589646326592349E-2</v>
      </c>
      <c r="X522">
        <v>9.821339229145791E-3</v>
      </c>
      <c r="Y522">
        <v>4.5967300124347254E-3</v>
      </c>
    </row>
    <row r="523" spans="1:25" x14ac:dyDescent="0.25">
      <c r="A523" s="1090"/>
      <c r="B523" s="1448">
        <v>273</v>
      </c>
      <c r="C523" s="1094">
        <v>0.98793760574650769</v>
      </c>
      <c r="D523" s="1094">
        <v>1.0048080688951784</v>
      </c>
      <c r="E523" s="1094">
        <v>1.0211174812207919</v>
      </c>
      <c r="F523" s="1094">
        <v>0.95712883095894263</v>
      </c>
      <c r="G523" s="1094">
        <v>0.9755360541249446</v>
      </c>
      <c r="H523" s="1094">
        <v>0.99726535748649203</v>
      </c>
      <c r="I523" s="1094">
        <v>0.99242365080601225</v>
      </c>
      <c r="K523">
        <v>4.2986529410633034</v>
      </c>
      <c r="L523">
        <v>0</v>
      </c>
      <c r="M523">
        <v>1.3494776780823476E-3</v>
      </c>
      <c r="N523">
        <v>0.12429643049133282</v>
      </c>
      <c r="O523">
        <v>3.6982603484265859E-2</v>
      </c>
      <c r="P523">
        <v>1.861913010850369E-2</v>
      </c>
      <c r="Q523">
        <v>1.3408628397204075E-3</v>
      </c>
      <c r="R523">
        <v>1.343679635180614E-3</v>
      </c>
      <c r="S523">
        <v>0.2251091277565016</v>
      </c>
      <c r="T523">
        <v>3.7952139339510911</v>
      </c>
      <c r="U523">
        <v>0</v>
      </c>
      <c r="V523">
        <v>9.4523053561131904E-3</v>
      </c>
      <c r="W523">
        <v>7.2996371624785839E-2</v>
      </c>
      <c r="X523">
        <v>1.0850632259783633E-2</v>
      </c>
      <c r="Y523">
        <v>3.7973412341076518E-3</v>
      </c>
    </row>
    <row r="524" spans="1:25" x14ac:dyDescent="0.25">
      <c r="A524" s="1090"/>
      <c r="B524" s="1448">
        <v>274</v>
      </c>
      <c r="C524" s="1094">
        <v>0.97945594745773279</v>
      </c>
      <c r="D524" s="1094">
        <v>0.98932047185855509</v>
      </c>
      <c r="E524" s="1094">
        <v>0.97893793852004807</v>
      </c>
      <c r="F524" s="1094">
        <v>1.0072804122982444</v>
      </c>
      <c r="G524" s="1094">
        <v>1.0017647649910328</v>
      </c>
      <c r="H524" s="1094">
        <v>1.0282918492732598</v>
      </c>
      <c r="I524" s="1094">
        <v>0.99831517194246633</v>
      </c>
      <c r="K524">
        <v>4.5318426818547026</v>
      </c>
      <c r="L524">
        <v>0</v>
      </c>
      <c r="M524">
        <v>1.6239719509951354E-3</v>
      </c>
      <c r="N524">
        <v>0.13205097503965271</v>
      </c>
      <c r="O524">
        <v>3.9801230053401387E-2</v>
      </c>
      <c r="P524">
        <v>1.9006890986044564E-2</v>
      </c>
      <c r="Q524">
        <v>1.3125857325008039E-3</v>
      </c>
      <c r="R524">
        <v>1.6175406142138048E-3</v>
      </c>
      <c r="S524">
        <v>0.23992317935592233</v>
      </c>
      <c r="T524">
        <v>3.9956932240278333</v>
      </c>
      <c r="U524">
        <v>0</v>
      </c>
      <c r="V524">
        <v>9.4523053561131991E-3</v>
      </c>
      <c r="W524">
        <v>7.9793124330855433E-2</v>
      </c>
      <c r="X524">
        <v>1.0244305040003315E-2</v>
      </c>
      <c r="Y524">
        <v>4.5712932691521074E-3</v>
      </c>
    </row>
    <row r="525" spans="1:25" x14ac:dyDescent="0.25">
      <c r="A525" s="1090"/>
      <c r="B525" s="1448">
        <v>275</v>
      </c>
      <c r="C525" s="1094">
        <v>1.0398165905468559</v>
      </c>
      <c r="D525" s="1094">
        <v>0.96486994838059581</v>
      </c>
      <c r="E525" s="1094">
        <v>1.0024742188212601</v>
      </c>
      <c r="F525" s="1094">
        <v>1.0155337948613457</v>
      </c>
      <c r="G525" s="1094">
        <v>0.99735290852475389</v>
      </c>
      <c r="H525" s="1094">
        <v>1.0316584944124201</v>
      </c>
      <c r="I525" s="1094">
        <v>1.035087982249197</v>
      </c>
      <c r="K525">
        <v>4.5551656200178448</v>
      </c>
      <c r="L525">
        <v>0</v>
      </c>
      <c r="M525">
        <v>1.4873331246130551E-3</v>
      </c>
      <c r="N525">
        <v>0.12968753221055238</v>
      </c>
      <c r="O525">
        <v>3.8018383506631725E-2</v>
      </c>
      <c r="P525">
        <v>1.9480940354590352E-2</v>
      </c>
      <c r="Q525">
        <v>1.2744287035963882E-3</v>
      </c>
      <c r="R525">
        <v>1.4815096552413672E-3</v>
      </c>
      <c r="S525">
        <v>0.23769356199711847</v>
      </c>
      <c r="T525">
        <v>4.0275185151570696</v>
      </c>
      <c r="U525">
        <v>0</v>
      </c>
      <c r="V525">
        <v>9.4523053561131783E-3</v>
      </c>
      <c r="W525">
        <v>7.7120468690307156E-2</v>
      </c>
      <c r="X525">
        <v>1.0738448117616869E-2</v>
      </c>
      <c r="Y525">
        <v>4.1868593936235784E-3</v>
      </c>
    </row>
    <row r="526" spans="1:25" x14ac:dyDescent="0.25">
      <c r="A526" s="1090"/>
      <c r="B526" s="1448">
        <v>276</v>
      </c>
      <c r="C526" s="1094">
        <v>1.0021754235127338</v>
      </c>
      <c r="D526" s="1094">
        <v>1.0152818668256272</v>
      </c>
      <c r="E526" s="1094">
        <v>1.0211703264691678</v>
      </c>
      <c r="F526" s="1094">
        <v>1.0223666546318295</v>
      </c>
      <c r="G526" s="1094">
        <v>1.0059200779238247</v>
      </c>
      <c r="H526" s="1094">
        <v>0.99730574251355963</v>
      </c>
      <c r="I526" s="1094">
        <v>0.98300455367793538</v>
      </c>
      <c r="K526">
        <v>4.5746948362926467</v>
      </c>
      <c r="L526">
        <v>0</v>
      </c>
      <c r="M526">
        <v>1.4146098778172582E-3</v>
      </c>
      <c r="N526">
        <v>0.1303516968282725</v>
      </c>
      <c r="O526">
        <v>3.8780552189508447E-2</v>
      </c>
      <c r="P526">
        <v>1.9833466206615857E-2</v>
      </c>
      <c r="Q526">
        <v>1.3164007604068489E-3</v>
      </c>
      <c r="R526">
        <v>1.4089185015424249E-3</v>
      </c>
      <c r="S526">
        <v>0.22908595668969434</v>
      </c>
      <c r="T526">
        <v>4.0538933725459447</v>
      </c>
      <c r="U526">
        <v>0</v>
      </c>
      <c r="V526">
        <v>9.4523053561131904E-3</v>
      </c>
      <c r="W526">
        <v>7.6549791880957674E-2</v>
      </c>
      <c r="X526">
        <v>1.1455273960208576E-2</v>
      </c>
      <c r="Y526">
        <v>3.9817112511979563E-3</v>
      </c>
    </row>
    <row r="527" spans="1:25" x14ac:dyDescent="0.25">
      <c r="A527" s="1090"/>
      <c r="B527" s="1448">
        <v>277</v>
      </c>
      <c r="C527" s="1094">
        <v>1.0141195856623797</v>
      </c>
      <c r="D527" s="1094">
        <v>1.0478016074031358</v>
      </c>
      <c r="E527" s="1094">
        <v>1.0115438168815096</v>
      </c>
      <c r="F527" s="1094">
        <v>1.0060235483945519</v>
      </c>
      <c r="G527" s="1094">
        <v>0.97906315249594722</v>
      </c>
      <c r="H527" s="1094">
        <v>0.97535689181031204</v>
      </c>
      <c r="I527" s="1094">
        <v>1.0053264369940895</v>
      </c>
      <c r="K527">
        <v>4.4900629753195114</v>
      </c>
      <c r="L527">
        <v>0</v>
      </c>
      <c r="M527">
        <v>1.3558314474841509E-3</v>
      </c>
      <c r="N527">
        <v>0.12140730293955648</v>
      </c>
      <c r="O527">
        <v>3.730308773182444E-2</v>
      </c>
      <c r="P527">
        <v>1.938043481745183E-2</v>
      </c>
      <c r="Q527">
        <v>1.2741475928865088E-3</v>
      </c>
      <c r="R527">
        <v>1.3501635589568705E-3</v>
      </c>
      <c r="S527">
        <v>0.22523649850821043</v>
      </c>
      <c r="T527">
        <v>3.9894554412660757</v>
      </c>
      <c r="U527">
        <v>0</v>
      </c>
      <c r="V527">
        <v>9.4523053561131991E-3</v>
      </c>
      <c r="W527">
        <v>7.1757396658939807E-2</v>
      </c>
      <c r="X527">
        <v>1.09863630392543E-2</v>
      </c>
      <c r="Y527">
        <v>3.8156652977235162E-3</v>
      </c>
    </row>
    <row r="528" spans="1:25" x14ac:dyDescent="0.25">
      <c r="A528" s="1090"/>
      <c r="B528" s="1448">
        <v>278</v>
      </c>
      <c r="C528" s="1094">
        <v>0.98174338703417674</v>
      </c>
      <c r="D528" s="1094">
        <v>1.0212714256062814</v>
      </c>
      <c r="E528" s="1094">
        <v>0.99275492904227713</v>
      </c>
      <c r="F528" s="1094">
        <v>1.0075669665654881</v>
      </c>
      <c r="G528" s="1094">
        <v>0.96957139121203395</v>
      </c>
      <c r="H528" s="1094">
        <v>0.97124481632274229</v>
      </c>
      <c r="I528" s="1094">
        <v>1.0085814502711605</v>
      </c>
      <c r="K528">
        <v>4.5141261631554519</v>
      </c>
      <c r="L528">
        <v>0</v>
      </c>
      <c r="M528">
        <v>1.468148990550729E-3</v>
      </c>
      <c r="N528">
        <v>0.12434566420486268</v>
      </c>
      <c r="O528">
        <v>3.9121661583229515E-2</v>
      </c>
      <c r="P528">
        <v>1.9187154825706671E-2</v>
      </c>
      <c r="Q528">
        <v>1.3085257715980149E-3</v>
      </c>
      <c r="R528">
        <v>1.4619949902967319E-3</v>
      </c>
      <c r="S528">
        <v>0.23512218202011456</v>
      </c>
      <c r="T528">
        <v>3.996296123002459</v>
      </c>
      <c r="U528">
        <v>0</v>
      </c>
      <c r="V528">
        <v>9.4523053561131869E-3</v>
      </c>
      <c r="W528">
        <v>7.4431984521673031E-2</v>
      </c>
      <c r="X528">
        <v>1.0735006409333676E-2</v>
      </c>
      <c r="Y528">
        <v>4.1317094606158492E-3</v>
      </c>
    </row>
    <row r="529" spans="1:25" x14ac:dyDescent="0.25">
      <c r="A529" s="1090"/>
      <c r="B529" s="1448">
        <v>279</v>
      </c>
      <c r="C529" s="1094">
        <v>1.029571848854363</v>
      </c>
      <c r="D529" s="1094">
        <v>1.0226125333242708</v>
      </c>
      <c r="E529" s="1094">
        <v>1.0409368037668929</v>
      </c>
      <c r="F529" s="1094">
        <v>1.0127812754456766</v>
      </c>
      <c r="G529" s="1094">
        <v>0.95936063960493956</v>
      </c>
      <c r="H529" s="1094">
        <v>0.9837558220329955</v>
      </c>
      <c r="I529" s="1094">
        <v>1.0418598826756809</v>
      </c>
      <c r="K529">
        <v>4.5302135066245492</v>
      </c>
      <c r="L529">
        <v>0</v>
      </c>
      <c r="M529">
        <v>1.2867526669686476E-3</v>
      </c>
      <c r="N529">
        <v>0.12569304650529303</v>
      </c>
      <c r="O529">
        <v>3.7154352097637032E-2</v>
      </c>
      <c r="P529">
        <v>1.9957733128365348E-2</v>
      </c>
      <c r="Q529">
        <v>1.2990897108097019E-3</v>
      </c>
      <c r="R529">
        <v>1.2814549199645689E-3</v>
      </c>
      <c r="S529">
        <v>0.23328189604692681</v>
      </c>
      <c r="T529">
        <v>4.015134664719672</v>
      </c>
      <c r="U529">
        <v>0</v>
      </c>
      <c r="V529">
        <v>9.4523053561131973E-3</v>
      </c>
      <c r="W529">
        <v>7.2854603828028011E-2</v>
      </c>
      <c r="X529">
        <v>1.1769623540427347E-2</v>
      </c>
      <c r="Y529">
        <v>3.621489438274836E-3</v>
      </c>
    </row>
    <row r="530" spans="1:25" x14ac:dyDescent="0.25">
      <c r="A530" s="1090"/>
      <c r="B530" s="1448">
        <v>280</v>
      </c>
      <c r="C530" s="1094">
        <v>0.97845086052874131</v>
      </c>
      <c r="D530" s="1094">
        <v>0.9800968098890892</v>
      </c>
      <c r="E530" s="1094">
        <v>1.0023020513973278</v>
      </c>
      <c r="F530" s="1094">
        <v>1.0057284361950738</v>
      </c>
      <c r="G530" s="1094">
        <v>0.99622422654882581</v>
      </c>
      <c r="H530" s="1094">
        <v>1.0053357550998909</v>
      </c>
      <c r="I530" s="1094">
        <v>1.0181125306517174</v>
      </c>
      <c r="K530">
        <v>4.5280190725659706</v>
      </c>
      <c r="L530">
        <v>0</v>
      </c>
      <c r="M530">
        <v>1.5164986877285909E-3</v>
      </c>
      <c r="N530">
        <v>0.13214441050469131</v>
      </c>
      <c r="O530">
        <v>3.9764087840728171E-2</v>
      </c>
      <c r="P530">
        <v>1.9327932018373579E-2</v>
      </c>
      <c r="Q530">
        <v>1.3457029517734683E-3</v>
      </c>
      <c r="R530">
        <v>1.51034639541521E-3</v>
      </c>
      <c r="S530">
        <v>0.24354216939086992</v>
      </c>
      <c r="T530">
        <v>3.9886379034645834</v>
      </c>
      <c r="U530">
        <v>0</v>
      </c>
      <c r="V530">
        <v>9.4523053561131904E-3</v>
      </c>
      <c r="W530">
        <v>7.8590614793469765E-2</v>
      </c>
      <c r="X530">
        <v>1.0951744314741814E-2</v>
      </c>
      <c r="Y530">
        <v>4.2683542229358211E-3</v>
      </c>
    </row>
    <row r="531" spans="1:25" x14ac:dyDescent="0.25">
      <c r="A531" s="1090"/>
      <c r="B531" s="1448">
        <v>281</v>
      </c>
      <c r="C531" s="1094">
        <v>1.0102073874623094</v>
      </c>
      <c r="D531" s="1094">
        <v>0.98872809842699183</v>
      </c>
      <c r="E531" s="1094">
        <v>1.0107183243734668</v>
      </c>
      <c r="F531" s="1094">
        <v>0.95636546730197702</v>
      </c>
      <c r="G531" s="1094">
        <v>0.99653849739427813</v>
      </c>
      <c r="H531" s="1094">
        <v>1.024008513227348</v>
      </c>
      <c r="I531" s="1094">
        <v>0.9919460865973091</v>
      </c>
      <c r="K531">
        <v>4.2935355704592704</v>
      </c>
      <c r="L531">
        <v>0</v>
      </c>
      <c r="M531">
        <v>1.3930579207391673E-3</v>
      </c>
      <c r="N531">
        <v>0.12443534442685425</v>
      </c>
      <c r="O531">
        <v>3.6440504285418597E-2</v>
      </c>
      <c r="P531">
        <v>1.8455307938726274E-2</v>
      </c>
      <c r="Q531">
        <v>1.3082000353276599E-3</v>
      </c>
      <c r="R531">
        <v>1.3872243148419286E-3</v>
      </c>
      <c r="S531">
        <v>0.22293921119947402</v>
      </c>
      <c r="T531">
        <v>3.7925628116132817</v>
      </c>
      <c r="U531">
        <v>0</v>
      </c>
      <c r="V531">
        <v>9.4523053561131904E-3</v>
      </c>
      <c r="W531">
        <v>7.3587847892366859E-2</v>
      </c>
      <c r="X531">
        <v>1.043946949429485E-2</v>
      </c>
      <c r="Y531">
        <v>3.9204018233095512E-3</v>
      </c>
    </row>
    <row r="532" spans="1:25" x14ac:dyDescent="0.25">
      <c r="A532" s="1090"/>
      <c r="B532" s="1448">
        <v>282</v>
      </c>
      <c r="C532" s="1094">
        <v>0.97607920253141067</v>
      </c>
      <c r="D532" s="1094">
        <v>0.99531908711981887</v>
      </c>
      <c r="E532" s="1094">
        <v>0.99996072382491374</v>
      </c>
      <c r="F532" s="1094">
        <v>1.0199577232925228</v>
      </c>
      <c r="G532" s="1094">
        <v>0.99269971381719457</v>
      </c>
      <c r="H532" s="1094">
        <v>0.98985247217492656</v>
      </c>
      <c r="I532" s="1094">
        <v>0.98491916095470522</v>
      </c>
      <c r="K532">
        <v>4.5764171444416348</v>
      </c>
      <c r="L532">
        <v>0</v>
      </c>
      <c r="M532">
        <v>1.515990463290227E-3</v>
      </c>
      <c r="N532">
        <v>0.13118614117497163</v>
      </c>
      <c r="O532">
        <v>4.0193054093003278E-2</v>
      </c>
      <c r="P532">
        <v>1.9517575043386755E-2</v>
      </c>
      <c r="Q532">
        <v>1.3379965645025644E-3</v>
      </c>
      <c r="R532">
        <v>1.5098308234482124E-3</v>
      </c>
      <c r="S532">
        <v>0.23611062100033317</v>
      </c>
      <c r="T532">
        <v>4.0451609978342242</v>
      </c>
      <c r="U532">
        <v>0</v>
      </c>
      <c r="V532">
        <v>9.4523053561131817E-3</v>
      </c>
      <c r="W532">
        <v>7.814416678272286E-2</v>
      </c>
      <c r="X532">
        <v>1.105354905502566E-2</v>
      </c>
      <c r="Y532">
        <v>4.266897177195029E-3</v>
      </c>
    </row>
    <row r="533" spans="1:25" x14ac:dyDescent="0.25">
      <c r="A533" s="1090"/>
      <c r="B533" s="1448">
        <v>283</v>
      </c>
      <c r="C533" s="1094">
        <v>1.0280494358421659</v>
      </c>
      <c r="D533" s="1094">
        <v>1.0182897400051243</v>
      </c>
      <c r="E533" s="1094">
        <v>0.97563415029263667</v>
      </c>
      <c r="F533" s="1094">
        <v>1.009046108461338</v>
      </c>
      <c r="G533" s="1094">
        <v>1.0115889337990747</v>
      </c>
      <c r="H533" s="1094">
        <v>1.0311835961828708</v>
      </c>
      <c r="I533" s="1094">
        <v>1.0082327226126639</v>
      </c>
      <c r="K533">
        <v>4.5136739512494364</v>
      </c>
      <c r="L533">
        <v>0</v>
      </c>
      <c r="M533">
        <v>1.5471187969838178E-3</v>
      </c>
      <c r="N533">
        <v>0.12457649842580278</v>
      </c>
      <c r="O533">
        <v>3.7572394069185548E-2</v>
      </c>
      <c r="P533">
        <v>1.8943751598613418E-2</v>
      </c>
      <c r="Q533">
        <v>1.2326427133630053E-3</v>
      </c>
      <c r="R533">
        <v>1.5410196477415726E-3</v>
      </c>
      <c r="S533">
        <v>0.22933618138694986</v>
      </c>
      <c r="T533">
        <v>4.0028257665314202</v>
      </c>
      <c r="U533">
        <v>0</v>
      </c>
      <c r="V533">
        <v>9.4523053561131904E-3</v>
      </c>
      <c r="W533">
        <v>7.5447497316701181E-2</v>
      </c>
      <c r="X533">
        <v>9.9379738247287117E-3</v>
      </c>
      <c r="Y533">
        <v>4.3550391758021573E-3</v>
      </c>
    </row>
    <row r="534" spans="1:25" x14ac:dyDescent="0.25">
      <c r="A534" s="1090"/>
      <c r="B534" s="1448">
        <v>284</v>
      </c>
      <c r="C534" s="1094">
        <v>0.99127622499605716</v>
      </c>
      <c r="D534" s="1094">
        <v>0.99839359324548538</v>
      </c>
      <c r="E534" s="1094">
        <v>1.0264791015062273</v>
      </c>
      <c r="F534" s="1094">
        <v>0.98587183048291704</v>
      </c>
      <c r="G534" s="1094">
        <v>1.0407274677489389</v>
      </c>
      <c r="H534" s="1094">
        <v>1.0136868373255807</v>
      </c>
      <c r="I534" s="1094">
        <v>1.0027349812956672</v>
      </c>
      <c r="K534">
        <v>4.4322342121576277</v>
      </c>
      <c r="L534">
        <v>0</v>
      </c>
      <c r="M534">
        <v>1.3956626400046016E-3</v>
      </c>
      <c r="N534">
        <v>0.13063046313682919</v>
      </c>
      <c r="O534">
        <v>3.8025526600108474E-2</v>
      </c>
      <c r="P534">
        <v>1.9256049412593425E-2</v>
      </c>
      <c r="Q534">
        <v>1.3458523265926382E-3</v>
      </c>
      <c r="R534">
        <v>1.3899345834760921E-3</v>
      </c>
      <c r="S534">
        <v>0.23291428694004601</v>
      </c>
      <c r="T534">
        <v>3.9089869375703201</v>
      </c>
      <c r="U534">
        <v>0</v>
      </c>
      <c r="V534">
        <v>9.4523053561132026E-3</v>
      </c>
      <c r="W534">
        <v>7.6443124170590196E-2</v>
      </c>
      <c r="X534">
        <v>1.1257333451568145E-2</v>
      </c>
      <c r="Y534">
        <v>3.9280612493889184E-3</v>
      </c>
    </row>
    <row r="535" spans="1:25" x14ac:dyDescent="0.25">
      <c r="A535" s="1090"/>
      <c r="B535" s="1448">
        <v>285</v>
      </c>
      <c r="C535" s="1094">
        <v>0.99249315172383279</v>
      </c>
      <c r="D535" s="1094">
        <v>1.0159042016490278</v>
      </c>
      <c r="E535" s="1094">
        <v>1.0061087272010336</v>
      </c>
      <c r="F535" s="1094">
        <v>0.98838803214326587</v>
      </c>
      <c r="G535" s="1094">
        <v>1.0184907351754862</v>
      </c>
      <c r="H535" s="1094">
        <v>0.99959443888719346</v>
      </c>
      <c r="I535" s="1094">
        <v>1.0169545691660384</v>
      </c>
      <c r="K535">
        <v>4.4368172486781425</v>
      </c>
      <c r="L535">
        <v>0</v>
      </c>
      <c r="M535">
        <v>1.4286529058147727E-3</v>
      </c>
      <c r="N535">
        <v>0.12588939277712918</v>
      </c>
      <c r="O535">
        <v>3.7950689855157801E-2</v>
      </c>
      <c r="P535">
        <v>1.9024171277131775E-2</v>
      </c>
      <c r="Q535">
        <v>1.3120194353028341E-3</v>
      </c>
      <c r="R535">
        <v>1.4227218620853279E-3</v>
      </c>
      <c r="S535">
        <v>0.23401176442568197</v>
      </c>
      <c r="T535">
        <v>3.919724275744723</v>
      </c>
      <c r="U535">
        <v>0</v>
      </c>
      <c r="V535">
        <v>9.4523053561132026E-3</v>
      </c>
      <c r="W535">
        <v>7.4678715797732359E-2</v>
      </c>
      <c r="X535">
        <v>1.075912445096301E-2</v>
      </c>
      <c r="Y535">
        <v>4.0207206019289236E-3</v>
      </c>
    </row>
    <row r="536" spans="1:25" x14ac:dyDescent="0.25">
      <c r="A536" s="1090"/>
      <c r="B536" s="1448">
        <v>286</v>
      </c>
      <c r="C536" s="1094">
        <v>1.0329563898799698</v>
      </c>
      <c r="D536" s="1094">
        <v>0.99565036597206658</v>
      </c>
      <c r="E536" s="1094">
        <v>0.96802384499492411</v>
      </c>
      <c r="F536" s="1094">
        <v>1.0084507618438998</v>
      </c>
      <c r="G536" s="1094">
        <v>0.99889615781528196</v>
      </c>
      <c r="H536" s="1094">
        <v>1.0256218541988642</v>
      </c>
      <c r="I536" s="1094">
        <v>1.0226531999095083</v>
      </c>
      <c r="K536">
        <v>4.5135433866236294</v>
      </c>
      <c r="L536">
        <v>0</v>
      </c>
      <c r="M536">
        <v>1.569231139839709E-3</v>
      </c>
      <c r="N536">
        <v>0.12353090689788822</v>
      </c>
      <c r="O536">
        <v>3.7760319721962698E-2</v>
      </c>
      <c r="P536">
        <v>1.8839057342283569E-2</v>
      </c>
      <c r="Q536">
        <v>1.2296770306714673E-3</v>
      </c>
      <c r="R536">
        <v>1.5630076137290937E-3</v>
      </c>
      <c r="S536">
        <v>0.23257249903627555</v>
      </c>
      <c r="T536">
        <v>4.0007603304166999</v>
      </c>
      <c r="U536">
        <v>0</v>
      </c>
      <c r="V536">
        <v>9.4523053561132078E-3</v>
      </c>
      <c r="W536">
        <v>7.5207552428498178E-2</v>
      </c>
      <c r="X536">
        <v>9.7797830729569237E-3</v>
      </c>
      <c r="Y536">
        <v>4.417178846384681E-3</v>
      </c>
    </row>
    <row r="537" spans="1:25" x14ac:dyDescent="0.25">
      <c r="A537" s="1090"/>
      <c r="B537" s="1448">
        <v>287</v>
      </c>
      <c r="C537" s="1094">
        <v>0.9991468914150009</v>
      </c>
      <c r="D537" s="1094">
        <v>0.97188808522729753</v>
      </c>
      <c r="E537" s="1094">
        <v>1.0208398220651247</v>
      </c>
      <c r="F537" s="1094">
        <v>1.0089112450636775</v>
      </c>
      <c r="G537" s="1094">
        <v>1.0160323432103679</v>
      </c>
      <c r="H537" s="1094">
        <v>0.98423670355984327</v>
      </c>
      <c r="I537" s="1094">
        <v>0.99776446710118682</v>
      </c>
      <c r="K537">
        <v>4.5242400891356667</v>
      </c>
      <c r="L537">
        <v>0</v>
      </c>
      <c r="M537">
        <v>1.4072888638080267E-3</v>
      </c>
      <c r="N537">
        <v>0.12953636714874334</v>
      </c>
      <c r="O537">
        <v>3.9065076312267737E-2</v>
      </c>
      <c r="P537">
        <v>1.9601291461043967E-2</v>
      </c>
      <c r="Q537">
        <v>1.3432884938016862E-3</v>
      </c>
      <c r="R537">
        <v>1.4014755589143602E-3</v>
      </c>
      <c r="S537">
        <v>0.23320374621638049</v>
      </c>
      <c r="T537">
        <v>4.0005524823943333</v>
      </c>
      <c r="U537">
        <v>0</v>
      </c>
      <c r="V537">
        <v>9.4523053561132043E-3</v>
      </c>
      <c r="W537">
        <v>7.6087739484222733E-2</v>
      </c>
      <c r="X537">
        <v>1.1442928646559374E-2</v>
      </c>
      <c r="Y537">
        <v>3.9606769270892567E-3</v>
      </c>
    </row>
    <row r="538" spans="1:25" x14ac:dyDescent="0.25">
      <c r="A538" s="1090"/>
      <c r="B538" s="1448">
        <v>288</v>
      </c>
      <c r="C538" s="1094">
        <v>0.99071220566560969</v>
      </c>
      <c r="D538" s="1094">
        <v>0.96822715462350206</v>
      </c>
      <c r="E538" s="1094">
        <v>1.0015499374395249</v>
      </c>
      <c r="F538" s="1094">
        <v>0.95923005014637097</v>
      </c>
      <c r="G538" s="1094">
        <v>0.98556865648419345</v>
      </c>
      <c r="H538" s="1094">
        <v>0.96773727242490293</v>
      </c>
      <c r="I538" s="1094">
        <v>1.0099663782146691</v>
      </c>
      <c r="K538">
        <v>4.3066296126106094</v>
      </c>
      <c r="L538">
        <v>0</v>
      </c>
      <c r="M538">
        <v>1.3842437001640971E-3</v>
      </c>
      <c r="N538">
        <v>0.12030790589591313</v>
      </c>
      <c r="O538">
        <v>3.7644342755401454E-2</v>
      </c>
      <c r="P538">
        <v>1.8412190701361655E-2</v>
      </c>
      <c r="Q538">
        <v>1.3346819921179315E-3</v>
      </c>
      <c r="R538">
        <v>1.3781281823049662E-3</v>
      </c>
      <c r="S538">
        <v>0.22922024560271811</v>
      </c>
      <c r="T538">
        <v>3.8042565002935462</v>
      </c>
      <c r="U538">
        <v>0</v>
      </c>
      <c r="V538">
        <v>9.4523053561131973E-3</v>
      </c>
      <c r="W538">
        <v>7.1587390907823525E-2</v>
      </c>
      <c r="X538">
        <v>1.0525469165165129E-2</v>
      </c>
      <c r="Y538">
        <v>3.8946954583032301E-3</v>
      </c>
    </row>
    <row r="539" spans="1:25" x14ac:dyDescent="0.25">
      <c r="A539" s="1090"/>
      <c r="B539" s="1448">
        <v>289</v>
      </c>
      <c r="C539" s="1094">
        <v>0.98409471440055374</v>
      </c>
      <c r="D539" s="1094">
        <v>1.0285273743787222</v>
      </c>
      <c r="E539" s="1094">
        <v>1.0023384121250749</v>
      </c>
      <c r="F539" s="1094">
        <v>1.0238261408567946</v>
      </c>
      <c r="G539" s="1094">
        <v>0.99162872375718902</v>
      </c>
      <c r="H539" s="1094">
        <v>0.99300342778068884</v>
      </c>
      <c r="I539" s="1094">
        <v>1.0424509274231675</v>
      </c>
      <c r="K539">
        <v>4.5985653203891994</v>
      </c>
      <c r="L539">
        <v>0</v>
      </c>
      <c r="M539">
        <v>1.4869142789947186E-3</v>
      </c>
      <c r="N539">
        <v>0.12958329951359607</v>
      </c>
      <c r="O539">
        <v>3.9478173469240235E-2</v>
      </c>
      <c r="P539">
        <v>1.9668283983574179E-2</v>
      </c>
      <c r="Q539">
        <v>1.3124600332778801E-3</v>
      </c>
      <c r="R539">
        <v>1.4809146131435059E-3</v>
      </c>
      <c r="S539">
        <v>0.24634529377352873</v>
      </c>
      <c r="T539">
        <v>4.0604105252201821</v>
      </c>
      <c r="U539">
        <v>0</v>
      </c>
      <c r="V539">
        <v>9.4523053561131956E-3</v>
      </c>
      <c r="W539">
        <v>7.7065547139627835E-2</v>
      </c>
      <c r="X539">
        <v>1.1070253806679791E-2</v>
      </c>
      <c r="Y539">
        <v>4.1851777592257066E-3</v>
      </c>
    </row>
    <row r="540" spans="1:25" x14ac:dyDescent="0.25">
      <c r="A540" s="1090"/>
      <c r="B540" s="1448">
        <v>290</v>
      </c>
      <c r="C540" s="1094">
        <v>1.0103651825764406</v>
      </c>
      <c r="D540" s="1094">
        <v>1.0088176503667869</v>
      </c>
      <c r="E540" s="1094">
        <v>1.0202338697035875</v>
      </c>
      <c r="F540" s="1094">
        <v>1.024922834865196</v>
      </c>
      <c r="G540" s="1094">
        <v>1.0003531500181531</v>
      </c>
      <c r="H540" s="1094">
        <v>0.98244610591066139</v>
      </c>
      <c r="I540" s="1094">
        <v>0.95289384492912077</v>
      </c>
      <c r="K540">
        <v>4.5717316238761079</v>
      </c>
      <c r="L540">
        <v>0</v>
      </c>
      <c r="M540">
        <v>1.391974866338301E-3</v>
      </c>
      <c r="N540">
        <v>0.12790458079553874</v>
      </c>
      <c r="O540">
        <v>3.8667551091286854E-2</v>
      </c>
      <c r="P540">
        <v>1.9824800399433521E-2</v>
      </c>
      <c r="Q540">
        <v>1.3080341510819224E-3</v>
      </c>
      <c r="R540">
        <v>1.3863039734592912E-3</v>
      </c>
      <c r="S540">
        <v>0.21997985615460761</v>
      </c>
      <c r="T540">
        <v>4.0640653297719203</v>
      </c>
      <c r="U540">
        <v>0</v>
      </c>
      <c r="V540">
        <v>9.4523053561131991E-3</v>
      </c>
      <c r="W540">
        <v>7.5159602840813175E-2</v>
      </c>
      <c r="X540">
        <v>1.1457433339887319E-2</v>
      </c>
      <c r="Y540">
        <v>3.9178008682974773E-3</v>
      </c>
    </row>
    <row r="541" spans="1:25" x14ac:dyDescent="0.25">
      <c r="A541" s="1090"/>
      <c r="B541" s="1448">
        <v>291</v>
      </c>
      <c r="C541" s="1094">
        <v>1.0194170872800963</v>
      </c>
      <c r="D541" s="1094">
        <v>0.99332609326519172</v>
      </c>
      <c r="E541" s="1094">
        <v>1.0085649691930783</v>
      </c>
      <c r="F541" s="1094">
        <v>0.98922838470291319</v>
      </c>
      <c r="G541" s="1094">
        <v>0.9954862551077599</v>
      </c>
      <c r="H541" s="1094">
        <v>0.98264370244092014</v>
      </c>
      <c r="I541" s="1094">
        <v>0.95914674633978014</v>
      </c>
      <c r="K541">
        <v>4.4140383869879471</v>
      </c>
      <c r="L541">
        <v>0</v>
      </c>
      <c r="M541">
        <v>1.3737177317324776E-3</v>
      </c>
      <c r="N541">
        <v>0.1219240025909929</v>
      </c>
      <c r="O541">
        <v>3.729730869343599E-2</v>
      </c>
      <c r="P541">
        <v>1.8987867126323964E-2</v>
      </c>
      <c r="Q541">
        <v>1.2916064677999856E-3</v>
      </c>
      <c r="R541">
        <v>1.3679212816903982E-3</v>
      </c>
      <c r="S541">
        <v>0.21527896952877271</v>
      </c>
      <c r="T541">
        <v>3.9229647289860865</v>
      </c>
      <c r="U541">
        <v>0</v>
      </c>
      <c r="V541">
        <v>9.4523053561131904E-3</v>
      </c>
      <c r="W541">
        <v>7.220703526711357E-2</v>
      </c>
      <c r="X541">
        <v>1.0774509443443563E-2</v>
      </c>
      <c r="Y541">
        <v>3.8658499779064609E-3</v>
      </c>
    </row>
    <row r="542" spans="1:25" x14ac:dyDescent="0.25">
      <c r="A542" s="1090"/>
      <c r="B542" s="1448">
        <v>292</v>
      </c>
      <c r="C542" s="1094">
        <v>0.96735046427281779</v>
      </c>
      <c r="D542" s="1094">
        <v>1.0362403035757342</v>
      </c>
      <c r="E542" s="1094">
        <v>0.98374885590198902</v>
      </c>
      <c r="F542" s="1094">
        <v>0.98224417210102677</v>
      </c>
      <c r="G542" s="1094">
        <v>1.0122185590757251</v>
      </c>
      <c r="H542" s="1094">
        <v>0.97407758956732826</v>
      </c>
      <c r="I542" s="1094">
        <v>1.0031777762673875</v>
      </c>
      <c r="K542">
        <v>4.406054235279691</v>
      </c>
      <c r="L542">
        <v>0</v>
      </c>
      <c r="M542">
        <v>1.4761630155005945E-3</v>
      </c>
      <c r="N542">
        <v>0.12171784623470744</v>
      </c>
      <c r="O542">
        <v>3.8543039954317015E-2</v>
      </c>
      <c r="P542">
        <v>1.8595841834781957E-2</v>
      </c>
      <c r="Q542">
        <v>1.3100606949353604E-3</v>
      </c>
      <c r="R542">
        <v>1.4698350261208052E-3</v>
      </c>
      <c r="S542">
        <v>0.23249817029114861</v>
      </c>
      <c r="T542">
        <v>3.8961975467482661</v>
      </c>
      <c r="U542">
        <v>0</v>
      </c>
      <c r="V542">
        <v>9.4523053561131869E-3</v>
      </c>
      <c r="W542">
        <v>7.330742137223098E-2</v>
      </c>
      <c r="X542">
        <v>1.0284464782156239E-2</v>
      </c>
      <c r="Y542">
        <v>4.1538660004131018E-3</v>
      </c>
    </row>
    <row r="543" spans="1:25" x14ac:dyDescent="0.25">
      <c r="A543" s="1090"/>
      <c r="B543" s="1448">
        <v>293</v>
      </c>
      <c r="C543" s="1094">
        <v>1.0088701848175388</v>
      </c>
      <c r="D543" s="1094">
        <v>1.0232020811827207</v>
      </c>
      <c r="E543" s="1094">
        <v>1.0210423083424551</v>
      </c>
      <c r="F543" s="1094">
        <v>0.99608313872444376</v>
      </c>
      <c r="G543" s="1094">
        <v>0.9997871054989691</v>
      </c>
      <c r="H543" s="1094">
        <v>1.0032930154295325</v>
      </c>
      <c r="I543" s="1094">
        <v>0.98549091931509558</v>
      </c>
      <c r="K543">
        <v>4.4570136370830209</v>
      </c>
      <c r="L543">
        <v>0</v>
      </c>
      <c r="M543">
        <v>1.3735581663410405E-3</v>
      </c>
      <c r="N543">
        <v>0.12651068968154863</v>
      </c>
      <c r="O543">
        <v>3.7417215011769235E-2</v>
      </c>
      <c r="P543">
        <v>1.9326866074401847E-2</v>
      </c>
      <c r="Q543">
        <v>1.303465847786888E-3</v>
      </c>
      <c r="R543">
        <v>1.3679205786833121E-3</v>
      </c>
      <c r="S543">
        <v>0.22405196184928244</v>
      </c>
      <c r="T543">
        <v>3.9496786494601199</v>
      </c>
      <c r="U543">
        <v>0</v>
      </c>
      <c r="V543">
        <v>9.4523053561132026E-3</v>
      </c>
      <c r="W543">
        <v>7.4300475445986336E-2</v>
      </c>
      <c r="X543">
        <v>1.111179795251058E-2</v>
      </c>
      <c r="Y543">
        <v>3.8658479911547624E-3</v>
      </c>
    </row>
    <row r="544" spans="1:25" x14ac:dyDescent="0.25">
      <c r="A544" s="1090"/>
      <c r="B544" s="1448">
        <v>294</v>
      </c>
      <c r="C544" s="1094">
        <v>0.9769818980285101</v>
      </c>
      <c r="D544" s="1094">
        <v>0.98195365964609804</v>
      </c>
      <c r="E544" s="1094">
        <v>0.97669852451049011</v>
      </c>
      <c r="F544" s="1094">
        <v>1.0178596512995173</v>
      </c>
      <c r="G544" s="1094">
        <v>1.0005300977920122</v>
      </c>
      <c r="H544" s="1094">
        <v>1.005700136953569</v>
      </c>
      <c r="I544" s="1094">
        <v>1.0011991866804144</v>
      </c>
      <c r="K544">
        <v>4.575008170773267</v>
      </c>
      <c r="L544">
        <v>0</v>
      </c>
      <c r="M544">
        <v>1.6213903476469519E-3</v>
      </c>
      <c r="N544">
        <v>0.13096153030276667</v>
      </c>
      <c r="O544">
        <v>4.0457905884681664E-2</v>
      </c>
      <c r="P544">
        <v>1.9170463720887924E-2</v>
      </c>
      <c r="Q544">
        <v>1.3172829710762556E-3</v>
      </c>
      <c r="R544">
        <v>1.6148929556702477E-3</v>
      </c>
      <c r="S544">
        <v>0.24169888220909766</v>
      </c>
      <c r="T544">
        <v>4.0377468299143686</v>
      </c>
      <c r="U544">
        <v>0</v>
      </c>
      <c r="V544">
        <v>9.4523053561131869E-3</v>
      </c>
      <c r="W544">
        <v>7.9256506795448878E-2</v>
      </c>
      <c r="X544">
        <v>1.0389150226833968E-2</v>
      </c>
      <c r="Y544">
        <v>4.5638107839688462E-3</v>
      </c>
    </row>
    <row r="545" spans="1:25" x14ac:dyDescent="0.25">
      <c r="A545" s="1090"/>
      <c r="B545" s="1448">
        <v>295</v>
      </c>
      <c r="C545" s="1094">
        <v>1.0287896907331779</v>
      </c>
      <c r="D545" s="1094">
        <v>1.0298078267566726</v>
      </c>
      <c r="E545" s="1094">
        <v>1.0253364335577995</v>
      </c>
      <c r="F545" s="1094">
        <v>0.99127175041631488</v>
      </c>
      <c r="G545" s="1094">
        <v>0.97108188355316394</v>
      </c>
      <c r="H545" s="1094">
        <v>0.97115034332981987</v>
      </c>
      <c r="I545" s="1094">
        <v>0.98174876923491405</v>
      </c>
      <c r="K545">
        <v>4.4166971519771012</v>
      </c>
      <c r="L545">
        <v>0</v>
      </c>
      <c r="M545">
        <v>1.28251090353133E-3</v>
      </c>
      <c r="N545">
        <v>0.1196159929169324</v>
      </c>
      <c r="O545">
        <v>3.6393458704397183E-2</v>
      </c>
      <c r="P545">
        <v>1.9258572055344647E-2</v>
      </c>
      <c r="Q545">
        <v>1.2795738773789683E-3</v>
      </c>
      <c r="R545">
        <v>1.2770464993128948E-3</v>
      </c>
      <c r="S545">
        <v>0.21546282439169553</v>
      </c>
      <c r="T545">
        <v>3.9304402335196404</v>
      </c>
      <c r="U545">
        <v>0</v>
      </c>
      <c r="V545">
        <v>9.4523053561132026E-3</v>
      </c>
      <c r="W545">
        <v>7.0050750245999174E-2</v>
      </c>
      <c r="X545">
        <v>1.1139874408867753E-2</v>
      </c>
      <c r="Y545">
        <v>3.6090309049462096E-3</v>
      </c>
    </row>
    <row r="546" spans="1:25" x14ac:dyDescent="0.25">
      <c r="A546" s="1090"/>
      <c r="B546" s="1448">
        <v>296</v>
      </c>
      <c r="C546" s="1094">
        <v>1.0158763009119876</v>
      </c>
      <c r="D546" s="1094">
        <v>1.0008605952112277</v>
      </c>
      <c r="E546" s="1094">
        <v>1.00274207152019</v>
      </c>
      <c r="F546" s="1094">
        <v>1.0206516695420449</v>
      </c>
      <c r="G546" s="1094">
        <v>0.97151555003164969</v>
      </c>
      <c r="H546" s="1094">
        <v>1.0388500020927365</v>
      </c>
      <c r="I546" s="1094">
        <v>1.0257131448962027</v>
      </c>
      <c r="K546">
        <v>4.5827015996440528</v>
      </c>
      <c r="L546">
        <v>0</v>
      </c>
      <c r="M546">
        <v>1.5174291551181152E-3</v>
      </c>
      <c r="N546">
        <v>0.13242295950545352</v>
      </c>
      <c r="O546">
        <v>3.853984676649258E-2</v>
      </c>
      <c r="P546">
        <v>1.9586884441109651E-2</v>
      </c>
      <c r="Q546">
        <v>1.2857870995208491E-3</v>
      </c>
      <c r="R546">
        <v>1.5115584440126043E-3</v>
      </c>
      <c r="S546">
        <v>0.23979813743589729</v>
      </c>
      <c r="T546">
        <v>4.0478051626465721</v>
      </c>
      <c r="U546">
        <v>0</v>
      </c>
      <c r="V546">
        <v>9.4523053561132043E-3</v>
      </c>
      <c r="W546">
        <v>7.8732898544458765E-2</v>
      </c>
      <c r="X546">
        <v>1.0811708994729514E-2</v>
      </c>
      <c r="Y546">
        <v>4.271779564807592E-3</v>
      </c>
    </row>
    <row r="547" spans="1:25" x14ac:dyDescent="0.25">
      <c r="A547" s="1090"/>
      <c r="B547" s="1448">
        <v>297</v>
      </c>
      <c r="C547" s="1094">
        <v>1.005250641919861</v>
      </c>
      <c r="D547" s="1094">
        <v>0.99803464919272722</v>
      </c>
      <c r="E547" s="1094">
        <v>0.97861453204001581</v>
      </c>
      <c r="F547" s="1094">
        <v>0.98119983301508518</v>
      </c>
      <c r="G547" s="1094">
        <v>1.0118753199389725</v>
      </c>
      <c r="H547" s="1094">
        <v>0.99402193422355734</v>
      </c>
      <c r="I547" s="1094">
        <v>0.98624462428862769</v>
      </c>
      <c r="K547">
        <v>4.3906268991684998</v>
      </c>
      <c r="L547">
        <v>0</v>
      </c>
      <c r="M547">
        <v>1.4859153942996448E-3</v>
      </c>
      <c r="N547">
        <v>0.12067950774334128</v>
      </c>
      <c r="O547">
        <v>3.7645719816993731E-2</v>
      </c>
      <c r="P547">
        <v>1.8466846800550905E-2</v>
      </c>
      <c r="Q547">
        <v>1.2740684615404666E-3</v>
      </c>
      <c r="R547">
        <v>1.4796667881406989E-3</v>
      </c>
      <c r="S547">
        <v>0.22376656098577352</v>
      </c>
      <c r="T547">
        <v>3.8922486473508315</v>
      </c>
      <c r="U547">
        <v>0</v>
      </c>
      <c r="V547">
        <v>9.4523053561131869E-3</v>
      </c>
      <c r="W547">
        <v>7.2937974327049487E-2</v>
      </c>
      <c r="X547">
        <v>9.9798656219626993E-3</v>
      </c>
      <c r="Y547">
        <v>4.1816513105008418E-3</v>
      </c>
    </row>
    <row r="548" spans="1:25" x14ac:dyDescent="0.25">
      <c r="A548" s="1090"/>
      <c r="B548" s="1448">
        <v>298</v>
      </c>
      <c r="C548" s="1094">
        <v>1.0437036156948285</v>
      </c>
      <c r="D548" s="1094">
        <v>0.97916876351785731</v>
      </c>
      <c r="E548" s="1094">
        <v>1.0171974136874733</v>
      </c>
      <c r="F548" s="1094">
        <v>1.0002172683056756</v>
      </c>
      <c r="G548" s="1094">
        <v>1.0384206155621529</v>
      </c>
      <c r="H548" s="1094">
        <v>0.97488755045761311</v>
      </c>
      <c r="I548" s="1094">
        <v>1.0022514340586219</v>
      </c>
      <c r="K548">
        <v>4.4621143880177927</v>
      </c>
      <c r="L548">
        <v>0</v>
      </c>
      <c r="M548">
        <v>1.3292038740518467E-3</v>
      </c>
      <c r="N548">
        <v>0.12102820379678576</v>
      </c>
      <c r="O548">
        <v>3.6988810834041187E-2</v>
      </c>
      <c r="P548">
        <v>1.9338120260173161E-2</v>
      </c>
      <c r="Q548">
        <v>1.2781607859080023E-3</v>
      </c>
      <c r="R548">
        <v>1.3236124845396387E-3</v>
      </c>
      <c r="S548">
        <v>0.22175741707571883</v>
      </c>
      <c r="T548">
        <v>3.966216415717323</v>
      </c>
      <c r="U548">
        <v>0</v>
      </c>
      <c r="V548">
        <v>9.4523053561131852E-3</v>
      </c>
      <c r="W548">
        <v>7.1263152683084641E-2</v>
      </c>
      <c r="X548">
        <v>1.1056762963814335E-2</v>
      </c>
      <c r="Y548">
        <v>3.7406299343417798E-3</v>
      </c>
    </row>
    <row r="549" spans="1:25" x14ac:dyDescent="0.25">
      <c r="A549" s="1090"/>
      <c r="B549" s="1448">
        <v>299</v>
      </c>
      <c r="C549" s="1094">
        <v>1.0201937267327235</v>
      </c>
      <c r="D549" s="1094">
        <v>1.0317156188146364</v>
      </c>
      <c r="E549" s="1094">
        <v>1.0028647973725193</v>
      </c>
      <c r="F549" s="1094">
        <v>1.0101661140918867</v>
      </c>
      <c r="G549" s="1094">
        <v>0.99900146771853082</v>
      </c>
      <c r="H549" s="1094">
        <v>1.0386315917121223</v>
      </c>
      <c r="I549" s="1094">
        <v>1.0198069723202923</v>
      </c>
      <c r="K549">
        <v>4.5277604134181768</v>
      </c>
      <c r="L549">
        <v>0</v>
      </c>
      <c r="M549">
        <v>1.4768003704284099E-3</v>
      </c>
      <c r="N549">
        <v>0.12891894791954558</v>
      </c>
      <c r="O549">
        <v>3.7523151132963603E-2</v>
      </c>
      <c r="P549">
        <v>1.9370739229142338E-2</v>
      </c>
      <c r="Q549">
        <v>1.2650225764428095E-3</v>
      </c>
      <c r="R549">
        <v>1.4710265665083177E-3</v>
      </c>
      <c r="S549">
        <v>0.23358131330325843</v>
      </c>
      <c r="T549">
        <v>4.0062157559462968</v>
      </c>
      <c r="U549">
        <v>0</v>
      </c>
      <c r="V549">
        <v>9.4523053561131852E-3</v>
      </c>
      <c r="W549">
        <v>7.6643221018021485E-2</v>
      </c>
      <c r="X549">
        <v>1.0638497355795799E-2</v>
      </c>
      <c r="Y549">
        <v>4.157233384518017E-3</v>
      </c>
    </row>
    <row r="550" spans="1:25" x14ac:dyDescent="0.25">
      <c r="A550" s="1090"/>
      <c r="B550" s="1448">
        <v>300</v>
      </c>
      <c r="C550" s="1094">
        <v>0.96940973818421117</v>
      </c>
      <c r="D550" s="1094">
        <v>1.03932901764124</v>
      </c>
      <c r="E550" s="1094">
        <v>1.0320717204050511</v>
      </c>
      <c r="F550" s="1094">
        <v>1.008130398976121</v>
      </c>
      <c r="G550" s="1094">
        <v>0.98668963888569772</v>
      </c>
      <c r="H550" s="1094">
        <v>0.99174708413113011</v>
      </c>
      <c r="I550" s="1094">
        <v>1.0133067962917985</v>
      </c>
      <c r="K550">
        <v>4.5311802090941518</v>
      </c>
      <c r="L550">
        <v>0</v>
      </c>
      <c r="M550">
        <v>1.3883630006284813E-3</v>
      </c>
      <c r="N550">
        <v>0.13211395026568598</v>
      </c>
      <c r="O550">
        <v>3.9087672773179725E-2</v>
      </c>
      <c r="P550">
        <v>1.9776024420302733E-2</v>
      </c>
      <c r="Q550">
        <v>1.3606533826911792E-3</v>
      </c>
      <c r="R550">
        <v>1.3826669165635545E-3</v>
      </c>
      <c r="S550">
        <v>0.23969225652434989</v>
      </c>
      <c r="T550">
        <v>3.9970306613840068</v>
      </c>
      <c r="U550">
        <v>0</v>
      </c>
      <c r="V550">
        <v>9.452305356113206E-3</v>
      </c>
      <c r="W550">
        <v>7.7025267400534114E-2</v>
      </c>
      <c r="X550">
        <v>1.1739591403513768E-2</v>
      </c>
      <c r="Y550">
        <v>3.9075222678339669E-3</v>
      </c>
    </row>
    <row r="551" spans="1:25" x14ac:dyDescent="0.25">
      <c r="A551" s="1090"/>
      <c r="B551" s="1448">
        <v>301</v>
      </c>
      <c r="C551" s="1094">
        <v>1.0037027975491268</v>
      </c>
      <c r="D551" s="1094">
        <v>1.0294115835157329</v>
      </c>
      <c r="E551" s="1094">
        <v>0.9840243588536397</v>
      </c>
      <c r="F551" s="1094">
        <v>0.99195835248757513</v>
      </c>
      <c r="G551" s="1094">
        <v>0.96065620518589412</v>
      </c>
      <c r="H551" s="1094">
        <v>0.9629480785997071</v>
      </c>
      <c r="I551" s="1094">
        <v>0.9840298716168483</v>
      </c>
      <c r="K551">
        <v>4.4251064534993452</v>
      </c>
      <c r="L551">
        <v>0</v>
      </c>
      <c r="M551">
        <v>1.423232329607334E-3</v>
      </c>
      <c r="N551">
        <v>0.11744851096663417</v>
      </c>
      <c r="O551">
        <v>3.7611958132751575E-2</v>
      </c>
      <c r="P551">
        <v>1.8720692281629463E-2</v>
      </c>
      <c r="Q551">
        <v>1.2662582854845016E-3</v>
      </c>
      <c r="R551">
        <v>1.417120915894157E-3</v>
      </c>
      <c r="S551">
        <v>0.2208926719971914</v>
      </c>
      <c r="T551">
        <v>3.9347196008443883</v>
      </c>
      <c r="U551">
        <v>0</v>
      </c>
      <c r="V551">
        <v>9.4523053561131904E-3</v>
      </c>
      <c r="W551">
        <v>7.0722799015710991E-2</v>
      </c>
      <c r="X551">
        <v>1.0272876132772666E-2</v>
      </c>
      <c r="Y551">
        <v>4.0048919003806615E-3</v>
      </c>
    </row>
    <row r="552" spans="1:25" x14ac:dyDescent="0.25">
      <c r="A552" s="1090"/>
      <c r="B552" s="1448">
        <v>302</v>
      </c>
      <c r="C552" s="1094">
        <v>0.95957560915418039</v>
      </c>
      <c r="D552" s="1094">
        <v>0.99103933943399469</v>
      </c>
      <c r="E552" s="1094">
        <v>0.98802829974137285</v>
      </c>
      <c r="F552" s="1094">
        <v>1.0325153478815896</v>
      </c>
      <c r="G552" s="1094">
        <v>0.97576368701863214</v>
      </c>
      <c r="H552" s="1094">
        <v>1.0115173444144188</v>
      </c>
      <c r="I552" s="1094">
        <v>1.0091918151941037</v>
      </c>
      <c r="K552">
        <v>4.6522407211893819</v>
      </c>
      <c r="L552">
        <v>0</v>
      </c>
      <c r="M552">
        <v>1.638513419506743E-3</v>
      </c>
      <c r="N552">
        <v>0.1368796793708924</v>
      </c>
      <c r="O552">
        <v>4.1547482372977423E-2</v>
      </c>
      <c r="P552">
        <v>1.9634283063902285E-2</v>
      </c>
      <c r="Q552">
        <v>1.3494323243550895E-3</v>
      </c>
      <c r="R552">
        <v>1.6320774661241467E-3</v>
      </c>
      <c r="S552">
        <v>0.25025567235234936</v>
      </c>
      <c r="T552">
        <v>4.0954351927123529</v>
      </c>
      <c r="U552">
        <v>0</v>
      </c>
      <c r="V552">
        <v>9.4523053561131939E-3</v>
      </c>
      <c r="W552">
        <v>8.2198599437390538E-2</v>
      </c>
      <c r="X552">
        <v>1.0882134629941548E-2</v>
      </c>
      <c r="Y552">
        <v>4.6123755224868742E-3</v>
      </c>
    </row>
    <row r="553" spans="1:25" x14ac:dyDescent="0.25">
      <c r="A553" s="1090"/>
      <c r="B553" s="1448">
        <v>303</v>
      </c>
      <c r="C553" s="1094">
        <v>0.99965509198569791</v>
      </c>
      <c r="D553" s="1094">
        <v>1.0202207756503989</v>
      </c>
      <c r="E553" s="1094">
        <v>0.99802656694303016</v>
      </c>
      <c r="F553" s="1094">
        <v>0.99667147709114889</v>
      </c>
      <c r="G553" s="1094">
        <v>0.97981240454742358</v>
      </c>
      <c r="H553" s="1094">
        <v>1.0205639075637236</v>
      </c>
      <c r="I553" s="1094">
        <v>1.0211816283487822</v>
      </c>
      <c r="K553">
        <v>4.474997889811438</v>
      </c>
      <c r="L553">
        <v>0</v>
      </c>
      <c r="M553">
        <v>1.4828175149531845E-3</v>
      </c>
      <c r="N553">
        <v>0.12758613229885854</v>
      </c>
      <c r="O553">
        <v>3.798509263512756E-2</v>
      </c>
      <c r="P553">
        <v>1.906945449009648E-2</v>
      </c>
      <c r="Q553">
        <v>1.2914475744081487E-3</v>
      </c>
      <c r="R553">
        <v>1.4768379972267761E-3</v>
      </c>
      <c r="S553">
        <v>0.2359280995249427</v>
      </c>
      <c r="T553">
        <v>3.9528809928407851</v>
      </c>
      <c r="U553">
        <v>0</v>
      </c>
      <c r="V553">
        <v>9.4523053561131852E-3</v>
      </c>
      <c r="W553">
        <v>7.6099218626358045E-2</v>
      </c>
      <c r="X553">
        <v>1.0537469051065975E-2</v>
      </c>
      <c r="Y553">
        <v>4.1736569314101265E-3</v>
      </c>
    </row>
    <row r="554" spans="1:25" x14ac:dyDescent="0.25">
      <c r="A554" s="1090"/>
      <c r="B554" s="1448">
        <v>304</v>
      </c>
      <c r="C554" s="1094">
        <v>1.0303002483670869</v>
      </c>
      <c r="D554" s="1094">
        <v>0.99377954262818335</v>
      </c>
      <c r="E554" s="1094">
        <v>0.97360446534332834</v>
      </c>
      <c r="F554" s="1094">
        <v>0.99988237761735899</v>
      </c>
      <c r="G554" s="1094">
        <v>0.9815077791085367</v>
      </c>
      <c r="H554" s="1094">
        <v>0.96528500168251108</v>
      </c>
      <c r="I554" s="1094">
        <v>0.98880761270975204</v>
      </c>
      <c r="K554">
        <v>4.4541530148748079</v>
      </c>
      <c r="L554">
        <v>0</v>
      </c>
      <c r="M554">
        <v>1.4522084368879906E-3</v>
      </c>
      <c r="N554">
        <v>0.11619583782381142</v>
      </c>
      <c r="O554">
        <v>3.752716438752321E-2</v>
      </c>
      <c r="P554">
        <v>1.8710538890561446E-2</v>
      </c>
      <c r="Q554">
        <v>1.2398014658779556E-3</v>
      </c>
      <c r="R554">
        <v>1.4460367922976829E-3</v>
      </c>
      <c r="S554">
        <v>0.21988189348775905</v>
      </c>
      <c r="T554">
        <v>3.9665520319120544</v>
      </c>
      <c r="U554">
        <v>0</v>
      </c>
      <c r="V554">
        <v>9.4523053561131973E-3</v>
      </c>
      <c r="W554">
        <v>7.0470190011932998E-2</v>
      </c>
      <c r="X554">
        <v>1.0042812809040718E-2</v>
      </c>
      <c r="Y554">
        <v>4.0866103747197553E-3</v>
      </c>
    </row>
    <row r="555" spans="1:25" x14ac:dyDescent="0.25">
      <c r="A555" s="1090"/>
      <c r="B555" s="1448">
        <v>305</v>
      </c>
      <c r="C555" s="1094">
        <v>1.000446575431539</v>
      </c>
      <c r="D555" s="1094">
        <v>0.99306440442702293</v>
      </c>
      <c r="E555" s="1094">
        <v>0.99162424363280777</v>
      </c>
      <c r="F555" s="1094">
        <v>1.0320783230992714</v>
      </c>
      <c r="G555" s="1094">
        <v>0.99113269063788945</v>
      </c>
      <c r="H555" s="1094">
        <v>1.0101901968225531</v>
      </c>
      <c r="I555" s="1094">
        <v>1.0006466502873355</v>
      </c>
      <c r="K555">
        <v>4.6265992616600604</v>
      </c>
      <c r="L555">
        <v>0</v>
      </c>
      <c r="M555">
        <v>1.5557641551874851E-3</v>
      </c>
      <c r="N555">
        <v>0.13135920439909785</v>
      </c>
      <c r="O555">
        <v>3.9775276430991574E-2</v>
      </c>
      <c r="P555">
        <v>1.962212676002641E-2</v>
      </c>
      <c r="Q555">
        <v>1.2972656703131261E-3</v>
      </c>
      <c r="R555">
        <v>1.549642625482768E-3</v>
      </c>
      <c r="S555">
        <v>0.23768092268654537</v>
      </c>
      <c r="T555">
        <v>4.0935597176116767</v>
      </c>
      <c r="U555">
        <v>0</v>
      </c>
      <c r="V555">
        <v>9.4523053561131887E-3</v>
      </c>
      <c r="W555">
        <v>7.8690646776978707E-2</v>
      </c>
      <c r="X555">
        <v>1.0788509128789488E-2</v>
      </c>
      <c r="Y555">
        <v>4.3794083692319822E-3</v>
      </c>
    </row>
    <row r="556" spans="1:25" x14ac:dyDescent="0.25">
      <c r="A556" s="1090"/>
      <c r="B556" s="1448">
        <v>306</v>
      </c>
      <c r="C556" s="1094">
        <v>1.0180755036522149</v>
      </c>
      <c r="D556" s="1094">
        <v>1.0388067268341465</v>
      </c>
      <c r="E556" s="1094">
        <v>1.0125583751313059</v>
      </c>
      <c r="F556" s="1094">
        <v>1.0070720274921943</v>
      </c>
      <c r="G556" s="1094">
        <v>0.99726630536698668</v>
      </c>
      <c r="H556" s="1094">
        <v>1.0159275026292272</v>
      </c>
      <c r="I556" s="1094">
        <v>1.0248764682945992</v>
      </c>
      <c r="K556">
        <v>4.5099661199229564</v>
      </c>
      <c r="L556">
        <v>0</v>
      </c>
      <c r="M556">
        <v>1.410044066150018E-3</v>
      </c>
      <c r="N556">
        <v>0.12666329341128102</v>
      </c>
      <c r="O556">
        <v>3.7318566888162874E-2</v>
      </c>
      <c r="P556">
        <v>1.9447382210395298E-2</v>
      </c>
      <c r="Q556">
        <v>1.2746806252260851E-3</v>
      </c>
      <c r="R556">
        <v>1.4043908111021023E-3</v>
      </c>
      <c r="S556">
        <v>0.23253931188842383</v>
      </c>
      <c r="T556">
        <v>3.993574578458738</v>
      </c>
      <c r="U556">
        <v>0</v>
      </c>
      <c r="V556">
        <v>9.4523053561131956E-3</v>
      </c>
      <c r="W556">
        <v>7.4813032457781425E-2</v>
      </c>
      <c r="X556">
        <v>1.0919706229537023E-2</v>
      </c>
      <c r="Y556">
        <v>3.9689156523407907E-3</v>
      </c>
    </row>
    <row r="557" spans="1:25" x14ac:dyDescent="0.25">
      <c r="A557" s="1090"/>
      <c r="B557" s="1448">
        <v>307</v>
      </c>
      <c r="C557" s="1094">
        <v>0.99822249301847177</v>
      </c>
      <c r="D557" s="1094">
        <v>1.0019070305147566</v>
      </c>
      <c r="E557" s="1094">
        <v>0.99855129885470961</v>
      </c>
      <c r="F557" s="1094">
        <v>0.9750919991764434</v>
      </c>
      <c r="G557" s="1094">
        <v>1.0322937858253509</v>
      </c>
      <c r="H557" s="1094">
        <v>0.98199648356810953</v>
      </c>
      <c r="I557" s="1094">
        <v>1.0191491641695944</v>
      </c>
      <c r="K557">
        <v>4.3727658005553796</v>
      </c>
      <c r="L557">
        <v>0</v>
      </c>
      <c r="M557">
        <v>1.4066313338319243E-3</v>
      </c>
      <c r="N557">
        <v>0.12118866889647119</v>
      </c>
      <c r="O557">
        <v>3.7483103847994158E-2</v>
      </c>
      <c r="P557">
        <v>1.8664202394561027E-2</v>
      </c>
      <c r="Q557">
        <v>1.3032922942668689E-3</v>
      </c>
      <c r="R557">
        <v>1.4006063498801348E-3</v>
      </c>
      <c r="S557">
        <v>0.23070581359045486</v>
      </c>
      <c r="T557">
        <v>3.8672755090211726</v>
      </c>
      <c r="U557">
        <v>0</v>
      </c>
      <c r="V557">
        <v>9.4523053561131991E-3</v>
      </c>
      <c r="W557">
        <v>7.2257767262768779E-2</v>
      </c>
      <c r="X557">
        <v>1.0482942399528149E-2</v>
      </c>
      <c r="Y557">
        <v>3.9582204759975644E-3</v>
      </c>
    </row>
    <row r="558" spans="1:25" x14ac:dyDescent="0.25">
      <c r="A558" s="1090"/>
      <c r="B558" s="1448">
        <v>308</v>
      </c>
      <c r="C558" s="1094">
        <v>0.96590794744207453</v>
      </c>
      <c r="D558" s="1094">
        <v>1.0085134902235595</v>
      </c>
      <c r="E558" s="1094">
        <v>0.97520054822473945</v>
      </c>
      <c r="F558" s="1094">
        <v>1.0056259883561751</v>
      </c>
      <c r="G558" s="1094">
        <v>1.0186133192159472</v>
      </c>
      <c r="H558" s="1094">
        <v>1.014264321434978</v>
      </c>
      <c r="I558" s="1094">
        <v>1.0267356442162729</v>
      </c>
      <c r="K558">
        <v>4.5305636340207496</v>
      </c>
      <c r="L558">
        <v>0</v>
      </c>
      <c r="M558">
        <v>1.6218827539883486E-3</v>
      </c>
      <c r="N558">
        <v>0.13041824229062357</v>
      </c>
      <c r="O558">
        <v>4.0011225937512808E-2</v>
      </c>
      <c r="P558">
        <v>1.8957426759905381E-2</v>
      </c>
      <c r="Q558">
        <v>1.3165198020884646E-3</v>
      </c>
      <c r="R558">
        <v>1.6153601889272763E-3</v>
      </c>
      <c r="S558">
        <v>0.24734972717717246</v>
      </c>
      <c r="T558">
        <v>3.9892751578170165</v>
      </c>
      <c r="U558">
        <v>0</v>
      </c>
      <c r="V558">
        <v>9.4523053561131852E-3</v>
      </c>
      <c r="W558">
        <v>7.9008985113746724E-2</v>
      </c>
      <c r="X558">
        <v>1.0215435110806612E-2</v>
      </c>
      <c r="Y558">
        <v>4.5651312208247821E-3</v>
      </c>
    </row>
    <row r="559" spans="1:25" x14ac:dyDescent="0.25">
      <c r="A559" s="1090"/>
      <c r="B559" s="1448">
        <v>309</v>
      </c>
      <c r="C559" s="1094">
        <v>1.0039532193502057</v>
      </c>
      <c r="D559" s="1094">
        <v>1.0342451559634782</v>
      </c>
      <c r="E559" s="1094">
        <v>1.0053019293075434</v>
      </c>
      <c r="F559" s="1094">
        <v>1.0240469823167291</v>
      </c>
      <c r="G559" s="1094">
        <v>0.97575951834851582</v>
      </c>
      <c r="H559" s="1094">
        <v>1.0023730364870203</v>
      </c>
      <c r="I559" s="1094">
        <v>0.98744428156462905</v>
      </c>
      <c r="K559">
        <v>4.5787813971340503</v>
      </c>
      <c r="L559">
        <v>0</v>
      </c>
      <c r="M559">
        <v>1.4591710492448213E-3</v>
      </c>
      <c r="N559">
        <v>0.12829168152040293</v>
      </c>
      <c r="O559">
        <v>3.8599404969577422E-2</v>
      </c>
      <c r="P559">
        <v>1.9636314173538623E-2</v>
      </c>
      <c r="Q559">
        <v>1.2869059511095267E-3</v>
      </c>
      <c r="R559">
        <v>1.4533396145740363E-3</v>
      </c>
      <c r="S559">
        <v>0.22909676721427338</v>
      </c>
      <c r="T559">
        <v>4.0611710134850592</v>
      </c>
      <c r="U559">
        <v>0</v>
      </c>
      <c r="V559">
        <v>9.4523053561131921E-3</v>
      </c>
      <c r="W559">
        <v>7.6145124935285843E-2</v>
      </c>
      <c r="X559">
        <v>1.1000462255340101E-2</v>
      </c>
      <c r="Y559">
        <v>4.1072487080168352E-3</v>
      </c>
    </row>
    <row r="560" spans="1:25" x14ac:dyDescent="0.25">
      <c r="A560" s="1090"/>
      <c r="B560" s="1448">
        <v>310</v>
      </c>
      <c r="C560" s="1094">
        <v>0.99467996184091745</v>
      </c>
      <c r="D560" s="1094">
        <v>0.96796163563520288</v>
      </c>
      <c r="E560" s="1094">
        <v>1.00460479170059</v>
      </c>
      <c r="F560" s="1094">
        <v>1.0038494563549951</v>
      </c>
      <c r="G560" s="1094">
        <v>1.0044098707741707</v>
      </c>
      <c r="H560" s="1094">
        <v>0.99152013237478409</v>
      </c>
      <c r="I560" s="1094">
        <v>1.0248537654597973</v>
      </c>
      <c r="K560">
        <v>4.5115639454189411</v>
      </c>
      <c r="L560">
        <v>0</v>
      </c>
      <c r="M560">
        <v>1.4687112011926456E-3</v>
      </c>
      <c r="N560">
        <v>0.12884796879329108</v>
      </c>
      <c r="O560">
        <v>3.9221102842537617E-2</v>
      </c>
      <c r="P560">
        <v>1.9313527132543577E-2</v>
      </c>
      <c r="Q560">
        <v>1.3329823410742384E-3</v>
      </c>
      <c r="R560">
        <v>1.4626584928411235E-3</v>
      </c>
      <c r="S560">
        <v>0.24067620341252122</v>
      </c>
      <c r="T560">
        <v>3.9810981418667519</v>
      </c>
      <c r="U560">
        <v>0</v>
      </c>
      <c r="V560">
        <v>9.4523053561132008E-3</v>
      </c>
      <c r="W560">
        <v>7.6511219861698856E-2</v>
      </c>
      <c r="X560">
        <v>1.0982961951296728E-2</v>
      </c>
      <c r="Y560">
        <v>4.1335845694623237E-3</v>
      </c>
    </row>
    <row r="561" spans="1:25" x14ac:dyDescent="0.25">
      <c r="A561" s="1090"/>
      <c r="B561" s="1448">
        <v>311</v>
      </c>
      <c r="C561" s="1094">
        <v>1.0126802673996371</v>
      </c>
      <c r="D561" s="1094">
        <v>1.0326785211577647</v>
      </c>
      <c r="E561" s="1094">
        <v>0.97876884525550323</v>
      </c>
      <c r="F561" s="1094">
        <v>1.020485761772328</v>
      </c>
      <c r="G561" s="1094">
        <v>1.0062599220266355</v>
      </c>
      <c r="H561" s="1094">
        <v>0.99526540392777108</v>
      </c>
      <c r="I561" s="1094">
        <v>0.99865216407513413</v>
      </c>
      <c r="K561">
        <v>4.5570123262771478</v>
      </c>
      <c r="L561">
        <v>0</v>
      </c>
      <c r="M561">
        <v>1.5144333071290827E-3</v>
      </c>
      <c r="N561">
        <v>0.12307249437695761</v>
      </c>
      <c r="O561">
        <v>3.8337818204054339E-2</v>
      </c>
      <c r="P561">
        <v>1.9188828242280371E-2</v>
      </c>
      <c r="Q561">
        <v>1.2477431332767164E-3</v>
      </c>
      <c r="R561">
        <v>1.5083166140126593E-3</v>
      </c>
      <c r="S561">
        <v>0.22871969236217232</v>
      </c>
      <c r="T561">
        <v>4.0480830174045304</v>
      </c>
      <c r="U561">
        <v>0</v>
      </c>
      <c r="V561">
        <v>9.4523053561132008E-3</v>
      </c>
      <c r="W561">
        <v>7.4376410294402159E-2</v>
      </c>
      <c r="X561">
        <v>1.0277515690746095E-2</v>
      </c>
      <c r="Y561">
        <v>4.2626179057257347E-3</v>
      </c>
    </row>
    <row r="562" spans="1:25" x14ac:dyDescent="0.25">
      <c r="A562" s="1090"/>
      <c r="B562" s="1448">
        <v>312</v>
      </c>
      <c r="C562" s="1094">
        <v>1.0215030481909539</v>
      </c>
      <c r="D562" s="1094">
        <v>0.99906911739886051</v>
      </c>
      <c r="E562" s="1094">
        <v>0.97517002196875779</v>
      </c>
      <c r="F562" s="1094">
        <v>1.0246370663797504</v>
      </c>
      <c r="G562" s="1094">
        <v>0.99182237025114384</v>
      </c>
      <c r="H562" s="1094">
        <v>1.013849313875913</v>
      </c>
      <c r="I562" s="1094">
        <v>0.96676369294453801</v>
      </c>
      <c r="K562">
        <v>4.5739541261358072</v>
      </c>
      <c r="L562">
        <v>0</v>
      </c>
      <c r="M562">
        <v>1.5678365242330267E-3</v>
      </c>
      <c r="N562">
        <v>0.12607007505858583</v>
      </c>
      <c r="O562">
        <v>3.869441868424036E-2</v>
      </c>
      <c r="P562">
        <v>1.9187898347965429E-2</v>
      </c>
      <c r="Q562">
        <v>1.2495291610664717E-3</v>
      </c>
      <c r="R562">
        <v>1.5616452965799546E-3</v>
      </c>
      <c r="S562">
        <v>0.22365583480894338</v>
      </c>
      <c r="T562">
        <v>4.0646924943430234</v>
      </c>
      <c r="U562">
        <v>0</v>
      </c>
      <c r="V562">
        <v>9.4523053561132008E-3</v>
      </c>
      <c r="W562">
        <v>7.6376414210207813E-2</v>
      </c>
      <c r="X562">
        <v>1.0168018559198862E-2</v>
      </c>
      <c r="Y562">
        <v>4.4133288341132197E-3</v>
      </c>
    </row>
    <row r="563" spans="1:25" x14ac:dyDescent="0.25">
      <c r="A563" s="1090"/>
      <c r="B563" s="1448">
        <v>313</v>
      </c>
      <c r="C563" s="1094">
        <v>0.98603789220311044</v>
      </c>
      <c r="D563" s="1094">
        <v>1.0083602821832238</v>
      </c>
      <c r="E563" s="1094">
        <v>1.0107194672174231</v>
      </c>
      <c r="F563" s="1094">
        <v>0.95862650706224406</v>
      </c>
      <c r="G563" s="1094">
        <v>1.0227684010288971</v>
      </c>
      <c r="H563" s="1094">
        <v>0.96320932574260809</v>
      </c>
      <c r="I563" s="1094">
        <v>0.98029818973918181</v>
      </c>
      <c r="K563">
        <v>4.2924280546395934</v>
      </c>
      <c r="L563">
        <v>0</v>
      </c>
      <c r="M563">
        <v>1.3350815275927769E-3</v>
      </c>
      <c r="N563">
        <v>0.11922658455551294</v>
      </c>
      <c r="O563">
        <v>3.7128827118370636E-2</v>
      </c>
      <c r="P563">
        <v>1.8484447227207067E-2</v>
      </c>
      <c r="Q563">
        <v>1.3297682904347915E-3</v>
      </c>
      <c r="R563">
        <v>1.3291517632719625E-3</v>
      </c>
      <c r="S563">
        <v>0.22032478118366283</v>
      </c>
      <c r="T563">
        <v>3.8015291491836973</v>
      </c>
      <c r="U563">
        <v>0</v>
      </c>
      <c r="V563">
        <v>9.4523053561132078E-3</v>
      </c>
      <c r="W563">
        <v>7.0507467806194421E-2</v>
      </c>
      <c r="X563">
        <v>1.0694369323772627E-2</v>
      </c>
      <c r="Y563">
        <v>3.7562843589432535E-3</v>
      </c>
    </row>
    <row r="564" spans="1:25" x14ac:dyDescent="0.25">
      <c r="A564" s="1090"/>
      <c r="B564" s="1448">
        <v>314</v>
      </c>
      <c r="C564" s="1094">
        <v>1.009731833613325</v>
      </c>
      <c r="D564" s="1094">
        <v>1.0059886012397954</v>
      </c>
      <c r="E564" s="1094">
        <v>0.99944578357639891</v>
      </c>
      <c r="F564" s="1094">
        <v>1.0336249506231814</v>
      </c>
      <c r="G564" s="1094">
        <v>0.99154157050275149</v>
      </c>
      <c r="H564" s="1094">
        <v>1.0189276844404724</v>
      </c>
      <c r="I564" s="1094">
        <v>0.96672610370830436</v>
      </c>
      <c r="K564">
        <v>4.6219152138077702</v>
      </c>
      <c r="L564">
        <v>0</v>
      </c>
      <c r="M564">
        <v>1.5237886571247696E-3</v>
      </c>
      <c r="N564">
        <v>0.13168211901639343</v>
      </c>
      <c r="O564">
        <v>3.9210152674655982E-2</v>
      </c>
      <c r="P564">
        <v>1.9717581668315151E-2</v>
      </c>
      <c r="Q564">
        <v>1.2873303829552109E-3</v>
      </c>
      <c r="R564">
        <v>1.5178532163016517E-3</v>
      </c>
      <c r="S564">
        <v>0.22752043101152952</v>
      </c>
      <c r="T564">
        <v>4.0993856092352861</v>
      </c>
      <c r="U564">
        <v>0</v>
      </c>
      <c r="V564">
        <v>9.4523053561131991E-3</v>
      </c>
      <c r="W564">
        <v>7.8466917830039687E-2</v>
      </c>
      <c r="X564">
        <v>1.0909133001421385E-2</v>
      </c>
      <c r="Y564">
        <v>4.2895690718795683E-3</v>
      </c>
    </row>
    <row r="565" spans="1:25" x14ac:dyDescent="0.25">
      <c r="A565" s="1090"/>
      <c r="B565" s="1448">
        <v>315</v>
      </c>
      <c r="C565" s="1094">
        <v>1.0024131320373779</v>
      </c>
      <c r="D565" s="1094">
        <v>1.0282022404186921</v>
      </c>
      <c r="E565" s="1094">
        <v>0.99072983131847758</v>
      </c>
      <c r="F565" s="1094">
        <v>1.0143374071616953</v>
      </c>
      <c r="G565" s="1094">
        <v>0.98361401464554388</v>
      </c>
      <c r="H565" s="1094">
        <v>0.97919399414516406</v>
      </c>
      <c r="I565" s="1094">
        <v>1.0095714597990284</v>
      </c>
      <c r="K565">
        <v>4.5349506292279198</v>
      </c>
      <c r="L565">
        <v>0</v>
      </c>
      <c r="M565">
        <v>1.4616148028066631E-3</v>
      </c>
      <c r="N565">
        <v>0.12305885064916253</v>
      </c>
      <c r="O565">
        <v>3.8482117078805542E-2</v>
      </c>
      <c r="P565">
        <v>1.9264183499078612E-2</v>
      </c>
      <c r="Q565">
        <v>1.2758536136344481E-3</v>
      </c>
      <c r="R565">
        <v>1.4555783256029456E-3</v>
      </c>
      <c r="S565">
        <v>0.23169453054579725</v>
      </c>
      <c r="T565">
        <v>4.023228147924212</v>
      </c>
      <c r="U565">
        <v>0</v>
      </c>
      <c r="V565">
        <v>9.4523053561131956E-3</v>
      </c>
      <c r="W565">
        <v>7.3763170206650283E-2</v>
      </c>
      <c r="X565">
        <v>1.0623931355363424E-2</v>
      </c>
      <c r="Y565">
        <v>4.1135754763020347E-3</v>
      </c>
    </row>
    <row r="566" spans="1:25" x14ac:dyDescent="0.25">
      <c r="A566" s="1090"/>
      <c r="B566" s="1448">
        <v>316</v>
      </c>
      <c r="C566" s="1094">
        <v>0.96756863752157551</v>
      </c>
      <c r="D566" s="1094">
        <v>0.97099428289024048</v>
      </c>
      <c r="E566" s="1094">
        <v>1.0006239466641251</v>
      </c>
      <c r="F566" s="1094">
        <v>1.0030578225046427</v>
      </c>
      <c r="G566" s="1094">
        <v>0.99906215824419375</v>
      </c>
      <c r="H566" s="1094">
        <v>1.0219270617328711</v>
      </c>
      <c r="I566" s="1094">
        <v>0.99884867592697835</v>
      </c>
      <c r="K566">
        <v>4.5235858876514907</v>
      </c>
      <c r="L566">
        <v>0</v>
      </c>
      <c r="M566">
        <v>1.5660804064582224E-3</v>
      </c>
      <c r="N566">
        <v>0.1357956232082588</v>
      </c>
      <c r="O566">
        <v>4.0266587654753515E-2</v>
      </c>
      <c r="P566">
        <v>1.9254328451321825E-2</v>
      </c>
      <c r="Q566">
        <v>1.363965378780987E-3</v>
      </c>
      <c r="R566">
        <v>1.5598135427129856E-3</v>
      </c>
      <c r="S566">
        <v>0.24319730114574989</v>
      </c>
      <c r="T566">
        <v>3.9781105180078664</v>
      </c>
      <c r="U566">
        <v>0</v>
      </c>
      <c r="V566">
        <v>9.452305356113206E-3</v>
      </c>
      <c r="W566">
        <v>8.085367113435496E-2</v>
      </c>
      <c r="X566">
        <v>1.0889702020194396E-2</v>
      </c>
      <c r="Y566">
        <v>4.4081521578373719E-3</v>
      </c>
    </row>
    <row r="567" spans="1:25" x14ac:dyDescent="0.25">
      <c r="A567" s="1090"/>
      <c r="B567" s="1448">
        <v>317</v>
      </c>
      <c r="C567" s="1094">
        <v>1.0426878545889746</v>
      </c>
      <c r="D567" s="1094">
        <v>1.0078174499915198</v>
      </c>
      <c r="E567" s="1094">
        <v>1.0202242328903264</v>
      </c>
      <c r="F567" s="1094">
        <v>1.0228510762332685</v>
      </c>
      <c r="G567" s="1094">
        <v>0.97230210894635205</v>
      </c>
      <c r="H567" s="1094">
        <v>1.0161669485392562</v>
      </c>
      <c r="I567" s="1094">
        <v>1.028372379002424</v>
      </c>
      <c r="K567">
        <v>4.5745500711982459</v>
      </c>
      <c r="L567">
        <v>0</v>
      </c>
      <c r="M567">
        <v>1.3928928167674416E-3</v>
      </c>
      <c r="N567">
        <v>0.12800163195291603</v>
      </c>
      <c r="O567">
        <v>3.7408047007243796E-2</v>
      </c>
      <c r="P567">
        <v>1.9843929219748268E-2</v>
      </c>
      <c r="Q567">
        <v>1.2679785837722034E-3</v>
      </c>
      <c r="R567">
        <v>1.3873954253366904E-3</v>
      </c>
      <c r="S567">
        <v>0.23236652767764879</v>
      </c>
      <c r="T567">
        <v>4.0558506805899217</v>
      </c>
      <c r="U567">
        <v>0</v>
      </c>
      <c r="V567">
        <v>9.4523053561132008E-3</v>
      </c>
      <c r="W567">
        <v>7.5217115525955586E-2</v>
      </c>
      <c r="X567">
        <v>1.1226467281724134E-2</v>
      </c>
      <c r="Y567">
        <v>3.9208853946314159E-3</v>
      </c>
    </row>
    <row r="568" spans="1:25" x14ac:dyDescent="0.25">
      <c r="A568" s="1090"/>
      <c r="B568" s="1448">
        <v>318</v>
      </c>
      <c r="C568" s="1094">
        <v>1.0379913560950733</v>
      </c>
      <c r="D568" s="1094">
        <v>0.97236119120234688</v>
      </c>
      <c r="E568" s="1094">
        <v>1.0397989712008013</v>
      </c>
      <c r="F568" s="1094">
        <v>1.0112228318396304</v>
      </c>
      <c r="G568" s="1094">
        <v>1.0474607830858225</v>
      </c>
      <c r="H568" s="1094">
        <v>1.0162234115798763</v>
      </c>
      <c r="I568" s="1094">
        <v>1.0274471978999402</v>
      </c>
      <c r="K568">
        <v>4.5338041608978816</v>
      </c>
      <c r="L568">
        <v>0</v>
      </c>
      <c r="M568">
        <v>1.3464622386950371E-3</v>
      </c>
      <c r="N568">
        <v>0.13110077216453997</v>
      </c>
      <c r="O568">
        <v>3.7553180359957201E-2</v>
      </c>
      <c r="P568">
        <v>1.9915711606697594E-2</v>
      </c>
      <c r="Q568">
        <v>1.3135380373518067E-3</v>
      </c>
      <c r="R568">
        <v>1.3410875350692768E-3</v>
      </c>
      <c r="S568">
        <v>0.23393012510476399</v>
      </c>
      <c r="T568">
        <v>4.0089992176744822</v>
      </c>
      <c r="U568">
        <v>0</v>
      </c>
      <c r="V568">
        <v>9.4523053561131852E-3</v>
      </c>
      <c r="W568">
        <v>7.6045935283059293E-2</v>
      </c>
      <c r="X568">
        <v>1.1708734253246311E-2</v>
      </c>
      <c r="Y568">
        <v>3.7900157612955313E-3</v>
      </c>
    </row>
    <row r="569" spans="1:25" x14ac:dyDescent="0.25">
      <c r="A569" s="1090"/>
      <c r="B569" s="1448">
        <v>319</v>
      </c>
      <c r="C569" s="1094">
        <v>0.99998534836337649</v>
      </c>
      <c r="D569" s="1094">
        <v>0.98198958119832536</v>
      </c>
      <c r="E569" s="1094">
        <v>0.97917651877895684</v>
      </c>
      <c r="F569" s="1094">
        <v>0.97611294207753119</v>
      </c>
      <c r="G569" s="1094">
        <v>1.0371238361887187</v>
      </c>
      <c r="H569" s="1094">
        <v>0.97888760320679002</v>
      </c>
      <c r="I569" s="1094">
        <v>0.98437958226801991</v>
      </c>
      <c r="K569">
        <v>4.3689583307593809</v>
      </c>
      <c r="L569">
        <v>0</v>
      </c>
      <c r="M569">
        <v>1.4711838153836116E-3</v>
      </c>
      <c r="N569">
        <v>0.11967203074377357</v>
      </c>
      <c r="O569">
        <v>3.7888821479583952E-2</v>
      </c>
      <c r="P569">
        <v>1.8384189786873863E-2</v>
      </c>
      <c r="Q569">
        <v>1.2897365004719467E-3</v>
      </c>
      <c r="R569">
        <v>1.46486890659332E-3</v>
      </c>
      <c r="S569">
        <v>0.22374814323497735</v>
      </c>
      <c r="T569">
        <v>3.8720487331685867</v>
      </c>
      <c r="U569">
        <v>0</v>
      </c>
      <c r="V569">
        <v>9.4523053561131991E-3</v>
      </c>
      <c r="W569">
        <v>7.2301196404787452E-2</v>
      </c>
      <c r="X569">
        <v>1.0039657625514758E-2</v>
      </c>
      <c r="Y569">
        <v>4.1398313674831386E-3</v>
      </c>
    </row>
    <row r="570" spans="1:25" x14ac:dyDescent="0.25">
      <c r="A570" s="1090"/>
      <c r="B570" s="1448">
        <v>320</v>
      </c>
      <c r="C570" s="1094">
        <v>0.97218831284506102</v>
      </c>
      <c r="D570" s="1094">
        <v>0.98203745250276808</v>
      </c>
      <c r="E570" s="1094">
        <v>0.99201475171336595</v>
      </c>
      <c r="F570" s="1094">
        <v>0.96077814849357501</v>
      </c>
      <c r="G570" s="1094">
        <v>1.0214819270205751</v>
      </c>
      <c r="H570" s="1094">
        <v>1.0112021474117519</v>
      </c>
      <c r="I570" s="1094">
        <v>0.97809476714220711</v>
      </c>
      <c r="K570">
        <v>4.3235888687210311</v>
      </c>
      <c r="L570">
        <v>0</v>
      </c>
      <c r="M570">
        <v>1.4977650508705919E-3</v>
      </c>
      <c r="N570">
        <v>0.12657219295739208</v>
      </c>
      <c r="O570">
        <v>3.8271604640349781E-2</v>
      </c>
      <c r="P570">
        <v>1.8308283425049771E-2</v>
      </c>
      <c r="Q570">
        <v>1.3413999475442701E-3</v>
      </c>
      <c r="R570">
        <v>1.4914425847484467E-3</v>
      </c>
      <c r="S570">
        <v>0.22866641561935316</v>
      </c>
      <c r="T570">
        <v>3.8107455929502922</v>
      </c>
      <c r="U570">
        <v>0</v>
      </c>
      <c r="V570">
        <v>9.4523053561131869E-3</v>
      </c>
      <c r="W570">
        <v>7.5802869530564684E-2</v>
      </c>
      <c r="X570">
        <v>1.0219596149741545E-2</v>
      </c>
      <c r="Y570">
        <v>4.2149306107538776E-3</v>
      </c>
    </row>
    <row r="571" spans="1:25" x14ac:dyDescent="0.25">
      <c r="A571" s="1090"/>
      <c r="B571" s="1448">
        <v>321</v>
      </c>
      <c r="C571" s="1094">
        <v>1.0030627934308001</v>
      </c>
      <c r="D571" s="1094">
        <v>0.99380701092578438</v>
      </c>
      <c r="E571" s="1094">
        <v>1.0288752547964384</v>
      </c>
      <c r="F571" s="1094">
        <v>0.99432061921935988</v>
      </c>
      <c r="G571" s="1094">
        <v>1.0020849269041319</v>
      </c>
      <c r="H571" s="1094">
        <v>1.003994086056909</v>
      </c>
      <c r="I571" s="1094">
        <v>0.99136640527930786</v>
      </c>
      <c r="K571">
        <v>4.4593661685644141</v>
      </c>
      <c r="L571">
        <v>0</v>
      </c>
      <c r="M571">
        <v>1.373296045539762E-3</v>
      </c>
      <c r="N571">
        <v>0.12945035723941709</v>
      </c>
      <c r="O571">
        <v>3.7954205966657467E-2</v>
      </c>
      <c r="P571">
        <v>1.942426489485332E-2</v>
      </c>
      <c r="Q571">
        <v>1.3351811780251289E-3</v>
      </c>
      <c r="R571">
        <v>1.3676535265520864E-3</v>
      </c>
      <c r="S571">
        <v>0.22848014854358023</v>
      </c>
      <c r="T571">
        <v>3.9423969326638679</v>
      </c>
      <c r="U571">
        <v>0</v>
      </c>
      <c r="V571">
        <v>9.4523053561131921E-3</v>
      </c>
      <c r="W571">
        <v>7.5632231698076563E-2</v>
      </c>
      <c r="X571">
        <v>1.1381090261367664E-2</v>
      </c>
      <c r="Y571">
        <v>3.8650932814434532E-3</v>
      </c>
    </row>
    <row r="572" spans="1:25" x14ac:dyDescent="0.25">
      <c r="A572" s="1090"/>
      <c r="B572" s="1448">
        <v>322</v>
      </c>
      <c r="C572" s="1094">
        <v>0.98923785769710859</v>
      </c>
      <c r="D572" s="1094">
        <v>1.0106773701745979</v>
      </c>
      <c r="E572" s="1094">
        <v>0.99272527162274071</v>
      </c>
      <c r="F572" s="1094">
        <v>1.0051872282100749</v>
      </c>
      <c r="G572" s="1094">
        <v>1.0015071491185854</v>
      </c>
      <c r="H572" s="1094">
        <v>1.0172349576948139</v>
      </c>
      <c r="I572" s="1094">
        <v>1.0194465944583353</v>
      </c>
      <c r="K572">
        <v>4.5173579999933819</v>
      </c>
      <c r="L572">
        <v>0</v>
      </c>
      <c r="M572">
        <v>1.5288881916461499E-3</v>
      </c>
      <c r="N572">
        <v>0.12950203269723218</v>
      </c>
      <c r="O572">
        <v>3.8895677725679728E-2</v>
      </c>
      <c r="P572">
        <v>1.9165231964570959E-2</v>
      </c>
      <c r="Q572">
        <v>1.3040069401326273E-3</v>
      </c>
      <c r="R572">
        <v>1.5227549042470202E-3</v>
      </c>
      <c r="S572">
        <v>0.23980800820291875</v>
      </c>
      <c r="T572">
        <v>3.9868585455600427</v>
      </c>
      <c r="U572">
        <v>0</v>
      </c>
      <c r="V572">
        <v>9.4523053561132026E-3</v>
      </c>
      <c r="W572">
        <v>7.7520093076170749E-2</v>
      </c>
      <c r="X572">
        <v>1.0554810141676776E-2</v>
      </c>
      <c r="Y572">
        <v>4.3034216162393503E-3</v>
      </c>
    </row>
    <row r="573" spans="1:25" x14ac:dyDescent="0.25">
      <c r="A573" s="1090"/>
      <c r="B573" s="1448">
        <v>323</v>
      </c>
      <c r="C573" s="1094">
        <v>0.98385915908290689</v>
      </c>
      <c r="D573" s="1094">
        <v>1.0005859237459278</v>
      </c>
      <c r="E573" s="1094">
        <v>0.97934517064013493</v>
      </c>
      <c r="F573" s="1094">
        <v>1.0178640335889941</v>
      </c>
      <c r="G573" s="1094">
        <v>1.0214374231416246</v>
      </c>
      <c r="H573" s="1094">
        <v>1.0376211166941698</v>
      </c>
      <c r="I573" s="1094">
        <v>0.99086724090345579</v>
      </c>
      <c r="K573">
        <v>4.5751610291718663</v>
      </c>
      <c r="L573">
        <v>0</v>
      </c>
      <c r="M573">
        <v>1.6395916809493923E-3</v>
      </c>
      <c r="N573">
        <v>0.13349250309136212</v>
      </c>
      <c r="O573">
        <v>3.9855612639843718E-2</v>
      </c>
      <c r="P573">
        <v>1.9195106070625696E-2</v>
      </c>
      <c r="Q573">
        <v>1.3012666506105604E-3</v>
      </c>
      <c r="R573">
        <v>1.6332235052655755E-3</v>
      </c>
      <c r="S573">
        <v>0.23866727889455341</v>
      </c>
      <c r="T573">
        <v>4.0376605271251798</v>
      </c>
      <c r="U573">
        <v>0</v>
      </c>
      <c r="V573">
        <v>9.4523053561131921E-3</v>
      </c>
      <c r="W573">
        <v>8.0641666132042419E-2</v>
      </c>
      <c r="X573">
        <v>1.0285517070620457E-2</v>
      </c>
      <c r="Y573">
        <v>4.615614316596503E-3</v>
      </c>
    </row>
    <row r="574" spans="1:25" x14ac:dyDescent="0.25">
      <c r="A574" s="1090"/>
      <c r="B574" s="1448">
        <v>324</v>
      </c>
      <c r="C574" s="1094">
        <v>0.99501315156903858</v>
      </c>
      <c r="D574" s="1094">
        <v>1.0331261131452787</v>
      </c>
      <c r="E574" s="1094">
        <v>1.0124333008552753</v>
      </c>
      <c r="F574" s="1094">
        <v>1.0026588754193937</v>
      </c>
      <c r="G574" s="1094">
        <v>0.96436314138282531</v>
      </c>
      <c r="H574" s="1094">
        <v>1.0331074559718132</v>
      </c>
      <c r="I574" s="1094">
        <v>0.99832685513837693</v>
      </c>
      <c r="K574">
        <v>4.5012617393461287</v>
      </c>
      <c r="L574">
        <v>0</v>
      </c>
      <c r="M574">
        <v>1.4643141633509697E-3</v>
      </c>
      <c r="N574">
        <v>0.13149616671166567</v>
      </c>
      <c r="O574">
        <v>3.8100538530211364E-2</v>
      </c>
      <c r="P574">
        <v>1.9366192204976398E-2</v>
      </c>
      <c r="Q574">
        <v>1.3069498773811544E-3</v>
      </c>
      <c r="R574">
        <v>1.4585156465028392E-3</v>
      </c>
      <c r="S574">
        <v>0.2327408655928544</v>
      </c>
      <c r="T574">
        <v>3.9760788368096049</v>
      </c>
      <c r="U574">
        <v>0</v>
      </c>
      <c r="V574">
        <v>9.4523053561131939E-3</v>
      </c>
      <c r="W574">
        <v>7.7674055097420147E-2</v>
      </c>
      <c r="X574">
        <v>1.0929751113329127E-2</v>
      </c>
      <c r="Y574">
        <v>4.1218765694189764E-3</v>
      </c>
    </row>
    <row r="575" spans="1:25" x14ac:dyDescent="0.25">
      <c r="A575" s="1090"/>
      <c r="B575" s="1448">
        <v>325</v>
      </c>
      <c r="C575" s="1094">
        <v>1.0065756407642024</v>
      </c>
      <c r="D575" s="1094">
        <v>1.0113685907654428</v>
      </c>
      <c r="E575" s="1094">
        <v>1.0204550614075616</v>
      </c>
      <c r="F575" s="1094">
        <v>1.0234586599234778</v>
      </c>
      <c r="G575" s="1094">
        <v>1.0136116521640994</v>
      </c>
      <c r="H575" s="1094">
        <v>0.9862549304400785</v>
      </c>
      <c r="I575" s="1094">
        <v>1.0303408264948142</v>
      </c>
      <c r="K575">
        <v>4.5858248585701293</v>
      </c>
      <c r="L575">
        <v>0</v>
      </c>
      <c r="M575">
        <v>1.3985686168259766E-3</v>
      </c>
      <c r="N575">
        <v>0.12859587082586402</v>
      </c>
      <c r="O575">
        <v>3.8717004539325035E-2</v>
      </c>
      <c r="P575">
        <v>1.988735905375371E-2</v>
      </c>
      <c r="Q575">
        <v>1.3118784389638328E-3</v>
      </c>
      <c r="R575">
        <v>1.392884778001337E-3</v>
      </c>
      <c r="S575">
        <v>0.23864393532890887</v>
      </c>
      <c r="T575">
        <v>4.0582509895730157</v>
      </c>
      <c r="U575">
        <v>0</v>
      </c>
      <c r="V575">
        <v>9.4523053561132026E-3</v>
      </c>
      <c r="W575">
        <v>7.5554678759863353E-2</v>
      </c>
      <c r="X575">
        <v>1.1480121808788758E-2</v>
      </c>
      <c r="Y575">
        <v>3.9363987243539577E-3</v>
      </c>
    </row>
    <row r="576" spans="1:25" x14ac:dyDescent="0.25">
      <c r="A576" s="1090"/>
      <c r="B576" s="1448">
        <v>326</v>
      </c>
      <c r="C576" s="1094">
        <v>0.99326046226081177</v>
      </c>
      <c r="D576" s="1094">
        <v>1.003052140279501</v>
      </c>
      <c r="E576" s="1094">
        <v>1.0206833540532618</v>
      </c>
      <c r="F576" s="1094">
        <v>0.96966669197384858</v>
      </c>
      <c r="G576" s="1094">
        <v>0.96603986440164602</v>
      </c>
      <c r="H576" s="1094">
        <v>1.0087188688671249</v>
      </c>
      <c r="I576" s="1094">
        <v>0.97184679909483906</v>
      </c>
      <c r="K576">
        <v>4.3499462771624673</v>
      </c>
      <c r="L576">
        <v>0</v>
      </c>
      <c r="M576">
        <v>1.3775953328834232E-3</v>
      </c>
      <c r="N576">
        <v>0.12673657734005964</v>
      </c>
      <c r="O576">
        <v>3.729526698855911E-2</v>
      </c>
      <c r="P576">
        <v>1.8829098309873431E-2</v>
      </c>
      <c r="Q576">
        <v>1.3341206682020382E-3</v>
      </c>
      <c r="R576">
        <v>1.3718190300686904E-3</v>
      </c>
      <c r="S576">
        <v>0.22211668964812833</v>
      </c>
      <c r="T576">
        <v>3.8449450141934496</v>
      </c>
      <c r="U576">
        <v>0</v>
      </c>
      <c r="V576">
        <v>9.4523053561131869E-3</v>
      </c>
      <c r="W576">
        <v>7.4450947637979936E-2</v>
      </c>
      <c r="X576">
        <v>1.0915168010514202E-2</v>
      </c>
      <c r="Y576">
        <v>3.8768653124025259E-3</v>
      </c>
    </row>
    <row r="577" spans="1:25" x14ac:dyDescent="0.25">
      <c r="A577" s="1090"/>
      <c r="B577" s="1448">
        <v>327</v>
      </c>
      <c r="C577" s="1094">
        <v>0.96243552973806767</v>
      </c>
      <c r="D577" s="1094">
        <v>0.99968569005944719</v>
      </c>
      <c r="E577" s="1094">
        <v>1.0036628208614176</v>
      </c>
      <c r="F577" s="1094">
        <v>1.0166386011760185</v>
      </c>
      <c r="G577" s="1094">
        <v>0.99752405862095084</v>
      </c>
      <c r="H577" s="1094">
        <v>1.0187193661714065</v>
      </c>
      <c r="I577" s="1094">
        <v>0.9682430890498851</v>
      </c>
      <c r="K577">
        <v>4.5729061491204712</v>
      </c>
      <c r="L577">
        <v>0</v>
      </c>
      <c r="M577">
        <v>1.5622005122831514E-3</v>
      </c>
      <c r="N577">
        <v>0.13668979230795264</v>
      </c>
      <c r="O577">
        <v>4.0532245439458818E-2</v>
      </c>
      <c r="P577">
        <v>1.9513912544959999E-2</v>
      </c>
      <c r="Q577">
        <v>1.3588899947082867E-3</v>
      </c>
      <c r="R577">
        <v>1.5560129239977191E-3</v>
      </c>
      <c r="S577">
        <v>0.23681240229378772</v>
      </c>
      <c r="T577">
        <v>4.0318541337485598</v>
      </c>
      <c r="U577">
        <v>0</v>
      </c>
      <c r="V577">
        <v>9.4523053561132008E-3</v>
      </c>
      <c r="W577">
        <v>8.1219321009619469E-2</v>
      </c>
      <c r="X577">
        <v>1.1081922694410204E-2</v>
      </c>
      <c r="Y577">
        <v>4.3974113191845177E-3</v>
      </c>
    </row>
    <row r="578" spans="1:25" x14ac:dyDescent="0.25">
      <c r="A578" s="1090"/>
      <c r="B578" s="1448">
        <v>328</v>
      </c>
      <c r="C578" s="1094">
        <v>1.01308018933296</v>
      </c>
      <c r="D578" s="1094">
        <v>1.0177959451938055</v>
      </c>
      <c r="E578" s="1094">
        <v>1.0047072270641451</v>
      </c>
      <c r="F578" s="1094">
        <v>1.0206673685157432</v>
      </c>
      <c r="G578" s="1094">
        <v>0.99861340049555025</v>
      </c>
      <c r="H578" s="1094">
        <v>0.99007069769186007</v>
      </c>
      <c r="I578" s="1094">
        <v>1.0001636024184009</v>
      </c>
      <c r="K578">
        <v>4.5617252528774905</v>
      </c>
      <c r="L578">
        <v>0</v>
      </c>
      <c r="M578">
        <v>1.4345386094198592E-3</v>
      </c>
      <c r="N578">
        <v>0.12589604418383116</v>
      </c>
      <c r="O578">
        <v>3.8374788262523593E-2</v>
      </c>
      <c r="P578">
        <v>1.9568855678023363E-2</v>
      </c>
      <c r="Q578">
        <v>1.2828649146218651E-3</v>
      </c>
      <c r="R578">
        <v>1.4287152377219121E-3</v>
      </c>
      <c r="S578">
        <v>0.22959618613484892</v>
      </c>
      <c r="T578">
        <v>4.0477911811170229</v>
      </c>
      <c r="U578">
        <v>0</v>
      </c>
      <c r="V578">
        <v>9.4523053561131887E-3</v>
      </c>
      <c r="W578">
        <v>7.4753178055693648E-2</v>
      </c>
      <c r="X578">
        <v>1.0978014207458142E-2</v>
      </c>
      <c r="Y578">
        <v>4.0376583390504955E-3</v>
      </c>
    </row>
    <row r="579" spans="1:25" x14ac:dyDescent="0.25">
      <c r="A579" s="1090"/>
      <c r="B579" s="1448">
        <v>329</v>
      </c>
      <c r="C579" s="1094">
        <v>1.0241656206377774</v>
      </c>
      <c r="D579" s="1094">
        <v>0.99717303537051094</v>
      </c>
      <c r="E579" s="1094">
        <v>0.97309820822344428</v>
      </c>
      <c r="F579" s="1094">
        <v>1.0264526859744585</v>
      </c>
      <c r="G579" s="1094">
        <v>1.0342213774758924</v>
      </c>
      <c r="H579" s="1094">
        <v>1.0246054518516339</v>
      </c>
      <c r="I579" s="1094">
        <v>0.9715904709447305</v>
      </c>
      <c r="K579">
        <v>4.5848511619857106</v>
      </c>
      <c r="L579">
        <v>0</v>
      </c>
      <c r="M579">
        <v>1.5912428294385804E-3</v>
      </c>
      <c r="N579">
        <v>0.12717379898839276</v>
      </c>
      <c r="O579">
        <v>3.8705809024645037E-2</v>
      </c>
      <c r="P579">
        <v>1.9197760909806252E-2</v>
      </c>
      <c r="Q579">
        <v>1.244978653929175E-3</v>
      </c>
      <c r="R579">
        <v>1.5850360915244748E-3</v>
      </c>
      <c r="S579">
        <v>0.22538198423681724</v>
      </c>
      <c r="T579">
        <v>4.0719769862360931</v>
      </c>
      <c r="U579">
        <v>0</v>
      </c>
      <c r="V579">
        <v>9.4523053561131904E-3</v>
      </c>
      <c r="W579">
        <v>7.715495760979614E-2</v>
      </c>
      <c r="X579">
        <v>1.0089354701602242E-2</v>
      </c>
      <c r="Y579">
        <v>4.4794330064291468E-3</v>
      </c>
    </row>
    <row r="580" spans="1:25" x14ac:dyDescent="0.25">
      <c r="A580" s="1090"/>
      <c r="B580" s="1448">
        <v>330</v>
      </c>
      <c r="C580" s="1094">
        <v>1.0113308285007354</v>
      </c>
      <c r="D580" s="1094">
        <v>0.9685834800756683</v>
      </c>
      <c r="E580" s="1094">
        <v>0.97902751586809345</v>
      </c>
      <c r="F580" s="1094">
        <v>0.99468592364814845</v>
      </c>
      <c r="G580" s="1094">
        <v>1.0161201029603393</v>
      </c>
      <c r="H580" s="1094">
        <v>0.98493881213982459</v>
      </c>
      <c r="I580" s="1094">
        <v>0.98049631995358266</v>
      </c>
      <c r="K580">
        <v>4.4481905740255652</v>
      </c>
      <c r="L580">
        <v>0</v>
      </c>
      <c r="M580">
        <v>1.5000969848913538E-3</v>
      </c>
      <c r="N580">
        <v>0.12198294840733165</v>
      </c>
      <c r="O580">
        <v>3.8388116785756557E-2</v>
      </c>
      <c r="P580">
        <v>1.8715616213121868E-2</v>
      </c>
      <c r="Q580">
        <v>1.2821330849441541E-3</v>
      </c>
      <c r="R580">
        <v>1.4938165280946839E-3</v>
      </c>
      <c r="S580">
        <v>0.22454891553103712</v>
      </c>
      <c r="T580">
        <v>3.9457298124999864</v>
      </c>
      <c r="U580">
        <v>0</v>
      </c>
      <c r="V580">
        <v>9.4523053561132078E-3</v>
      </c>
      <c r="W580">
        <v>7.3704891677527071E-2</v>
      </c>
      <c r="X580">
        <v>1.0170475370644525E-2</v>
      </c>
      <c r="Y580">
        <v>4.2216395558923453E-3</v>
      </c>
    </row>
    <row r="581" spans="1:25" x14ac:dyDescent="0.25">
      <c r="A581" s="1090"/>
      <c r="B581" s="1448">
        <v>331</v>
      </c>
      <c r="C581" s="1094">
        <v>1.0291464190325013</v>
      </c>
      <c r="D581" s="1094">
        <v>0.97901836422935096</v>
      </c>
      <c r="E581" s="1094">
        <v>0.99812141221435657</v>
      </c>
      <c r="F581" s="1094">
        <v>1.029082051267991</v>
      </c>
      <c r="G581" s="1094">
        <v>0.98463838232013201</v>
      </c>
      <c r="H581" s="1094">
        <v>0.98493149371054411</v>
      </c>
      <c r="I581" s="1094">
        <v>0.99203107357424036</v>
      </c>
      <c r="K581">
        <v>4.5935865510878378</v>
      </c>
      <c r="L581">
        <v>0</v>
      </c>
      <c r="M581">
        <v>1.4586222416297977E-3</v>
      </c>
      <c r="N581">
        <v>0.12553770966005021</v>
      </c>
      <c r="O581">
        <v>3.872916617319537E-2</v>
      </c>
      <c r="P581">
        <v>1.961721987316134E-2</v>
      </c>
      <c r="Q581">
        <v>1.275400172082412E-3</v>
      </c>
      <c r="R581">
        <v>1.4527186843162809E-3</v>
      </c>
      <c r="S581">
        <v>0.22767844968587836</v>
      </c>
      <c r="T581">
        <v>4.0814202734660343</v>
      </c>
      <c r="U581">
        <v>0</v>
      </c>
      <c r="V581">
        <v>9.4523053561131921E-3</v>
      </c>
      <c r="W581">
        <v>7.4872623369677552E-2</v>
      </c>
      <c r="X581">
        <v>1.0903812977256164E-2</v>
      </c>
      <c r="Y581">
        <v>4.1054939117026379E-3</v>
      </c>
    </row>
    <row r="582" spans="1:25" x14ac:dyDescent="0.25">
      <c r="A582" s="1090"/>
      <c r="B582" s="1448">
        <v>332</v>
      </c>
      <c r="C582" s="1094">
        <v>0.99355509783211005</v>
      </c>
      <c r="D582" s="1094">
        <v>0.98838174977619764</v>
      </c>
      <c r="E582" s="1094">
        <v>1.0123628545618073</v>
      </c>
      <c r="F582" s="1094">
        <v>1.0067178215834323</v>
      </c>
      <c r="G582" s="1094">
        <v>1.0159213412281554</v>
      </c>
      <c r="H582" s="1094">
        <v>1.0252089696253666</v>
      </c>
      <c r="I582" s="1094">
        <v>1.0148421843191382</v>
      </c>
      <c r="K582">
        <v>4.5292994110083367</v>
      </c>
      <c r="L582">
        <v>0</v>
      </c>
      <c r="M582">
        <v>1.4874467298332287E-3</v>
      </c>
      <c r="N582">
        <v>0.13354368874984901</v>
      </c>
      <c r="O582">
        <v>3.8995947423641118E-2</v>
      </c>
      <c r="P582">
        <v>1.9473204805497954E-2</v>
      </c>
      <c r="Q582">
        <v>1.3321748526870264E-3</v>
      </c>
      <c r="R582">
        <v>1.4815350651916463E-3</v>
      </c>
      <c r="S582">
        <v>0.24017106625087692</v>
      </c>
      <c r="T582">
        <v>3.9921774140418536</v>
      </c>
      <c r="U582">
        <v>0</v>
      </c>
      <c r="V582">
        <v>9.4523053561131869E-3</v>
      </c>
      <c r="W582">
        <v>7.8887239530769399E-2</v>
      </c>
      <c r="X582">
        <v>1.1085350457608998E-2</v>
      </c>
      <c r="Y582">
        <v>4.1869312040830244E-3</v>
      </c>
    </row>
    <row r="583" spans="1:25" x14ac:dyDescent="0.25">
      <c r="A583" s="1090"/>
      <c r="B583" s="1448">
        <v>333</v>
      </c>
      <c r="C583" s="1094">
        <v>1.0052489475508861</v>
      </c>
      <c r="D583" s="1094">
        <v>1.0124690545130131</v>
      </c>
      <c r="E583" s="1094">
        <v>1.0076248463791195</v>
      </c>
      <c r="F583" s="1094">
        <v>0.99210127031358941</v>
      </c>
      <c r="G583" s="1094">
        <v>1.0217096806285559</v>
      </c>
      <c r="H583" s="1094">
        <v>0.99809648213548818</v>
      </c>
      <c r="I583" s="1094">
        <v>0.97787038450385988</v>
      </c>
      <c r="K583">
        <v>4.438360356345445</v>
      </c>
      <c r="L583">
        <v>0</v>
      </c>
      <c r="M583">
        <v>1.4110792134767593E-3</v>
      </c>
      <c r="N583">
        <v>0.1249015400772699</v>
      </c>
      <c r="O583">
        <v>3.7650648826169676E-2</v>
      </c>
      <c r="P583">
        <v>1.9061565055656426E-2</v>
      </c>
      <c r="Q583">
        <v>1.2988063587624063E-3</v>
      </c>
      <c r="R583">
        <v>1.4052342027046133E-3</v>
      </c>
      <c r="S583">
        <v>0.22284567448050457</v>
      </c>
      <c r="T583">
        <v>3.9343930554157582</v>
      </c>
      <c r="U583">
        <v>0</v>
      </c>
      <c r="V583">
        <v>9.4523053561131904E-3</v>
      </c>
      <c r="W583">
        <v>7.401718062749077E-2</v>
      </c>
      <c r="X583">
        <v>1.0774126017090787E-2</v>
      </c>
      <c r="Y583">
        <v>3.9712991413993915E-3</v>
      </c>
    </row>
    <row r="584" spans="1:25" x14ac:dyDescent="0.25">
      <c r="A584" s="1090"/>
      <c r="B584" s="1448">
        <v>334</v>
      </c>
      <c r="C584" s="1094">
        <v>0.99163722402994847</v>
      </c>
      <c r="D584" s="1094">
        <v>0.98816699974391731</v>
      </c>
      <c r="E584" s="1094">
        <v>1.0263898849025814</v>
      </c>
      <c r="F584" s="1094">
        <v>1.0291673642972508</v>
      </c>
      <c r="G584" s="1094">
        <v>0.9889191613604692</v>
      </c>
      <c r="H584" s="1094">
        <v>1.0264134457936847</v>
      </c>
      <c r="I584" s="1094">
        <v>1.034131103387179</v>
      </c>
      <c r="K584">
        <v>4.6360523203089654</v>
      </c>
      <c r="L584">
        <v>0</v>
      </c>
      <c r="M584">
        <v>1.4808152552509956E-3</v>
      </c>
      <c r="N584">
        <v>0.13859467924486513</v>
      </c>
      <c r="O584">
        <v>3.9845402578317021E-2</v>
      </c>
      <c r="P584">
        <v>2.0125805560929237E-2</v>
      </c>
      <c r="Q584">
        <v>1.3508129020458721E-3</v>
      </c>
      <c r="R584">
        <v>1.4750645691145093E-3</v>
      </c>
      <c r="S584">
        <v>0.24903326146114987</v>
      </c>
      <c r="T584">
        <v>4.0806574055769662</v>
      </c>
      <c r="U584">
        <v>0</v>
      </c>
      <c r="V584">
        <v>9.4523053561131887E-3</v>
      </c>
      <c r="W584">
        <v>8.1108476282112707E-2</v>
      </c>
      <c r="X584">
        <v>1.17212769444334E-2</v>
      </c>
      <c r="Y584">
        <v>4.168645088170028E-3</v>
      </c>
    </row>
    <row r="585" spans="1:25" x14ac:dyDescent="0.25">
      <c r="A585" s="1090"/>
      <c r="B585" s="1448">
        <v>335</v>
      </c>
      <c r="C585" s="1094">
        <v>1.0273574942560844</v>
      </c>
      <c r="D585" s="1094">
        <v>1.0141462136268866</v>
      </c>
      <c r="E585" s="1094">
        <v>0.96694335621202121</v>
      </c>
      <c r="F585" s="1094">
        <v>1.0164462012839048</v>
      </c>
      <c r="G585" s="1094">
        <v>0.98885665671848622</v>
      </c>
      <c r="H585" s="1094">
        <v>1.0074242213905509</v>
      </c>
      <c r="I585" s="1094">
        <v>0.9810410409679714</v>
      </c>
      <c r="K585">
        <v>4.5335469368081229</v>
      </c>
      <c r="L585">
        <v>0</v>
      </c>
      <c r="M585">
        <v>1.5540818211338796E-3</v>
      </c>
      <c r="N585">
        <v>0.12194146816627983</v>
      </c>
      <c r="O585">
        <v>3.7993668879618005E-2</v>
      </c>
      <c r="P585">
        <v>1.892169186940567E-2</v>
      </c>
      <c r="Q585">
        <v>1.2261493446245591E-3</v>
      </c>
      <c r="R585">
        <v>1.5478562019213208E-3</v>
      </c>
      <c r="S585">
        <v>0.22295708859066965</v>
      </c>
      <c r="T585">
        <v>4.0325225959880093</v>
      </c>
      <c r="U585">
        <v>0</v>
      </c>
      <c r="V585">
        <v>9.4523053561131921E-3</v>
      </c>
      <c r="W585">
        <v>7.4295327794074481E-2</v>
      </c>
      <c r="X585">
        <v>9.8685066386789925E-3</v>
      </c>
      <c r="Y585">
        <v>4.374359799860345E-3</v>
      </c>
    </row>
    <row r="586" spans="1:25" x14ac:dyDescent="0.25">
      <c r="A586" s="1090"/>
      <c r="B586" s="1448">
        <v>336</v>
      </c>
      <c r="C586" s="1094">
        <v>0.99752446020217234</v>
      </c>
      <c r="D586" s="1094">
        <v>1.0057314914406545</v>
      </c>
      <c r="E586" s="1094">
        <v>0.99117575020302207</v>
      </c>
      <c r="F586" s="1094">
        <v>0.98037640118161318</v>
      </c>
      <c r="G586" s="1094">
        <v>1.038812058852407</v>
      </c>
      <c r="H586" s="1094">
        <v>0.99003727594383484</v>
      </c>
      <c r="I586" s="1094">
        <v>1.0345630814856912</v>
      </c>
      <c r="K586">
        <v>4.4006493674353484</v>
      </c>
      <c r="L586">
        <v>0</v>
      </c>
      <c r="M586">
        <v>1.4469099824211784E-3</v>
      </c>
      <c r="N586">
        <v>0.12197024665495634</v>
      </c>
      <c r="O586">
        <v>3.7704798742500045E-2</v>
      </c>
      <c r="P586">
        <v>1.8679292140463689E-2</v>
      </c>
      <c r="Q586">
        <v>1.2939859842910249E-3</v>
      </c>
      <c r="R586">
        <v>1.4407958041590613E-3</v>
      </c>
      <c r="S586">
        <v>0.23555354805440776</v>
      </c>
      <c r="T586">
        <v>3.8885098231102355</v>
      </c>
      <c r="U586">
        <v>0</v>
      </c>
      <c r="V586">
        <v>9.4523053561131939E-3</v>
      </c>
      <c r="W586">
        <v>7.3088479046388252E-2</v>
      </c>
      <c r="X586">
        <v>1.0331203582144689E-2</v>
      </c>
      <c r="Y586">
        <v>4.0717989421094943E-3</v>
      </c>
    </row>
    <row r="587" spans="1:25" x14ac:dyDescent="0.25">
      <c r="A587" s="1090"/>
      <c r="B587" s="1448">
        <v>337</v>
      </c>
      <c r="C587" s="1094">
        <v>0.99793878637112288</v>
      </c>
      <c r="D587" s="1094">
        <v>0.97229172608555636</v>
      </c>
      <c r="E587" s="1094">
        <v>1.0279895776576915</v>
      </c>
      <c r="F587" s="1094">
        <v>1.0185252764925279</v>
      </c>
      <c r="G587" s="1094">
        <v>1.0290285035930224</v>
      </c>
      <c r="H587" s="1094">
        <v>0.95405320394971771</v>
      </c>
      <c r="I587" s="1094">
        <v>1.0248311509455243</v>
      </c>
      <c r="K587">
        <v>4.5653528063649738</v>
      </c>
      <c r="L587">
        <v>0</v>
      </c>
      <c r="M587">
        <v>1.3578391847837172E-3</v>
      </c>
      <c r="N587">
        <v>0.12764416381717111</v>
      </c>
      <c r="O587">
        <v>3.9427669161538226E-2</v>
      </c>
      <c r="P587">
        <v>1.9905981558240696E-2</v>
      </c>
      <c r="Q587">
        <v>1.3528288242056826E-3</v>
      </c>
      <c r="R587">
        <v>1.3521070952087282E-3</v>
      </c>
      <c r="S587">
        <v>0.23890549789766924</v>
      </c>
      <c r="T587">
        <v>4.0384002185767214</v>
      </c>
      <c r="U587">
        <v>0</v>
      </c>
      <c r="V587">
        <v>9.452305356113206E-3</v>
      </c>
      <c r="W587">
        <v>7.4620756323884541E-2</v>
      </c>
      <c r="X587">
        <v>1.1827959059444141E-2</v>
      </c>
      <c r="Y587">
        <v>3.8211578795532388E-3</v>
      </c>
    </row>
    <row r="588" spans="1:25" x14ac:dyDescent="0.25">
      <c r="A588" s="1090"/>
      <c r="B588" s="1448">
        <v>338</v>
      </c>
      <c r="C588" s="1094">
        <v>0.99700543559196542</v>
      </c>
      <c r="D588" s="1094">
        <v>0.98837683264547493</v>
      </c>
      <c r="E588" s="1094">
        <v>1.0042794384134222</v>
      </c>
      <c r="F588" s="1094">
        <v>1.0116218821266219</v>
      </c>
      <c r="G588" s="1094">
        <v>0.98295438636108778</v>
      </c>
      <c r="H588" s="1094">
        <v>0.99431163098672415</v>
      </c>
      <c r="I588" s="1094">
        <v>1.0238787483542457</v>
      </c>
      <c r="K588">
        <v>4.5414988675049015</v>
      </c>
      <c r="L588">
        <v>0</v>
      </c>
      <c r="M588">
        <v>1.4694378772152428E-3</v>
      </c>
      <c r="N588">
        <v>0.1287931104645921</v>
      </c>
      <c r="O588">
        <v>3.9107028179451706E-2</v>
      </c>
      <c r="P588">
        <v>1.9445699388638479E-2</v>
      </c>
      <c r="Q588">
        <v>1.3184501622833568E-3</v>
      </c>
      <c r="R588">
        <v>1.4634453833737889E-3</v>
      </c>
      <c r="S588">
        <v>0.23982516347299651</v>
      </c>
      <c r="T588">
        <v>4.0119347819649009</v>
      </c>
      <c r="U588">
        <v>0</v>
      </c>
      <c r="V588">
        <v>9.4523053561131939E-3</v>
      </c>
      <c r="W588">
        <v>7.6495413181442345E-2</v>
      </c>
      <c r="X588">
        <v>1.0997099446138083E-2</v>
      </c>
      <c r="Y588">
        <v>4.1358083821838856E-3</v>
      </c>
    </row>
    <row r="589" spans="1:25" x14ac:dyDescent="0.25">
      <c r="A589" s="1090"/>
      <c r="B589" s="1448">
        <v>339</v>
      </c>
      <c r="C589" s="1094">
        <v>1.0022061042543065</v>
      </c>
      <c r="D589" s="1094">
        <v>1.020085631744267</v>
      </c>
      <c r="E589" s="1094">
        <v>0.98662438861568558</v>
      </c>
      <c r="F589" s="1094">
        <v>0.99806034119663134</v>
      </c>
      <c r="G589" s="1094">
        <v>0.99240159117416327</v>
      </c>
      <c r="H589" s="1094">
        <v>1.0139151608137298</v>
      </c>
      <c r="I589" s="1094">
        <v>1.0231925108596442</v>
      </c>
      <c r="K589">
        <v>4.4772613640417367</v>
      </c>
      <c r="L589">
        <v>0</v>
      </c>
      <c r="M589">
        <v>1.5072436596933773E-3</v>
      </c>
      <c r="N589">
        <v>0.12537458271226237</v>
      </c>
      <c r="O589">
        <v>3.8020465488725161E-2</v>
      </c>
      <c r="P589">
        <v>1.8931895509456335E-2</v>
      </c>
      <c r="Q589">
        <v>1.2756401901221385E-3</v>
      </c>
      <c r="R589">
        <v>1.5011342644489036E-3</v>
      </c>
      <c r="S589">
        <v>0.23551445116661918</v>
      </c>
      <c r="T589">
        <v>3.9588243299864332</v>
      </c>
      <c r="U589">
        <v>0</v>
      </c>
      <c r="V589">
        <v>9.4523053561131869E-3</v>
      </c>
      <c r="W589">
        <v>7.5361683502164087E-2</v>
      </c>
      <c r="X589">
        <v>1.026979948757277E-2</v>
      </c>
      <c r="Y589">
        <v>4.2423200375121123E-3</v>
      </c>
    </row>
    <row r="590" spans="1:25" x14ac:dyDescent="0.25">
      <c r="A590" s="1090"/>
      <c r="B590" s="1448">
        <v>340</v>
      </c>
      <c r="C590" s="1094">
        <v>1.0044427669080112</v>
      </c>
      <c r="D590" s="1094">
        <v>0.99247592897900427</v>
      </c>
      <c r="E590" s="1094">
        <v>1.0025773120852917</v>
      </c>
      <c r="F590" s="1094">
        <v>0.99875397853303294</v>
      </c>
      <c r="G590" s="1094">
        <v>0.98655718407929072</v>
      </c>
      <c r="H590" s="1094">
        <v>1.033496720975398</v>
      </c>
      <c r="I590" s="1094">
        <v>0.99311356864088096</v>
      </c>
      <c r="K590">
        <v>4.4841588990643393</v>
      </c>
      <c r="L590">
        <v>0</v>
      </c>
      <c r="M590">
        <v>1.4997254079911915E-3</v>
      </c>
      <c r="N590">
        <v>0.13080034338302268</v>
      </c>
      <c r="O590">
        <v>3.8271972051043553E-2</v>
      </c>
      <c r="P590">
        <v>1.915117876751965E-2</v>
      </c>
      <c r="Q590">
        <v>1.3046226684548115E-3</v>
      </c>
      <c r="R590">
        <v>1.4937657884410932E-3</v>
      </c>
      <c r="S590">
        <v>0.23156389821803905</v>
      </c>
      <c r="T590">
        <v>3.9609673100109339</v>
      </c>
      <c r="U590">
        <v>0</v>
      </c>
      <c r="V590">
        <v>9.4523053561132043E-3</v>
      </c>
      <c r="W590">
        <v>7.7776806857486877E-2</v>
      </c>
      <c r="X590">
        <v>1.0654925209514185E-2</v>
      </c>
      <c r="Y590">
        <v>4.2214961617575084E-3</v>
      </c>
    </row>
    <row r="591" spans="1:25" x14ac:dyDescent="0.25">
      <c r="A591" s="1090"/>
      <c r="B591" s="1448">
        <v>341</v>
      </c>
      <c r="C591" s="1094">
        <v>1.0206033078837489</v>
      </c>
      <c r="D591" s="1094">
        <v>0.98359535578871571</v>
      </c>
      <c r="E591" s="1094">
        <v>0.96763980690920548</v>
      </c>
      <c r="F591" s="1094">
        <v>0.96936067095946488</v>
      </c>
      <c r="G591" s="1094">
        <v>0.99922796456991336</v>
      </c>
      <c r="H591" s="1094">
        <v>0.99136036457876053</v>
      </c>
      <c r="I591" s="1094">
        <v>0.97285210441934122</v>
      </c>
      <c r="K591">
        <v>4.3292948145946077</v>
      </c>
      <c r="L591">
        <v>0</v>
      </c>
      <c r="M591">
        <v>1.4843070652570316E-3</v>
      </c>
      <c r="N591">
        <v>0.11667706216452628</v>
      </c>
      <c r="O591">
        <v>3.6917902818248388E-2</v>
      </c>
      <c r="P591">
        <v>1.8073537215627055E-2</v>
      </c>
      <c r="Q591">
        <v>1.2502196629314382E-3</v>
      </c>
      <c r="R591">
        <v>1.4779723493901849E-3</v>
      </c>
      <c r="S591">
        <v>0.21643339238195641</v>
      </c>
      <c r="T591">
        <v>3.8456951843165901</v>
      </c>
      <c r="U591">
        <v>0</v>
      </c>
      <c r="V591">
        <v>9.4523053561131939E-3</v>
      </c>
      <c r="W591">
        <v>7.1053673231802894E-2</v>
      </c>
      <c r="X591">
        <v>9.5710094654487196E-3</v>
      </c>
      <c r="Y591">
        <v>4.1768626972276107E-3</v>
      </c>
    </row>
    <row r="592" spans="1:25" x14ac:dyDescent="0.25">
      <c r="A592" s="1090"/>
      <c r="B592" s="1448">
        <v>342</v>
      </c>
      <c r="C592" s="1094">
        <v>1.0029653990738763</v>
      </c>
      <c r="D592" s="1094">
        <v>0.99739006997308377</v>
      </c>
      <c r="E592" s="1094">
        <v>1.0074645837022027</v>
      </c>
      <c r="F592" s="1094">
        <v>0.97419634913094111</v>
      </c>
      <c r="G592" s="1094">
        <v>1.0197773136333363</v>
      </c>
      <c r="H592" s="1094">
        <v>1.0232360543219001</v>
      </c>
      <c r="I592" s="1094">
        <v>1.030472276883287</v>
      </c>
      <c r="K592">
        <v>4.3822176513675881</v>
      </c>
      <c r="L592">
        <v>0</v>
      </c>
      <c r="M592">
        <v>1.4329112883205907E-3</v>
      </c>
      <c r="N592">
        <v>0.12677736626884167</v>
      </c>
      <c r="O592">
        <v>3.7279476009047137E-2</v>
      </c>
      <c r="P592">
        <v>1.8792320730415587E-2</v>
      </c>
      <c r="Q592">
        <v>1.3094213111591909E-3</v>
      </c>
      <c r="R592">
        <v>1.4270157098374167E-3</v>
      </c>
      <c r="S592">
        <v>0.2354770710180398</v>
      </c>
      <c r="T592">
        <v>3.8633931252999387</v>
      </c>
      <c r="U592">
        <v>0</v>
      </c>
      <c r="V592">
        <v>9.4523053561132008E-3</v>
      </c>
      <c r="W592">
        <v>7.5136899838381274E-2</v>
      </c>
      <c r="X592">
        <v>1.0572705770633566E-2</v>
      </c>
      <c r="Y592">
        <v>4.0328553434960954E-3</v>
      </c>
    </row>
    <row r="593" spans="1:25" x14ac:dyDescent="0.25">
      <c r="A593" s="1090"/>
      <c r="B593" s="1448">
        <v>343</v>
      </c>
      <c r="C593" s="1094">
        <v>1.0195055026510846</v>
      </c>
      <c r="D593" s="1094">
        <v>0.99146366930708285</v>
      </c>
      <c r="E593" s="1094">
        <v>0.99167143254165191</v>
      </c>
      <c r="F593" s="1094">
        <v>1.0311157529150492</v>
      </c>
      <c r="G593" s="1094">
        <v>0.98302065858210153</v>
      </c>
      <c r="H593" s="1094">
        <v>0.9895380244366575</v>
      </c>
      <c r="I593" s="1094">
        <v>0.98347947184391316</v>
      </c>
      <c r="K593">
        <v>4.603487945703578</v>
      </c>
      <c r="L593">
        <v>0</v>
      </c>
      <c r="M593">
        <v>1.4948958794540116E-3</v>
      </c>
      <c r="N593">
        <v>0.12622663885032689</v>
      </c>
      <c r="O593">
        <v>3.9020145904653858E-2</v>
      </c>
      <c r="P593">
        <v>1.9560154669150415E-2</v>
      </c>
      <c r="Q593">
        <v>1.2738877313546576E-3</v>
      </c>
      <c r="R593">
        <v>1.4888855063751184E-3</v>
      </c>
      <c r="S593">
        <v>0.22763908272147754</v>
      </c>
      <c r="T593">
        <v>4.089739989401731</v>
      </c>
      <c r="U593">
        <v>0</v>
      </c>
      <c r="V593">
        <v>9.4523053561131921E-3</v>
      </c>
      <c r="W593">
        <v>7.5613561331007439E-2</v>
      </c>
      <c r="X593">
        <v>1.0760485998792948E-2</v>
      </c>
      <c r="Y593">
        <v>4.2077041120471524E-3</v>
      </c>
    </row>
    <row r="594" spans="1:25" x14ac:dyDescent="0.25">
      <c r="A594" s="1090"/>
      <c r="B594" s="1448">
        <v>344</v>
      </c>
      <c r="C594" s="1094">
        <v>1.012247975751321</v>
      </c>
      <c r="D594" s="1094">
        <v>1.0239985571735923</v>
      </c>
      <c r="E594" s="1094">
        <v>1.029600236075199</v>
      </c>
      <c r="F594" s="1094">
        <v>0.99583574499011995</v>
      </c>
      <c r="G594" s="1094">
        <v>1.0123446731183292</v>
      </c>
      <c r="H594" s="1094">
        <v>0.96561085966112414</v>
      </c>
      <c r="I594" s="1094">
        <v>0.98912127539469263</v>
      </c>
      <c r="K594">
        <v>4.4455720169691526</v>
      </c>
      <c r="L594">
        <v>0</v>
      </c>
      <c r="M594">
        <v>1.2932127507060819E-3</v>
      </c>
      <c r="N594">
        <v>0.12214383309850833</v>
      </c>
      <c r="O594">
        <v>3.7214023207002137E-2</v>
      </c>
      <c r="P594">
        <v>1.9428836401168884E-2</v>
      </c>
      <c r="Q594">
        <v>1.3081193569491841E-3</v>
      </c>
      <c r="R594">
        <v>1.287696432488513E-3</v>
      </c>
      <c r="S594">
        <v>0.2212837681402402</v>
      </c>
      <c r="T594">
        <v>3.9483771797172347</v>
      </c>
      <c r="U594">
        <v>0</v>
      </c>
      <c r="V594">
        <v>9.4523053561131904E-3</v>
      </c>
      <c r="W594">
        <v>7.1329071233672034E-2</v>
      </c>
      <c r="X594">
        <v>1.1401268347296514E-2</v>
      </c>
      <c r="Y594">
        <v>3.6391284291844403E-3</v>
      </c>
    </row>
    <row r="595" spans="1:25" x14ac:dyDescent="0.25">
      <c r="A595" s="1090"/>
      <c r="B595" s="1448">
        <v>345</v>
      </c>
      <c r="C595" s="1094">
        <v>0.98674299857706405</v>
      </c>
      <c r="D595" s="1094">
        <v>1.0099453735636763</v>
      </c>
      <c r="E595" s="1094">
        <v>0.9920174480675038</v>
      </c>
      <c r="F595" s="1094">
        <v>1.021050959965816</v>
      </c>
      <c r="G595" s="1094">
        <v>0.98250006589906613</v>
      </c>
      <c r="H595" s="1094">
        <v>1.0062853616335179</v>
      </c>
      <c r="I595" s="1094">
        <v>1.0351270014354421</v>
      </c>
      <c r="K595">
        <v>4.5891564259431785</v>
      </c>
      <c r="L595">
        <v>0</v>
      </c>
      <c r="M595">
        <v>1.5428285498600802E-3</v>
      </c>
      <c r="N595">
        <v>0.13041138679216985</v>
      </c>
      <c r="O595">
        <v>3.9625903056204247E-2</v>
      </c>
      <c r="P595">
        <v>1.9467249938179172E-2</v>
      </c>
      <c r="Q595">
        <v>1.306885991730899E-3</v>
      </c>
      <c r="R595">
        <v>1.5366688087836984E-3</v>
      </c>
      <c r="S595">
        <v>0.24590150340858208</v>
      </c>
      <c r="T595">
        <v>4.0498062438723297</v>
      </c>
      <c r="U595">
        <v>0</v>
      </c>
      <c r="V595">
        <v>9.4523053561131904E-3</v>
      </c>
      <c r="W595">
        <v>7.810198270240501E-2</v>
      </c>
      <c r="X595">
        <v>1.0746381193803138E-2</v>
      </c>
      <c r="Y595">
        <v>4.3427433727363622E-3</v>
      </c>
    </row>
    <row r="596" spans="1:25" x14ac:dyDescent="0.25">
      <c r="A596" s="1090"/>
      <c r="B596" s="1448">
        <v>346</v>
      </c>
      <c r="C596" s="1094">
        <v>1.0146968238683307</v>
      </c>
      <c r="D596" s="1094">
        <v>0.97343116366352167</v>
      </c>
      <c r="E596" s="1094">
        <v>0.96334917335965875</v>
      </c>
      <c r="F596" s="1094">
        <v>1.0143237207963027</v>
      </c>
      <c r="G596" s="1094">
        <v>1.0418372692275482</v>
      </c>
      <c r="H596" s="1094">
        <v>0.95637659061316116</v>
      </c>
      <c r="I596" s="1094">
        <v>0.99160845229673888</v>
      </c>
      <c r="K596">
        <v>4.5248745685063518</v>
      </c>
      <c r="L596">
        <v>0</v>
      </c>
      <c r="M596">
        <v>1.5267178753483742E-3</v>
      </c>
      <c r="N596">
        <v>0.11849561734114727</v>
      </c>
      <c r="O596">
        <v>3.9046542090965218E-2</v>
      </c>
      <c r="P596">
        <v>1.8849868796119489E-2</v>
      </c>
      <c r="Q596">
        <v>1.2579950109801728E-3</v>
      </c>
      <c r="R596">
        <v>1.5202620010952206E-3</v>
      </c>
      <c r="S596">
        <v>0.2268095293721703</v>
      </c>
      <c r="T596">
        <v>4.0242433158644388</v>
      </c>
      <c r="U596">
        <v>0</v>
      </c>
      <c r="V596">
        <v>9.4523053561131817E-3</v>
      </c>
      <c r="W596">
        <v>7.2375691166622805E-2</v>
      </c>
      <c r="X596">
        <v>1.0053782900443222E-2</v>
      </c>
      <c r="Y596">
        <v>4.2963764816082136E-3</v>
      </c>
    </row>
    <row r="597" spans="1:25" x14ac:dyDescent="0.25">
      <c r="A597" s="1090"/>
      <c r="B597" s="1448">
        <v>347</v>
      </c>
      <c r="C597" s="1094">
        <v>1.0246675076927874</v>
      </c>
      <c r="D597" s="1094">
        <v>0.99406827909488649</v>
      </c>
      <c r="E597" s="1094">
        <v>1.0399981948453734</v>
      </c>
      <c r="F597" s="1094">
        <v>0.99608361235191989</v>
      </c>
      <c r="G597" s="1094">
        <v>1.0062151767757725</v>
      </c>
      <c r="H597" s="1094">
        <v>1.0218497663379085</v>
      </c>
      <c r="I597" s="1094">
        <v>0.97292621441994764</v>
      </c>
      <c r="K597">
        <v>4.4588365530293075</v>
      </c>
      <c r="L597">
        <v>0</v>
      </c>
      <c r="M597">
        <v>1.3386275636647169E-3</v>
      </c>
      <c r="N597">
        <v>0.13040967819558671</v>
      </c>
      <c r="O597">
        <v>3.7141147235209344E-2</v>
      </c>
      <c r="P597">
        <v>1.9576966562884348E-2</v>
      </c>
      <c r="Q597">
        <v>1.3191381685057084E-3</v>
      </c>
      <c r="R597">
        <v>1.3332331214046169E-3</v>
      </c>
      <c r="S597">
        <v>0.22103027542864151</v>
      </c>
      <c r="T597">
        <v>3.9489722790457265</v>
      </c>
      <c r="U597">
        <v>0</v>
      </c>
      <c r="V597">
        <v>9.4523053561131939E-3</v>
      </c>
      <c r="W597">
        <v>7.5635147038210976E-2</v>
      </c>
      <c r="X597">
        <v>1.1537191852063387E-2</v>
      </c>
      <c r="Y597">
        <v>3.7678185886230856E-3</v>
      </c>
    </row>
    <row r="598" spans="1:25" x14ac:dyDescent="0.25">
      <c r="A598" s="1090"/>
      <c r="B598" s="1448">
        <v>348</v>
      </c>
      <c r="C598" s="1094">
        <v>0.99911822525063254</v>
      </c>
      <c r="D598" s="1094">
        <v>1.0142043602424333</v>
      </c>
      <c r="E598" s="1094">
        <v>0.99785478321538901</v>
      </c>
      <c r="F598" s="1094">
        <v>1.0120156252429415</v>
      </c>
      <c r="G598" s="1094">
        <v>1.0095562279155148</v>
      </c>
      <c r="H598" s="1094">
        <v>0.99258969530849972</v>
      </c>
      <c r="I598" s="1094">
        <v>0.99982007053295319</v>
      </c>
      <c r="K598">
        <v>4.530912244313746</v>
      </c>
      <c r="L598">
        <v>0</v>
      </c>
      <c r="M598">
        <v>1.4690723736677828E-3</v>
      </c>
      <c r="N598">
        <v>0.1263326526991346</v>
      </c>
      <c r="O598">
        <v>3.8683208530670664E-2</v>
      </c>
      <c r="P598">
        <v>1.9324748083679198E-2</v>
      </c>
      <c r="Q598">
        <v>1.2950112338476691E-3</v>
      </c>
      <c r="R598">
        <v>1.4630733027308613E-3</v>
      </c>
      <c r="S598">
        <v>0.23181617549386693</v>
      </c>
      <c r="T598">
        <v>4.0137437724618517</v>
      </c>
      <c r="U598">
        <v>0</v>
      </c>
      <c r="V598">
        <v>9.4523053561132008E-3</v>
      </c>
      <c r="W598">
        <v>7.5360337481028036E-2</v>
      </c>
      <c r="X598">
        <v>1.0775275190607274E-2</v>
      </c>
      <c r="Y598">
        <v>4.1347568538799579E-3</v>
      </c>
    </row>
    <row r="599" spans="1:25" x14ac:dyDescent="0.25">
      <c r="A599" s="1090"/>
      <c r="B599" s="1448">
        <v>349</v>
      </c>
      <c r="C599" s="1094">
        <v>0.9737523797783797</v>
      </c>
      <c r="D599" s="1094">
        <v>1.0125279385507884</v>
      </c>
      <c r="E599" s="1094">
        <v>1.0114197324083778</v>
      </c>
      <c r="F599" s="1094">
        <v>0.98902168331954743</v>
      </c>
      <c r="G599" s="1094">
        <v>1.0037287666512198</v>
      </c>
      <c r="H599" s="1094">
        <v>0.98585070769470529</v>
      </c>
      <c r="I599" s="1094">
        <v>1.0079463575705729</v>
      </c>
      <c r="K599">
        <v>4.4440373498828896</v>
      </c>
      <c r="L599">
        <v>0</v>
      </c>
      <c r="M599">
        <v>1.4229333160202114E-3</v>
      </c>
      <c r="N599">
        <v>0.12736574724746741</v>
      </c>
      <c r="O599">
        <v>3.8720555470726489E-2</v>
      </c>
      <c r="P599">
        <v>1.9117303907454745E-2</v>
      </c>
      <c r="Q599">
        <v>1.345127171139761E-3</v>
      </c>
      <c r="R599">
        <v>1.4169474851245128E-3</v>
      </c>
      <c r="S599">
        <v>0.23568229505008201</v>
      </c>
      <c r="T599">
        <v>3.9220380252588525</v>
      </c>
      <c r="U599">
        <v>0</v>
      </c>
      <c r="V599">
        <v>9.4523053561131904E-3</v>
      </c>
      <c r="W599">
        <v>7.5285380697100945E-2</v>
      </c>
      <c r="X599">
        <v>1.1032193783061294E-2</v>
      </c>
      <c r="Y599">
        <v>4.0044017717848343E-3</v>
      </c>
    </row>
    <row r="600" spans="1:25" x14ac:dyDescent="0.25">
      <c r="A600" s="1090"/>
      <c r="B600" s="1448">
        <v>350</v>
      </c>
      <c r="C600" s="1094">
        <v>0.99787283070791288</v>
      </c>
      <c r="D600" s="1094">
        <v>1.040323744304489</v>
      </c>
      <c r="E600" s="1094">
        <v>1.0128878785930495</v>
      </c>
      <c r="F600" s="1094">
        <v>1.0022453922001848</v>
      </c>
      <c r="G600" s="1094">
        <v>1.0057284299940654</v>
      </c>
      <c r="H600" s="1094">
        <v>1.0044241722305156</v>
      </c>
      <c r="I600" s="1094">
        <v>0.97063276074451554</v>
      </c>
      <c r="K600">
        <v>4.4825000014277867</v>
      </c>
      <c r="L600">
        <v>0</v>
      </c>
      <c r="M600">
        <v>1.4137040873005572E-3</v>
      </c>
      <c r="N600">
        <v>0.1271076549711162</v>
      </c>
      <c r="O600">
        <v>3.78672771973921E-2</v>
      </c>
      <c r="P600">
        <v>1.9320420592695592E-2</v>
      </c>
      <c r="Q600">
        <v>1.3000927191029305E-3</v>
      </c>
      <c r="R600">
        <v>1.407943749990628E-3</v>
      </c>
      <c r="S600">
        <v>0.22301945104901372</v>
      </c>
      <c r="T600">
        <v>3.9744219127394156</v>
      </c>
      <c r="U600">
        <v>0</v>
      </c>
      <c r="V600">
        <v>9.4523053561131783E-3</v>
      </c>
      <c r="W600">
        <v>7.5058918150060841E-2</v>
      </c>
      <c r="X600">
        <v>1.097877246129369E-2</v>
      </c>
      <c r="Y600">
        <v>3.9789565288938173E-3</v>
      </c>
    </row>
    <row r="601" spans="1:25" x14ac:dyDescent="0.25">
      <c r="A601" s="1090"/>
      <c r="B601" s="1448">
        <v>351</v>
      </c>
      <c r="C601" s="1094">
        <v>0.97440974015817916</v>
      </c>
      <c r="D601" s="1094">
        <v>0.99510233570558715</v>
      </c>
      <c r="E601" s="1094">
        <v>1.0054579947904259</v>
      </c>
      <c r="F601" s="1094">
        <v>1.0194269832292779</v>
      </c>
      <c r="G601" s="1094">
        <v>0.95994941757953878</v>
      </c>
      <c r="H601" s="1094">
        <v>0.97950457527109136</v>
      </c>
      <c r="I601" s="1094">
        <v>0.99903665225348659</v>
      </c>
      <c r="K601">
        <v>4.5759619401878826</v>
      </c>
      <c r="L601">
        <v>0</v>
      </c>
      <c r="M601">
        <v>1.4847684467185096E-3</v>
      </c>
      <c r="N601">
        <v>0.13058792817113399</v>
      </c>
      <c r="O601">
        <v>4.0204889144935349E-2</v>
      </c>
      <c r="P601">
        <v>1.9600180106328607E-2</v>
      </c>
      <c r="Q601">
        <v>1.3467248042778157E-3</v>
      </c>
      <c r="R601">
        <v>1.4786687713821442E-3</v>
      </c>
      <c r="S601">
        <v>0.23901498484365302</v>
      </c>
      <c r="T601">
        <v>4.0428429537313821</v>
      </c>
      <c r="U601">
        <v>0</v>
      </c>
      <c r="V601">
        <v>9.4523053561131852E-3</v>
      </c>
      <c r="W601">
        <v>7.749987373355148E-2</v>
      </c>
      <c r="X601">
        <v>1.1239369132898422E-2</v>
      </c>
      <c r="Y601">
        <v>4.1788308389461909E-3</v>
      </c>
    </row>
    <row r="602" spans="1:25" x14ac:dyDescent="0.25">
      <c r="A602" s="1090"/>
      <c r="B602" s="1448">
        <v>352</v>
      </c>
      <c r="C602" s="1094">
        <v>0.98013290753557503</v>
      </c>
      <c r="D602" s="1094">
        <v>1.0449427555199731</v>
      </c>
      <c r="E602" s="1094">
        <v>1.0191493895776242</v>
      </c>
      <c r="F602" s="1094">
        <v>1.0107137573050522</v>
      </c>
      <c r="G602" s="1094">
        <v>1.0242209850308621</v>
      </c>
      <c r="H602" s="1094">
        <v>1.0085563214468114</v>
      </c>
      <c r="I602" s="1094">
        <v>0.97013869097515848</v>
      </c>
      <c r="K602">
        <v>4.5293265563116627</v>
      </c>
      <c r="L602">
        <v>0</v>
      </c>
      <c r="M602">
        <v>1.4356896583029323E-3</v>
      </c>
      <c r="N602">
        <v>0.13150539316339036</v>
      </c>
      <c r="O602">
        <v>3.8765904471666592E-2</v>
      </c>
      <c r="P602">
        <v>1.9587505769593672E-2</v>
      </c>
      <c r="Q602">
        <v>1.3283175843763989E-3</v>
      </c>
      <c r="R602">
        <v>1.4299123205563304E-3</v>
      </c>
      <c r="S602">
        <v>0.22825868754904199</v>
      </c>
      <c r="T602">
        <v>4.0077642599311236</v>
      </c>
      <c r="U602">
        <v>0</v>
      </c>
      <c r="V602">
        <v>9.4523053561131748E-3</v>
      </c>
      <c r="W602">
        <v>7.7331432135838624E-2</v>
      </c>
      <c r="X602">
        <v>1.1297486301735625E-2</v>
      </c>
      <c r="Y602">
        <v>4.0410413865335122E-3</v>
      </c>
    </row>
    <row r="603" spans="1:25" x14ac:dyDescent="0.25">
      <c r="A603" s="1090"/>
      <c r="B603" s="1448">
        <v>353</v>
      </c>
      <c r="C603" s="1094">
        <v>1.0155927765848811</v>
      </c>
      <c r="D603" s="1094">
        <v>0.96672733105678788</v>
      </c>
      <c r="E603" s="1094">
        <v>1.0245191226559074</v>
      </c>
      <c r="F603" s="1094">
        <v>0.98478775083796566</v>
      </c>
      <c r="G603" s="1094">
        <v>0.99944768751024937</v>
      </c>
      <c r="H603" s="1094">
        <v>0.98011701374017079</v>
      </c>
      <c r="I603" s="1094">
        <v>0.97876867797834111</v>
      </c>
      <c r="K603">
        <v>4.4062269901058055</v>
      </c>
      <c r="L603">
        <v>0</v>
      </c>
      <c r="M603">
        <v>1.3382969493802366E-3</v>
      </c>
      <c r="N603">
        <v>0.12451905712831332</v>
      </c>
      <c r="O603">
        <v>3.7568608632409718E-2</v>
      </c>
      <c r="P603">
        <v>1.915616358744808E-2</v>
      </c>
      <c r="Q603">
        <v>1.3284763004620379E-3</v>
      </c>
      <c r="R603">
        <v>1.3326099780381438E-3</v>
      </c>
      <c r="S603">
        <v>0.22150800853671151</v>
      </c>
      <c r="T603">
        <v>3.9047611382536398</v>
      </c>
      <c r="U603">
        <v>0</v>
      </c>
      <c r="V603">
        <v>9.4523053561131973E-3</v>
      </c>
      <c r="W603">
        <v>7.2961752626750254E-2</v>
      </c>
      <c r="X603">
        <v>1.1211109117402002E-2</v>
      </c>
      <c r="Y603">
        <v>3.7660575378946882E-3</v>
      </c>
    </row>
    <row r="604" spans="1:25" x14ac:dyDescent="0.25">
      <c r="A604" s="1090"/>
      <c r="B604" s="1448">
        <v>354</v>
      </c>
      <c r="C604" s="1094">
        <v>0.97476296164112097</v>
      </c>
      <c r="D604" s="1094">
        <v>0.99533115147881357</v>
      </c>
      <c r="E604" s="1094">
        <v>1.0150765079450981</v>
      </c>
      <c r="F604" s="1094">
        <v>1.0015834657813847</v>
      </c>
      <c r="G604" s="1094">
        <v>0.99524750194649025</v>
      </c>
      <c r="H604" s="1094">
        <v>0.9925596599686074</v>
      </c>
      <c r="I604" s="1094">
        <v>0.99277523735671991</v>
      </c>
      <c r="K604">
        <v>4.5005705659214934</v>
      </c>
      <c r="L604">
        <v>0</v>
      </c>
      <c r="M604">
        <v>1.4479807095807273E-3</v>
      </c>
      <c r="N604">
        <v>0.13102885820745577</v>
      </c>
      <c r="O604">
        <v>3.9415126532546994E-2</v>
      </c>
      <c r="P604">
        <v>1.9397037225086702E-2</v>
      </c>
      <c r="Q604">
        <v>1.3571825966588139E-3</v>
      </c>
      <c r="R604">
        <v>1.4420062522995819E-3</v>
      </c>
      <c r="S604">
        <v>0.23561119376224443</v>
      </c>
      <c r="T604">
        <v>3.971714127159538</v>
      </c>
      <c r="U604">
        <v>0</v>
      </c>
      <c r="V604">
        <v>9.4523053561131852E-3</v>
      </c>
      <c r="W604">
        <v>7.7261152282848577E-2</v>
      </c>
      <c r="X604">
        <v>1.1264337495313302E-2</v>
      </c>
      <c r="Y604">
        <v>4.0752197609679516E-3</v>
      </c>
    </row>
    <row r="605" spans="1:25" x14ac:dyDescent="0.25">
      <c r="A605" s="1090"/>
      <c r="B605" s="1448">
        <v>355</v>
      </c>
      <c r="C605" s="1094">
        <v>0.98665766718711523</v>
      </c>
      <c r="D605" s="1094">
        <v>0.9825511699085846</v>
      </c>
      <c r="E605" s="1094">
        <v>0.9643934498290212</v>
      </c>
      <c r="F605" s="1094">
        <v>1.010237325573722</v>
      </c>
      <c r="G605" s="1094">
        <v>1.0050088137227144</v>
      </c>
      <c r="H605" s="1094">
        <v>0.99710160515425394</v>
      </c>
      <c r="I605" s="1094">
        <v>0.98365300468619532</v>
      </c>
      <c r="K605">
        <v>4.5284025924112834</v>
      </c>
      <c r="L605">
        <v>0</v>
      </c>
      <c r="M605">
        <v>1.6207775457702162E-3</v>
      </c>
      <c r="N605">
        <v>0.12620672059443983</v>
      </c>
      <c r="O605">
        <v>3.9838150227715731E-2</v>
      </c>
      <c r="P605">
        <v>1.8821527164295849E-2</v>
      </c>
      <c r="Q605">
        <v>1.2901093056258695E-3</v>
      </c>
      <c r="R605">
        <v>1.6141773734793963E-3</v>
      </c>
      <c r="S605">
        <v>0.23323656672508961</v>
      </c>
      <c r="T605">
        <v>4.0079900089537368</v>
      </c>
      <c r="U605">
        <v>0</v>
      </c>
      <c r="V605">
        <v>9.4523053561131852E-3</v>
      </c>
      <c r="W605">
        <v>7.7029796734156414E-2</v>
      </c>
      <c r="X605">
        <v>9.982219028335796E-3</v>
      </c>
      <c r="Y605">
        <v>4.5617884940653865E-3</v>
      </c>
    </row>
    <row r="606" spans="1:25" x14ac:dyDescent="0.25">
      <c r="A606" s="1090"/>
      <c r="B606" s="1448">
        <v>356</v>
      </c>
      <c r="C606" s="1094">
        <v>0.99439523478470893</v>
      </c>
      <c r="D606" s="1094">
        <v>0.97844948796511966</v>
      </c>
      <c r="E606" s="1094">
        <v>0.97468528785627084</v>
      </c>
      <c r="F606" s="1094">
        <v>1.0009817553403193</v>
      </c>
      <c r="G606" s="1094">
        <v>1.0040757321708518</v>
      </c>
      <c r="H606" s="1094">
        <v>0.99510247743139357</v>
      </c>
      <c r="I606" s="1094">
        <v>0.99526852842600122</v>
      </c>
      <c r="K606">
        <v>4.4879604033783522</v>
      </c>
      <c r="L606">
        <v>0</v>
      </c>
      <c r="M606">
        <v>1.5589688222332559E-3</v>
      </c>
      <c r="N606">
        <v>0.12515552283220271</v>
      </c>
      <c r="O606">
        <v>3.9160229648432306E-2</v>
      </c>
      <c r="P606">
        <v>1.8803134368981313E-2</v>
      </c>
      <c r="Q606">
        <v>1.2937982201510255E-3</v>
      </c>
      <c r="R606">
        <v>1.5525490171471464E-3</v>
      </c>
      <c r="S606">
        <v>0.23285070429527849</v>
      </c>
      <c r="T606">
        <v>3.9708715654517168</v>
      </c>
      <c r="U606">
        <v>0</v>
      </c>
      <c r="V606">
        <v>9.4523053561131991E-3</v>
      </c>
      <c r="W606">
        <v>7.5847628157150626E-2</v>
      </c>
      <c r="X606">
        <v>1.0144312799440683E-2</v>
      </c>
      <c r="Y606">
        <v>4.3876220539680218E-3</v>
      </c>
    </row>
    <row r="607" spans="1:25" x14ac:dyDescent="0.25">
      <c r="A607" s="1090"/>
      <c r="B607" s="1448">
        <v>357</v>
      </c>
      <c r="C607" s="1094">
        <v>1.0065193941425603</v>
      </c>
      <c r="D607" s="1094">
        <v>1.0298564039146119</v>
      </c>
      <c r="E607" s="1094">
        <v>0.98845433050024256</v>
      </c>
      <c r="F607" s="1094">
        <v>1.0046347824955404</v>
      </c>
      <c r="G607" s="1094">
        <v>1.0272279324287259</v>
      </c>
      <c r="H607" s="1094">
        <v>0.99756074440104603</v>
      </c>
      <c r="I607" s="1094">
        <v>1.0037790703192571</v>
      </c>
      <c r="K607">
        <v>4.4936854178813732</v>
      </c>
      <c r="L607">
        <v>0</v>
      </c>
      <c r="M607">
        <v>1.4749232017062905E-3</v>
      </c>
      <c r="N607">
        <v>0.1233488528851347</v>
      </c>
      <c r="O607">
        <v>3.7949511480229209E-2</v>
      </c>
      <c r="P607">
        <v>1.9046831446437585E-2</v>
      </c>
      <c r="Q607">
        <v>1.267341372466218E-3</v>
      </c>
      <c r="R607">
        <v>1.4688864029316093E-3</v>
      </c>
      <c r="S607">
        <v>0.22920063597209059</v>
      </c>
      <c r="T607">
        <v>3.9848315349969212</v>
      </c>
      <c r="U607">
        <v>0</v>
      </c>
      <c r="V607">
        <v>9.4523053561131835E-3</v>
      </c>
      <c r="W607">
        <v>7.4051608801859597E-2</v>
      </c>
      <c r="X607">
        <v>1.0391647250042491E-2</v>
      </c>
      <c r="Y607">
        <v>4.1511851188564784E-3</v>
      </c>
    </row>
    <row r="608" spans="1:25" x14ac:dyDescent="0.25">
      <c r="A608" s="1090"/>
      <c r="B608" s="1448">
        <v>358</v>
      </c>
      <c r="C608" s="1094">
        <v>1.0085368545855986</v>
      </c>
      <c r="D608" s="1094">
        <v>1.0150724102895303</v>
      </c>
      <c r="E608" s="1094">
        <v>0.99012686615121948</v>
      </c>
      <c r="F608" s="1094">
        <v>1.0019690951486409</v>
      </c>
      <c r="G608" s="1094">
        <v>1.0132322475830808</v>
      </c>
      <c r="H608" s="1094">
        <v>1.0088409485129024</v>
      </c>
      <c r="I608" s="1094">
        <v>1.0165002418092586</v>
      </c>
      <c r="K608">
        <v>4.4896697306160016</v>
      </c>
      <c r="L608">
        <v>0</v>
      </c>
      <c r="M608">
        <v>1.4880539854573503E-3</v>
      </c>
      <c r="N608">
        <v>0.1250701297865362</v>
      </c>
      <c r="O608">
        <v>3.798088719147899E-2</v>
      </c>
      <c r="P608">
        <v>1.9040319877559674E-2</v>
      </c>
      <c r="Q608">
        <v>1.2739800665645601E-3</v>
      </c>
      <c r="R608">
        <v>1.4820155866201077E-3</v>
      </c>
      <c r="S608">
        <v>0.23308383326985593</v>
      </c>
      <c r="T608">
        <v>3.974194074033528</v>
      </c>
      <c r="U608">
        <v>0</v>
      </c>
      <c r="V608">
        <v>9.4523053561131973E-3</v>
      </c>
      <c r="W608">
        <v>7.4999516155954293E-2</v>
      </c>
      <c r="X608">
        <v>1.0392434082915179E-2</v>
      </c>
      <c r="Y608">
        <v>4.1882891943259325E-3</v>
      </c>
    </row>
    <row r="609" spans="1:25" x14ac:dyDescent="0.25">
      <c r="A609" s="1090"/>
      <c r="B609" s="1448">
        <v>359</v>
      </c>
      <c r="C609" s="1094">
        <v>0.99810931330230612</v>
      </c>
      <c r="D609" s="1094">
        <v>0.96959332039677715</v>
      </c>
      <c r="E609" s="1094">
        <v>0.96166088328363553</v>
      </c>
      <c r="F609" s="1094">
        <v>1.0026061471116348</v>
      </c>
      <c r="G609" s="1094">
        <v>0.980741510794641</v>
      </c>
      <c r="H609" s="1094">
        <v>0.99754631596887122</v>
      </c>
      <c r="I609" s="1094">
        <v>0.99410849444877791</v>
      </c>
      <c r="K609">
        <v>4.4938538955523164</v>
      </c>
      <c r="L609">
        <v>0</v>
      </c>
      <c r="M609">
        <v>1.6084834486165447E-3</v>
      </c>
      <c r="N609">
        <v>0.12423303203024301</v>
      </c>
      <c r="O609">
        <v>3.9310647674497996E-2</v>
      </c>
      <c r="P609">
        <v>1.8646704827626721E-2</v>
      </c>
      <c r="Q609">
        <v>1.2790270984760154E-3</v>
      </c>
      <c r="R609">
        <v>1.6018866317243571E-3</v>
      </c>
      <c r="S609">
        <v>0.23280189193360709</v>
      </c>
      <c r="T609">
        <v>3.9778204715019507</v>
      </c>
      <c r="U609">
        <v>0</v>
      </c>
      <c r="V609">
        <v>9.4523053561131835E-3</v>
      </c>
      <c r="W609">
        <v>7.5968912880724285E-2</v>
      </c>
      <c r="X609">
        <v>9.8204451464560024E-3</v>
      </c>
      <c r="Y609">
        <v>4.5270539195119011E-3</v>
      </c>
    </row>
    <row r="610" spans="1:25" x14ac:dyDescent="0.25">
      <c r="A610" s="1090"/>
      <c r="B610" s="1448">
        <v>360</v>
      </c>
      <c r="C610" s="1094">
        <v>0.99865119855486384</v>
      </c>
      <c r="D610" s="1094">
        <v>1.0128357418394851</v>
      </c>
      <c r="E610" s="1094">
        <v>1.0132287216347866</v>
      </c>
      <c r="F610" s="1094">
        <v>0.97588478721899841</v>
      </c>
      <c r="G610" s="1094">
        <v>1.0006901733455655</v>
      </c>
      <c r="H610" s="1094">
        <v>1.0102795836490053</v>
      </c>
      <c r="I610" s="1094">
        <v>1.0002059780783448</v>
      </c>
      <c r="K610">
        <v>4.3792254267132167</v>
      </c>
      <c r="L610">
        <v>0</v>
      </c>
      <c r="M610">
        <v>1.3975142113594977E-3</v>
      </c>
      <c r="N610">
        <v>0.125768064581217</v>
      </c>
      <c r="O610">
        <v>3.7237038872942593E-2</v>
      </c>
      <c r="P610">
        <v>1.8866890693405709E-2</v>
      </c>
      <c r="Q610">
        <v>1.3134492845402539E-3</v>
      </c>
      <c r="R610">
        <v>1.3917005634657656E-3</v>
      </c>
      <c r="S610">
        <v>0.22778019719132986</v>
      </c>
      <c r="T610">
        <v>3.8698758797525756</v>
      </c>
      <c r="U610">
        <v>0</v>
      </c>
      <c r="V610">
        <v>9.4523053561131939E-3</v>
      </c>
      <c r="W610">
        <v>7.4250914291619619E-2</v>
      </c>
      <c r="X610">
        <v>1.0753448293699647E-2</v>
      </c>
      <c r="Y610">
        <v>3.9330520436659305E-3</v>
      </c>
    </row>
    <row r="611" spans="1:25" x14ac:dyDescent="0.25">
      <c r="A611" s="1090"/>
      <c r="B611" s="1448">
        <v>361</v>
      </c>
      <c r="C611" s="1094">
        <v>1.0081498466289291</v>
      </c>
      <c r="D611" s="1094">
        <v>0.96064448294230187</v>
      </c>
      <c r="E611" s="1094">
        <v>0.99195053225198626</v>
      </c>
      <c r="F611" s="1094">
        <v>0.98126857570044779</v>
      </c>
      <c r="G611" s="1094">
        <v>1.0229253956719571</v>
      </c>
      <c r="H611" s="1094">
        <v>1.0055964505834603</v>
      </c>
      <c r="I611" s="1094">
        <v>0.98881777487844547</v>
      </c>
      <c r="K611">
        <v>4.4011421826087354</v>
      </c>
      <c r="L611">
        <v>0</v>
      </c>
      <c r="M611">
        <v>1.4800132897962335E-3</v>
      </c>
      <c r="N611">
        <v>0.12505635710991506</v>
      </c>
      <c r="O611">
        <v>3.8027508392819077E-2</v>
      </c>
      <c r="P611">
        <v>1.8668389078527997E-2</v>
      </c>
      <c r="Q611">
        <v>1.3049254783309486E-3</v>
      </c>
      <c r="R611">
        <v>1.4738615689009851E-3</v>
      </c>
      <c r="S611">
        <v>0.2272292767197206</v>
      </c>
      <c r="T611">
        <v>3.8920194228520457</v>
      </c>
      <c r="U611">
        <v>0</v>
      </c>
      <c r="V611">
        <v>9.4523053561132026E-3</v>
      </c>
      <c r="W611">
        <v>7.4898318601373526E-2</v>
      </c>
      <c r="X611">
        <v>1.0326585423057375E-2</v>
      </c>
      <c r="Y611">
        <v>4.1652453177218867E-3</v>
      </c>
    </row>
    <row r="612" spans="1:25" x14ac:dyDescent="0.25">
      <c r="A612" s="1090"/>
      <c r="B612" s="1448">
        <v>362</v>
      </c>
      <c r="C612" s="1094">
        <v>1.0225885382857356</v>
      </c>
      <c r="D612" s="1094">
        <v>1.002601959297216</v>
      </c>
      <c r="E612" s="1094">
        <v>1.0080893270136786</v>
      </c>
      <c r="F612" s="1094">
        <v>0.97798938315649697</v>
      </c>
      <c r="G612" s="1094">
        <v>0.99648652460378262</v>
      </c>
      <c r="H612" s="1094">
        <v>0.98214776412900795</v>
      </c>
      <c r="I612" s="1094">
        <v>1.0174205954093616</v>
      </c>
      <c r="K612">
        <v>4.3747316551743252</v>
      </c>
      <c r="L612">
        <v>0</v>
      </c>
      <c r="M612">
        <v>1.3496103767123612E-3</v>
      </c>
      <c r="N612">
        <v>0.1196097100510535</v>
      </c>
      <c r="O612">
        <v>3.6625909515640404E-2</v>
      </c>
      <c r="P612">
        <v>1.8822875692938116E-2</v>
      </c>
      <c r="Q612">
        <v>1.2823022854352654E-3</v>
      </c>
      <c r="R612">
        <v>1.3438475709642709E-3</v>
      </c>
      <c r="S612">
        <v>0.22523680821223366</v>
      </c>
      <c r="T612">
        <v>3.878412070112347</v>
      </c>
      <c r="U612">
        <v>0</v>
      </c>
      <c r="V612">
        <v>9.4523053561131973E-3</v>
      </c>
      <c r="W612">
        <v>7.0859089660416458E-2</v>
      </c>
      <c r="X612">
        <v>1.0638531260437184E-2</v>
      </c>
      <c r="Y612">
        <v>3.797815833453557E-3</v>
      </c>
    </row>
    <row r="613" spans="1:25" x14ac:dyDescent="0.25">
      <c r="A613" s="1090"/>
      <c r="B613" s="1448">
        <v>363</v>
      </c>
      <c r="C613" s="1094">
        <v>0.98942640192065912</v>
      </c>
      <c r="D613" s="1094">
        <v>0.97786482319474144</v>
      </c>
      <c r="E613" s="1094">
        <v>0.99075149132226503</v>
      </c>
      <c r="F613" s="1094">
        <v>1.0384634294964201</v>
      </c>
      <c r="G613" s="1094">
        <v>1.0025649361833058</v>
      </c>
      <c r="H613" s="1094">
        <v>0.98726696641908218</v>
      </c>
      <c r="I613" s="1094">
        <v>1.0011720459656013</v>
      </c>
      <c r="K613">
        <v>4.6562809535832139</v>
      </c>
      <c r="L613">
        <v>0</v>
      </c>
      <c r="M613">
        <v>1.5593015737293376E-3</v>
      </c>
      <c r="N613">
        <v>0.13130884805558027</v>
      </c>
      <c r="O613">
        <v>4.0723883476541115E-2</v>
      </c>
      <c r="P613">
        <v>1.9737696922756787E-2</v>
      </c>
      <c r="Q613">
        <v>1.3188399648891061E-3</v>
      </c>
      <c r="R613">
        <v>1.5530621148797964E-3</v>
      </c>
      <c r="S613">
        <v>0.24074977214824494</v>
      </c>
      <c r="T613">
        <v>4.1189197971716016</v>
      </c>
      <c r="U613">
        <v>0</v>
      </c>
      <c r="V613">
        <v>9.4523053561132026E-3</v>
      </c>
      <c r="W613">
        <v>7.870717278758825E-2</v>
      </c>
      <c r="X613">
        <v>1.0979805051409351E-2</v>
      </c>
      <c r="Y613">
        <v>4.3890721073336497E-3</v>
      </c>
    </row>
    <row r="614" spans="1:25" x14ac:dyDescent="0.25">
      <c r="A614" s="1090"/>
      <c r="B614" s="1448">
        <v>364</v>
      </c>
      <c r="C614" s="1094">
        <v>1.0353843453677598</v>
      </c>
      <c r="D614" s="1094">
        <v>1.0186331363420416</v>
      </c>
      <c r="E614" s="1094">
        <v>1.0007247085118036</v>
      </c>
      <c r="F614" s="1094">
        <v>1.014224122911362</v>
      </c>
      <c r="G614" s="1094">
        <v>0.96104336291018411</v>
      </c>
      <c r="H614" s="1094">
        <v>1.0067787262533037</v>
      </c>
      <c r="I614" s="1094">
        <v>0.98288355531598359</v>
      </c>
      <c r="K614">
        <v>4.5232811625438742</v>
      </c>
      <c r="L614">
        <v>0</v>
      </c>
      <c r="M614">
        <v>1.42982923057086E-3</v>
      </c>
      <c r="N614">
        <v>0.12401628232120024</v>
      </c>
      <c r="O614">
        <v>3.732542003269565E-2</v>
      </c>
      <c r="P614">
        <v>1.9356163132588883E-2</v>
      </c>
      <c r="Q614">
        <v>1.2505485945414924E-3</v>
      </c>
      <c r="R614">
        <v>1.424085185694992E-3</v>
      </c>
      <c r="S614">
        <v>0.22097495796745834</v>
      </c>
      <c r="T614">
        <v>4.0223919879401331</v>
      </c>
      <c r="U614">
        <v>0</v>
      </c>
      <c r="V614">
        <v>9.4523053561132008E-3</v>
      </c>
      <c r="W614">
        <v>7.3835142333552525E-2</v>
      </c>
      <c r="X614">
        <v>1.0659525451927132E-2</v>
      </c>
      <c r="Y614">
        <v>4.0245734585346686E-3</v>
      </c>
    </row>
    <row r="615" spans="1:25" x14ac:dyDescent="0.25">
      <c r="A615" s="1090"/>
      <c r="B615" s="1448">
        <v>365</v>
      </c>
      <c r="C615" s="1094">
        <v>1.0287845462816341</v>
      </c>
      <c r="D615" s="1094">
        <v>0.98911046434459038</v>
      </c>
      <c r="E615" s="1094">
        <v>0.96325008278224233</v>
      </c>
      <c r="F615" s="1094">
        <v>1.0387828549525648</v>
      </c>
      <c r="G615" s="1094">
        <v>0.99335949564874249</v>
      </c>
      <c r="H615" s="1094">
        <v>1.0318702904548485</v>
      </c>
      <c r="I615" s="1094">
        <v>1.0192724639843165</v>
      </c>
      <c r="K615">
        <v>4.6502772608355025</v>
      </c>
      <c r="L615">
        <v>0</v>
      </c>
      <c r="M615">
        <v>1.6534381172321497E-3</v>
      </c>
      <c r="N615">
        <v>0.12834488596260174</v>
      </c>
      <c r="O615">
        <v>3.9189923518099801E-2</v>
      </c>
      <c r="P615">
        <v>1.9329300609105749E-2</v>
      </c>
      <c r="Q615">
        <v>1.2327562439552442E-3</v>
      </c>
      <c r="R615">
        <v>1.6471099024334801E-3</v>
      </c>
      <c r="S615">
        <v>0.23846168310184096</v>
      </c>
      <c r="T615">
        <v>4.1212868455435103</v>
      </c>
      <c r="U615">
        <v>0</v>
      </c>
      <c r="V615">
        <v>9.4523053561131817E-3</v>
      </c>
      <c r="W615">
        <v>7.8396888691679642E-2</v>
      </c>
      <c r="X615">
        <v>9.9341416882279508E-3</v>
      </c>
      <c r="Y615">
        <v>4.6548583351692695E-3</v>
      </c>
    </row>
    <row r="616" spans="1:25" x14ac:dyDescent="0.25">
      <c r="A616" s="1090"/>
      <c r="B616" s="1448">
        <v>366</v>
      </c>
      <c r="C616" s="1094">
        <v>1.0101498165602432</v>
      </c>
      <c r="D616" s="1094">
        <v>1.0029441733203592</v>
      </c>
      <c r="E616" s="1094">
        <v>0.99146953914804448</v>
      </c>
      <c r="F616" s="1094">
        <v>0.98789279343324188</v>
      </c>
      <c r="G616" s="1094">
        <v>0.99732832995814968</v>
      </c>
      <c r="H616" s="1094">
        <v>1.0034311089780237</v>
      </c>
      <c r="I616" s="1094">
        <v>0.99979194223725532</v>
      </c>
      <c r="K616">
        <v>4.4239152426816268</v>
      </c>
      <c r="L616">
        <v>0</v>
      </c>
      <c r="M616">
        <v>1.4599306193755161E-3</v>
      </c>
      <c r="N616">
        <v>0.12318597714578373</v>
      </c>
      <c r="O616">
        <v>3.7558714879848736E-2</v>
      </c>
      <c r="P616">
        <v>1.8780041727558504E-2</v>
      </c>
      <c r="Q616">
        <v>1.279556324939564E-3</v>
      </c>
      <c r="R616">
        <v>1.4538898863539378E-3</v>
      </c>
      <c r="S616">
        <v>0.22713079452178911</v>
      </c>
      <c r="T616">
        <v>3.9183113194720027</v>
      </c>
      <c r="U616">
        <v>0</v>
      </c>
      <c r="V616">
        <v>9.4523053561131817E-3</v>
      </c>
      <c r="W616">
        <v>7.3802241102289057E-2</v>
      </c>
      <c r="X616">
        <v>1.0311529066247202E-2</v>
      </c>
      <c r="Y616">
        <v>4.1088038180781003E-3</v>
      </c>
    </row>
    <row r="617" spans="1:25" x14ac:dyDescent="0.25">
      <c r="A617" s="1090"/>
      <c r="B617" s="1448">
        <v>367</v>
      </c>
      <c r="C617" s="1094">
        <v>1.0377718444642972</v>
      </c>
      <c r="D617" s="1094">
        <v>1.0078909994631657</v>
      </c>
      <c r="E617" s="1094">
        <v>1.0046300468208238</v>
      </c>
      <c r="F617" s="1094">
        <v>0.98208478681968681</v>
      </c>
      <c r="G617" s="1094">
        <v>1.0105705126871738</v>
      </c>
      <c r="H617" s="1094">
        <v>1.0239955601553941</v>
      </c>
      <c r="I617" s="1094">
        <v>1.0328547547491997</v>
      </c>
      <c r="K617">
        <v>4.3992716287661473</v>
      </c>
      <c r="L617">
        <v>0</v>
      </c>
      <c r="M617">
        <v>1.3995514460263868E-3</v>
      </c>
      <c r="N617">
        <v>0.12279512221710111</v>
      </c>
      <c r="O617">
        <v>3.6187413954984295E-2</v>
      </c>
      <c r="P617">
        <v>1.8865080338431196E-2</v>
      </c>
      <c r="Q617">
        <v>1.2571673254381602E-3</v>
      </c>
      <c r="R617">
        <v>1.3938434199332363E-3</v>
      </c>
      <c r="S617">
        <v>0.22866908801297042</v>
      </c>
      <c r="T617">
        <v>3.8947821799508202</v>
      </c>
      <c r="U617">
        <v>0</v>
      </c>
      <c r="V617">
        <v>9.4523053561132008E-3</v>
      </c>
      <c r="W617">
        <v>7.2915737944366982E-2</v>
      </c>
      <c r="X617">
        <v>1.0414133772367247E-2</v>
      </c>
      <c r="Y617">
        <v>3.9391079196423552E-3</v>
      </c>
    </row>
    <row r="618" spans="1:25" x14ac:dyDescent="0.25">
      <c r="A618" s="1090"/>
      <c r="B618" s="1448">
        <v>368</v>
      </c>
      <c r="C618" s="1094">
        <v>1.0337850192985047</v>
      </c>
      <c r="D618" s="1094">
        <v>1.027141357451421</v>
      </c>
      <c r="E618" s="1094">
        <v>0.97727473764738537</v>
      </c>
      <c r="F618" s="1094">
        <v>0.9681925757560973</v>
      </c>
      <c r="G618" s="1094">
        <v>0.99234462960105285</v>
      </c>
      <c r="H618" s="1094">
        <v>1.0186806326550455</v>
      </c>
      <c r="I618" s="1094">
        <v>0.95744458984952852</v>
      </c>
      <c r="K618">
        <v>4.3161626948355023</v>
      </c>
      <c r="L618">
        <v>0</v>
      </c>
      <c r="M618">
        <v>1.448559192639506E-3</v>
      </c>
      <c r="N618">
        <v>0.11718425991380152</v>
      </c>
      <c r="O618">
        <v>3.5716874158414957E-2</v>
      </c>
      <c r="P618">
        <v>1.8152324722816519E-2</v>
      </c>
      <c r="Q618">
        <v>1.2233122106467458E-3</v>
      </c>
      <c r="R618">
        <v>1.4425356142765578E-3</v>
      </c>
      <c r="S618">
        <v>0.20918389314295746</v>
      </c>
      <c r="T618">
        <v>3.8407010550180383</v>
      </c>
      <c r="U618">
        <v>0</v>
      </c>
      <c r="V618">
        <v>9.4523053561131939E-3</v>
      </c>
      <c r="W618">
        <v>7.0890601766211758E-2</v>
      </c>
      <c r="X618">
        <v>9.5873763465317927E-3</v>
      </c>
      <c r="Y618">
        <v>4.076715778329759E-3</v>
      </c>
    </row>
    <row r="619" spans="1:25" x14ac:dyDescent="0.25">
      <c r="A619" s="1090"/>
      <c r="B619" s="1448">
        <v>369</v>
      </c>
      <c r="C619" s="1094">
        <v>1.0119256998721922</v>
      </c>
      <c r="D619" s="1094">
        <v>0.99094035711364625</v>
      </c>
      <c r="E619" s="1094">
        <v>1.0131364875499103</v>
      </c>
      <c r="F619" s="1094">
        <v>0.96678379050639007</v>
      </c>
      <c r="G619" s="1094">
        <v>0.97196328066620885</v>
      </c>
      <c r="H619" s="1094">
        <v>0.98371627761185498</v>
      </c>
      <c r="I619" s="1094">
        <v>0.97097865811330275</v>
      </c>
      <c r="K619">
        <v>4.322883658193498</v>
      </c>
      <c r="L619">
        <v>0</v>
      </c>
      <c r="M619">
        <v>1.3423904024747757E-3</v>
      </c>
      <c r="N619">
        <v>0.12075578708795069</v>
      </c>
      <c r="O619">
        <v>3.6726111500424249E-2</v>
      </c>
      <c r="P619">
        <v>1.8647769484736443E-2</v>
      </c>
      <c r="Q619">
        <v>1.3074981036984906E-3</v>
      </c>
      <c r="R619">
        <v>1.3366015156998331E-3</v>
      </c>
      <c r="S619">
        <v>0.21644318733366325</v>
      </c>
      <c r="T619">
        <v>3.8337892066756347</v>
      </c>
      <c r="U619">
        <v>0</v>
      </c>
      <c r="V619">
        <v>9.4523053561131869E-3</v>
      </c>
      <c r="W619">
        <v>7.1296172185131748E-2</v>
      </c>
      <c r="X619">
        <v>1.0694071424853551E-2</v>
      </c>
      <c r="Y619">
        <v>3.7773379280661074E-3</v>
      </c>
    </row>
    <row r="620" spans="1:25" x14ac:dyDescent="0.25">
      <c r="A620" s="1090"/>
      <c r="B620" s="1448">
        <v>370</v>
      </c>
      <c r="C620" s="1094">
        <v>0.95948394094055156</v>
      </c>
      <c r="D620" s="1094">
        <v>0.97204460493625167</v>
      </c>
      <c r="E620" s="1094">
        <v>1.0010184015540973</v>
      </c>
      <c r="F620" s="1094">
        <v>1.0133020850636927</v>
      </c>
      <c r="G620" s="1094">
        <v>1.0353860968323148</v>
      </c>
      <c r="H620" s="1094">
        <v>1.0312705801719151</v>
      </c>
      <c r="I620" s="1094">
        <v>1.0266632955281723</v>
      </c>
      <c r="K620">
        <v>4.5827857576539133</v>
      </c>
      <c r="L620">
        <v>0</v>
      </c>
      <c r="M620">
        <v>1.6078933847049797E-3</v>
      </c>
      <c r="N620">
        <v>0.13959495889043971</v>
      </c>
      <c r="O620">
        <v>4.0999958016554018E-2</v>
      </c>
      <c r="P620">
        <v>1.9496353005329412E-2</v>
      </c>
      <c r="Q620">
        <v>1.3753282123120966E-3</v>
      </c>
      <c r="R620">
        <v>1.6015816940660634E-3</v>
      </c>
      <c r="S620">
        <v>0.25450517760646213</v>
      </c>
      <c r="T620">
        <v>4.0187238768043372</v>
      </c>
      <c r="U620">
        <v>0</v>
      </c>
      <c r="V620">
        <v>9.4523053561131869E-3</v>
      </c>
      <c r="W620">
        <v>8.3093678832900017E-2</v>
      </c>
      <c r="X620">
        <v>1.1024240477696835E-2</v>
      </c>
      <c r="Y620">
        <v>4.5261921424086752E-3</v>
      </c>
    </row>
    <row r="621" spans="1:25" x14ac:dyDescent="0.25">
      <c r="A621" s="1090"/>
      <c r="B621" s="1448">
        <v>371</v>
      </c>
      <c r="C621" s="1094">
        <v>0.97037976956713556</v>
      </c>
      <c r="D621" s="1094">
        <v>1.0000167292925515</v>
      </c>
      <c r="E621" s="1094">
        <v>0.97768686565182594</v>
      </c>
      <c r="F621" s="1094">
        <v>0.97049181394898043</v>
      </c>
      <c r="G621" s="1094">
        <v>0.99909969347480487</v>
      </c>
      <c r="H621" s="1094">
        <v>0.99854543169416932</v>
      </c>
      <c r="I621" s="1094">
        <v>1.0023482718989138</v>
      </c>
      <c r="K621">
        <v>4.3648102063938747</v>
      </c>
      <c r="L621">
        <v>0</v>
      </c>
      <c r="M621">
        <v>1.5312774253535592E-3</v>
      </c>
      <c r="N621">
        <v>0.12401834236020329</v>
      </c>
      <c r="O621">
        <v>3.8548678284164563E-2</v>
      </c>
      <c r="P621">
        <v>1.8310069656228427E-2</v>
      </c>
      <c r="Q621">
        <v>1.3177426615313059E-3</v>
      </c>
      <c r="R621">
        <v>1.524796803985656E-3</v>
      </c>
      <c r="S621">
        <v>0.23406903137363433</v>
      </c>
      <c r="T621">
        <v>3.8498064521980724</v>
      </c>
      <c r="U621">
        <v>0</v>
      </c>
      <c r="V621">
        <v>9.4523053561131783E-3</v>
      </c>
      <c r="W621">
        <v>7.5003661385620563E-2</v>
      </c>
      <c r="X621">
        <v>9.9812115588846367E-3</v>
      </c>
      <c r="Y621">
        <v>4.3091921807924061E-3</v>
      </c>
    </row>
    <row r="622" spans="1:25" x14ac:dyDescent="0.25">
      <c r="A622" s="1090"/>
      <c r="B622" s="1448">
        <v>372</v>
      </c>
      <c r="C622" s="1094">
        <v>0.99449320756200432</v>
      </c>
      <c r="D622" s="1094">
        <v>1.0187221805583055</v>
      </c>
      <c r="E622" s="1094">
        <v>1.0127878188597639</v>
      </c>
      <c r="F622" s="1094">
        <v>1.0090665417243114</v>
      </c>
      <c r="G622" s="1094">
        <v>0.97957950762580681</v>
      </c>
      <c r="H622" s="1094">
        <v>0.96209309159032386</v>
      </c>
      <c r="I622" s="1094">
        <v>1.0151920751711385</v>
      </c>
      <c r="K622">
        <v>4.5159800118083799</v>
      </c>
      <c r="L622">
        <v>0</v>
      </c>
      <c r="M622">
        <v>1.3797561785016017E-3</v>
      </c>
      <c r="N622">
        <v>0.12399986454900278</v>
      </c>
      <c r="O622">
        <v>3.8577679255611334E-2</v>
      </c>
      <c r="P622">
        <v>1.9490581096211951E-2</v>
      </c>
      <c r="Q622">
        <v>1.315394018242252E-3</v>
      </c>
      <c r="R622">
        <v>1.3739263190315678E-3</v>
      </c>
      <c r="S622">
        <v>0.23332969644029275</v>
      </c>
      <c r="T622">
        <v>4.0014751230998007</v>
      </c>
      <c r="U622">
        <v>0</v>
      </c>
      <c r="V622">
        <v>9.4523053561131904E-3</v>
      </c>
      <c r="W622">
        <v>7.3228631969188537E-2</v>
      </c>
      <c r="X622">
        <v>1.1233745211488269E-2</v>
      </c>
      <c r="Y622">
        <v>3.8828206718955192E-3</v>
      </c>
    </row>
    <row r="623" spans="1:25" x14ac:dyDescent="0.25">
      <c r="A623" s="1090"/>
      <c r="B623" s="1448">
        <v>373</v>
      </c>
      <c r="C623" s="1094">
        <v>1.0095537216370358</v>
      </c>
      <c r="D623" s="1094">
        <v>1.0413610760653835</v>
      </c>
      <c r="E623" s="1094">
        <v>0.99810385929193424</v>
      </c>
      <c r="F623" s="1094">
        <v>1.0027498337245289</v>
      </c>
      <c r="G623" s="1094">
        <v>1.0117422021014</v>
      </c>
      <c r="H623" s="1094">
        <v>0.99857407005757204</v>
      </c>
      <c r="I623" s="1094">
        <v>0.96028324402493714</v>
      </c>
      <c r="K623">
        <v>4.4735282587787388</v>
      </c>
      <c r="L623">
        <v>0</v>
      </c>
      <c r="M623">
        <v>1.4333251736090417E-3</v>
      </c>
      <c r="N623">
        <v>0.12334799468985023</v>
      </c>
      <c r="O623">
        <v>3.7532339550016933E-2</v>
      </c>
      <c r="P623">
        <v>1.9097162027701366E-2</v>
      </c>
      <c r="Q623">
        <v>1.2684211130834632E-3</v>
      </c>
      <c r="R623">
        <v>1.4274536154751023E-3</v>
      </c>
      <c r="S623">
        <v>0.21768287864717359</v>
      </c>
      <c r="T623">
        <v>3.9769853005726215</v>
      </c>
      <c r="U623">
        <v>0</v>
      </c>
      <c r="V623">
        <v>9.4523053561131939E-3</v>
      </c>
      <c r="W623">
        <v>7.356751752573977E-2</v>
      </c>
      <c r="X623">
        <v>1.056611795630988E-2</v>
      </c>
      <c r="Y623">
        <v>4.0340928982607093E-3</v>
      </c>
    </row>
    <row r="624" spans="1:25" x14ac:dyDescent="0.25">
      <c r="A624" s="1090"/>
      <c r="B624" s="1448">
        <v>374</v>
      </c>
      <c r="C624" s="1094">
        <v>0.98748482038626095</v>
      </c>
      <c r="D624" s="1094">
        <v>1.0122819268691094</v>
      </c>
      <c r="E624" s="1094">
        <v>1.0225471502050754</v>
      </c>
      <c r="F624" s="1094">
        <v>0.99343944171347942</v>
      </c>
      <c r="G624" s="1094">
        <v>0.97918612270917815</v>
      </c>
      <c r="H624" s="1094">
        <v>0.98409574754191242</v>
      </c>
      <c r="I624" s="1094">
        <v>0.986779412622806</v>
      </c>
      <c r="K624">
        <v>4.4525102035589539</v>
      </c>
      <c r="L624">
        <v>0</v>
      </c>
      <c r="M624">
        <v>1.3743429722093061E-3</v>
      </c>
      <c r="N624">
        <v>0.12713608910040836</v>
      </c>
      <c r="O624">
        <v>3.8279687922776556E-2</v>
      </c>
      <c r="P624">
        <v>1.9318088322314464E-2</v>
      </c>
      <c r="Q624">
        <v>1.3391243254064675E-3</v>
      </c>
      <c r="R624">
        <v>1.3685768845147404E-3</v>
      </c>
      <c r="S624">
        <v>0.22809439613338126</v>
      </c>
      <c r="T624">
        <v>3.9391395152732214</v>
      </c>
      <c r="U624">
        <v>0</v>
      </c>
      <c r="V624">
        <v>9.4523053561131939E-3</v>
      </c>
      <c r="W624">
        <v>7.4592982081671366E-2</v>
      </c>
      <c r="X624">
        <v>1.1296078369811885E-2</v>
      </c>
      <c r="Y624">
        <v>3.8677027615409603E-3</v>
      </c>
    </row>
    <row r="625" spans="1:25" x14ac:dyDescent="0.25">
      <c r="A625" s="1090"/>
      <c r="B625" s="1448">
        <v>375</v>
      </c>
      <c r="C625" s="1094">
        <v>0.95136374630927001</v>
      </c>
      <c r="D625" s="1094">
        <v>0.98986207140666038</v>
      </c>
      <c r="E625" s="1094">
        <v>0.97137114023618831</v>
      </c>
      <c r="F625" s="1094">
        <v>1.0028152116207327</v>
      </c>
      <c r="G625" s="1094">
        <v>1.0265315266403048</v>
      </c>
      <c r="H625" s="1094">
        <v>0.98127493325002835</v>
      </c>
      <c r="I625" s="1094">
        <v>1.027841477310085</v>
      </c>
      <c r="K625">
        <v>4.5193980365701441</v>
      </c>
      <c r="L625">
        <v>0</v>
      </c>
      <c r="M625">
        <v>1.6134963197887769E-3</v>
      </c>
      <c r="N625">
        <v>0.12825827673777976</v>
      </c>
      <c r="O625">
        <v>4.0840674356255824E-2</v>
      </c>
      <c r="P625">
        <v>1.8863252826854634E-2</v>
      </c>
      <c r="Q625">
        <v>1.342176177457012E-3</v>
      </c>
      <c r="R625">
        <v>1.6067706119658727E-3</v>
      </c>
      <c r="S625">
        <v>0.24962885996098577</v>
      </c>
      <c r="T625">
        <v>3.9782730691017263</v>
      </c>
      <c r="U625">
        <v>0</v>
      </c>
      <c r="V625">
        <v>9.4523053561131973E-3</v>
      </c>
      <c r="W625">
        <v>7.7905516428780713E-2</v>
      </c>
      <c r="X625">
        <v>1.0299774911462323E-2</v>
      </c>
      <c r="Y625">
        <v>4.5408564205486777E-3</v>
      </c>
    </row>
    <row r="626" spans="1:25" x14ac:dyDescent="0.25">
      <c r="A626" s="1090"/>
      <c r="B626" s="1448">
        <v>376</v>
      </c>
      <c r="C626" s="1094">
        <v>0.9932172448925557</v>
      </c>
      <c r="D626" s="1094">
        <v>0.99933139930020221</v>
      </c>
      <c r="E626" s="1094">
        <v>1.0211832721051617</v>
      </c>
      <c r="F626" s="1094">
        <v>1.0140359975474245</v>
      </c>
      <c r="G626" s="1094">
        <v>0.96996919879454468</v>
      </c>
      <c r="H626" s="1094">
        <v>1.0339061615373382</v>
      </c>
      <c r="I626" s="1094">
        <v>1.0020777499852243</v>
      </c>
      <c r="K626">
        <v>4.5602800413953579</v>
      </c>
      <c r="L626">
        <v>0</v>
      </c>
      <c r="M626">
        <v>1.4770287849544153E-3</v>
      </c>
      <c r="N626">
        <v>0.13612373264440825</v>
      </c>
      <c r="O626">
        <v>3.9058000604299176E-2</v>
      </c>
      <c r="P626">
        <v>1.9723510612350149E-2</v>
      </c>
      <c r="Q626">
        <v>1.336728519367882E-3</v>
      </c>
      <c r="R626">
        <v>1.4712497442125948E-3</v>
      </c>
      <c r="S626">
        <v>0.23828089567974464</v>
      </c>
      <c r="T626">
        <v>4.0208601147014873</v>
      </c>
      <c r="U626">
        <v>0</v>
      </c>
      <c r="V626">
        <v>9.4523053561131991E-3</v>
      </c>
      <c r="W626">
        <v>7.993876398992876E-2</v>
      </c>
      <c r="X626">
        <v>1.1353904226647287E-2</v>
      </c>
      <c r="Y626">
        <v>4.1578641017491159E-3</v>
      </c>
    </row>
    <row r="627" spans="1:25" x14ac:dyDescent="0.25">
      <c r="A627" s="1090"/>
      <c r="B627" s="1448">
        <v>377</v>
      </c>
      <c r="C627" s="1094">
        <v>0.99555881814318203</v>
      </c>
      <c r="D627" s="1094">
        <v>0.9917007082962257</v>
      </c>
      <c r="E627" s="1094">
        <v>1.0262077611600828</v>
      </c>
      <c r="F627" s="1094">
        <v>1.018640180622854</v>
      </c>
      <c r="G627" s="1094">
        <v>1.0220803474179976</v>
      </c>
      <c r="H627" s="1094">
        <v>0.98216866094352606</v>
      </c>
      <c r="I627" s="1094">
        <v>1.0436103534190417</v>
      </c>
      <c r="K627">
        <v>4.5760926869283338</v>
      </c>
      <c r="L627">
        <v>0</v>
      </c>
      <c r="M627">
        <v>1.3955658359209213E-3</v>
      </c>
      <c r="N627">
        <v>0.13051715867925362</v>
      </c>
      <c r="O627">
        <v>3.9227720204019573E-2</v>
      </c>
      <c r="P627">
        <v>1.9909569953057149E-2</v>
      </c>
      <c r="Q627">
        <v>1.343365904738909E-3</v>
      </c>
      <c r="R627">
        <v>1.3898437722308376E-3</v>
      </c>
      <c r="S627">
        <v>0.24471536313506467</v>
      </c>
      <c r="T627">
        <v>4.038924005714625</v>
      </c>
      <c r="U627">
        <v>0</v>
      </c>
      <c r="V627">
        <v>9.4523053561131991E-3</v>
      </c>
      <c r="W627">
        <v>7.6390580788824464E-2</v>
      </c>
      <c r="X627">
        <v>1.1690534646447122E-2</v>
      </c>
      <c r="Y627">
        <v>3.9278046098767186E-3</v>
      </c>
    </row>
    <row r="628" spans="1:25" x14ac:dyDescent="0.25">
      <c r="A628" s="1090"/>
      <c r="B628" s="1448">
        <v>378</v>
      </c>
      <c r="C628" s="1094">
        <v>1.0387930861144627</v>
      </c>
      <c r="D628" s="1094">
        <v>0.9904383442904463</v>
      </c>
      <c r="E628" s="1094">
        <v>1.0251978841678173</v>
      </c>
      <c r="F628" s="1094">
        <v>1.0446723200640968</v>
      </c>
      <c r="G628" s="1094">
        <v>1.0099150886814376</v>
      </c>
      <c r="H628" s="1094">
        <v>1.0015258175277186</v>
      </c>
      <c r="I628" s="1094">
        <v>0.99477878746625459</v>
      </c>
      <c r="K628">
        <v>4.663760360079249</v>
      </c>
      <c r="L628">
        <v>0</v>
      </c>
      <c r="M628">
        <v>1.4022598238685488E-3</v>
      </c>
      <c r="N628">
        <v>0.13077562610070001</v>
      </c>
      <c r="O628">
        <v>3.8582519915521751E-2</v>
      </c>
      <c r="P628">
        <v>2.0300528678797954E-2</v>
      </c>
      <c r="Q628">
        <v>1.2870151743711983E-3</v>
      </c>
      <c r="R628">
        <v>1.3967613891634611E-3</v>
      </c>
      <c r="S628">
        <v>0.22898303535785439</v>
      </c>
      <c r="T628">
        <v>4.1421815075351924</v>
      </c>
      <c r="U628">
        <v>0</v>
      </c>
      <c r="V628">
        <v>9.4523053561131956E-3</v>
      </c>
      <c r="W628">
        <v>7.6593220097866441E-2</v>
      </c>
      <c r="X628">
        <v>1.1662745974071784E-2</v>
      </c>
      <c r="Y628">
        <v>3.9473543234633812E-3</v>
      </c>
    </row>
    <row r="629" spans="1:25" x14ac:dyDescent="0.25">
      <c r="A629" s="1090"/>
      <c r="B629" s="1448">
        <v>379</v>
      </c>
      <c r="C629" s="1094">
        <v>0.99537297632625932</v>
      </c>
      <c r="D629" s="1094">
        <v>1.0069780201392253</v>
      </c>
      <c r="E629" s="1094">
        <v>0.98157721315779467</v>
      </c>
      <c r="F629" s="1094">
        <v>1.0042535252949929</v>
      </c>
      <c r="G629" s="1094">
        <v>1.0075944365987606</v>
      </c>
      <c r="H629" s="1094">
        <v>1.0024339353540457</v>
      </c>
      <c r="I629" s="1094">
        <v>1.0034506185168885</v>
      </c>
      <c r="K629">
        <v>4.5016757508103904</v>
      </c>
      <c r="L629">
        <v>0</v>
      </c>
      <c r="M629">
        <v>1.5336832163698041E-3</v>
      </c>
      <c r="N629">
        <v>0.12567534327276972</v>
      </c>
      <c r="O629">
        <v>3.8753571542802845E-2</v>
      </c>
      <c r="P629">
        <v>1.8962150307786144E-2</v>
      </c>
      <c r="Q629">
        <v>1.2854297144254292E-3</v>
      </c>
      <c r="R629">
        <v>1.5274340696752931E-3</v>
      </c>
      <c r="S629">
        <v>0.23356905244662091</v>
      </c>
      <c r="T629">
        <v>3.9835842230008858</v>
      </c>
      <c r="U629">
        <v>0</v>
      </c>
      <c r="V629">
        <v>9.4523053561131973E-3</v>
      </c>
      <c r="W629">
        <v>7.5803413462017577E-2</v>
      </c>
      <c r="X629">
        <v>1.0279865558681558E-2</v>
      </c>
      <c r="Y629">
        <v>4.3166452949770307E-3</v>
      </c>
    </row>
    <row r="630" spans="1:25" x14ac:dyDescent="0.25">
      <c r="A630" s="1090"/>
      <c r="B630" s="1448">
        <v>380</v>
      </c>
      <c r="C630" s="1094">
        <v>0.98137831065594294</v>
      </c>
      <c r="D630" s="1094">
        <v>0.98017870389415129</v>
      </c>
      <c r="E630" s="1094">
        <v>1.0107282158884239</v>
      </c>
      <c r="F630" s="1094">
        <v>1.0300973337912072</v>
      </c>
      <c r="G630" s="1094">
        <v>0.96619043069464439</v>
      </c>
      <c r="H630" s="1094">
        <v>1.0039671308272997</v>
      </c>
      <c r="I630" s="1094">
        <v>0.99130765334359439</v>
      </c>
      <c r="K630">
        <v>4.6280219668565872</v>
      </c>
      <c r="L630">
        <v>0</v>
      </c>
      <c r="M630">
        <v>1.5190771307256009E-3</v>
      </c>
      <c r="N630">
        <v>0.1357261273869152</v>
      </c>
      <c r="O630">
        <v>4.054345119821167E-2</v>
      </c>
      <c r="P630">
        <v>1.9875153456496267E-2</v>
      </c>
      <c r="Q630">
        <v>1.351327277564525E-3</v>
      </c>
      <c r="R630">
        <v>1.5130513856486624E-3</v>
      </c>
      <c r="S630">
        <v>0.24017381941158744</v>
      </c>
      <c r="T630">
        <v>4.0849535087945625</v>
      </c>
      <c r="U630">
        <v>0</v>
      </c>
      <c r="V630">
        <v>9.4523053561131921E-3</v>
      </c>
      <c r="W630">
        <v>8.0264392518210437E-2</v>
      </c>
      <c r="X630">
        <v>1.1411908470148826E-2</v>
      </c>
      <c r="Y630">
        <v>4.275998731851794E-3</v>
      </c>
    </row>
    <row r="631" spans="1:25" x14ac:dyDescent="0.25">
      <c r="A631" s="1090"/>
      <c r="B631" s="1448">
        <v>381</v>
      </c>
      <c r="C631" s="1094">
        <v>0.98321269042244941</v>
      </c>
      <c r="D631" s="1094">
        <v>0.99255534348448371</v>
      </c>
      <c r="E631" s="1094">
        <v>0.99743320898117083</v>
      </c>
      <c r="F631" s="1094">
        <v>1.0226221397705297</v>
      </c>
      <c r="G631" s="1094">
        <v>1.0042888268724215</v>
      </c>
      <c r="H631" s="1094">
        <v>0.9920521579190863</v>
      </c>
      <c r="I631" s="1094">
        <v>1.0048478858078149</v>
      </c>
      <c r="K631">
        <v>4.5901557158684136</v>
      </c>
      <c r="L631">
        <v>0</v>
      </c>
      <c r="M631">
        <v>1.5220214796781331E-3</v>
      </c>
      <c r="N631">
        <v>0.13072783526766657</v>
      </c>
      <c r="O631">
        <v>4.0068296870167171E-2</v>
      </c>
      <c r="P631">
        <v>1.9546612786892896E-2</v>
      </c>
      <c r="Q631">
        <v>1.3268874643974624E-3</v>
      </c>
      <c r="R631">
        <v>1.5158670597105578E-3</v>
      </c>
      <c r="S631">
        <v>0.23993926853481864</v>
      </c>
      <c r="T631">
        <v>4.0558265862637315</v>
      </c>
      <c r="U631">
        <v>0</v>
      </c>
      <c r="V631">
        <v>9.4523053561131869E-3</v>
      </c>
      <c r="W631">
        <v>7.8004423413016194E-2</v>
      </c>
      <c r="X631">
        <v>1.0985698289861637E-2</v>
      </c>
      <c r="Y631">
        <v>4.2839560417172549E-3</v>
      </c>
    </row>
    <row r="632" spans="1:25" x14ac:dyDescent="0.25">
      <c r="A632" s="1090"/>
      <c r="B632" s="1448">
        <v>382</v>
      </c>
      <c r="C632" s="1094">
        <v>1.0214760367927369</v>
      </c>
      <c r="D632" s="1094">
        <v>0.9855291685015718</v>
      </c>
      <c r="E632" s="1094">
        <v>0.9777867539630698</v>
      </c>
      <c r="F632" s="1094">
        <v>1.0005891535929718</v>
      </c>
      <c r="G632" s="1094">
        <v>1.0053750630299785</v>
      </c>
      <c r="H632" s="1094">
        <v>1.0376259441097258</v>
      </c>
      <c r="I632" s="1094">
        <v>0.98417544825854275</v>
      </c>
      <c r="K632">
        <v>4.4815688623831544</v>
      </c>
      <c r="L632">
        <v>0</v>
      </c>
      <c r="M632">
        <v>1.5670873460377969E-3</v>
      </c>
      <c r="N632">
        <v>0.12699210095376165</v>
      </c>
      <c r="O632">
        <v>3.7976450602618131E-2</v>
      </c>
      <c r="P632">
        <v>1.8812676967758922E-2</v>
      </c>
      <c r="Q632">
        <v>1.2592645597378188E-3</v>
      </c>
      <c r="R632">
        <v>1.5608961540080218E-3</v>
      </c>
      <c r="S632">
        <v>0.22672372817309516</v>
      </c>
      <c r="T632">
        <v>3.9691945776951285</v>
      </c>
      <c r="U632">
        <v>0</v>
      </c>
      <c r="V632">
        <v>9.4523053561131869E-3</v>
      </c>
      <c r="W632">
        <v>7.6796863449527103E-2</v>
      </c>
      <c r="X632">
        <v>9.9558741174309972E-3</v>
      </c>
      <c r="Y632">
        <v>4.4112117000106076E-3</v>
      </c>
    </row>
    <row r="633" spans="1:25" x14ac:dyDescent="0.25">
      <c r="A633" s="1090"/>
      <c r="B633" s="1448">
        <v>383</v>
      </c>
      <c r="C633" s="1094">
        <v>0.97901028066287044</v>
      </c>
      <c r="D633" s="1094">
        <v>1.0032101800564635</v>
      </c>
      <c r="E633" s="1094">
        <v>1.0235255707604318</v>
      </c>
      <c r="F633" s="1094">
        <v>1.0134890512484007</v>
      </c>
      <c r="G633" s="1094">
        <v>0.97894315216257377</v>
      </c>
      <c r="H633" s="1094">
        <v>1.0139471474465158</v>
      </c>
      <c r="I633" s="1094">
        <v>1.0329578340662966</v>
      </c>
      <c r="K633">
        <v>4.5663578938404967</v>
      </c>
      <c r="L633">
        <v>0</v>
      </c>
      <c r="M633">
        <v>1.4592317616063369E-3</v>
      </c>
      <c r="N633">
        <v>0.13540781549197764</v>
      </c>
      <c r="O633">
        <v>3.9525419151560534E-2</v>
      </c>
      <c r="P633">
        <v>1.9788074566039062E-2</v>
      </c>
      <c r="Q633">
        <v>1.35670923452891E-3</v>
      </c>
      <c r="R633">
        <v>1.4534068379226548E-3</v>
      </c>
      <c r="S633">
        <v>0.24718953452154205</v>
      </c>
      <c r="T633">
        <v>4.0186019526118368</v>
      </c>
      <c r="U633">
        <v>0</v>
      </c>
      <c r="V633">
        <v>9.4523053561131956E-3</v>
      </c>
      <c r="W633">
        <v>7.939444201235317E-2</v>
      </c>
      <c r="X633">
        <v>1.1540027131894967E-2</v>
      </c>
      <c r="Y633">
        <v>4.1074386863322911E-3</v>
      </c>
    </row>
    <row r="634" spans="1:25" x14ac:dyDescent="0.25">
      <c r="A634" s="1090"/>
      <c r="B634" s="1448">
        <v>384</v>
      </c>
      <c r="C634" s="1094">
        <v>1.0290393520732342</v>
      </c>
      <c r="D634" s="1094">
        <v>0.99283583148596333</v>
      </c>
      <c r="E634" s="1094">
        <v>0.97265955827478245</v>
      </c>
      <c r="F634" s="1094">
        <v>1.0269233984376396</v>
      </c>
      <c r="G634" s="1094">
        <v>1.007662564597166</v>
      </c>
      <c r="H634" s="1094">
        <v>1.0141101957676115</v>
      </c>
      <c r="I634" s="1094">
        <v>0.97594439818222523</v>
      </c>
      <c r="K634">
        <v>4.5834603552690334</v>
      </c>
      <c r="L634">
        <v>0</v>
      </c>
      <c r="M634">
        <v>1.5723824269005876E-3</v>
      </c>
      <c r="N634">
        <v>0.12549804497361117</v>
      </c>
      <c r="O634">
        <v>3.8610413745806094E-2</v>
      </c>
      <c r="P634">
        <v>1.9197622487651514E-2</v>
      </c>
      <c r="Q634">
        <v>1.2407698496912701E-3</v>
      </c>
      <c r="R634">
        <v>1.5661886105513029E-3</v>
      </c>
      <c r="S634">
        <v>0.22490936508536555</v>
      </c>
      <c r="T634">
        <v>4.073861701217421</v>
      </c>
      <c r="U634">
        <v>0</v>
      </c>
      <c r="V634">
        <v>9.4523053561131904E-3</v>
      </c>
      <c r="W634">
        <v>7.6161292939752059E-2</v>
      </c>
      <c r="X634">
        <v>1.0108864843707282E-2</v>
      </c>
      <c r="Y634">
        <v>4.426168586261864E-3</v>
      </c>
    </row>
    <row r="635" spans="1:25" x14ac:dyDescent="0.25">
      <c r="A635" s="1090"/>
      <c r="B635" s="1448">
        <v>385</v>
      </c>
      <c r="C635" s="1094">
        <v>1.0059844049020745</v>
      </c>
      <c r="D635" s="1094">
        <v>0.97421687153536995</v>
      </c>
      <c r="E635" s="1094">
        <v>0.96784478880975966</v>
      </c>
      <c r="F635" s="1094">
        <v>1.002105076702076</v>
      </c>
      <c r="G635" s="1094">
        <v>0.9964962820196025</v>
      </c>
      <c r="H635" s="1094">
        <v>1.0044621546544952</v>
      </c>
      <c r="I635" s="1094">
        <v>0.98372453633099355</v>
      </c>
      <c r="K635">
        <v>4.4872184847460099</v>
      </c>
      <c r="L635">
        <v>0</v>
      </c>
      <c r="M635">
        <v>1.5824760168133768E-3</v>
      </c>
      <c r="N635">
        <v>0.12449368588277128</v>
      </c>
      <c r="O635">
        <v>3.8866837151060214E-2</v>
      </c>
      <c r="P635">
        <v>1.8707430095586827E-2</v>
      </c>
      <c r="Q635">
        <v>1.2734862496357213E-3</v>
      </c>
      <c r="R635">
        <v>1.5760273390956069E-3</v>
      </c>
      <c r="S635">
        <v>0.22867535566929015</v>
      </c>
      <c r="T635">
        <v>3.9755924511148746</v>
      </c>
      <c r="U635">
        <v>0</v>
      </c>
      <c r="V635">
        <v>9.4523053561131939E-3</v>
      </c>
      <c r="W635">
        <v>7.5803083026631496E-2</v>
      </c>
      <c r="X635">
        <v>9.906325293482645E-3</v>
      </c>
      <c r="Y635">
        <v>4.4539735842794564E-3</v>
      </c>
    </row>
    <row r="636" spans="1:25" x14ac:dyDescent="0.25">
      <c r="A636" s="1090"/>
      <c r="B636" s="1448">
        <v>386</v>
      </c>
      <c r="C636" s="1094">
        <v>1.0154391342701259</v>
      </c>
      <c r="D636" s="1094">
        <v>1.0083706646932029</v>
      </c>
      <c r="E636" s="1094">
        <v>1.020207719114663</v>
      </c>
      <c r="F636" s="1094">
        <v>0.9656088505776137</v>
      </c>
      <c r="G636" s="1094">
        <v>0.98037424813214535</v>
      </c>
      <c r="H636" s="1094">
        <v>0.99135088067139177</v>
      </c>
      <c r="I636" s="1094">
        <v>0.96637960073362084</v>
      </c>
      <c r="K636">
        <v>4.3150802210406427</v>
      </c>
      <c r="L636">
        <v>0</v>
      </c>
      <c r="M636">
        <v>1.3173231957700267E-3</v>
      </c>
      <c r="N636">
        <v>0.12101012352589804</v>
      </c>
      <c r="O636">
        <v>3.6254360096831278E-2</v>
      </c>
      <c r="P636">
        <v>1.8710301757847908E-2</v>
      </c>
      <c r="Q636">
        <v>1.3017000954523422E-3</v>
      </c>
      <c r="R636">
        <v>1.3116793271231077E-3</v>
      </c>
      <c r="S636">
        <v>0.21388082694965271</v>
      </c>
      <c r="T636">
        <v>3.8288720809367152</v>
      </c>
      <c r="U636">
        <v>0</v>
      </c>
      <c r="V636">
        <v>9.4523053561131869E-3</v>
      </c>
      <c r="W636">
        <v>7.1109504716192887E-2</v>
      </c>
      <c r="X636">
        <v>1.0787755554155237E-2</v>
      </c>
      <c r="Y636">
        <v>3.7069059204291933E-3</v>
      </c>
    </row>
    <row r="637" spans="1:25" x14ac:dyDescent="0.25">
      <c r="A637" s="1090"/>
      <c r="B637" s="1448">
        <v>387</v>
      </c>
      <c r="C637" s="1094">
        <v>1.0183900059895676</v>
      </c>
      <c r="D637" s="1094">
        <v>1.0341070776587025</v>
      </c>
      <c r="E637" s="1094">
        <v>1.0100951237252818</v>
      </c>
      <c r="F637" s="1094">
        <v>1.0055874806639566</v>
      </c>
      <c r="G637" s="1094">
        <v>0.99628262202911855</v>
      </c>
      <c r="H637" s="1094">
        <v>0.97483635614401631</v>
      </c>
      <c r="I637" s="1094">
        <v>0.97920312461001757</v>
      </c>
      <c r="K637">
        <v>4.4821579561052873</v>
      </c>
      <c r="L637">
        <v>0</v>
      </c>
      <c r="M637">
        <v>1.3601098124637035E-3</v>
      </c>
      <c r="N637">
        <v>0.12126867649610377</v>
      </c>
      <c r="O637">
        <v>3.7336179829154825E-2</v>
      </c>
      <c r="P637">
        <v>1.9324437144392203E-2</v>
      </c>
      <c r="Q637">
        <v>1.2739274214919262E-3</v>
      </c>
      <c r="R637">
        <v>1.3544185458461905E-3</v>
      </c>
      <c r="S637">
        <v>0.21921167891626969</v>
      </c>
      <c r="T637">
        <v>3.9877813663075945</v>
      </c>
      <c r="U637">
        <v>0</v>
      </c>
      <c r="V637">
        <v>9.4523053561131939E-3</v>
      </c>
      <c r="W637">
        <v>7.1745163098529005E-2</v>
      </c>
      <c r="X637">
        <v>1.0942222586727694E-2</v>
      </c>
      <c r="Y637">
        <v>3.8276902155256151E-3</v>
      </c>
    </row>
    <row r="638" spans="1:25" x14ac:dyDescent="0.25">
      <c r="A638" s="1090"/>
      <c r="B638" s="1448">
        <v>388</v>
      </c>
      <c r="C638" s="1094">
        <v>1.0098856433814063</v>
      </c>
      <c r="D638" s="1094">
        <v>1.0210100649665252</v>
      </c>
      <c r="E638" s="1094">
        <v>1.0067549776276667</v>
      </c>
      <c r="F638" s="1094">
        <v>1.0014412133966391</v>
      </c>
      <c r="G638" s="1094">
        <v>0.99995873037348681</v>
      </c>
      <c r="H638" s="1094">
        <v>1.0039440893430593</v>
      </c>
      <c r="I638" s="1094">
        <v>0.9836838436164077</v>
      </c>
      <c r="K638">
        <v>4.478630542788995</v>
      </c>
      <c r="L638">
        <v>0</v>
      </c>
      <c r="M638">
        <v>1.4239006428830938E-3</v>
      </c>
      <c r="N638">
        <v>0.12572004768826481</v>
      </c>
      <c r="O638">
        <v>3.770958630179734E-2</v>
      </c>
      <c r="P638">
        <v>1.9225995272627965E-2</v>
      </c>
      <c r="Q638">
        <v>1.2875503975221855E-3</v>
      </c>
      <c r="R638">
        <v>1.4180913416483711E-3</v>
      </c>
      <c r="S638">
        <v>0.22442381366683536</v>
      </c>
      <c r="T638">
        <v>3.9714656844396199</v>
      </c>
      <c r="U638">
        <v>0</v>
      </c>
      <c r="V638">
        <v>9.4523053561131887E-3</v>
      </c>
      <c r="W638">
        <v>7.4545832969962783E-2</v>
      </c>
      <c r="X638">
        <v>1.0797901599834082E-2</v>
      </c>
      <c r="Y638">
        <v>4.0076343976505717E-3</v>
      </c>
    </row>
    <row r="639" spans="1:25" x14ac:dyDescent="0.25">
      <c r="A639" s="1090"/>
      <c r="B639" s="1448">
        <v>389</v>
      </c>
      <c r="C639" s="1094">
        <v>1.0116108661241594</v>
      </c>
      <c r="D639" s="1094">
        <v>1.0111604544709214</v>
      </c>
      <c r="E639" s="1094">
        <v>1.0070385928892387</v>
      </c>
      <c r="F639" s="1094">
        <v>0.97775254414951451</v>
      </c>
      <c r="G639" s="1094">
        <v>1.025391581021954</v>
      </c>
      <c r="H639" s="1094">
        <v>1.0183720404814736</v>
      </c>
      <c r="I639" s="1094">
        <v>1.0161269797216061</v>
      </c>
      <c r="K639">
        <v>4.3867550678490099</v>
      </c>
      <c r="L639">
        <v>0</v>
      </c>
      <c r="M639">
        <v>1.4125578348747393E-3</v>
      </c>
      <c r="N639">
        <v>0.12481843969015755</v>
      </c>
      <c r="O639">
        <v>3.6895710176846813E-2</v>
      </c>
      <c r="P639">
        <v>1.8823398174546983E-2</v>
      </c>
      <c r="Q639">
        <v>1.2906605313071531E-3</v>
      </c>
      <c r="R639">
        <v>1.4067393900581236E-3</v>
      </c>
      <c r="S639">
        <v>0.22945113783620208</v>
      </c>
      <c r="T639">
        <v>3.8775118154652728</v>
      </c>
      <c r="U639">
        <v>0</v>
      </c>
      <c r="V639">
        <v>9.4523053561131973E-3</v>
      </c>
      <c r="W639">
        <v>7.3997104013315648E-2</v>
      </c>
      <c r="X639">
        <v>1.0544762134286494E-2</v>
      </c>
      <c r="Y639">
        <v>3.975552915776029E-3</v>
      </c>
    </row>
    <row r="640" spans="1:25" x14ac:dyDescent="0.25">
      <c r="A640" s="1090"/>
      <c r="B640" s="1448">
        <v>390</v>
      </c>
      <c r="C640" s="1094">
        <v>1.0041903056498958</v>
      </c>
      <c r="D640" s="1094">
        <v>0.96935245090925259</v>
      </c>
      <c r="E640" s="1094">
        <v>0.99668035897157581</v>
      </c>
      <c r="F640" s="1094">
        <v>1.012895814302621</v>
      </c>
      <c r="G640" s="1094">
        <v>1.0071241583607231</v>
      </c>
      <c r="H640" s="1094">
        <v>1.0179806940746099</v>
      </c>
      <c r="I640" s="1094">
        <v>0.99828935730802371</v>
      </c>
      <c r="K640">
        <v>4.5468367650774759</v>
      </c>
      <c r="L640">
        <v>0</v>
      </c>
      <c r="M640">
        <v>1.5315142010249728E-3</v>
      </c>
      <c r="N640">
        <v>0.13125861432854147</v>
      </c>
      <c r="O640">
        <v>3.9232821672952743E-2</v>
      </c>
      <c r="P640">
        <v>1.934085564241296E-2</v>
      </c>
      <c r="Q640">
        <v>1.3106719667012228E-3</v>
      </c>
      <c r="R640">
        <v>1.5254214136084666E-3</v>
      </c>
      <c r="S640">
        <v>0.23556411158541851</v>
      </c>
      <c r="T640">
        <v>4.0172800407401228</v>
      </c>
      <c r="U640">
        <v>0</v>
      </c>
      <c r="V640">
        <v>9.4523053561132008E-3</v>
      </c>
      <c r="W640">
        <v>7.836107789414995E-2</v>
      </c>
      <c r="X640">
        <v>1.0731401303201505E-2</v>
      </c>
      <c r="Y640">
        <v>4.3109573752731578E-3</v>
      </c>
    </row>
    <row r="641" spans="1:25" x14ac:dyDescent="0.25">
      <c r="A641" s="1090"/>
      <c r="B641" s="1448">
        <v>391</v>
      </c>
      <c r="C641" s="1094">
        <v>0.97336631405397245</v>
      </c>
      <c r="D641" s="1094">
        <v>1.0097370271443906</v>
      </c>
      <c r="E641" s="1094">
        <v>0.9774270103262972</v>
      </c>
      <c r="F641" s="1094">
        <v>0.96730910810331638</v>
      </c>
      <c r="G641" s="1094">
        <v>1.0271888385857861</v>
      </c>
      <c r="H641" s="1094">
        <v>0.98088858086477759</v>
      </c>
      <c r="I641" s="1094">
        <v>1.0021341716336689</v>
      </c>
      <c r="K641">
        <v>4.3427443286488092</v>
      </c>
      <c r="L641">
        <v>0</v>
      </c>
      <c r="M641">
        <v>1.4897280957451434E-3</v>
      </c>
      <c r="N641">
        <v>0.12054930973333988</v>
      </c>
      <c r="O641">
        <v>3.8158204747561604E-2</v>
      </c>
      <c r="P641">
        <v>1.8235277756414404E-2</v>
      </c>
      <c r="Q641">
        <v>1.3083306260443653E-3</v>
      </c>
      <c r="R641">
        <v>1.4832887982780788E-3</v>
      </c>
      <c r="S641">
        <v>0.23077043352944812</v>
      </c>
      <c r="T641">
        <v>3.8371907762502317</v>
      </c>
      <c r="U641">
        <v>0</v>
      </c>
      <c r="V641">
        <v>9.4523053561131939E-3</v>
      </c>
      <c r="W641">
        <v>7.2918666654848849E-2</v>
      </c>
      <c r="X641">
        <v>9.9755759045987453E-3</v>
      </c>
      <c r="Y641">
        <v>4.19188738767647E-3</v>
      </c>
    </row>
    <row r="642" spans="1:25" x14ac:dyDescent="0.25">
      <c r="A642" s="1090"/>
      <c r="B642" s="1448">
        <v>392</v>
      </c>
      <c r="C642" s="1094">
        <v>0.99799464907743196</v>
      </c>
      <c r="D642" s="1094">
        <v>1.0062256790774742</v>
      </c>
      <c r="E642" s="1094">
        <v>0.99093731735982993</v>
      </c>
      <c r="F642" s="1094">
        <v>1.0218414837101391</v>
      </c>
      <c r="G642" s="1094">
        <v>1.0118551045264661</v>
      </c>
      <c r="H642" s="1094">
        <v>1.0212589543725719</v>
      </c>
      <c r="I642" s="1094">
        <v>0.98735515250840067</v>
      </c>
      <c r="K642">
        <v>4.5804104681355184</v>
      </c>
      <c r="L642">
        <v>0</v>
      </c>
      <c r="M642">
        <v>1.5551438192099318E-3</v>
      </c>
      <c r="N642">
        <v>0.13104017421750325</v>
      </c>
      <c r="O642">
        <v>3.9274961982899752E-2</v>
      </c>
      <c r="P642">
        <v>1.9409477458918793E-2</v>
      </c>
      <c r="Q642">
        <v>1.2928564957360451E-3</v>
      </c>
      <c r="R642">
        <v>1.5490306577769289E-3</v>
      </c>
      <c r="S642">
        <v>0.23343167040681781</v>
      </c>
      <c r="T642">
        <v>4.0529839131294283</v>
      </c>
      <c r="U642">
        <v>0</v>
      </c>
      <c r="V642">
        <v>9.4523053561131852E-3</v>
      </c>
      <c r="W642">
        <v>7.8536202438976799E-2</v>
      </c>
      <c r="X642">
        <v>1.0617340908782965E-2</v>
      </c>
      <c r="Y642">
        <v>4.3776789017737558E-3</v>
      </c>
    </row>
    <row r="643" spans="1:25" x14ac:dyDescent="0.25">
      <c r="A643" s="1090"/>
      <c r="B643" s="1448">
        <v>393</v>
      </c>
      <c r="C643" s="1094">
        <v>0.97514767040738703</v>
      </c>
      <c r="D643" s="1094">
        <v>0.99537579840198309</v>
      </c>
      <c r="E643" s="1094">
        <v>1.0184581655675655</v>
      </c>
      <c r="F643" s="1094">
        <v>0.97928920018752152</v>
      </c>
      <c r="G643" s="1094">
        <v>0.99241512209994587</v>
      </c>
      <c r="H643" s="1094">
        <v>1.0007159995662278</v>
      </c>
      <c r="I643" s="1094">
        <v>1.00215091822013</v>
      </c>
      <c r="K643">
        <v>4.4070614322251203</v>
      </c>
      <c r="L643">
        <v>0</v>
      </c>
      <c r="M643">
        <v>1.4167765591889922E-3</v>
      </c>
      <c r="N643">
        <v>0.12948690856231418</v>
      </c>
      <c r="O643">
        <v>3.8498470843761623E-2</v>
      </c>
      <c r="P643">
        <v>1.9033221198470045E-2</v>
      </c>
      <c r="Q643">
        <v>1.3605185011515558E-3</v>
      </c>
      <c r="R643">
        <v>1.4108470531426815E-3</v>
      </c>
      <c r="S643">
        <v>0.23479156000673221</v>
      </c>
      <c r="T643">
        <v>3.883182593853916</v>
      </c>
      <c r="U643">
        <v>0</v>
      </c>
      <c r="V643">
        <v>9.4523053561131887E-3</v>
      </c>
      <c r="W643">
        <v>7.6179598474515831E-2</v>
      </c>
      <c r="X643">
        <v>1.1095023448935421E-2</v>
      </c>
      <c r="Y643">
        <v>3.9871614852582307E-3</v>
      </c>
    </row>
    <row r="644" spans="1:25" x14ac:dyDescent="0.25">
      <c r="A644" s="1090"/>
      <c r="B644" s="1448">
        <v>394</v>
      </c>
      <c r="C644" s="1094">
        <v>1.0133277581435602</v>
      </c>
      <c r="D644" s="1094">
        <v>0.98984499651900537</v>
      </c>
      <c r="E644" s="1094">
        <v>1.0319784719153702</v>
      </c>
      <c r="F644" s="1094">
        <v>0.99215184139084067</v>
      </c>
      <c r="G644" s="1094">
        <v>0.96594070152657985</v>
      </c>
      <c r="H644" s="1094">
        <v>0.99331208127969961</v>
      </c>
      <c r="I644" s="1094">
        <v>1.0100351183088039</v>
      </c>
      <c r="K644">
        <v>4.4472542679054614</v>
      </c>
      <c r="L644">
        <v>0</v>
      </c>
      <c r="M644">
        <v>1.335350238240897E-3</v>
      </c>
      <c r="N644">
        <v>0.12702678185916189</v>
      </c>
      <c r="O644">
        <v>3.75266974707789E-2</v>
      </c>
      <c r="P644">
        <v>1.9432497327711001E-2</v>
      </c>
      <c r="Q644">
        <v>1.3272272168502457E-3</v>
      </c>
      <c r="R644">
        <v>1.3297925539650123E-3</v>
      </c>
      <c r="S644">
        <v>0.22956299835681926</v>
      </c>
      <c r="T644">
        <v>3.9336824191493847</v>
      </c>
      <c r="U644">
        <v>0</v>
      </c>
      <c r="V644">
        <v>9.4523053561131956E-3</v>
      </c>
      <c r="W644">
        <v>7.4063906824207396E-2</v>
      </c>
      <c r="X644">
        <v>1.1426896746346683E-2</v>
      </c>
      <c r="Y644">
        <v>3.758095282363867E-3</v>
      </c>
    </row>
    <row r="645" spans="1:25" x14ac:dyDescent="0.25">
      <c r="A645" s="1090"/>
      <c r="B645" s="1448">
        <v>395</v>
      </c>
      <c r="C645" s="1094">
        <v>0.99429569375833371</v>
      </c>
      <c r="D645" s="1094">
        <v>0.99270711406106893</v>
      </c>
      <c r="E645" s="1094">
        <v>1.035347869527363</v>
      </c>
      <c r="F645" s="1094">
        <v>0.99233503667565615</v>
      </c>
      <c r="G645" s="1094">
        <v>1.0390382715167035</v>
      </c>
      <c r="H645" s="1094">
        <v>1.0279559587713838</v>
      </c>
      <c r="I645" s="1094">
        <v>0.97320302821011206</v>
      </c>
      <c r="K645">
        <v>4.4583422038527827</v>
      </c>
      <c r="L645">
        <v>0</v>
      </c>
      <c r="M645">
        <v>1.3970093045851692E-3</v>
      </c>
      <c r="N645">
        <v>0.13424120640369847</v>
      </c>
      <c r="O645">
        <v>3.818464949412409E-2</v>
      </c>
      <c r="P645">
        <v>1.9474549728832152E-2</v>
      </c>
      <c r="Q645">
        <v>1.354895182792081E-3</v>
      </c>
      <c r="R645">
        <v>1.3913919823196025E-3</v>
      </c>
      <c r="S645">
        <v>0.22781279486345946</v>
      </c>
      <c r="T645">
        <v>3.9342835317336444</v>
      </c>
      <c r="U645">
        <v>0</v>
      </c>
      <c r="V645">
        <v>9.4523053561131991E-3</v>
      </c>
      <c r="W645">
        <v>7.8096288380246404E-2</v>
      </c>
      <c r="X645">
        <v>1.1515420062343448E-2</v>
      </c>
      <c r="Y645">
        <v>3.9321799697878161E-3</v>
      </c>
    </row>
    <row r="646" spans="1:25" x14ac:dyDescent="0.25">
      <c r="A646" s="1090"/>
      <c r="B646" s="1448">
        <v>396</v>
      </c>
      <c r="C646" s="1094">
        <v>0.99225937781277518</v>
      </c>
      <c r="D646" s="1094">
        <v>0.97454054334177342</v>
      </c>
      <c r="E646" s="1094">
        <v>1.00943299005792</v>
      </c>
      <c r="F646" s="1094">
        <v>0.96901901643849297</v>
      </c>
      <c r="G646" s="1094">
        <v>1.0096415603102467</v>
      </c>
      <c r="H646" s="1094">
        <v>1.0124240030244758</v>
      </c>
      <c r="I646" s="1094">
        <v>0.9737476337272597</v>
      </c>
      <c r="K646">
        <v>4.3526770428872252</v>
      </c>
      <c r="L646">
        <v>0</v>
      </c>
      <c r="M646">
        <v>1.4328001856073261E-3</v>
      </c>
      <c r="N646">
        <v>0.127500121403961</v>
      </c>
      <c r="O646">
        <v>3.7817174134734878E-2</v>
      </c>
      <c r="P646">
        <v>1.8677059283755543E-2</v>
      </c>
      <c r="Q646">
        <v>1.3381195580676167E-3</v>
      </c>
      <c r="R646">
        <v>1.4268104096173428E-3</v>
      </c>
      <c r="S646">
        <v>0.22494386092317001</v>
      </c>
      <c r="T646">
        <v>3.8427889209656318</v>
      </c>
      <c r="U646">
        <v>0</v>
      </c>
      <c r="V646">
        <v>9.4523053561131904E-3</v>
      </c>
      <c r="W646">
        <v>7.5465362232474881E-2</v>
      </c>
      <c r="X646">
        <v>1.0667833655906149E-2</v>
      </c>
      <c r="Y646">
        <v>4.0322751494002371E-3</v>
      </c>
    </row>
    <row r="647" spans="1:25" x14ac:dyDescent="0.25">
      <c r="A647" s="1090"/>
      <c r="B647" s="1448">
        <v>397</v>
      </c>
      <c r="C647" s="1094">
        <v>1.0125226338534448</v>
      </c>
      <c r="D647" s="1094">
        <v>0.96461026261399074</v>
      </c>
      <c r="E647" s="1094">
        <v>1.0062760063779188</v>
      </c>
      <c r="F647" s="1094">
        <v>0.99873071212320474</v>
      </c>
      <c r="G647" s="1094">
        <v>0.97028784695747838</v>
      </c>
      <c r="H647" s="1094">
        <v>1.0106928631172603</v>
      </c>
      <c r="I647" s="1094">
        <v>0.96359862084552417</v>
      </c>
      <c r="K647">
        <v>4.4722444954649214</v>
      </c>
      <c r="L647">
        <v>0</v>
      </c>
      <c r="M647">
        <v>1.460139503481121E-3</v>
      </c>
      <c r="N647">
        <v>0.1287390389898144</v>
      </c>
      <c r="O647">
        <v>3.8375205316344078E-2</v>
      </c>
      <c r="P647">
        <v>1.9164451092537598E-2</v>
      </c>
      <c r="Q647">
        <v>1.3131834951260574E-3</v>
      </c>
      <c r="R647">
        <v>1.4542061377713353E-3</v>
      </c>
      <c r="S647">
        <v>0.22318099019395768</v>
      </c>
      <c r="T647">
        <v>3.9607346718395204</v>
      </c>
      <c r="U647">
        <v>0</v>
      </c>
      <c r="V647">
        <v>9.4523053561132008E-3</v>
      </c>
      <c r="W647">
        <v>7.6360553850492049E-2</v>
      </c>
      <c r="X647">
        <v>1.0820331127991958E-2</v>
      </c>
      <c r="Y647">
        <v>4.1096975687283203E-3</v>
      </c>
    </row>
    <row r="648" spans="1:25" x14ac:dyDescent="0.25">
      <c r="A648" s="1090"/>
      <c r="B648" s="1448">
        <v>398</v>
      </c>
      <c r="C648" s="1094">
        <v>1.0067092713256132</v>
      </c>
      <c r="D648" s="1094">
        <v>1.0177697220441417</v>
      </c>
      <c r="E648" s="1094">
        <v>1.0031712652218034</v>
      </c>
      <c r="F648" s="1094">
        <v>0.99068864454337868</v>
      </c>
      <c r="G648" s="1094">
        <v>1.0113038948612647</v>
      </c>
      <c r="H648" s="1094">
        <v>1.0127322861323598</v>
      </c>
      <c r="I648" s="1094">
        <v>1.0047544995846664</v>
      </c>
      <c r="K648">
        <v>4.4402965566265769</v>
      </c>
      <c r="L648">
        <v>0</v>
      </c>
      <c r="M648">
        <v>1.4381239770394131E-3</v>
      </c>
      <c r="N648">
        <v>0.12563415779671772</v>
      </c>
      <c r="O648">
        <v>3.7494074277140993E-2</v>
      </c>
      <c r="P648">
        <v>1.9002676063098491E-2</v>
      </c>
      <c r="Q648">
        <v>1.2893027168287355E-3</v>
      </c>
      <c r="R648">
        <v>1.4322446938656367E-3</v>
      </c>
      <c r="S648">
        <v>0.22914921984612432</v>
      </c>
      <c r="T648">
        <v>3.928958553916142</v>
      </c>
      <c r="U648">
        <v>0</v>
      </c>
      <c r="V648">
        <v>9.4523053561132008E-3</v>
      </c>
      <c r="W648">
        <v>7.4674952527200647E-2</v>
      </c>
      <c r="X648">
        <v>1.0599560558807713E-2</v>
      </c>
      <c r="Y648">
        <v>4.0476328515738902E-3</v>
      </c>
    </row>
    <row r="649" spans="1:25" x14ac:dyDescent="0.25">
      <c r="A649" s="1090"/>
      <c r="B649" s="1448">
        <v>399</v>
      </c>
      <c r="C649" s="1094">
        <v>0.98082384423685243</v>
      </c>
      <c r="D649" s="1094">
        <v>0.99996174119049486</v>
      </c>
      <c r="E649" s="1094">
        <v>0.97754384032920705</v>
      </c>
      <c r="F649" s="1094">
        <v>0.96202971452512465</v>
      </c>
      <c r="G649" s="1094">
        <v>0.96355198264772801</v>
      </c>
      <c r="H649" s="1094">
        <v>1.0361747375301991</v>
      </c>
      <c r="I649" s="1094">
        <v>1.0409692548140792</v>
      </c>
      <c r="K649">
        <v>4.3416971602717158</v>
      </c>
      <c r="L649">
        <v>0</v>
      </c>
      <c r="M649">
        <v>1.5589149632779045E-3</v>
      </c>
      <c r="N649">
        <v>0.12621807918349096</v>
      </c>
      <c r="O649">
        <v>3.7807450830661712E-2</v>
      </c>
      <c r="P649">
        <v>1.8193497122931758E-2</v>
      </c>
      <c r="Q649">
        <v>1.3035775648510424E-3</v>
      </c>
      <c r="R649">
        <v>1.5525012835397344E-3</v>
      </c>
      <c r="S649">
        <v>0.24201271971007177</v>
      </c>
      <c r="T649">
        <v>3.8162437741188628</v>
      </c>
      <c r="U649">
        <v>0</v>
      </c>
      <c r="V649">
        <v>9.4523053561131991E-3</v>
      </c>
      <c r="W649">
        <v>7.6341508136679254E-2</v>
      </c>
      <c r="X649">
        <v>9.7431747726388872E-3</v>
      </c>
      <c r="Y649">
        <v>4.3874871551491841E-3</v>
      </c>
    </row>
    <row r="650" spans="1:25" x14ac:dyDescent="0.25">
      <c r="A650" s="1090"/>
      <c r="B650" s="1448">
        <v>400</v>
      </c>
      <c r="C650" s="1094">
        <v>0.99466552804038855</v>
      </c>
      <c r="D650" s="1094">
        <v>1.0082899832373047</v>
      </c>
      <c r="E650" s="1094">
        <v>1.0353312033588822</v>
      </c>
      <c r="F650" s="1094">
        <v>0.97810507005048752</v>
      </c>
      <c r="G650" s="1094">
        <v>0.99376466789362594</v>
      </c>
      <c r="H650" s="1094">
        <v>1.0073334252160113</v>
      </c>
      <c r="I650" s="1094">
        <v>0.98698499850490706</v>
      </c>
      <c r="K650">
        <v>4.3902376744134033</v>
      </c>
      <c r="L650">
        <v>0</v>
      </c>
      <c r="M650">
        <v>1.3406006436176598E-3</v>
      </c>
      <c r="N650">
        <v>0.12879611422506493</v>
      </c>
      <c r="O650">
        <v>3.7389535205177724E-2</v>
      </c>
      <c r="P650">
        <v>1.9202994176238858E-2</v>
      </c>
      <c r="Q650">
        <v>1.3459607549582686E-3</v>
      </c>
      <c r="R650">
        <v>1.3350200881589666E-3</v>
      </c>
      <c r="S650">
        <v>0.22611012699741523</v>
      </c>
      <c r="T650">
        <v>3.8778669829142745</v>
      </c>
      <c r="U650">
        <v>0</v>
      </c>
      <c r="V650">
        <v>9.4523053561131973E-3</v>
      </c>
      <c r="W650">
        <v>7.4929370626643566E-2</v>
      </c>
      <c r="X650">
        <v>1.1376996019871346E-2</v>
      </c>
      <c r="Y650">
        <v>3.772868693099337E-3</v>
      </c>
    </row>
    <row r="651" spans="1:25" x14ac:dyDescent="0.25">
      <c r="A651" s="1090"/>
      <c r="B651" s="1448">
        <v>401</v>
      </c>
      <c r="C651" s="1094">
        <v>1.0074018292928124</v>
      </c>
      <c r="D651" s="1094">
        <v>1.0031886298149029</v>
      </c>
      <c r="E651" s="1094">
        <v>1.0297571756443851</v>
      </c>
      <c r="F651" s="1094">
        <v>1.0128913567857398</v>
      </c>
      <c r="G651" s="1094">
        <v>0.99361080882510111</v>
      </c>
      <c r="H651" s="1094">
        <v>1.0346691153718242</v>
      </c>
      <c r="I651" s="1094">
        <v>1.0202731512409431</v>
      </c>
      <c r="K651">
        <v>4.5529509617295796</v>
      </c>
      <c r="L651">
        <v>0</v>
      </c>
      <c r="M651">
        <v>1.4273190132444143E-3</v>
      </c>
      <c r="N651">
        <v>0.13492032869799547</v>
      </c>
      <c r="O651">
        <v>3.834602503205637E-2</v>
      </c>
      <c r="P651">
        <v>1.9826836134049702E-2</v>
      </c>
      <c r="Q651">
        <v>1.3254262740821966E-3</v>
      </c>
      <c r="R651">
        <v>1.4217323047930818E-3</v>
      </c>
      <c r="S651">
        <v>0.23878840205577948</v>
      </c>
      <c r="T651">
        <v>4.0159948047983978</v>
      </c>
      <c r="U651">
        <v>0</v>
      </c>
      <c r="V651">
        <v>9.4523053561132026E-3</v>
      </c>
      <c r="W651">
        <v>7.8782047494898561E-2</v>
      </c>
      <c r="X651">
        <v>1.1502448557178324E-2</v>
      </c>
      <c r="Y651">
        <v>4.0179240374719118E-3</v>
      </c>
    </row>
    <row r="652" spans="1:25" x14ac:dyDescent="0.25">
      <c r="A652" s="1090"/>
      <c r="B652" s="1448">
        <v>402</v>
      </c>
      <c r="C652" s="1094">
        <v>0.99051809742804464</v>
      </c>
      <c r="D652" s="1094">
        <v>0.97116509229138792</v>
      </c>
      <c r="E652" s="1094">
        <v>1.0007884507518536</v>
      </c>
      <c r="F652" s="1094">
        <v>0.96795126830502298</v>
      </c>
      <c r="G652" s="1094">
        <v>0.97685662931011341</v>
      </c>
      <c r="H652" s="1094">
        <v>0.99673226886168043</v>
      </c>
      <c r="I652" s="1094">
        <v>0.98617240251058613</v>
      </c>
      <c r="K652">
        <v>4.3470120754733097</v>
      </c>
      <c r="L652">
        <v>0</v>
      </c>
      <c r="M652">
        <v>1.4394710931762927E-3</v>
      </c>
      <c r="N652">
        <v>0.12484685559153293</v>
      </c>
      <c r="O652">
        <v>3.7953198575626616E-2</v>
      </c>
      <c r="P652">
        <v>1.8549819121275683E-2</v>
      </c>
      <c r="Q652">
        <v>1.3324574829048086E-3</v>
      </c>
      <c r="R652">
        <v>1.4333519784887031E-3</v>
      </c>
      <c r="S652">
        <v>0.22713457763278311</v>
      </c>
      <c r="T652">
        <v>3.8388724506644527</v>
      </c>
      <c r="U652">
        <v>0</v>
      </c>
      <c r="V652">
        <v>9.4523053561131817E-3</v>
      </c>
      <c r="W652">
        <v>7.4326437312719984E-2</v>
      </c>
      <c r="X652">
        <v>1.0499330728134373E-2</v>
      </c>
      <c r="Y652">
        <v>4.0507621224558591E-3</v>
      </c>
    </row>
    <row r="653" spans="1:25" x14ac:dyDescent="0.25">
      <c r="A653" s="1090"/>
      <c r="B653" s="1448">
        <v>403</v>
      </c>
      <c r="C653" s="1094">
        <v>1.0068733859273666</v>
      </c>
      <c r="D653" s="1094">
        <v>0.96520073026183195</v>
      </c>
      <c r="E653" s="1094">
        <v>0.98177474824769695</v>
      </c>
      <c r="F653" s="1094">
        <v>0.97337816239327279</v>
      </c>
      <c r="G653" s="1094">
        <v>0.9936784597368874</v>
      </c>
      <c r="H653" s="1094">
        <v>1.0127223220908854</v>
      </c>
      <c r="I653" s="1094">
        <v>0.97910638198526134</v>
      </c>
      <c r="K653">
        <v>4.3648591677539077</v>
      </c>
      <c r="L653">
        <v>0</v>
      </c>
      <c r="M653">
        <v>1.5095814912587683E-3</v>
      </c>
      <c r="N653">
        <v>0.1237621962313863</v>
      </c>
      <c r="O653">
        <v>3.7766491860711418E-2</v>
      </c>
      <c r="P653">
        <v>1.8373648992071407E-2</v>
      </c>
      <c r="Q653">
        <v>1.2926907647393968E-3</v>
      </c>
      <c r="R653">
        <v>1.5033007269365075E-3</v>
      </c>
      <c r="S653">
        <v>0.22426222876027493</v>
      </c>
      <c r="T653">
        <v>3.8611031717576942</v>
      </c>
      <c r="U653">
        <v>0</v>
      </c>
      <c r="V653">
        <v>9.452305356113206E-3</v>
      </c>
      <c r="W653">
        <v>7.4639372693783651E-2</v>
      </c>
      <c r="X653">
        <v>9.9648994755437269E-3</v>
      </c>
      <c r="Y653">
        <v>4.2484426259036673E-3</v>
      </c>
    </row>
    <row r="654" spans="1:25" x14ac:dyDescent="0.25">
      <c r="A654" s="1090"/>
      <c r="B654" s="1448">
        <v>404</v>
      </c>
      <c r="C654" s="1094">
        <v>1.0022545503398388</v>
      </c>
      <c r="D654" s="1094">
        <v>0.96278487454189643</v>
      </c>
      <c r="E654" s="1094">
        <v>1.0391093244502463</v>
      </c>
      <c r="F654" s="1094">
        <v>1.0156869700077507</v>
      </c>
      <c r="G654" s="1094">
        <v>0.97583544730365523</v>
      </c>
      <c r="H654" s="1094">
        <v>1.0099704081522656</v>
      </c>
      <c r="I654" s="1094">
        <v>0.98630974586140863</v>
      </c>
      <c r="K654">
        <v>4.5610320301772926</v>
      </c>
      <c r="L654">
        <v>0</v>
      </c>
      <c r="M654">
        <v>1.3995500887974423E-3</v>
      </c>
      <c r="N654">
        <v>0.13599143524290058</v>
      </c>
      <c r="O654">
        <v>3.9223741414041689E-2</v>
      </c>
      <c r="P654">
        <v>1.9986752261379092E-2</v>
      </c>
      <c r="Q654">
        <v>1.3649833269772061E-3</v>
      </c>
      <c r="R654">
        <v>1.3939534914206373E-3</v>
      </c>
      <c r="S654">
        <v>0.23349309028017518</v>
      </c>
      <c r="T654">
        <v>4.026723478110922</v>
      </c>
      <c r="U654">
        <v>0</v>
      </c>
      <c r="V654">
        <v>9.4523053561131869E-3</v>
      </c>
      <c r="W654">
        <v>7.8918609248106703E-2</v>
      </c>
      <c r="X654">
        <v>1.194381254398286E-2</v>
      </c>
      <c r="Y654">
        <v>3.9394189900693105E-3</v>
      </c>
    </row>
    <row r="655" spans="1:25" x14ac:dyDescent="0.25">
      <c r="A655" s="1090"/>
      <c r="B655" s="1448">
        <v>405</v>
      </c>
      <c r="C655" s="1094">
        <v>1.0049998975631163</v>
      </c>
      <c r="D655" s="1094">
        <v>0.9788312237736625</v>
      </c>
      <c r="E655" s="1094">
        <v>0.99628215573047063</v>
      </c>
      <c r="F655" s="1094">
        <v>0.98741386151738231</v>
      </c>
      <c r="G655" s="1094">
        <v>0.98878571763037082</v>
      </c>
      <c r="H655" s="1094">
        <v>1.0119863805801905</v>
      </c>
      <c r="I655" s="1094">
        <v>1.0043415175916333</v>
      </c>
      <c r="K655">
        <v>4.4322947169927183</v>
      </c>
      <c r="L655">
        <v>0</v>
      </c>
      <c r="M655">
        <v>1.4786301118173823E-3</v>
      </c>
      <c r="N655">
        <v>0.12656064232529227</v>
      </c>
      <c r="O655">
        <v>3.806926098217301E-2</v>
      </c>
      <c r="P655">
        <v>1.8858818296344983E-2</v>
      </c>
      <c r="Q655">
        <v>1.3040823941120592E-3</v>
      </c>
      <c r="R655">
        <v>1.4725607980852133E-3</v>
      </c>
      <c r="S655">
        <v>0.23162077418796737</v>
      </c>
      <c r="T655">
        <v>3.9162302124924149</v>
      </c>
      <c r="U655">
        <v>0</v>
      </c>
      <c r="V655">
        <v>9.4523053561132043E-3</v>
      </c>
      <c r="W655">
        <v>7.557678615262281E-2</v>
      </c>
      <c r="X655">
        <v>1.0466334879315689E-2</v>
      </c>
      <c r="Y655">
        <v>4.1615692400873644E-3</v>
      </c>
    </row>
    <row r="656" spans="1:25" x14ac:dyDescent="0.25">
      <c r="A656" s="1090"/>
      <c r="B656" s="1448">
        <v>406</v>
      </c>
      <c r="C656" s="1094">
        <v>0.99721075655443447</v>
      </c>
      <c r="D656" s="1094">
        <v>1.0007918137813403</v>
      </c>
      <c r="E656" s="1094">
        <v>1.0105159506999748</v>
      </c>
      <c r="F656" s="1094">
        <v>1.0394352204857999</v>
      </c>
      <c r="G656" s="1094">
        <v>1.0269264517313241</v>
      </c>
      <c r="H656" s="1094">
        <v>0.99733247190236052</v>
      </c>
      <c r="I656" s="1094">
        <v>1.0185199250482335</v>
      </c>
      <c r="K656">
        <v>4.6619052446292422</v>
      </c>
      <c r="L656">
        <v>0</v>
      </c>
      <c r="M656">
        <v>1.4867312827695355E-3</v>
      </c>
      <c r="N656">
        <v>0.1327538905675659</v>
      </c>
      <c r="O656">
        <v>3.9929193032030477E-2</v>
      </c>
      <c r="P656">
        <v>2.0051569420264401E-2</v>
      </c>
      <c r="Q656">
        <v>1.3186094304987162E-3</v>
      </c>
      <c r="R656">
        <v>1.4808477345599122E-3</v>
      </c>
      <c r="S656">
        <v>0.24229503937001662</v>
      </c>
      <c r="T656">
        <v>4.121992186203344</v>
      </c>
      <c r="U656">
        <v>0</v>
      </c>
      <c r="V656">
        <v>9.4523053561131869E-3</v>
      </c>
      <c r="W656">
        <v>7.8517883067462976E-2</v>
      </c>
      <c r="X656">
        <v>1.1415462974910875E-2</v>
      </c>
      <c r="Y656">
        <v>4.1849887552425332E-3</v>
      </c>
    </row>
    <row r="657" spans="1:25" x14ac:dyDescent="0.25">
      <c r="A657" s="1090"/>
      <c r="B657" s="1448">
        <v>407</v>
      </c>
      <c r="C657" s="1094">
        <v>1.010578421686132</v>
      </c>
      <c r="D657" s="1094">
        <v>0.99059288684914704</v>
      </c>
      <c r="E657" s="1094">
        <v>0.96913456057171565</v>
      </c>
      <c r="F657" s="1094">
        <v>1.0091285291829364</v>
      </c>
      <c r="G657" s="1094">
        <v>0.97720152083531475</v>
      </c>
      <c r="H657" s="1094">
        <v>0.99481755841570441</v>
      </c>
      <c r="I657" s="1094">
        <v>1.0027851432141237</v>
      </c>
      <c r="K657">
        <v>4.5149583148380303</v>
      </c>
      <c r="L657">
        <v>0</v>
      </c>
      <c r="M657">
        <v>1.5563938499742003E-3</v>
      </c>
      <c r="N657">
        <v>0.12291035212388643</v>
      </c>
      <c r="O657">
        <v>3.8693565901949237E-2</v>
      </c>
      <c r="P657">
        <v>1.8860876064803102E-2</v>
      </c>
      <c r="Q657">
        <v>1.2606933894732709E-3</v>
      </c>
      <c r="R657">
        <v>1.5500343593810614E-3</v>
      </c>
      <c r="S657">
        <v>0.2312248919202296</v>
      </c>
      <c r="T657">
        <v>4.0034058557787322</v>
      </c>
      <c r="U657">
        <v>0</v>
      </c>
      <c r="V657">
        <v>9.4523053561131921E-3</v>
      </c>
      <c r="W657">
        <v>7.4772380697060145E-2</v>
      </c>
      <c r="X657">
        <v>1.0003237657235502E-2</v>
      </c>
      <c r="Y657">
        <v>4.3805154391360268E-3</v>
      </c>
    </row>
    <row r="658" spans="1:25" x14ac:dyDescent="0.25">
      <c r="A658" s="1090"/>
      <c r="B658" s="1448">
        <v>408</v>
      </c>
      <c r="C658" s="1094">
        <v>0.98704489858735178</v>
      </c>
      <c r="D658" s="1094">
        <v>1.0255397320328827</v>
      </c>
      <c r="E658" s="1094">
        <v>1.029829414750798</v>
      </c>
      <c r="F658" s="1094">
        <v>1.0426772427071909</v>
      </c>
      <c r="G658" s="1094">
        <v>0.99940582874866235</v>
      </c>
      <c r="H658" s="1094">
        <v>0.97509427598190557</v>
      </c>
      <c r="I658" s="1094">
        <v>0.96289776293722507</v>
      </c>
      <c r="K658">
        <v>4.659346879846364</v>
      </c>
      <c r="L658">
        <v>0</v>
      </c>
      <c r="M658">
        <v>1.4004720901971204E-3</v>
      </c>
      <c r="N658">
        <v>0.13239476342984338</v>
      </c>
      <c r="O658">
        <v>3.9933703346954799E-2</v>
      </c>
      <c r="P658">
        <v>2.0329396391655759E-2</v>
      </c>
      <c r="Q658">
        <v>1.3409723736966337E-3</v>
      </c>
      <c r="R658">
        <v>1.3948210615270956E-3</v>
      </c>
      <c r="S658">
        <v>0.22855349242939654</v>
      </c>
      <c r="T658">
        <v>4.1340895042208237</v>
      </c>
      <c r="U658">
        <v>0</v>
      </c>
      <c r="V658">
        <v>9.4523053561131904E-3</v>
      </c>
      <c r="W658">
        <v>7.7303632081133083E-2</v>
      </c>
      <c r="X658">
        <v>1.2012890435988738E-2</v>
      </c>
      <c r="Y658">
        <v>3.9418708094260064E-3</v>
      </c>
    </row>
    <row r="659" spans="1:25" x14ac:dyDescent="0.25">
      <c r="A659" s="1090"/>
      <c r="B659" s="1448">
        <v>409</v>
      </c>
      <c r="C659" s="1094">
        <v>1.0081161212600998</v>
      </c>
      <c r="D659" s="1094">
        <v>0.99644934375726935</v>
      </c>
      <c r="E659" s="1094">
        <v>0.98306062349073986</v>
      </c>
      <c r="F659" s="1094">
        <v>0.98135787696456234</v>
      </c>
      <c r="G659" s="1094">
        <v>1.0165089578284914</v>
      </c>
      <c r="H659" s="1094">
        <v>1.0081673100001525</v>
      </c>
      <c r="I659" s="1094">
        <v>0.96910556622638855</v>
      </c>
      <c r="K659">
        <v>4.3906202011773496</v>
      </c>
      <c r="L659">
        <v>0</v>
      </c>
      <c r="M659">
        <v>1.4899996810823248E-3</v>
      </c>
      <c r="N659">
        <v>0.12262555937094476</v>
      </c>
      <c r="O659">
        <v>3.753897889306302E-2</v>
      </c>
      <c r="P659">
        <v>1.8516130338206711E-2</v>
      </c>
      <c r="Q659">
        <v>1.2761681941086051E-3</v>
      </c>
      <c r="R659">
        <v>1.4838228041634167E-3</v>
      </c>
      <c r="S659">
        <v>0.22039633682773205</v>
      </c>
      <c r="T659">
        <v>3.8927078716463801</v>
      </c>
      <c r="U659">
        <v>0</v>
      </c>
      <c r="V659">
        <v>9.4523053561131887E-3</v>
      </c>
      <c r="W659">
        <v>7.3888864725921904E-2</v>
      </c>
      <c r="X659">
        <v>1.0030766172718744E-2</v>
      </c>
      <c r="Y659">
        <v>4.1933965290778565E-3</v>
      </c>
    </row>
    <row r="660" spans="1:25" x14ac:dyDescent="0.25">
      <c r="A660" s="1090"/>
      <c r="B660" s="1448">
        <v>410</v>
      </c>
      <c r="C660" s="1094">
        <v>1.0145290371905182</v>
      </c>
      <c r="D660" s="1094">
        <v>1.0021449914853371</v>
      </c>
      <c r="E660" s="1094">
        <v>0.99868943238005603</v>
      </c>
      <c r="F660" s="1094">
        <v>1.005594026143503</v>
      </c>
      <c r="G660" s="1094">
        <v>1.0158929396774696</v>
      </c>
      <c r="H660" s="1094">
        <v>1.0138048955267491</v>
      </c>
      <c r="I660" s="1094">
        <v>1.009920144551983</v>
      </c>
      <c r="K660">
        <v>4.5057115899139761</v>
      </c>
      <c r="L660">
        <v>0</v>
      </c>
      <c r="M660">
        <v>1.4727930460999195E-3</v>
      </c>
      <c r="N660">
        <v>0.12697390808296377</v>
      </c>
      <c r="O660">
        <v>3.8029755149847716E-2</v>
      </c>
      <c r="P660">
        <v>1.9221932320366553E-2</v>
      </c>
      <c r="Q660">
        <v>1.2823745841851308E-3</v>
      </c>
      <c r="R660">
        <v>1.4668671886399511E-3</v>
      </c>
      <c r="S660">
        <v>0.23204243194563928</v>
      </c>
      <c r="T660">
        <v>3.988243151633819</v>
      </c>
      <c r="U660">
        <v>0</v>
      </c>
      <c r="V660">
        <v>9.4523053561131939E-3</v>
      </c>
      <c r="W660">
        <v>7.5700095129855483E-2</v>
      </c>
      <c r="X660">
        <v>1.0626082903534791E-2</v>
      </c>
      <c r="Y660">
        <v>4.1454786651085344E-3</v>
      </c>
    </row>
    <row r="661" spans="1:25" x14ac:dyDescent="0.25">
      <c r="A661" s="1090"/>
      <c r="B661" s="1448">
        <v>411</v>
      </c>
      <c r="C661" s="1094">
        <v>1.0145312246165226</v>
      </c>
      <c r="D661" s="1094">
        <v>0.9853275320774354</v>
      </c>
      <c r="E661" s="1094">
        <v>0.97505350662204404</v>
      </c>
      <c r="F661" s="1094">
        <v>1.0272251668445302</v>
      </c>
      <c r="G661" s="1094">
        <v>1.0379287394812284</v>
      </c>
      <c r="H661" s="1094">
        <v>1.0188231177321407</v>
      </c>
      <c r="I661" s="1094">
        <v>0.95440616987581328</v>
      </c>
      <c r="K661">
        <v>4.5893826001461244</v>
      </c>
      <c r="L661">
        <v>0</v>
      </c>
      <c r="M661">
        <v>1.5995717563716881E-3</v>
      </c>
      <c r="N661">
        <v>0.12858119492651265</v>
      </c>
      <c r="O661">
        <v>3.9276529134104031E-2</v>
      </c>
      <c r="P661">
        <v>1.9233559253087236E-2</v>
      </c>
      <c r="Q661">
        <v>1.2649767693979968E-3</v>
      </c>
      <c r="R661">
        <v>1.5933018199628859E-3</v>
      </c>
      <c r="S661">
        <v>0.22399431454437282</v>
      </c>
      <c r="T661">
        <v>4.0749639940256479</v>
      </c>
      <c r="U661">
        <v>0</v>
      </c>
      <c r="V661">
        <v>9.4523053561131869E-3</v>
      </c>
      <c r="W661">
        <v>7.7903953095128514E-2</v>
      </c>
      <c r="X661">
        <v>1.0215250392116043E-2</v>
      </c>
      <c r="Y661">
        <v>4.5027925860546105E-3</v>
      </c>
    </row>
    <row r="662" spans="1:25" x14ac:dyDescent="0.25">
      <c r="A662" s="1090"/>
      <c r="B662" s="1448">
        <v>412</v>
      </c>
      <c r="C662" s="1094">
        <v>0.98265612478776698</v>
      </c>
      <c r="D662" s="1094">
        <v>1.0045399137933806</v>
      </c>
      <c r="E662" s="1094">
        <v>0.97839407707167769</v>
      </c>
      <c r="F662" s="1094">
        <v>0.97295710651569123</v>
      </c>
      <c r="G662" s="1094">
        <v>0.99920481819369655</v>
      </c>
      <c r="H662" s="1094">
        <v>0.99978651871468815</v>
      </c>
      <c r="I662" s="1094">
        <v>1.0227201034530944</v>
      </c>
      <c r="K662">
        <v>4.374015620585598</v>
      </c>
      <c r="L662">
        <v>0</v>
      </c>
      <c r="M662">
        <v>1.51287173215143E-3</v>
      </c>
      <c r="N662">
        <v>0.12278706384729089</v>
      </c>
      <c r="O662">
        <v>3.8090177170922515E-2</v>
      </c>
      <c r="P662">
        <v>1.8372261111932693E-2</v>
      </c>
      <c r="Q662">
        <v>1.2997317884940632E-3</v>
      </c>
      <c r="R662">
        <v>1.5064930896579172E-3</v>
      </c>
      <c r="S662">
        <v>0.23601178043270105</v>
      </c>
      <c r="T662">
        <v>3.8595594423426056</v>
      </c>
      <c r="U662">
        <v>0</v>
      </c>
      <c r="V662">
        <v>9.4523053561131835E-3</v>
      </c>
      <c r="W662">
        <v>7.4222989946144166E-2</v>
      </c>
      <c r="X662">
        <v>9.968782745210087E-3</v>
      </c>
      <c r="Y662">
        <v>4.2574644866797337E-3</v>
      </c>
    </row>
    <row r="663" spans="1:25" x14ac:dyDescent="0.25">
      <c r="A663" s="1090"/>
      <c r="B663" s="1448">
        <v>413</v>
      </c>
      <c r="C663" s="1094">
        <v>0.96809676316302395</v>
      </c>
      <c r="D663" s="1094">
        <v>0.96976756447516355</v>
      </c>
      <c r="E663" s="1094">
        <v>0.96282622806015472</v>
      </c>
      <c r="F663" s="1094">
        <v>0.97122677642597954</v>
      </c>
      <c r="G663" s="1094">
        <v>1.0282385151985736</v>
      </c>
      <c r="H663" s="1094">
        <v>0.96864186489964599</v>
      </c>
      <c r="I663" s="1094">
        <v>1.0217008122722513</v>
      </c>
      <c r="K663">
        <v>4.3690660722287511</v>
      </c>
      <c r="L663">
        <v>0</v>
      </c>
      <c r="M663">
        <v>1.5561918511533819E-3</v>
      </c>
      <c r="N663">
        <v>0.12057985405717898</v>
      </c>
      <c r="O663">
        <v>3.924996758688179E-2</v>
      </c>
      <c r="P663">
        <v>1.8141017996476959E-2</v>
      </c>
      <c r="Q663">
        <v>1.3199339605156032E-3</v>
      </c>
      <c r="R663">
        <v>1.54940758125632E-3</v>
      </c>
      <c r="S663">
        <v>0.23920743533891767</v>
      </c>
      <c r="T663">
        <v>3.853279533705773</v>
      </c>
      <c r="U663">
        <v>0</v>
      </c>
      <c r="V663">
        <v>9.4523053561131869E-3</v>
      </c>
      <c r="W663">
        <v>7.3675416648325207E-2</v>
      </c>
      <c r="X663">
        <v>9.7886477321625816E-3</v>
      </c>
      <c r="Y663">
        <v>4.3787441163032634E-3</v>
      </c>
    </row>
    <row r="664" spans="1:25" x14ac:dyDescent="0.25">
      <c r="A664" s="1090"/>
      <c r="B664" s="1448">
        <v>414</v>
      </c>
      <c r="C664" s="1094">
        <v>1.0302159771401695</v>
      </c>
      <c r="D664" s="1094">
        <v>0.9825072772819099</v>
      </c>
      <c r="E664" s="1094">
        <v>1.0129032205956645</v>
      </c>
      <c r="F664" s="1094">
        <v>0.99089384602349395</v>
      </c>
      <c r="G664" s="1094">
        <v>1.0076773901481424</v>
      </c>
      <c r="H664" s="1094">
        <v>1.0093300909013105</v>
      </c>
      <c r="I664" s="1094">
        <v>0.99328235145271471</v>
      </c>
      <c r="K664">
        <v>4.4336849531898048</v>
      </c>
      <c r="L664">
        <v>0</v>
      </c>
      <c r="M664">
        <v>1.3919189742188421E-3</v>
      </c>
      <c r="N664">
        <v>0.12515129129283728</v>
      </c>
      <c r="O664">
        <v>3.710188341298349E-2</v>
      </c>
      <c r="P664">
        <v>1.9116293108425948E-2</v>
      </c>
      <c r="Q664">
        <v>1.2884275458108036E-3</v>
      </c>
      <c r="R664">
        <v>1.3862105811894177E-3</v>
      </c>
      <c r="S664">
        <v>0.22354006917742197</v>
      </c>
      <c r="T664">
        <v>3.9294065794012147</v>
      </c>
      <c r="U664">
        <v>0</v>
      </c>
      <c r="V664">
        <v>9.4523053561131991E-3</v>
      </c>
      <c r="W664">
        <v>7.3902897299082435E-2</v>
      </c>
      <c r="X664">
        <v>1.0813378054329643E-2</v>
      </c>
      <c r="Y664">
        <v>3.9175369346126513E-3</v>
      </c>
    </row>
    <row r="665" spans="1:25" x14ac:dyDescent="0.25">
      <c r="A665" s="1090"/>
      <c r="B665" s="1448">
        <v>415</v>
      </c>
      <c r="C665" s="1094">
        <v>1.0007224853566672</v>
      </c>
      <c r="D665" s="1094">
        <v>1.0245572629034638</v>
      </c>
      <c r="E665" s="1094">
        <v>0.99977308766862383</v>
      </c>
      <c r="F665" s="1094">
        <v>1.0066939726986961</v>
      </c>
      <c r="G665" s="1094">
        <v>0.98759787405884136</v>
      </c>
      <c r="H665" s="1094">
        <v>1.0286422252571372</v>
      </c>
      <c r="I665" s="1094">
        <v>0.99146582263456307</v>
      </c>
      <c r="K665">
        <v>4.513369441961844</v>
      </c>
      <c r="L665">
        <v>0</v>
      </c>
      <c r="M665">
        <v>1.499830229602854E-3</v>
      </c>
      <c r="N665">
        <v>0.12972885274794263</v>
      </c>
      <c r="O665">
        <v>3.8249231891114607E-2</v>
      </c>
      <c r="P665">
        <v>1.9250999238148974E-2</v>
      </c>
      <c r="Q665">
        <v>1.2898137226407295E-3</v>
      </c>
      <c r="R665">
        <v>1.4938891035540137E-3</v>
      </c>
      <c r="S665">
        <v>0.23069589341908317</v>
      </c>
      <c r="T665">
        <v>3.9925640439113392</v>
      </c>
      <c r="U665">
        <v>0</v>
      </c>
      <c r="V665">
        <v>9.4523053561131852E-3</v>
      </c>
      <c r="W665">
        <v>7.7285899571560013E-2</v>
      </c>
      <c r="X665">
        <v>1.0636498570268457E-2</v>
      </c>
      <c r="Y665">
        <v>4.2218446596812851E-3</v>
      </c>
    </row>
    <row r="666" spans="1:25" x14ac:dyDescent="0.25">
      <c r="A666" s="1090"/>
      <c r="B666" s="1448">
        <v>416</v>
      </c>
      <c r="C666" s="1094">
        <v>1.0406579721879106</v>
      </c>
      <c r="D666" s="1094">
        <v>1.0093021191084304</v>
      </c>
      <c r="E666" s="1094">
        <v>0.99171349769572237</v>
      </c>
      <c r="F666" s="1094">
        <v>0.97170976491412187</v>
      </c>
      <c r="G666" s="1094">
        <v>0.98459415941274442</v>
      </c>
      <c r="H666" s="1094">
        <v>0.99115095100940254</v>
      </c>
      <c r="I666" s="1094">
        <v>1.0132969534336227</v>
      </c>
      <c r="K666">
        <v>4.3379654186430265</v>
      </c>
      <c r="L666">
        <v>0</v>
      </c>
      <c r="M666">
        <v>1.3727719887137912E-3</v>
      </c>
      <c r="N666">
        <v>0.11590146630157167</v>
      </c>
      <c r="O666">
        <v>3.5768323319429973E-2</v>
      </c>
      <c r="P666">
        <v>1.8459568431470421E-2</v>
      </c>
      <c r="Q666">
        <v>1.2391694596141185E-3</v>
      </c>
      <c r="R666">
        <v>1.366926150199659E-3</v>
      </c>
      <c r="S666">
        <v>0.21967791748383605</v>
      </c>
      <c r="T666">
        <v>3.8541149826448411</v>
      </c>
      <c r="U666">
        <v>0</v>
      </c>
      <c r="V666">
        <v>9.4523053561131939E-3</v>
      </c>
      <c r="W666">
        <v>6.9426486713122584E-2</v>
      </c>
      <c r="X666">
        <v>1.0068007111197978E-2</v>
      </c>
      <c r="Y666">
        <v>3.8630376603389369E-3</v>
      </c>
    </row>
    <row r="667" spans="1:25" x14ac:dyDescent="0.25">
      <c r="A667" s="1090"/>
      <c r="B667" s="1448">
        <v>417</v>
      </c>
      <c r="C667" s="1094">
        <v>0.95676030995623473</v>
      </c>
      <c r="D667" s="1094">
        <v>1.014298810304765</v>
      </c>
      <c r="E667" s="1094">
        <v>1.0333089651890828</v>
      </c>
      <c r="F667" s="1094">
        <v>0.96436528704802948</v>
      </c>
      <c r="G667" s="1094">
        <v>0.9802742801901605</v>
      </c>
      <c r="H667" s="1094">
        <v>1.0265321678788093</v>
      </c>
      <c r="I667" s="1094">
        <v>1.0341047465699342</v>
      </c>
      <c r="K667">
        <v>4.3639284604914232</v>
      </c>
      <c r="L667">
        <v>0</v>
      </c>
      <c r="M667">
        <v>1.4030773363820483E-3</v>
      </c>
      <c r="N667">
        <v>0.13399790598079506</v>
      </c>
      <c r="O667">
        <v>3.8247816707397166E-2</v>
      </c>
      <c r="P667">
        <v>1.9009536432935726E-2</v>
      </c>
      <c r="Q667">
        <v>1.3935984220171918E-3</v>
      </c>
      <c r="R667">
        <v>1.3972646312624718E-3</v>
      </c>
      <c r="S667">
        <v>0.24502604628499783</v>
      </c>
      <c r="T667">
        <v>3.8234662449799668</v>
      </c>
      <c r="U667">
        <v>0</v>
      </c>
      <c r="V667">
        <v>9.4523053561131939E-3</v>
      </c>
      <c r="W667">
        <v>7.8059778687177755E-2</v>
      </c>
      <c r="X667">
        <v>1.1332263821086099E-2</v>
      </c>
      <c r="Y667">
        <v>3.9487765240559022E-3</v>
      </c>
    </row>
    <row r="668" spans="1:25" x14ac:dyDescent="0.25">
      <c r="A668" s="1090"/>
      <c r="B668" s="1448">
        <v>418</v>
      </c>
      <c r="C668" s="1094">
        <v>1.0039330139541454</v>
      </c>
      <c r="D668" s="1094">
        <v>0.99071302322509736</v>
      </c>
      <c r="E668" s="1094">
        <v>0.97982140608129142</v>
      </c>
      <c r="F668" s="1094">
        <v>1.0377659245872093</v>
      </c>
      <c r="G668" s="1094">
        <v>0.9957000555937604</v>
      </c>
      <c r="H668" s="1094">
        <v>1.0316759524084387</v>
      </c>
      <c r="I668" s="1094">
        <v>0.98841371091738506</v>
      </c>
      <c r="K668">
        <v>4.652188861733257</v>
      </c>
      <c r="L668">
        <v>0</v>
      </c>
      <c r="M668">
        <v>1.6335518297695333E-3</v>
      </c>
      <c r="N668">
        <v>0.13319582438766586</v>
      </c>
      <c r="O668">
        <v>3.9977276257001634E-2</v>
      </c>
      <c r="P668">
        <v>1.9546755162778127E-2</v>
      </c>
      <c r="Q668">
        <v>1.2808453108599691E-3</v>
      </c>
      <c r="R668">
        <v>1.6272924446672392E-3</v>
      </c>
      <c r="S668">
        <v>0.23667700122139182</v>
      </c>
      <c r="T668">
        <v>4.1165882911915705</v>
      </c>
      <c r="U668">
        <v>0</v>
      </c>
      <c r="V668">
        <v>9.4523053561131973E-3</v>
      </c>
      <c r="W668">
        <v>8.0436188304920303E-2</v>
      </c>
      <c r="X668">
        <v>1.0441781239523554E-2</v>
      </c>
      <c r="Y668">
        <v>4.5988526865305473E-3</v>
      </c>
    </row>
    <row r="669" spans="1:25" x14ac:dyDescent="0.25">
      <c r="A669" s="1090"/>
      <c r="B669" s="1448">
        <v>419</v>
      </c>
      <c r="C669" s="1094">
        <v>0.98434371228718387</v>
      </c>
      <c r="D669" s="1094">
        <v>1.0137032002592692</v>
      </c>
      <c r="E669" s="1094">
        <v>0.98748196474340999</v>
      </c>
      <c r="F669" s="1094">
        <v>0.97014301224860866</v>
      </c>
      <c r="G669" s="1094">
        <v>1.0116022648998009</v>
      </c>
      <c r="H669" s="1094">
        <v>0.99103391226614534</v>
      </c>
      <c r="I669" s="1094">
        <v>0.97947775480336396</v>
      </c>
      <c r="K669">
        <v>4.3478761194596265</v>
      </c>
      <c r="L669">
        <v>0</v>
      </c>
      <c r="M669">
        <v>1.459212467499202E-3</v>
      </c>
      <c r="N669">
        <v>0.12166243868788623</v>
      </c>
      <c r="O669">
        <v>3.7716438227919306E-2</v>
      </c>
      <c r="P669">
        <v>1.8392840783224711E-2</v>
      </c>
      <c r="Q669">
        <v>1.303018638676787E-3</v>
      </c>
      <c r="R669">
        <v>1.4529878012596296E-3</v>
      </c>
      <c r="S669">
        <v>0.2239454332279201</v>
      </c>
      <c r="T669">
        <v>3.8480578590484202</v>
      </c>
      <c r="U669">
        <v>0</v>
      </c>
      <c r="V669">
        <v>9.4523053561131991E-3</v>
      </c>
      <c r="W669">
        <v>7.3087593240775892E-2</v>
      </c>
      <c r="X669">
        <v>1.0158162458192743E-2</v>
      </c>
      <c r="Y669">
        <v>4.1062544567306465E-3</v>
      </c>
    </row>
    <row r="670" spans="1:25" x14ac:dyDescent="0.25">
      <c r="A670" s="1090"/>
      <c r="B670" s="1448">
        <v>420</v>
      </c>
      <c r="C670" s="1094">
        <v>0.97669138322933025</v>
      </c>
      <c r="D670" s="1094">
        <v>1.0078901671263398</v>
      </c>
      <c r="E670" s="1094">
        <v>1.0037885613425106</v>
      </c>
      <c r="F670" s="1094">
        <v>0.99500750745744737</v>
      </c>
      <c r="G670" s="1094">
        <v>1.0114981878618694</v>
      </c>
      <c r="H670" s="1094">
        <v>1.0333881284509332</v>
      </c>
      <c r="I670" s="1094">
        <v>0.96194182207398937</v>
      </c>
      <c r="K670">
        <v>4.4714316671312835</v>
      </c>
      <c r="L670">
        <v>0</v>
      </c>
      <c r="M670">
        <v>1.5230805348642187E-3</v>
      </c>
      <c r="N670">
        <v>0.13331271985991047</v>
      </c>
      <c r="O670">
        <v>3.8962341184919709E-2</v>
      </c>
      <c r="P670">
        <v>1.9088717112363988E-2</v>
      </c>
      <c r="Q670">
        <v>1.3348282495277558E-3</v>
      </c>
      <c r="R670">
        <v>1.5170047730677829E-3</v>
      </c>
      <c r="S670">
        <v>0.22899519436332919</v>
      </c>
      <c r="T670">
        <v>3.9460633233646485</v>
      </c>
      <c r="U670">
        <v>0</v>
      </c>
      <c r="V670">
        <v>9.4523053561131869E-3</v>
      </c>
      <c r="W670">
        <v>7.9205993285912671E-2</v>
      </c>
      <c r="X670">
        <v>1.0735148809828544E-2</v>
      </c>
      <c r="Y670">
        <v>4.2871713065250798E-3</v>
      </c>
    </row>
    <row r="671" spans="1:25" x14ac:dyDescent="0.25">
      <c r="A671" s="1090"/>
      <c r="B671" s="1448">
        <v>421</v>
      </c>
      <c r="C671" s="1094">
        <v>0.97379930148309868</v>
      </c>
      <c r="D671" s="1094">
        <v>0.97546812335500244</v>
      </c>
      <c r="E671" s="1094">
        <v>1.0016329359383616</v>
      </c>
      <c r="F671" s="1094">
        <v>0.99929238813033305</v>
      </c>
      <c r="G671" s="1094">
        <v>0.99354567253641901</v>
      </c>
      <c r="H671" s="1094">
        <v>0.96823359908258755</v>
      </c>
      <c r="I671" s="1094">
        <v>0.99544070372328819</v>
      </c>
      <c r="K671">
        <v>4.4865630692592653</v>
      </c>
      <c r="L671">
        <v>0</v>
      </c>
      <c r="M671">
        <v>1.4629800061041883E-3</v>
      </c>
      <c r="N671">
        <v>0.12720514569710081</v>
      </c>
      <c r="O671">
        <v>3.9778353067926632E-2</v>
      </c>
      <c r="P671">
        <v>1.916631375791707E-2</v>
      </c>
      <c r="Q671">
        <v>1.3539180792191891E-3</v>
      </c>
      <c r="R671">
        <v>1.4567778736676222E-3</v>
      </c>
      <c r="S671">
        <v>0.23566815585713052</v>
      </c>
      <c r="T671">
        <v>3.9631384935975014</v>
      </c>
      <c r="U671">
        <v>0</v>
      </c>
      <c r="V671">
        <v>9.4523053561131956E-3</v>
      </c>
      <c r="W671">
        <v>7.5687247293313317E-2</v>
      </c>
      <c r="X671">
        <v>1.1002373194761113E-2</v>
      </c>
      <c r="Y671">
        <v>4.1169654907139757E-3</v>
      </c>
    </row>
    <row r="672" spans="1:25" x14ac:dyDescent="0.25">
      <c r="A672" s="1090"/>
      <c r="B672" s="1448">
        <v>422</v>
      </c>
      <c r="C672" s="1094">
        <v>0.99836417231925301</v>
      </c>
      <c r="D672" s="1094">
        <v>0.992968885859281</v>
      </c>
      <c r="E672" s="1094">
        <v>0.99143743336243462</v>
      </c>
      <c r="F672" s="1094">
        <v>1.0206615535940207</v>
      </c>
      <c r="G672" s="1094">
        <v>1.0271315657941893</v>
      </c>
      <c r="H672" s="1094">
        <v>0.96649924774444274</v>
      </c>
      <c r="I672" s="1094">
        <v>1.031868427617098</v>
      </c>
      <c r="K672">
        <v>4.5722239140154048</v>
      </c>
      <c r="L672">
        <v>0</v>
      </c>
      <c r="M672">
        <v>1.4757839916713796E-3</v>
      </c>
      <c r="N672">
        <v>0.12450920604689956</v>
      </c>
      <c r="O672">
        <v>3.9420161459905269E-2</v>
      </c>
      <c r="P672">
        <v>1.9426381296460789E-2</v>
      </c>
      <c r="Q672">
        <v>1.2998123003685415E-3</v>
      </c>
      <c r="R672">
        <v>1.4696470468802748E-3</v>
      </c>
      <c r="S672">
        <v>0.24025700931995639</v>
      </c>
      <c r="T672">
        <v>4.0482843718465729</v>
      </c>
      <c r="U672">
        <v>0</v>
      </c>
      <c r="V672">
        <v>9.4523053561131939E-3</v>
      </c>
      <c r="W672">
        <v>7.4596632002019714E-2</v>
      </c>
      <c r="X672">
        <v>1.0830836575169995E-2</v>
      </c>
      <c r="Y672">
        <v>4.1533347567278261E-3</v>
      </c>
    </row>
    <row r="673" spans="1:25" x14ac:dyDescent="0.25">
      <c r="A673" s="1090"/>
      <c r="B673" s="1448">
        <v>423</v>
      </c>
      <c r="C673" s="1094">
        <v>0.98506096301516377</v>
      </c>
      <c r="D673" s="1094">
        <v>0.9884087382812452</v>
      </c>
      <c r="E673" s="1094">
        <v>1.031082823352953</v>
      </c>
      <c r="F673" s="1094">
        <v>1.0289817021847012</v>
      </c>
      <c r="G673" s="1094">
        <v>0.99632375454929589</v>
      </c>
      <c r="H673" s="1094">
        <v>0.96732601478813796</v>
      </c>
      <c r="I673" s="1094">
        <v>0.98479546952961372</v>
      </c>
      <c r="K673">
        <v>4.60963998555148</v>
      </c>
      <c r="L673">
        <v>0</v>
      </c>
      <c r="M673">
        <v>1.3906240222442269E-3</v>
      </c>
      <c r="N673">
        <v>0.13194036655162869</v>
      </c>
      <c r="O673">
        <v>4.0066296697882357E-2</v>
      </c>
      <c r="P673">
        <v>2.0120576702211856E-2</v>
      </c>
      <c r="Q673">
        <v>1.3650783943775068E-3</v>
      </c>
      <c r="R673">
        <v>1.3848926842731655E-3</v>
      </c>
      <c r="S673">
        <v>0.23406068259007062</v>
      </c>
      <c r="T673">
        <v>4.0797399585267939</v>
      </c>
      <c r="U673">
        <v>0</v>
      </c>
      <c r="V673">
        <v>9.4523053561132026E-3</v>
      </c>
      <c r="W673">
        <v>7.6974409004219882E-2</v>
      </c>
      <c r="X673">
        <v>1.2012230608837573E-2</v>
      </c>
      <c r="Y673">
        <v>3.9138124573106529E-3</v>
      </c>
    </row>
    <row r="674" spans="1:25" x14ac:dyDescent="0.25">
      <c r="A674" s="1090"/>
      <c r="B674" s="1448">
        <v>424</v>
      </c>
      <c r="C674" s="1094">
        <v>1.0046178447212946</v>
      </c>
      <c r="D674" s="1094">
        <v>0.96891471759454428</v>
      </c>
      <c r="E674" s="1094">
        <v>0.9810330890325536</v>
      </c>
      <c r="F674" s="1094">
        <v>1.0105370944203447</v>
      </c>
      <c r="G674" s="1094">
        <v>1.0181117302075309</v>
      </c>
      <c r="H674" s="1094">
        <v>0.9888992341655376</v>
      </c>
      <c r="I674" s="1094">
        <v>0.98834216231431327</v>
      </c>
      <c r="K674">
        <v>4.5239951887157224</v>
      </c>
      <c r="L674">
        <v>0</v>
      </c>
      <c r="M674">
        <v>1.5335740062013188E-3</v>
      </c>
      <c r="N674">
        <v>0.12545987199801914</v>
      </c>
      <c r="O674">
        <v>3.9241116215485095E-2</v>
      </c>
      <c r="P674">
        <v>1.9052725107391328E-2</v>
      </c>
      <c r="Q674">
        <v>1.2927725281837643E-3</v>
      </c>
      <c r="R674">
        <v>1.5272790074506899E-3</v>
      </c>
      <c r="S674">
        <v>0.23056376772521886</v>
      </c>
      <c r="T674">
        <v>4.0085304603622909</v>
      </c>
      <c r="U674">
        <v>0</v>
      </c>
      <c r="V674">
        <v>9.4523053561131835E-3</v>
      </c>
      <c r="W674">
        <v>7.5701638941203062E-2</v>
      </c>
      <c r="X674">
        <v>1.0390618403277508E-2</v>
      </c>
      <c r="Y674">
        <v>4.3162070772918611E-3</v>
      </c>
    </row>
    <row r="675" spans="1:25" x14ac:dyDescent="0.25">
      <c r="A675" s="1090"/>
      <c r="B675" s="1448">
        <v>425</v>
      </c>
      <c r="C675" s="1094">
        <v>0.99864934837899366</v>
      </c>
      <c r="D675" s="1094">
        <v>0.98563340425946411</v>
      </c>
      <c r="E675" s="1094">
        <v>1.005827628380948</v>
      </c>
      <c r="F675" s="1094">
        <v>1.0094389826062165</v>
      </c>
      <c r="G675" s="1094">
        <v>1.0093046985987411</v>
      </c>
      <c r="H675" s="1094">
        <v>0.99183316441127056</v>
      </c>
      <c r="I675" s="1094">
        <v>0.98742389193252234</v>
      </c>
      <c r="K675">
        <v>4.5224572475019063</v>
      </c>
      <c r="L675">
        <v>0</v>
      </c>
      <c r="M675">
        <v>1.4570796502363635E-3</v>
      </c>
      <c r="N675">
        <v>0.12829445136828888</v>
      </c>
      <c r="O675">
        <v>3.899092863252987E-2</v>
      </c>
      <c r="P675">
        <v>1.9385958464991623E-2</v>
      </c>
      <c r="Q675">
        <v>1.3194880810701642E-3</v>
      </c>
      <c r="R675">
        <v>1.4511098762807334E-3</v>
      </c>
      <c r="S675">
        <v>0.23057477080481836</v>
      </c>
      <c r="T675">
        <v>4.0032183769508274</v>
      </c>
      <c r="U675">
        <v>0</v>
      </c>
      <c r="V675">
        <v>9.4523053561131869E-3</v>
      </c>
      <c r="W675">
        <v>7.6119820150307688E-2</v>
      </c>
      <c r="X675">
        <v>1.1006170169549887E-2</v>
      </c>
      <c r="Y675">
        <v>4.1009472973674976E-3</v>
      </c>
    </row>
    <row r="676" spans="1:25" x14ac:dyDescent="0.25">
      <c r="A676" s="1090"/>
      <c r="B676" s="1448">
        <v>426</v>
      </c>
      <c r="C676" s="1094">
        <v>0.9814971641343424</v>
      </c>
      <c r="D676" s="1094">
        <v>1.0084362936174229</v>
      </c>
      <c r="E676" s="1094">
        <v>0.99515970257587727</v>
      </c>
      <c r="F676" s="1094">
        <v>1.0299383925544119</v>
      </c>
      <c r="G676" s="1094">
        <v>0.99141192026237535</v>
      </c>
      <c r="H676" s="1094">
        <v>0.98452254017678709</v>
      </c>
      <c r="I676" s="1094">
        <v>1.011819488215085</v>
      </c>
      <c r="K676">
        <v>4.6196512799161509</v>
      </c>
      <c r="L676">
        <v>0</v>
      </c>
      <c r="M676">
        <v>1.5215095890298578E-3</v>
      </c>
      <c r="N676">
        <v>0.12980598594631532</v>
      </c>
      <c r="O676">
        <v>4.018594988203468E-2</v>
      </c>
      <c r="P676">
        <v>1.9652176370313496E-2</v>
      </c>
      <c r="Q676">
        <v>1.3182167260221938E-3</v>
      </c>
      <c r="R676">
        <v>1.515354048396262E-3</v>
      </c>
      <c r="S676">
        <v>0.24144791670375584</v>
      </c>
      <c r="T676">
        <v>4.0849329421706608</v>
      </c>
      <c r="U676">
        <v>0</v>
      </c>
      <c r="V676">
        <v>9.4523053561131939E-3</v>
      </c>
      <c r="W676">
        <v>7.7573770375493303E-2</v>
      </c>
      <c r="X676">
        <v>1.1005665693493313E-2</v>
      </c>
      <c r="Y676">
        <v>4.2825062325764912E-3</v>
      </c>
    </row>
    <row r="677" spans="1:25" x14ac:dyDescent="0.25">
      <c r="A677" s="1090"/>
      <c r="B677" s="1448">
        <v>427</v>
      </c>
      <c r="C677" s="1094">
        <v>0.99974896499598975</v>
      </c>
      <c r="D677" s="1094">
        <v>1.0215123522489904</v>
      </c>
      <c r="E677" s="1094">
        <v>1.0031874369773754</v>
      </c>
      <c r="F677" s="1094">
        <v>0.98541052628220405</v>
      </c>
      <c r="G677" s="1094">
        <v>0.98048878289286201</v>
      </c>
      <c r="H677" s="1094">
        <v>0.97907702106716088</v>
      </c>
      <c r="I677" s="1094">
        <v>0.98678322984702915</v>
      </c>
      <c r="K677">
        <v>4.4064591720458477</v>
      </c>
      <c r="L677">
        <v>0</v>
      </c>
      <c r="M677">
        <v>1.3904931096410248E-3</v>
      </c>
      <c r="N677">
        <v>0.12145906360573967</v>
      </c>
      <c r="O677">
        <v>3.74987556853284E-2</v>
      </c>
      <c r="P677">
        <v>1.8879817514375088E-2</v>
      </c>
      <c r="Q677">
        <v>1.2963920873632114E-3</v>
      </c>
      <c r="R677">
        <v>1.3845817817815071E-3</v>
      </c>
      <c r="S677">
        <v>0.22308824293112303</v>
      </c>
      <c r="T677">
        <v>3.9080255309445855</v>
      </c>
      <c r="U677">
        <v>0</v>
      </c>
      <c r="V677">
        <v>9.4523053561131939E-3</v>
      </c>
      <c r="W677">
        <v>7.2192555326421604E-2</v>
      </c>
      <c r="X677">
        <v>1.0659486099519673E-2</v>
      </c>
      <c r="Y677">
        <v>3.912933823132945E-3</v>
      </c>
    </row>
    <row r="678" spans="1:25" x14ac:dyDescent="0.25">
      <c r="A678" s="1090"/>
      <c r="B678" s="1448">
        <v>428</v>
      </c>
      <c r="C678" s="1094">
        <v>1.0153717871754557</v>
      </c>
      <c r="D678" s="1094">
        <v>1.0427036755450794</v>
      </c>
      <c r="E678" s="1094">
        <v>0.97517563282964803</v>
      </c>
      <c r="F678" s="1094">
        <v>1.0039375609686325</v>
      </c>
      <c r="G678" s="1094">
        <v>0.99462553374360241</v>
      </c>
      <c r="H678" s="1094">
        <v>1.0030713398534659</v>
      </c>
      <c r="I678" s="1094">
        <v>0.99596355379878387</v>
      </c>
      <c r="K678">
        <v>4.4827739990735509</v>
      </c>
      <c r="L678">
        <v>0</v>
      </c>
      <c r="M678">
        <v>1.5031938556470247E-3</v>
      </c>
      <c r="N678">
        <v>0.1208590622106364</v>
      </c>
      <c r="O678">
        <v>3.7494965815001453E-2</v>
      </c>
      <c r="P678">
        <v>1.8826944036347191E-2</v>
      </c>
      <c r="Q678">
        <v>1.2357679987754719E-3</v>
      </c>
      <c r="R678">
        <v>1.4970709144487922E-3</v>
      </c>
      <c r="S678">
        <v>0.22490322764053483</v>
      </c>
      <c r="T678">
        <v>3.9825782028584875</v>
      </c>
      <c r="U678">
        <v>0</v>
      </c>
      <c r="V678">
        <v>9.4523053561131921E-3</v>
      </c>
      <c r="W678">
        <v>7.3219169500708309E-2</v>
      </c>
      <c r="X678">
        <v>9.9796398979510471E-3</v>
      </c>
      <c r="Y678">
        <v>4.2308367001896979E-3</v>
      </c>
    </row>
    <row r="679" spans="1:25" x14ac:dyDescent="0.25">
      <c r="A679" s="1090"/>
      <c r="B679" s="1448">
        <v>429</v>
      </c>
      <c r="C679" s="1094">
        <v>0.99646611025414678</v>
      </c>
      <c r="D679" s="1094">
        <v>0.99410558862121656</v>
      </c>
      <c r="E679" s="1094">
        <v>1.0079695638646282</v>
      </c>
      <c r="F679" s="1094">
        <v>1.0131172026497544</v>
      </c>
      <c r="G679" s="1094">
        <v>1.0299432065240748</v>
      </c>
      <c r="H679" s="1094">
        <v>1.0060741675705136</v>
      </c>
      <c r="I679" s="1094">
        <v>1.0236595193423319</v>
      </c>
      <c r="K679">
        <v>4.5510899306552588</v>
      </c>
      <c r="L679">
        <v>0</v>
      </c>
      <c r="M679">
        <v>1.4748587865646579E-3</v>
      </c>
      <c r="N679">
        <v>0.1306957635995922</v>
      </c>
      <c r="O679">
        <v>3.9069701738069257E-2</v>
      </c>
      <c r="P679">
        <v>1.9529233408327323E-2</v>
      </c>
      <c r="Q679">
        <v>1.3202703436315029E-3</v>
      </c>
      <c r="R679">
        <v>1.4689232436145225E-3</v>
      </c>
      <c r="S679">
        <v>0.2406539257219433</v>
      </c>
      <c r="T679">
        <v>4.0177230508818571</v>
      </c>
      <c r="U679">
        <v>0</v>
      </c>
      <c r="V679">
        <v>9.4523053561131869E-3</v>
      </c>
      <c r="W679">
        <v>7.7432914242095016E-2</v>
      </c>
      <c r="X679">
        <v>1.1067411673140296E-2</v>
      </c>
      <c r="Y679">
        <v>4.1512892334390449E-3</v>
      </c>
    </row>
    <row r="680" spans="1:25" x14ac:dyDescent="0.25">
      <c r="A680" s="1090"/>
      <c r="B680" s="1448">
        <v>430</v>
      </c>
      <c r="C680" s="1094">
        <v>1.0146124083786681</v>
      </c>
      <c r="D680" s="1094">
        <v>1.0203827420582217</v>
      </c>
      <c r="E680" s="1094">
        <v>0.96654935570819656</v>
      </c>
      <c r="F680" s="1094">
        <v>1.0239174030020928</v>
      </c>
      <c r="G680" s="1094">
        <v>0.97981468631538515</v>
      </c>
      <c r="H680" s="1094">
        <v>0.98717533528392754</v>
      </c>
      <c r="I680" s="1094">
        <v>1.0051891547296445</v>
      </c>
      <c r="K680">
        <v>4.5711175233328847</v>
      </c>
      <c r="L680">
        <v>0</v>
      </c>
      <c r="M680">
        <v>1.5507378739512321E-3</v>
      </c>
      <c r="N680">
        <v>0.12153036622713512</v>
      </c>
      <c r="O680">
        <v>3.8661474846202963E-2</v>
      </c>
      <c r="P680">
        <v>1.9080986178082304E-2</v>
      </c>
      <c r="Q680">
        <v>1.2380836453387831E-3</v>
      </c>
      <c r="R680">
        <v>1.5444442988165113E-3</v>
      </c>
      <c r="S680">
        <v>0.23050712298236581</v>
      </c>
      <c r="T680">
        <v>4.0621785265872878</v>
      </c>
      <c r="U680">
        <v>0</v>
      </c>
      <c r="V680">
        <v>9.4523053561131869E-3</v>
      </c>
      <c r="W680">
        <v>7.40650278880393E-2</v>
      </c>
      <c r="X680">
        <v>1.0045205696254163E-2</v>
      </c>
      <c r="Y680">
        <v>4.3647175011996752E-3</v>
      </c>
    </row>
    <row r="681" spans="1:25" x14ac:dyDescent="0.25">
      <c r="A681" s="1090"/>
      <c r="B681" s="1448">
        <v>431</v>
      </c>
      <c r="C681" s="1094">
        <v>1.0086097614032536</v>
      </c>
      <c r="D681" s="1094">
        <v>0.97328501638348663</v>
      </c>
      <c r="E681" s="1094">
        <v>0.97877954078181784</v>
      </c>
      <c r="F681" s="1094">
        <v>0.99932365651591037</v>
      </c>
      <c r="G681" s="1094">
        <v>0.97720021055428274</v>
      </c>
      <c r="H681" s="1094">
        <v>0.97744251356762202</v>
      </c>
      <c r="I681" s="1094">
        <v>1.0151407481704564</v>
      </c>
      <c r="K681">
        <v>4.47488643606723</v>
      </c>
      <c r="L681">
        <v>0</v>
      </c>
      <c r="M681">
        <v>1.4975044773684186E-3</v>
      </c>
      <c r="N681">
        <v>0.121681015254459</v>
      </c>
      <c r="O681">
        <v>3.8598018596956107E-2</v>
      </c>
      <c r="P681">
        <v>1.8831935110685857E-2</v>
      </c>
      <c r="Q681">
        <v>1.2828280482357934E-3</v>
      </c>
      <c r="R681">
        <v>1.4912159903946519E-3</v>
      </c>
      <c r="S681">
        <v>0.23291129485868148</v>
      </c>
      <c r="T681">
        <v>3.9641363502692655</v>
      </c>
      <c r="U681">
        <v>0</v>
      </c>
      <c r="V681">
        <v>9.4523053561131939E-3</v>
      </c>
      <c r="W681">
        <v>7.3534958300425099E-2</v>
      </c>
      <c r="X681">
        <v>1.0249728521568635E-2</v>
      </c>
      <c r="Y681">
        <v>4.2142902378103936E-3</v>
      </c>
    </row>
    <row r="682" spans="1:25" x14ac:dyDescent="0.25">
      <c r="A682" s="1090"/>
      <c r="B682" s="1448">
        <v>432</v>
      </c>
      <c r="C682" s="1094">
        <v>0.98356526592720783</v>
      </c>
      <c r="D682" s="1094">
        <v>1.0003898797350583</v>
      </c>
      <c r="E682" s="1094">
        <v>0.99080868146418133</v>
      </c>
      <c r="F682" s="1094">
        <v>1.0152948804226365</v>
      </c>
      <c r="G682" s="1094">
        <v>0.99733041520522714</v>
      </c>
      <c r="H682" s="1094">
        <v>1.0270969381187673</v>
      </c>
      <c r="I682" s="1094">
        <v>1.0285817266862822</v>
      </c>
      <c r="K682">
        <v>4.5714359668377771</v>
      </c>
      <c r="L682">
        <v>0</v>
      </c>
      <c r="M682">
        <v>1.5809530710763702E-3</v>
      </c>
      <c r="N682">
        <v>0.13316375682809894</v>
      </c>
      <c r="O682">
        <v>3.968897401281446E-2</v>
      </c>
      <c r="P682">
        <v>1.9349657671702235E-2</v>
      </c>
      <c r="Q682">
        <v>1.3147332178764226E-3</v>
      </c>
      <c r="R682">
        <v>1.5747340959600291E-3</v>
      </c>
      <c r="S682">
        <v>0.24656567443901237</v>
      </c>
      <c r="T682">
        <v>4.0270227699906354</v>
      </c>
      <c r="U682">
        <v>0</v>
      </c>
      <c r="V682">
        <v>9.4523053561131973E-3</v>
      </c>
      <c r="W682">
        <v>7.9815909682064229E-2</v>
      </c>
      <c r="X682">
        <v>1.0618085834131444E-2</v>
      </c>
      <c r="Y682">
        <v>4.4503187804438692E-3</v>
      </c>
    </row>
    <row r="683" spans="1:25" x14ac:dyDescent="0.25">
      <c r="A683" s="1090"/>
      <c r="B683" s="1448">
        <v>433</v>
      </c>
      <c r="C683" s="1094">
        <v>1.0278007216647069</v>
      </c>
      <c r="D683" s="1094">
        <v>0.9663216920974752</v>
      </c>
      <c r="E683" s="1094">
        <v>0.96072710253790961</v>
      </c>
      <c r="F683" s="1094">
        <v>1.0139855121344357</v>
      </c>
      <c r="G683" s="1094">
        <v>1.0002141585376456</v>
      </c>
      <c r="H683" s="1094">
        <v>0.97072873673981097</v>
      </c>
      <c r="I683" s="1094">
        <v>1.027329612822506</v>
      </c>
      <c r="K683">
        <v>4.5304801777304924</v>
      </c>
      <c r="L683">
        <v>0</v>
      </c>
      <c r="M683">
        <v>1.5422968662139034E-3</v>
      </c>
      <c r="N683">
        <v>0.11878306981986733</v>
      </c>
      <c r="O683">
        <v>3.8666909448728769E-2</v>
      </c>
      <c r="P683">
        <v>1.8836156529058262E-2</v>
      </c>
      <c r="Q683">
        <v>1.2427386640343136E-3</v>
      </c>
      <c r="R683">
        <v>1.5358694038022762E-3</v>
      </c>
      <c r="S683">
        <v>0.23356832704086516</v>
      </c>
      <c r="T683">
        <v>4.0230046190807514</v>
      </c>
      <c r="U683">
        <v>0</v>
      </c>
      <c r="V683">
        <v>9.4523053561131783E-3</v>
      </c>
      <c r="W683">
        <v>7.2683329202036337E-2</v>
      </c>
      <c r="X683">
        <v>9.9086658582224051E-3</v>
      </c>
      <c r="Y683">
        <v>4.3404841932271785E-3</v>
      </c>
    </row>
    <row r="684" spans="1:25" x14ac:dyDescent="0.25">
      <c r="A684" s="1090"/>
      <c r="B684" s="1448">
        <v>434</v>
      </c>
      <c r="C684" s="1094">
        <v>0.99935512621420997</v>
      </c>
      <c r="D684" s="1094">
        <v>0.96765430256697471</v>
      </c>
      <c r="E684" s="1094">
        <v>0.97129783627782351</v>
      </c>
      <c r="F684" s="1094">
        <v>1.0117398856360746</v>
      </c>
      <c r="G684" s="1094">
        <v>0.98139621914328923</v>
      </c>
      <c r="H684" s="1094">
        <v>1.0175126581807126</v>
      </c>
      <c r="I684" s="1094">
        <v>0.96096885346394079</v>
      </c>
      <c r="K684">
        <v>4.532534862102608</v>
      </c>
      <c r="L684">
        <v>0</v>
      </c>
      <c r="M684">
        <v>1.6217528032858508E-3</v>
      </c>
      <c r="N684">
        <v>0.12891032035145364</v>
      </c>
      <c r="O684">
        <v>3.9583576663525959E-2</v>
      </c>
      <c r="P684">
        <v>1.8922483352740327E-2</v>
      </c>
      <c r="Q684">
        <v>1.289288985051134E-3</v>
      </c>
      <c r="R684">
        <v>1.6152907092860528E-3</v>
      </c>
      <c r="S684">
        <v>0.2277666156488731</v>
      </c>
      <c r="T684">
        <v>4.0136810501916731</v>
      </c>
      <c r="U684">
        <v>0</v>
      </c>
      <c r="V684">
        <v>9.4523053561131939E-3</v>
      </c>
      <c r="W684">
        <v>7.8305530996752429E-2</v>
      </c>
      <c r="X684">
        <v>1.0065217784368049E-2</v>
      </c>
      <c r="Y684">
        <v>4.5649348660541655E-3</v>
      </c>
    </row>
    <row r="685" spans="1:25" x14ac:dyDescent="0.25">
      <c r="A685" s="1090"/>
      <c r="B685" s="1448">
        <v>435</v>
      </c>
      <c r="C685" s="1094">
        <v>0.99787663735723187</v>
      </c>
      <c r="D685" s="1094">
        <v>0.97278503089069235</v>
      </c>
      <c r="E685" s="1094">
        <v>1.0113418253113262</v>
      </c>
      <c r="F685" s="1094">
        <v>1.0186855755910371</v>
      </c>
      <c r="G685" s="1094">
        <v>1.015584011313569</v>
      </c>
      <c r="H685" s="1094">
        <v>1.0050324808029207</v>
      </c>
      <c r="I685" s="1094">
        <v>1.0020872994326182</v>
      </c>
      <c r="K685">
        <v>4.5736896503184932</v>
      </c>
      <c r="L685">
        <v>0</v>
      </c>
      <c r="M685">
        <v>1.4816120300655306E-3</v>
      </c>
      <c r="N685">
        <v>0.13261407809690959</v>
      </c>
      <c r="O685">
        <v>3.9546652531046493E-2</v>
      </c>
      <c r="P685">
        <v>1.9664656190020068E-2</v>
      </c>
      <c r="Q685">
        <v>1.3337127065236667E-3</v>
      </c>
      <c r="R685">
        <v>1.4756756246415048E-3</v>
      </c>
      <c r="S685">
        <v>0.23760310868604323</v>
      </c>
      <c r="T685">
        <v>4.0396753711143489</v>
      </c>
      <c r="U685">
        <v>0</v>
      </c>
      <c r="V685">
        <v>9.4523053561131869E-3</v>
      </c>
      <c r="W685">
        <v>7.839174387829001E-2</v>
      </c>
      <c r="X685">
        <v>1.1243586186877409E-2</v>
      </c>
      <c r="Y685">
        <v>4.1703719777412013E-3</v>
      </c>
    </row>
    <row r="686" spans="1:25" x14ac:dyDescent="0.25">
      <c r="A686" s="1090"/>
      <c r="B686" s="1448">
        <v>436</v>
      </c>
      <c r="C686" s="1094">
        <v>0.97752939114956772</v>
      </c>
      <c r="D686" s="1094">
        <v>1.0210092046122992</v>
      </c>
      <c r="E686" s="1094">
        <v>1.0084934871182143</v>
      </c>
      <c r="F686" s="1094">
        <v>1.0192572707246772</v>
      </c>
      <c r="G686" s="1094">
        <v>0.99036467057193578</v>
      </c>
      <c r="H686" s="1094">
        <v>1.0057217436651384</v>
      </c>
      <c r="I686" s="1094">
        <v>0.99983389336465045</v>
      </c>
      <c r="K686">
        <v>4.5773110567834454</v>
      </c>
      <c r="L686">
        <v>0</v>
      </c>
      <c r="M686">
        <v>1.4942590145137361E-3</v>
      </c>
      <c r="N686">
        <v>0.13262354901896939</v>
      </c>
      <c r="O686">
        <v>3.9638505424381749E-2</v>
      </c>
      <c r="P686">
        <v>1.9638990443846274E-2</v>
      </c>
      <c r="Q686">
        <v>1.3321425750331935E-3</v>
      </c>
      <c r="R686">
        <v>1.4882793816581338E-3</v>
      </c>
      <c r="S686">
        <v>0.23864751922094268</v>
      </c>
      <c r="T686">
        <v>4.0420524904160748</v>
      </c>
      <c r="U686">
        <v>0</v>
      </c>
      <c r="V686">
        <v>9.4523053561131817E-3</v>
      </c>
      <c r="W686">
        <v>7.854739906136686E-2</v>
      </c>
      <c r="X686">
        <v>1.1178143742251274E-2</v>
      </c>
      <c r="Y686">
        <v>4.2059911573215222E-3</v>
      </c>
    </row>
    <row r="687" spans="1:25" x14ac:dyDescent="0.25">
      <c r="A687" s="1090"/>
      <c r="B687" s="1448">
        <v>437</v>
      </c>
      <c r="C687" s="1094">
        <v>1.0136507932446179</v>
      </c>
      <c r="D687" s="1094">
        <v>1.0059725085874964</v>
      </c>
      <c r="E687" s="1094">
        <v>0.99004975001416307</v>
      </c>
      <c r="F687" s="1094">
        <v>1.0156078677166704</v>
      </c>
      <c r="G687" s="1094">
        <v>1.0088593088925775</v>
      </c>
      <c r="H687" s="1094">
        <v>1.0095803524921598</v>
      </c>
      <c r="I687" s="1094">
        <v>1.0105250742896297</v>
      </c>
      <c r="K687">
        <v>4.547494773049034</v>
      </c>
      <c r="L687">
        <v>0</v>
      </c>
      <c r="M687">
        <v>1.5073806073042134E-3</v>
      </c>
      <c r="N687">
        <v>0.12667283081321926</v>
      </c>
      <c r="O687">
        <v>3.8442407504851013E-2</v>
      </c>
      <c r="P687">
        <v>1.9284739625542377E-2</v>
      </c>
      <c r="Q687">
        <v>1.272042205648507E-3</v>
      </c>
      <c r="R687">
        <v>1.5013500147235666E-3</v>
      </c>
      <c r="S687">
        <v>0.23336211400055049</v>
      </c>
      <c r="T687">
        <v>4.0282936787121439</v>
      </c>
      <c r="U687">
        <v>0</v>
      </c>
      <c r="V687">
        <v>9.4523053561131869E-3</v>
      </c>
      <c r="W687">
        <v>7.5964577349694237E-2</v>
      </c>
      <c r="X687">
        <v>1.051317830958981E-2</v>
      </c>
      <c r="Y687">
        <v>4.2429297642600618E-3</v>
      </c>
    </row>
    <row r="688" spans="1:25" x14ac:dyDescent="0.25">
      <c r="A688" s="1090"/>
      <c r="B688" s="1448">
        <v>438</v>
      </c>
      <c r="C688" s="1094">
        <v>1.0212576520011332</v>
      </c>
      <c r="D688" s="1094">
        <v>0.99923851000868846</v>
      </c>
      <c r="E688" s="1094">
        <v>0.97639298138678654</v>
      </c>
      <c r="F688" s="1094">
        <v>1.0060541292694025</v>
      </c>
      <c r="G688" s="1094">
        <v>1.0163593769916464</v>
      </c>
      <c r="H688" s="1094">
        <v>0.98609118527242545</v>
      </c>
      <c r="I688" s="1094">
        <v>1.0157239054850724</v>
      </c>
      <c r="K688">
        <v>4.4963599885533583</v>
      </c>
      <c r="L688">
        <v>0</v>
      </c>
      <c r="M688">
        <v>1.4937863316189929E-3</v>
      </c>
      <c r="N688">
        <v>0.12053001352146681</v>
      </c>
      <c r="O688">
        <v>3.7990963952992986E-2</v>
      </c>
      <c r="P688">
        <v>1.8904551389273144E-2</v>
      </c>
      <c r="Q688">
        <v>1.2510756303454947E-3</v>
      </c>
      <c r="R688">
        <v>1.4876099032158135E-3</v>
      </c>
      <c r="S688">
        <v>0.23001187372271242</v>
      </c>
      <c r="T688">
        <v>3.9909273514623225</v>
      </c>
      <c r="U688">
        <v>0</v>
      </c>
      <c r="V688">
        <v>9.4523053561131904E-3</v>
      </c>
      <c r="W688">
        <v>7.29587726770759E-2</v>
      </c>
      <c r="X688">
        <v>1.0135158109327384E-2</v>
      </c>
      <c r="Y688">
        <v>4.2040991601312652E-3</v>
      </c>
    </row>
    <row r="689" spans="1:25" x14ac:dyDescent="0.25">
      <c r="A689" s="1090"/>
      <c r="B689" s="1448">
        <v>439</v>
      </c>
      <c r="C689" s="1094">
        <v>0.98391837599868293</v>
      </c>
      <c r="D689" s="1094">
        <v>0.96308974600720021</v>
      </c>
      <c r="E689" s="1094">
        <v>1.0102389757687216</v>
      </c>
      <c r="F689" s="1094">
        <v>1.0175762159970276</v>
      </c>
      <c r="G689" s="1094">
        <v>0.98302705580108862</v>
      </c>
      <c r="H689" s="1094">
        <v>0.99004899858089979</v>
      </c>
      <c r="I689" s="1094">
        <v>1.0376842483939581</v>
      </c>
      <c r="K689">
        <v>4.5817189703786818</v>
      </c>
      <c r="L689">
        <v>0</v>
      </c>
      <c r="M689">
        <v>1.4880171897943594E-3</v>
      </c>
      <c r="N689">
        <v>0.13274455137967117</v>
      </c>
      <c r="O689">
        <v>4.023280536057184E-2</v>
      </c>
      <c r="P689">
        <v>1.9680371147083865E-2</v>
      </c>
      <c r="Q689">
        <v>1.3567893969121403E-3</v>
      </c>
      <c r="R689">
        <v>1.4819583186392051E-3</v>
      </c>
      <c r="S689">
        <v>0.24887811211628733</v>
      </c>
      <c r="T689">
        <v>4.0353186306197113</v>
      </c>
      <c r="U689">
        <v>0</v>
      </c>
      <c r="V689">
        <v>9.4523053561131991E-3</v>
      </c>
      <c r="W689">
        <v>7.8526955257493813E-2</v>
      </c>
      <c r="X689">
        <v>1.1346381265347706E-2</v>
      </c>
      <c r="Y689">
        <v>4.1881273506396977E-3</v>
      </c>
    </row>
    <row r="690" spans="1:25" x14ac:dyDescent="0.25">
      <c r="A690" s="1090"/>
      <c r="B690" s="1448">
        <v>440</v>
      </c>
      <c r="C690" s="1094">
        <v>1.0087003756682227</v>
      </c>
      <c r="D690" s="1094">
        <v>0.9854602660372247</v>
      </c>
      <c r="E690" s="1094">
        <v>1.0152808466167944</v>
      </c>
      <c r="F690" s="1094">
        <v>1.0410704860338944</v>
      </c>
      <c r="G690" s="1094">
        <v>1.0086505150797536</v>
      </c>
      <c r="H690" s="1094">
        <v>0.96723198232889407</v>
      </c>
      <c r="I690" s="1094">
        <v>1.0209417914769081</v>
      </c>
      <c r="K690">
        <v>4.6583104456707352</v>
      </c>
      <c r="L690">
        <v>0</v>
      </c>
      <c r="M690">
        <v>1.4221428825136641E-3</v>
      </c>
      <c r="N690">
        <v>0.12877533881071487</v>
      </c>
      <c r="O690">
        <v>3.9747351023948926E-2</v>
      </c>
      <c r="P690">
        <v>2.013614316354952E-2</v>
      </c>
      <c r="Q690">
        <v>1.3169880531445103E-3</v>
      </c>
      <c r="R690">
        <v>1.4163488708365732E-3</v>
      </c>
      <c r="S690">
        <v>0.23905533093024334</v>
      </c>
      <c r="T690">
        <v>4.1282892984949839</v>
      </c>
      <c r="U690">
        <v>0</v>
      </c>
      <c r="V690">
        <v>9.4523053561131817E-3</v>
      </c>
      <c r="W690">
        <v>7.5921985956763846E-2</v>
      </c>
      <c r="X690">
        <v>1.1618787850843821E-2</v>
      </c>
      <c r="Y690">
        <v>4.0027100421050786E-3</v>
      </c>
    </row>
    <row r="691" spans="1:25" x14ac:dyDescent="0.25">
      <c r="A691" s="1090"/>
      <c r="B691" s="1448">
        <v>441</v>
      </c>
      <c r="C691" s="1094">
        <v>0.96909313726524504</v>
      </c>
      <c r="D691" s="1094">
        <v>1.0058580483864277</v>
      </c>
      <c r="E691" s="1094">
        <v>0.99441959322966422</v>
      </c>
      <c r="F691" s="1094">
        <v>0.98671617188342076</v>
      </c>
      <c r="G691" s="1094">
        <v>1.0207198034709084</v>
      </c>
      <c r="H691" s="1094">
        <v>1.0136260203866831</v>
      </c>
      <c r="I691" s="1094">
        <v>1.0077308371685769</v>
      </c>
      <c r="K691">
        <v>4.4433487910448708</v>
      </c>
      <c r="L691">
        <v>0</v>
      </c>
      <c r="M691">
        <v>1.5241515026992109E-3</v>
      </c>
      <c r="N691">
        <v>0.12973923462676892</v>
      </c>
      <c r="O691">
        <v>3.9037397903629631E-2</v>
      </c>
      <c r="P691">
        <v>1.8853865235467188E-2</v>
      </c>
      <c r="Q691">
        <v>1.3356069518224466E-3</v>
      </c>
      <c r="R691">
        <v>1.517901059759799E-3</v>
      </c>
      <c r="S691">
        <v>0.23902228459831862</v>
      </c>
      <c r="T691">
        <v>3.9135332165427812</v>
      </c>
      <c r="U691">
        <v>0</v>
      </c>
      <c r="V691">
        <v>9.4523053561131852E-3</v>
      </c>
      <c r="W691">
        <v>7.7572810186495145E-2</v>
      </c>
      <c r="X691">
        <v>1.051861580527021E-2</v>
      </c>
      <c r="Y691">
        <v>4.2897042811449685E-3</v>
      </c>
    </row>
    <row r="692" spans="1:25" x14ac:dyDescent="0.25">
      <c r="A692" s="1090"/>
      <c r="B692" s="1448">
        <v>442</v>
      </c>
      <c r="C692" s="1094">
        <v>1.0138288043864727</v>
      </c>
      <c r="D692" s="1094">
        <v>1.0243665410054847</v>
      </c>
      <c r="E692" s="1094">
        <v>1.009790168956942</v>
      </c>
      <c r="F692" s="1094">
        <v>1.0234652958101111</v>
      </c>
      <c r="G692" s="1094">
        <v>1.032421036544767</v>
      </c>
      <c r="H692" s="1094">
        <v>1.0423918543612514</v>
      </c>
      <c r="I692" s="1094">
        <v>1.0158063448690793</v>
      </c>
      <c r="K692">
        <v>4.5915080380948412</v>
      </c>
      <c r="L692">
        <v>0</v>
      </c>
      <c r="M692">
        <v>1.4933736064060906E-3</v>
      </c>
      <c r="N692">
        <v>0.13307575669209629</v>
      </c>
      <c r="O692">
        <v>3.831779063898999E-2</v>
      </c>
      <c r="P692">
        <v>1.9726657813830945E-2</v>
      </c>
      <c r="Q692">
        <v>1.2841786603874593E-3</v>
      </c>
      <c r="R692">
        <v>1.4876313600508189E-3</v>
      </c>
      <c r="S692">
        <v>0.23703312454602685</v>
      </c>
      <c r="T692">
        <v>4.0586898780959677</v>
      </c>
      <c r="U692">
        <v>0</v>
      </c>
      <c r="V692">
        <v>9.4523053561131887E-3</v>
      </c>
      <c r="W692">
        <v>7.8746606162604371E-2</v>
      </c>
      <c r="X692">
        <v>1.0983322576393931E-2</v>
      </c>
      <c r="Y692">
        <v>4.204159798785142E-3</v>
      </c>
    </row>
    <row r="693" spans="1:25" x14ac:dyDescent="0.25">
      <c r="A693" s="1090"/>
      <c r="B693" s="1448">
        <v>443</v>
      </c>
      <c r="C693" s="1094">
        <v>0.99391318591565003</v>
      </c>
      <c r="D693" s="1094">
        <v>1.0183761809100587</v>
      </c>
      <c r="E693" s="1094">
        <v>1.0075618047553254</v>
      </c>
      <c r="F693" s="1094">
        <v>0.96547219386515459</v>
      </c>
      <c r="G693" s="1094">
        <v>0.97679864327419619</v>
      </c>
      <c r="H693" s="1094">
        <v>1.0214559769024303</v>
      </c>
      <c r="I693" s="1094">
        <v>0.99423405382523566</v>
      </c>
      <c r="K693">
        <v>4.3358037279527073</v>
      </c>
      <c r="L693">
        <v>0</v>
      </c>
      <c r="M693">
        <v>1.4184176218576608E-3</v>
      </c>
      <c r="N693">
        <v>0.12552559081099113</v>
      </c>
      <c r="O693">
        <v>3.6972236564346242E-2</v>
      </c>
      <c r="P693">
        <v>1.8593405820963218E-2</v>
      </c>
      <c r="Q693">
        <v>1.3104958191964093E-3</v>
      </c>
      <c r="R693">
        <v>1.4125189039747644E-3</v>
      </c>
      <c r="S693">
        <v>0.22630008649223113</v>
      </c>
      <c r="T693">
        <v>3.8287919785312887</v>
      </c>
      <c r="U693">
        <v>0</v>
      </c>
      <c r="V693">
        <v>9.4523053561132026E-3</v>
      </c>
      <c r="W693">
        <v>7.4390149021228549E-2</v>
      </c>
      <c r="X693">
        <v>1.0481491990878751E-2</v>
      </c>
      <c r="Y693">
        <v>3.9918862633494707E-3</v>
      </c>
    </row>
    <row r="694" spans="1:25" x14ac:dyDescent="0.25">
      <c r="A694" s="1090"/>
      <c r="B694" s="1448">
        <v>444</v>
      </c>
      <c r="C694" s="1094">
        <v>0.97525478299296131</v>
      </c>
      <c r="D694" s="1094">
        <v>0.99688442590928517</v>
      </c>
      <c r="E694" s="1094">
        <v>0.96861688070626817</v>
      </c>
      <c r="F694" s="1094">
        <v>0.97550416320598166</v>
      </c>
      <c r="G694" s="1094">
        <v>1.0196408181078966</v>
      </c>
      <c r="H694" s="1094">
        <v>1.0098256064637263</v>
      </c>
      <c r="I694" s="1094">
        <v>0.96952021999966187</v>
      </c>
      <c r="K694">
        <v>4.3794133286437349</v>
      </c>
      <c r="L694">
        <v>0</v>
      </c>
      <c r="M694">
        <v>1.5804805689761225E-3</v>
      </c>
      <c r="N694">
        <v>0.12461107964202431</v>
      </c>
      <c r="O694">
        <v>3.866457650722277E-2</v>
      </c>
      <c r="P694">
        <v>1.8242573570010859E-2</v>
      </c>
      <c r="Q694">
        <v>1.3024618649034498E-3</v>
      </c>
      <c r="R694">
        <v>1.5739002710185035E-3</v>
      </c>
      <c r="S694">
        <v>0.22709789819291393</v>
      </c>
      <c r="T694">
        <v>3.8700310881586928</v>
      </c>
      <c r="U694">
        <v>0</v>
      </c>
      <c r="V694">
        <v>9.4523053561131852E-3</v>
      </c>
      <c r="W694">
        <v>7.5834113459189251E-2</v>
      </c>
      <c r="X694">
        <v>9.7358498631234663E-3</v>
      </c>
      <c r="Y694">
        <v>4.4479623274995966E-3</v>
      </c>
    </row>
    <row r="695" spans="1:25" x14ac:dyDescent="0.25">
      <c r="A695" s="1090"/>
      <c r="B695" s="1448">
        <v>445</v>
      </c>
      <c r="C695" s="1094">
        <v>1.0267804386986121</v>
      </c>
      <c r="D695" s="1094">
        <v>1.0188804778370244</v>
      </c>
      <c r="E695" s="1094">
        <v>1.0311578633154876</v>
      </c>
      <c r="F695" s="1094">
        <v>1.0212551046462344</v>
      </c>
      <c r="G695" s="1094">
        <v>1.019480700068226</v>
      </c>
      <c r="H695" s="1094">
        <v>0.99815182556142634</v>
      </c>
      <c r="I695" s="1094">
        <v>0.98442685944951147</v>
      </c>
      <c r="K695">
        <v>4.5592356153556981</v>
      </c>
      <c r="L695">
        <v>0</v>
      </c>
      <c r="M695">
        <v>1.3496310286350887E-3</v>
      </c>
      <c r="N695">
        <v>0.12809191884415458</v>
      </c>
      <c r="O695">
        <v>3.7688665575501129E-2</v>
      </c>
      <c r="P695">
        <v>1.9930294742325969E-2</v>
      </c>
      <c r="Q695">
        <v>1.2938854636197436E-3</v>
      </c>
      <c r="R695">
        <v>1.3441998020603588E-3</v>
      </c>
      <c r="S695">
        <v>0.22358060742524483</v>
      </c>
      <c r="T695">
        <v>4.0491024208055331</v>
      </c>
      <c r="U695">
        <v>0</v>
      </c>
      <c r="V695">
        <v>9.4523053561131973E-3</v>
      </c>
      <c r="W695">
        <v>7.4725501860963328E-2</v>
      </c>
      <c r="X695">
        <v>1.1576635243390657E-2</v>
      </c>
      <c r="Y695">
        <v>3.7988112654226726E-3</v>
      </c>
    </row>
    <row r="696" spans="1:25" x14ac:dyDescent="0.25">
      <c r="A696" s="1090"/>
      <c r="B696" s="1448">
        <v>446</v>
      </c>
      <c r="C696" s="1094">
        <v>0.98912477873437132</v>
      </c>
      <c r="D696" s="1094">
        <v>0.98929008049859035</v>
      </c>
      <c r="E696" s="1094">
        <v>1.0122224945596925</v>
      </c>
      <c r="F696" s="1094">
        <v>1.029257204663369</v>
      </c>
      <c r="G696" s="1094">
        <v>0.96745494723905956</v>
      </c>
      <c r="H696" s="1094">
        <v>0.98469954752177358</v>
      </c>
      <c r="I696" s="1094">
        <v>0.98020327844318678</v>
      </c>
      <c r="K696">
        <v>4.6105506362183721</v>
      </c>
      <c r="L696">
        <v>0</v>
      </c>
      <c r="M696">
        <v>1.4669661169759861E-3</v>
      </c>
      <c r="N696">
        <v>0.13164053531844641</v>
      </c>
      <c r="O696">
        <v>4.0033898242421373E-2</v>
      </c>
      <c r="P696">
        <v>1.9850143808417577E-2</v>
      </c>
      <c r="Q696">
        <v>1.3374904661941111E-3</v>
      </c>
      <c r="R696">
        <v>1.4610283971171114E-3</v>
      </c>
      <c r="S696">
        <v>0.23334092063088774</v>
      </c>
      <c r="T696">
        <v>4.0815636542812648</v>
      </c>
      <c r="U696">
        <v>0</v>
      </c>
      <c r="V696">
        <v>9.4523053561131939E-3</v>
      </c>
      <c r="W696">
        <v>7.7770320499416387E-2</v>
      </c>
      <c r="X696">
        <v>1.1438327540570238E-2</v>
      </c>
      <c r="Y696">
        <v>4.1289777944943451E-3</v>
      </c>
    </row>
    <row r="697" spans="1:25" x14ac:dyDescent="0.25">
      <c r="A697" s="1090"/>
      <c r="B697" s="1448">
        <v>447</v>
      </c>
      <c r="C697" s="1094">
        <v>0.97924479761802075</v>
      </c>
      <c r="D697" s="1094">
        <v>0.98952951769565989</v>
      </c>
      <c r="E697" s="1094">
        <v>1.0296646132366518</v>
      </c>
      <c r="F697" s="1094">
        <v>0.98289346919613685</v>
      </c>
      <c r="G697" s="1094">
        <v>0.97779043259882603</v>
      </c>
      <c r="H697" s="1094">
        <v>0.98384293526272093</v>
      </c>
      <c r="I697" s="1094">
        <v>1.0296113132193327</v>
      </c>
      <c r="K697">
        <v>4.4247883091358329</v>
      </c>
      <c r="L697">
        <v>0</v>
      </c>
      <c r="M697">
        <v>1.3627639508131163E-3</v>
      </c>
      <c r="N697">
        <v>0.12874056065854089</v>
      </c>
      <c r="O697">
        <v>3.8491443210324071E-2</v>
      </c>
      <c r="P697">
        <v>1.927779865590603E-2</v>
      </c>
      <c r="Q697">
        <v>1.3709283824450144E-3</v>
      </c>
      <c r="R697">
        <v>1.3569838681728602E-3</v>
      </c>
      <c r="S697">
        <v>0.23991731046518086</v>
      </c>
      <c r="T697">
        <v>3.897060131401985</v>
      </c>
      <c r="U697">
        <v>0</v>
      </c>
      <c r="V697">
        <v>9.4523053561131817E-3</v>
      </c>
      <c r="W697">
        <v>7.517819576656036E-2</v>
      </c>
      <c r="X697">
        <v>1.1470475309147528E-2</v>
      </c>
      <c r="Y697">
        <v>3.8349400122738779E-3</v>
      </c>
    </row>
    <row r="698" spans="1:25" x14ac:dyDescent="0.25">
      <c r="A698" s="1090"/>
      <c r="B698" s="1448">
        <v>448</v>
      </c>
      <c r="C698" s="1094">
        <v>1.0145250971286297</v>
      </c>
      <c r="D698" s="1094">
        <v>0.98424949986774513</v>
      </c>
      <c r="E698" s="1094">
        <v>0.99146426227362994</v>
      </c>
      <c r="F698" s="1094">
        <v>0.99910650297739334</v>
      </c>
      <c r="G698" s="1094">
        <v>0.97087549568301079</v>
      </c>
      <c r="H698" s="1094">
        <v>0.99261056108550128</v>
      </c>
      <c r="I698" s="1094">
        <v>0.98281005569254587</v>
      </c>
      <c r="K698">
        <v>4.4673783959203606</v>
      </c>
      <c r="L698">
        <v>0</v>
      </c>
      <c r="M698">
        <v>1.4652162092930465E-3</v>
      </c>
      <c r="N698">
        <v>0.12363023490853914</v>
      </c>
      <c r="O698">
        <v>3.8106996319075062E-2</v>
      </c>
      <c r="P698">
        <v>1.8969105770139855E-2</v>
      </c>
      <c r="Q698">
        <v>1.2836571677487991E-3</v>
      </c>
      <c r="R698">
        <v>1.4591560215491308E-3</v>
      </c>
      <c r="S698">
        <v>0.22449888889835373</v>
      </c>
      <c r="T698">
        <v>3.9627888219874774</v>
      </c>
      <c r="U698">
        <v>0</v>
      </c>
      <c r="V698">
        <v>9.4523053561131783E-3</v>
      </c>
      <c r="W698">
        <v>7.4068667118847548E-2</v>
      </c>
      <c r="X698">
        <v>1.0462092263622323E-2</v>
      </c>
      <c r="Y698">
        <v>4.1236863181901189E-3</v>
      </c>
    </row>
    <row r="699" spans="1:25" x14ac:dyDescent="0.25">
      <c r="A699" s="1090"/>
      <c r="B699" s="1448">
        <v>449</v>
      </c>
      <c r="C699" s="1094">
        <v>0.98649915621835449</v>
      </c>
      <c r="D699" s="1094">
        <v>1.0300057408900267</v>
      </c>
      <c r="E699" s="1094">
        <v>0.97130690430002764</v>
      </c>
      <c r="F699" s="1094">
        <v>1.0235861381387512</v>
      </c>
      <c r="G699" s="1094">
        <v>0.9716327783163754</v>
      </c>
      <c r="H699" s="1094">
        <v>1.0178734196232819</v>
      </c>
      <c r="I699" s="1094">
        <v>0.97318653433596181</v>
      </c>
      <c r="K699">
        <v>4.5831843213323351</v>
      </c>
      <c r="L699">
        <v>0</v>
      </c>
      <c r="M699">
        <v>1.6215892652545387E-3</v>
      </c>
      <c r="N699">
        <v>0.1289069164883446</v>
      </c>
      <c r="O699">
        <v>3.956810226953246E-2</v>
      </c>
      <c r="P699">
        <v>1.9146931199833364E-2</v>
      </c>
      <c r="Q699">
        <v>1.2738816182964253E-3</v>
      </c>
      <c r="R699">
        <v>1.6152045670125576E-3</v>
      </c>
      <c r="S699">
        <v>0.23116350995729421</v>
      </c>
      <c r="T699">
        <v>4.0606760508309074</v>
      </c>
      <c r="U699">
        <v>0</v>
      </c>
      <c r="V699">
        <v>9.4523053561132043E-3</v>
      </c>
      <c r="W699">
        <v>7.8302973969254536E-2</v>
      </c>
      <c r="X699">
        <v>1.013534291958188E-2</v>
      </c>
      <c r="Y699">
        <v>4.5646914214126158E-3</v>
      </c>
    </row>
    <row r="700" spans="1:25" x14ac:dyDescent="0.25">
      <c r="A700" s="1090"/>
      <c r="B700" s="1448">
        <v>450</v>
      </c>
      <c r="C700" s="1094">
        <v>1.0231866724539316</v>
      </c>
      <c r="D700" s="1094">
        <v>0.99399232455874564</v>
      </c>
      <c r="E700" s="1094">
        <v>1.0444684842234939</v>
      </c>
      <c r="F700" s="1094">
        <v>1.0274277446216664</v>
      </c>
      <c r="G700" s="1094">
        <v>1.0275665973783359</v>
      </c>
      <c r="H700" s="1094">
        <v>1.0120352653196811</v>
      </c>
      <c r="I700" s="1094">
        <v>1.0104404308982069</v>
      </c>
      <c r="K700">
        <v>4.6036991614578264</v>
      </c>
      <c r="L700">
        <v>0</v>
      </c>
      <c r="M700">
        <v>1.3564261796587447E-3</v>
      </c>
      <c r="N700">
        <v>0.13391138885628256</v>
      </c>
      <c r="O700">
        <v>3.8335428913117559E-2</v>
      </c>
      <c r="P700">
        <v>2.0284104799277582E-2</v>
      </c>
      <c r="Q700">
        <v>1.3260245976248882E-3</v>
      </c>
      <c r="R700">
        <v>1.3510747056482975E-3</v>
      </c>
      <c r="S700">
        <v>0.23402754998467112</v>
      </c>
      <c r="T700">
        <v>4.0730647850774337</v>
      </c>
      <c r="U700">
        <v>0</v>
      </c>
      <c r="V700">
        <v>9.4523053561131835E-3</v>
      </c>
      <c r="W700">
        <v>7.7438344819026103E-2</v>
      </c>
      <c r="X700">
        <v>1.2046340260452393E-2</v>
      </c>
      <c r="Y700">
        <v>3.8182402678362476E-3</v>
      </c>
    </row>
    <row r="701" spans="1:25" x14ac:dyDescent="0.25">
      <c r="A701" s="1090"/>
      <c r="B701" s="1448">
        <v>451</v>
      </c>
      <c r="C701" s="1094">
        <v>1.0166245945988686</v>
      </c>
      <c r="D701" s="1094">
        <v>0.99817776883907872</v>
      </c>
      <c r="E701" s="1094">
        <v>1.0073030452958522</v>
      </c>
      <c r="F701" s="1094">
        <v>1.0267478242920238</v>
      </c>
      <c r="G701" s="1094">
        <v>1.0150849001203517</v>
      </c>
      <c r="H701" s="1094">
        <v>0.99697598611162752</v>
      </c>
      <c r="I701" s="1094">
        <v>1.0390629485852845</v>
      </c>
      <c r="K701">
        <v>4.6013154498461084</v>
      </c>
      <c r="L701">
        <v>0</v>
      </c>
      <c r="M701">
        <v>1.4514028689130876E-3</v>
      </c>
      <c r="N701">
        <v>0.12836577835110144</v>
      </c>
      <c r="O701">
        <v>3.8751442015930934E-2</v>
      </c>
      <c r="P701">
        <v>1.9766687455227805E-2</v>
      </c>
      <c r="Q701">
        <v>1.2912423414425654E-3</v>
      </c>
      <c r="R701">
        <v>1.4455863581953848E-3</v>
      </c>
      <c r="S701">
        <v>0.24059687731841203</v>
      </c>
      <c r="T701">
        <v>4.0718040261095707</v>
      </c>
      <c r="U701">
        <v>0</v>
      </c>
      <c r="V701">
        <v>9.4523053561131939E-3</v>
      </c>
      <c r="W701">
        <v>7.6086566175922535E-2</v>
      </c>
      <c r="X701">
        <v>1.1121003819544915E-2</v>
      </c>
      <c r="Y701">
        <v>4.0853374135576444E-3</v>
      </c>
    </row>
    <row r="702" spans="1:25" x14ac:dyDescent="0.25">
      <c r="A702" s="1090"/>
      <c r="B702" s="1448">
        <v>452</v>
      </c>
      <c r="C702" s="1094">
        <v>0.99757664613919805</v>
      </c>
      <c r="D702" s="1094">
        <v>0.98909386502368712</v>
      </c>
      <c r="E702" s="1094">
        <v>1.0237290293185541</v>
      </c>
      <c r="F702" s="1094">
        <v>1.0128106354629667</v>
      </c>
      <c r="G702" s="1094">
        <v>1.0167046269906519</v>
      </c>
      <c r="H702" s="1094">
        <v>1.0274913292223642</v>
      </c>
      <c r="I702" s="1094">
        <v>0.99532919952066534</v>
      </c>
      <c r="K702">
        <v>4.551343577653669</v>
      </c>
      <c r="L702">
        <v>0</v>
      </c>
      <c r="M702">
        <v>1.4578521676175801E-3</v>
      </c>
      <c r="N702">
        <v>0.13536802563697961</v>
      </c>
      <c r="O702">
        <v>3.8982752417558907E-2</v>
      </c>
      <c r="P702">
        <v>1.9725289475612778E-2</v>
      </c>
      <c r="Q702">
        <v>1.3392576310114119E-3</v>
      </c>
      <c r="R702">
        <v>1.4521056302438165E-3</v>
      </c>
      <c r="S702">
        <v>0.2356907187082932</v>
      </c>
      <c r="T702">
        <v>4.0159041989991664</v>
      </c>
      <c r="U702">
        <v>0</v>
      </c>
      <c r="V702">
        <v>9.4523053561131991E-3</v>
      </c>
      <c r="W702">
        <v>7.936037108369022E-2</v>
      </c>
      <c r="X702">
        <v>1.142264350852178E-2</v>
      </c>
      <c r="Y702">
        <v>4.1037613740893888E-3</v>
      </c>
    </row>
    <row r="703" spans="1:25" x14ac:dyDescent="0.25">
      <c r="A703" s="1090"/>
      <c r="B703" s="1448">
        <v>453</v>
      </c>
      <c r="C703" s="1094">
        <v>0.95647811380774639</v>
      </c>
      <c r="D703" s="1094">
        <v>0.98001278766159372</v>
      </c>
      <c r="E703" s="1094">
        <v>1.0259926187787867</v>
      </c>
      <c r="F703" s="1094">
        <v>1.0039064031249894</v>
      </c>
      <c r="G703" s="1094">
        <v>0.96464379344832962</v>
      </c>
      <c r="H703" s="1094">
        <v>0.99594921943879355</v>
      </c>
      <c r="I703" s="1094">
        <v>1.0141187268784528</v>
      </c>
      <c r="K703">
        <v>4.5305926328894923</v>
      </c>
      <c r="L703">
        <v>0</v>
      </c>
      <c r="M703">
        <v>1.4593132608299196E-3</v>
      </c>
      <c r="N703">
        <v>0.13639186472485268</v>
      </c>
      <c r="O703">
        <v>4.0432796554502284E-2</v>
      </c>
      <c r="P703">
        <v>1.9646661939622976E-2</v>
      </c>
      <c r="Q703">
        <v>1.4046463629997937E-3</v>
      </c>
      <c r="R703">
        <v>1.4533263653579065E-3</v>
      </c>
      <c r="S703">
        <v>0.24709936335018062</v>
      </c>
      <c r="T703">
        <v>3.9805124704121866</v>
      </c>
      <c r="U703">
        <v>0</v>
      </c>
      <c r="V703">
        <v>9.4523053561131956E-3</v>
      </c>
      <c r="W703">
        <v>7.9840401764247934E-2</v>
      </c>
      <c r="X703">
        <v>1.1710898055533712E-2</v>
      </c>
      <c r="Y703">
        <v>4.1072112647205219E-3</v>
      </c>
    </row>
    <row r="704" spans="1:25" x14ac:dyDescent="0.25">
      <c r="A704" s="1090"/>
      <c r="B704" s="1448">
        <v>454</v>
      </c>
      <c r="C704" s="1094">
        <v>0.98229699952060778</v>
      </c>
      <c r="D704" s="1094">
        <v>0.9672941095576234</v>
      </c>
      <c r="E704" s="1094">
        <v>0.99213054862100769</v>
      </c>
      <c r="F704" s="1094">
        <v>0.96918542791222739</v>
      </c>
      <c r="G704" s="1094">
        <v>1.0026188770702567</v>
      </c>
      <c r="H704" s="1094">
        <v>0.99970704288891332</v>
      </c>
      <c r="I704" s="1094">
        <v>1.0160558658059182</v>
      </c>
      <c r="K704">
        <v>4.363992762168512</v>
      </c>
      <c r="L704">
        <v>0</v>
      </c>
      <c r="M704">
        <v>1.4868793953727527E-3</v>
      </c>
      <c r="N704">
        <v>0.12569394773420253</v>
      </c>
      <c r="O704">
        <v>3.8440306500638309E-2</v>
      </c>
      <c r="P704">
        <v>1.8496983720972957E-2</v>
      </c>
      <c r="Q704">
        <v>1.3357862995327283E-3</v>
      </c>
      <c r="R704">
        <v>1.4805855493197999E-3</v>
      </c>
      <c r="S704">
        <v>0.23669974362389901</v>
      </c>
      <c r="T704">
        <v>3.8440871931866445</v>
      </c>
      <c r="U704">
        <v>0</v>
      </c>
      <c r="V704">
        <v>9.4523053561131973E-3</v>
      </c>
      <c r="W704">
        <v>7.5270973854030948E-2</v>
      </c>
      <c r="X704">
        <v>1.033756793879125E-2</v>
      </c>
      <c r="Y704">
        <v>4.1842477997370798E-3</v>
      </c>
    </row>
    <row r="705" spans="1:25" x14ac:dyDescent="0.25">
      <c r="A705" s="1090"/>
      <c r="B705" s="1448">
        <v>455</v>
      </c>
      <c r="C705" s="1094">
        <v>0.97286909113335873</v>
      </c>
      <c r="D705" s="1094">
        <v>0.97833254939520686</v>
      </c>
      <c r="E705" s="1094">
        <v>1.022099305314913</v>
      </c>
      <c r="F705" s="1094">
        <v>1.0286579457020122</v>
      </c>
      <c r="G705" s="1094">
        <v>0.97916089523645011</v>
      </c>
      <c r="H705" s="1094">
        <v>0.96653258968042444</v>
      </c>
      <c r="I705" s="1094">
        <v>0.98894108413538695</v>
      </c>
      <c r="K705">
        <v>4.6159666475581851</v>
      </c>
      <c r="L705">
        <v>0</v>
      </c>
      <c r="M705">
        <v>1.4393137344885453E-3</v>
      </c>
      <c r="N705">
        <v>0.13297932883336477</v>
      </c>
      <c r="O705">
        <v>4.0788245751770584E-2</v>
      </c>
      <c r="P705">
        <v>2.0006163983514284E-2</v>
      </c>
      <c r="Q705">
        <v>1.377395215426613E-3</v>
      </c>
      <c r="R705">
        <v>1.4333749953541733E-3</v>
      </c>
      <c r="S705">
        <v>0.23861160813763826</v>
      </c>
      <c r="T705">
        <v>4.0788036275876456</v>
      </c>
      <c r="U705">
        <v>0</v>
      </c>
      <c r="V705">
        <v>9.4523053561131852E-3</v>
      </c>
      <c r="W705">
        <v>7.8044579189701424E-2</v>
      </c>
      <c r="X705">
        <v>1.185850507227032E-2</v>
      </c>
      <c r="Y705">
        <v>4.0508271698749326E-3</v>
      </c>
    </row>
    <row r="706" spans="1:25" x14ac:dyDescent="0.25">
      <c r="A706" s="1090"/>
      <c r="B706" s="1448">
        <v>456</v>
      </c>
      <c r="C706" s="1094">
        <v>1.0024250220999666</v>
      </c>
      <c r="D706" s="1094">
        <v>1.033167209258584</v>
      </c>
      <c r="E706" s="1094">
        <v>0.98359354564377222</v>
      </c>
      <c r="F706" s="1094">
        <v>0.95380686662697123</v>
      </c>
      <c r="G706" s="1094">
        <v>0.97837051756810578</v>
      </c>
      <c r="H706" s="1094">
        <v>0.96375054019488926</v>
      </c>
      <c r="I706" s="1094">
        <v>1.0112089678822915</v>
      </c>
      <c r="K706">
        <v>4.2642687803032437</v>
      </c>
      <c r="L706">
        <v>0</v>
      </c>
      <c r="M706">
        <v>1.3708502834435393E-3</v>
      </c>
      <c r="N706">
        <v>0.11296235236430244</v>
      </c>
      <c r="O706">
        <v>3.6161533282110754E-2</v>
      </c>
      <c r="P706">
        <v>1.8036079052849201E-2</v>
      </c>
      <c r="Q706">
        <v>1.2655546299259563E-3</v>
      </c>
      <c r="R706">
        <v>1.3647344546860879E-3</v>
      </c>
      <c r="S706">
        <v>0.22120005768959833</v>
      </c>
      <c r="T706">
        <v>3.7834030117290682</v>
      </c>
      <c r="U706">
        <v>0</v>
      </c>
      <c r="V706">
        <v>9.4523053561131904E-3</v>
      </c>
      <c r="W706">
        <v>6.8041441966592398E-2</v>
      </c>
      <c r="X706">
        <v>9.8957162999533457E-3</v>
      </c>
      <c r="Y706">
        <v>3.8568437614895485E-3</v>
      </c>
    </row>
    <row r="707" spans="1:25" x14ac:dyDescent="0.25">
      <c r="A707" s="1090"/>
      <c r="B707" s="1448">
        <v>457</v>
      </c>
      <c r="C707" s="1094">
        <v>1.0040872758865613</v>
      </c>
      <c r="D707" s="1094">
        <v>1.0199233024762389</v>
      </c>
      <c r="E707" s="1094">
        <v>0.99673507498847935</v>
      </c>
      <c r="F707" s="1094">
        <v>1.008906333949839</v>
      </c>
      <c r="G707" s="1094">
        <v>1.0009133083360879</v>
      </c>
      <c r="H707" s="1094">
        <v>1.0103349231771082</v>
      </c>
      <c r="I707" s="1094">
        <v>0.96858220996093281</v>
      </c>
      <c r="K707">
        <v>4.5114865893731997</v>
      </c>
      <c r="L707">
        <v>0</v>
      </c>
      <c r="M707">
        <v>1.4835428714899846E-3</v>
      </c>
      <c r="N707">
        <v>0.12716198634467557</v>
      </c>
      <c r="O707">
        <v>3.829495921661593E-2</v>
      </c>
      <c r="P707">
        <v>1.921698933231121E-2</v>
      </c>
      <c r="Q707">
        <v>1.2844720516010659E-3</v>
      </c>
      <c r="R707">
        <v>1.4775728451374883E-3</v>
      </c>
      <c r="S707">
        <v>0.22391935697384327</v>
      </c>
      <c r="T707">
        <v>4.001455123412768</v>
      </c>
      <c r="U707">
        <v>0</v>
      </c>
      <c r="V707">
        <v>9.4523053561131869E-3</v>
      </c>
      <c r="W707">
        <v>7.5912587147177121E-2</v>
      </c>
      <c r="X707">
        <v>1.0619045896739194E-2</v>
      </c>
      <c r="Y707">
        <v>4.1757336677087824E-3</v>
      </c>
    </row>
    <row r="708" spans="1:25" x14ac:dyDescent="0.25">
      <c r="A708" s="1090"/>
      <c r="B708" s="1448">
        <v>458</v>
      </c>
      <c r="C708" s="1094">
        <v>1.0279678589177528</v>
      </c>
      <c r="D708" s="1094">
        <v>0.98576618968643004</v>
      </c>
      <c r="E708" s="1094">
        <v>0.99498100044284232</v>
      </c>
      <c r="F708" s="1094">
        <v>0.99501270023702582</v>
      </c>
      <c r="G708" s="1094">
        <v>0.98960089840088161</v>
      </c>
      <c r="H708" s="1094">
        <v>1.0247671417706012</v>
      </c>
      <c r="I708" s="1094">
        <v>1.0114775026233316</v>
      </c>
      <c r="K708">
        <v>4.4586581857298606</v>
      </c>
      <c r="L708">
        <v>0</v>
      </c>
      <c r="M708">
        <v>1.4749420592873521E-3</v>
      </c>
      <c r="N708">
        <v>0.12576939868647405</v>
      </c>
      <c r="O708">
        <v>3.740802715420264E-2</v>
      </c>
      <c r="P708">
        <v>1.8968525471181018E-2</v>
      </c>
      <c r="Q708">
        <v>1.2699289623458385E-3</v>
      </c>
      <c r="R708">
        <v>1.4690088611700807E-3</v>
      </c>
      <c r="S708">
        <v>0.22969024978332625</v>
      </c>
      <c r="T708">
        <v>3.9464177441881665</v>
      </c>
      <c r="U708">
        <v>0</v>
      </c>
      <c r="V708">
        <v>9.4523053561131973E-3</v>
      </c>
      <c r="W708">
        <v>7.5170561553545442E-2</v>
      </c>
      <c r="X708">
        <v>1.0365846577430929E-2</v>
      </c>
      <c r="Y708">
        <v>4.1515311951876421E-3</v>
      </c>
    </row>
    <row r="709" spans="1:25" x14ac:dyDescent="0.25">
      <c r="A709" s="1090"/>
      <c r="B709" s="1448">
        <v>459</v>
      </c>
      <c r="C709" s="1094">
        <v>1.0219678333624185</v>
      </c>
      <c r="D709" s="1094">
        <v>0.99436823350047532</v>
      </c>
      <c r="E709" s="1094">
        <v>0.98512269793997775</v>
      </c>
      <c r="F709" s="1094">
        <v>0.95751588677597832</v>
      </c>
      <c r="G709" s="1094">
        <v>1.0361570323420828</v>
      </c>
      <c r="H709" s="1094">
        <v>0.98371101633404623</v>
      </c>
      <c r="I709" s="1094">
        <v>1.0116994177685656</v>
      </c>
      <c r="K709">
        <v>4.2834160408753092</v>
      </c>
      <c r="L709">
        <v>0</v>
      </c>
      <c r="M709">
        <v>1.3945693747749296E-3</v>
      </c>
      <c r="N709">
        <v>0.11545178741505174</v>
      </c>
      <c r="O709">
        <v>3.6147500037027491E-2</v>
      </c>
      <c r="P709">
        <v>1.8124853534538923E-2</v>
      </c>
      <c r="Q709">
        <v>1.2621755903328752E-3</v>
      </c>
      <c r="R709">
        <v>1.3884974804671041E-3</v>
      </c>
      <c r="S709">
        <v>0.22164199592024711</v>
      </c>
      <c r="T709">
        <v>3.7980591548125688</v>
      </c>
      <c r="U709">
        <v>0</v>
      </c>
      <c r="V709">
        <v>9.4523053561131939E-3</v>
      </c>
      <c r="W709">
        <v>6.9468319630046516E-2</v>
      </c>
      <c r="X709">
        <v>9.8900205871189136E-3</v>
      </c>
      <c r="Y709">
        <v>3.9239998865678955E-3</v>
      </c>
    </row>
    <row r="710" spans="1:25" x14ac:dyDescent="0.25">
      <c r="A710" s="1090"/>
      <c r="B710" s="1448">
        <v>460</v>
      </c>
      <c r="C710" s="1094">
        <v>0.97353873646613842</v>
      </c>
      <c r="D710" s="1094">
        <v>1.0240010284168837</v>
      </c>
      <c r="E710" s="1094">
        <v>1.0045867333628182</v>
      </c>
      <c r="F710" s="1094">
        <v>1.0054059432406808</v>
      </c>
      <c r="G710" s="1094">
        <v>1.0171586432885973</v>
      </c>
      <c r="H710" s="1094">
        <v>1.0040086683106375</v>
      </c>
      <c r="I710" s="1094">
        <v>0.99279401176656024</v>
      </c>
      <c r="K710">
        <v>4.5151961490332111</v>
      </c>
      <c r="L710">
        <v>0</v>
      </c>
      <c r="M710">
        <v>1.488031779593808E-3</v>
      </c>
      <c r="N710">
        <v>0.13054349526915038</v>
      </c>
      <c r="O710">
        <v>3.9241653560344328E-2</v>
      </c>
      <c r="P710">
        <v>1.9317315321964203E-2</v>
      </c>
      <c r="Q710">
        <v>1.3315912343337406E-3</v>
      </c>
      <c r="R710">
        <v>1.4819850644597315E-3</v>
      </c>
      <c r="S710">
        <v>0.23538986406601153</v>
      </c>
      <c r="T710">
        <v>3.987271596963148</v>
      </c>
      <c r="U710">
        <v>0</v>
      </c>
      <c r="V710">
        <v>9.4523053561131904E-3</v>
      </c>
      <c r="W710">
        <v>7.7518983719398027E-2</v>
      </c>
      <c r="X710">
        <v>1.0947187321510508E-2</v>
      </c>
      <c r="Y710">
        <v>4.1882029363704502E-3</v>
      </c>
    </row>
    <row r="711" spans="1:25" x14ac:dyDescent="0.25">
      <c r="A711" s="1090"/>
      <c r="B711" s="1448">
        <v>461</v>
      </c>
      <c r="C711" s="1094">
        <v>0.9992961560709086</v>
      </c>
      <c r="D711" s="1094">
        <v>0.9801742616924618</v>
      </c>
      <c r="E711" s="1094">
        <v>1.0049345285562232</v>
      </c>
      <c r="F711" s="1094">
        <v>1.0076202302723491</v>
      </c>
      <c r="G711" s="1094">
        <v>0.99432753771226445</v>
      </c>
      <c r="H711" s="1094">
        <v>0.99819908096472676</v>
      </c>
      <c r="I711" s="1094">
        <v>1.0137409307242471</v>
      </c>
      <c r="K711">
        <v>4.5230120535963962</v>
      </c>
      <c r="L711">
        <v>0</v>
      </c>
      <c r="M711">
        <v>1.4688687118253588E-3</v>
      </c>
      <c r="N711">
        <v>0.12899324924046707</v>
      </c>
      <c r="O711">
        <v>3.8988231118099279E-2</v>
      </c>
      <c r="P711">
        <v>1.9370490316797662E-2</v>
      </c>
      <c r="Q711">
        <v>1.320559111343797E-3</v>
      </c>
      <c r="R711">
        <v>1.4628782674069539E-3</v>
      </c>
      <c r="S711">
        <v>0.23717628417562484</v>
      </c>
      <c r="T711">
        <v>3.9960397743573424</v>
      </c>
      <c r="U711">
        <v>0</v>
      </c>
      <c r="V711">
        <v>9.4523053561131939E-3</v>
      </c>
      <c r="W711">
        <v>7.6580475299991568E-2</v>
      </c>
      <c r="X711">
        <v>1.0962469395869244E-2</v>
      </c>
      <c r="Y711">
        <v>4.1342056691643552E-3</v>
      </c>
    </row>
    <row r="712" spans="1:25" x14ac:dyDescent="0.25">
      <c r="A712" s="1090"/>
      <c r="B712" s="1448">
        <v>462</v>
      </c>
      <c r="C712" s="1094">
        <v>0.99859185301773001</v>
      </c>
      <c r="D712" s="1094">
        <v>0.97269896395675692</v>
      </c>
      <c r="E712" s="1094">
        <v>1.0403025765127067</v>
      </c>
      <c r="F712" s="1094">
        <v>0.99349285832931977</v>
      </c>
      <c r="G712" s="1094">
        <v>1.0298902009287934</v>
      </c>
      <c r="H712" s="1094">
        <v>0.99507910888054407</v>
      </c>
      <c r="I712" s="1094">
        <v>0.98965145947470845</v>
      </c>
      <c r="K712">
        <v>4.4599403731461207</v>
      </c>
      <c r="L712">
        <v>0</v>
      </c>
      <c r="M712">
        <v>1.3449121611229899E-3</v>
      </c>
      <c r="N712">
        <v>0.13112410390535975</v>
      </c>
      <c r="O712">
        <v>3.8341612836890672E-2</v>
      </c>
      <c r="P712">
        <v>1.9574255754374201E-2</v>
      </c>
      <c r="Q712">
        <v>1.3657486620077383E-3</v>
      </c>
      <c r="R712">
        <v>1.3393321311768284E-3</v>
      </c>
      <c r="S712">
        <v>0.22981839065070023</v>
      </c>
      <c r="T712">
        <v>3.9386899495147749</v>
      </c>
      <c r="U712">
        <v>0</v>
      </c>
      <c r="V712">
        <v>9.4523053561132026E-3</v>
      </c>
      <c r="W712">
        <v>7.603427514023442E-2</v>
      </c>
      <c r="X712">
        <v>1.1760256499728294E-2</v>
      </c>
      <c r="Y712">
        <v>3.7850548558767258E-3</v>
      </c>
    </row>
    <row r="713" spans="1:25" x14ac:dyDescent="0.25">
      <c r="A713" s="1090"/>
      <c r="B713" s="1448">
        <v>463</v>
      </c>
      <c r="C713" s="1094">
        <v>1.0059997047287723</v>
      </c>
      <c r="D713" s="1094">
        <v>1.0171105120162383</v>
      </c>
      <c r="E713" s="1094">
        <v>1.0025908123089877</v>
      </c>
      <c r="F713" s="1094">
        <v>1.0160910418799631</v>
      </c>
      <c r="G713" s="1094">
        <v>1.0175433256946442</v>
      </c>
      <c r="H713" s="1094">
        <v>1.0021648838258097</v>
      </c>
      <c r="I713" s="1094">
        <v>1.0098801056855824</v>
      </c>
      <c r="K713">
        <v>4.5505641228220819</v>
      </c>
      <c r="L713">
        <v>0</v>
      </c>
      <c r="M713">
        <v>1.4626527075077252E-3</v>
      </c>
      <c r="N713">
        <v>0.12756511255266786</v>
      </c>
      <c r="O713">
        <v>3.8496564123825634E-2</v>
      </c>
      <c r="P713">
        <v>1.9474568944747649E-2</v>
      </c>
      <c r="Q713">
        <v>1.2899058583735305E-3</v>
      </c>
      <c r="R713">
        <v>1.4567605511600001E-3</v>
      </c>
      <c r="S713">
        <v>0.23371992224305835</v>
      </c>
      <c r="T713">
        <v>4.0297240024329763</v>
      </c>
      <c r="U713">
        <v>0</v>
      </c>
      <c r="V713">
        <v>9.4523053561131939E-3</v>
      </c>
      <c r="W713">
        <v>7.585237541324652E-2</v>
      </c>
      <c r="X713">
        <v>1.087834151743357E-2</v>
      </c>
      <c r="Y713">
        <v>4.1169165359849222E-3</v>
      </c>
    </row>
    <row r="714" spans="1:25" x14ac:dyDescent="0.25">
      <c r="A714" s="1090"/>
      <c r="B714" s="1448">
        <v>464</v>
      </c>
      <c r="C714" s="1094">
        <v>0.97929566143553526</v>
      </c>
      <c r="D714" s="1094">
        <v>1.0207380463048683</v>
      </c>
      <c r="E714" s="1094">
        <v>1.0024730291167501</v>
      </c>
      <c r="F714" s="1094">
        <v>1.0307056190610784</v>
      </c>
      <c r="G714" s="1094">
        <v>1.0437102421665827</v>
      </c>
      <c r="H714" s="1094">
        <v>0.98462402825269313</v>
      </c>
      <c r="I714" s="1094">
        <v>0.98684117079828937</v>
      </c>
      <c r="K714">
        <v>4.616888713402318</v>
      </c>
      <c r="L714">
        <v>0</v>
      </c>
      <c r="M714">
        <v>1.4956258174489269E-3</v>
      </c>
      <c r="N714">
        <v>0.1303935388744123</v>
      </c>
      <c r="O714">
        <v>4.0058871076331513E-2</v>
      </c>
      <c r="P714">
        <v>1.9744219057555031E-2</v>
      </c>
      <c r="Q714">
        <v>1.3230608091986866E-3</v>
      </c>
      <c r="R714">
        <v>1.4895801036067936E-3</v>
      </c>
      <c r="S714">
        <v>0.23529845706486854</v>
      </c>
      <c r="T714">
        <v>4.0876886941765633</v>
      </c>
      <c r="U714">
        <v>0</v>
      </c>
      <c r="V714">
        <v>9.4523053561131991E-3</v>
      </c>
      <c r="W714">
        <v>7.7540367475321725E-2</v>
      </c>
      <c r="X714">
        <v>1.1185578128936877E-2</v>
      </c>
      <c r="Y714">
        <v>4.2096670968538577E-3</v>
      </c>
    </row>
    <row r="715" spans="1:25" x14ac:dyDescent="0.25">
      <c r="A715" s="1090"/>
      <c r="B715" s="1448">
        <v>465</v>
      </c>
      <c r="C715" s="1094">
        <v>0.983337037690722</v>
      </c>
      <c r="D715" s="1094">
        <v>1.0170518096080641</v>
      </c>
      <c r="E715" s="1094">
        <v>1.0433702383042824</v>
      </c>
      <c r="F715" s="1094">
        <v>0.968301313851609</v>
      </c>
      <c r="G715" s="1094">
        <v>0.99414309879207086</v>
      </c>
      <c r="H715" s="1094">
        <v>0.9770986288238197</v>
      </c>
      <c r="I715" s="1094">
        <v>0.9998035444637694</v>
      </c>
      <c r="K715">
        <v>4.3464818106906131</v>
      </c>
      <c r="L715">
        <v>0</v>
      </c>
      <c r="M715">
        <v>1.275802841164871E-3</v>
      </c>
      <c r="N715">
        <v>0.12549499459437052</v>
      </c>
      <c r="O715">
        <v>3.7257567794955149E-2</v>
      </c>
      <c r="P715">
        <v>1.9136012850164835E-2</v>
      </c>
      <c r="Q715">
        <v>1.365911254113253E-3</v>
      </c>
      <c r="R715">
        <v>1.270272486775565E-3</v>
      </c>
      <c r="S715">
        <v>0.22727261845834312</v>
      </c>
      <c r="T715">
        <v>3.8387075993376443</v>
      </c>
      <c r="U715">
        <v>0</v>
      </c>
      <c r="V715">
        <v>9.4523053561131817E-3</v>
      </c>
      <c r="W715">
        <v>7.2623621994213045E-2</v>
      </c>
      <c r="X715">
        <v>1.1586822376742035E-2</v>
      </c>
      <c r="Y715">
        <v>3.5898870283443251E-3</v>
      </c>
    </row>
    <row r="716" spans="1:25" x14ac:dyDescent="0.25">
      <c r="A716" s="1090"/>
      <c r="B716" s="1448">
        <v>466</v>
      </c>
      <c r="C716" s="1094">
        <v>0.98875035138658118</v>
      </c>
      <c r="D716" s="1094">
        <v>0.95944409475515846</v>
      </c>
      <c r="E716" s="1094">
        <v>1.0105141718109181</v>
      </c>
      <c r="F716" s="1094">
        <v>0.9958204358692786</v>
      </c>
      <c r="G716" s="1094">
        <v>1.0140383344650907</v>
      </c>
      <c r="H716" s="1094">
        <v>1.0170683354881656</v>
      </c>
      <c r="I716" s="1094">
        <v>1.0007224722794241</v>
      </c>
      <c r="K716">
        <v>4.4830351650155436</v>
      </c>
      <c r="L716">
        <v>0</v>
      </c>
      <c r="M716">
        <v>1.4901599520962738E-3</v>
      </c>
      <c r="N716">
        <v>0.13304699127751207</v>
      </c>
      <c r="O716">
        <v>3.923776027101343E-2</v>
      </c>
      <c r="P716">
        <v>1.923789840917137E-2</v>
      </c>
      <c r="Q716">
        <v>1.3525254672450962E-3</v>
      </c>
      <c r="R716">
        <v>1.4841250409863387E-3</v>
      </c>
      <c r="S716">
        <v>0.2377774774111063</v>
      </c>
      <c r="T716">
        <v>3.9490331329678523</v>
      </c>
      <c r="U716">
        <v>0</v>
      </c>
      <c r="V716">
        <v>9.4523053561131852E-3</v>
      </c>
      <c r="W716">
        <v>7.8691332734122418E-2</v>
      </c>
      <c r="X716">
        <v>1.101752535910611E-2</v>
      </c>
      <c r="Y716">
        <v>4.1942506734141231E-3</v>
      </c>
    </row>
    <row r="717" spans="1:25" x14ac:dyDescent="0.25">
      <c r="A717" s="1090"/>
      <c r="B717" s="1448">
        <v>467</v>
      </c>
      <c r="C717" s="1094">
        <v>1.0165234685777249</v>
      </c>
      <c r="D717" s="1094">
        <v>1.0132993938517438</v>
      </c>
      <c r="E717" s="1094">
        <v>1.0004778613052769</v>
      </c>
      <c r="F717" s="1094">
        <v>0.98823230517896021</v>
      </c>
      <c r="G717" s="1094">
        <v>0.98054173732085359</v>
      </c>
      <c r="H717" s="1094">
        <v>1.0064105493041582</v>
      </c>
      <c r="I717" s="1094">
        <v>0.98712991170029674</v>
      </c>
      <c r="K717">
        <v>4.4196315009623044</v>
      </c>
      <c r="L717">
        <v>0</v>
      </c>
      <c r="M717">
        <v>1.4223897247161127E-3</v>
      </c>
      <c r="N717">
        <v>0.12326760929884131</v>
      </c>
      <c r="O717">
        <v>3.7123181011826704E-2</v>
      </c>
      <c r="P717">
        <v>1.8890147243256973E-2</v>
      </c>
      <c r="Q717">
        <v>1.276159393369063E-3</v>
      </c>
      <c r="R717">
        <v>1.4165237552001577E-3</v>
      </c>
      <c r="S717">
        <v>0.22242100945260912</v>
      </c>
      <c r="T717">
        <v>3.9193182608006496</v>
      </c>
      <c r="U717">
        <v>0</v>
      </c>
      <c r="V717">
        <v>9.4523053561131869E-3</v>
      </c>
      <c r="W717">
        <v>7.3401647626382696E-2</v>
      </c>
      <c r="X717">
        <v>1.0483842470102983E-2</v>
      </c>
      <c r="Y717">
        <v>4.0032042786683573E-3</v>
      </c>
    </row>
    <row r="718" spans="1:25" x14ac:dyDescent="0.25">
      <c r="A718" s="1090"/>
      <c r="B718" s="1448">
        <v>468</v>
      </c>
      <c r="C718" s="1094">
        <v>0.99489211495579233</v>
      </c>
      <c r="D718" s="1094">
        <v>0.9987337028787715</v>
      </c>
      <c r="E718" s="1094">
        <v>1.0151930201195436</v>
      </c>
      <c r="F718" s="1094">
        <v>1.0236275917525475</v>
      </c>
      <c r="G718" s="1094">
        <v>0.99712630677750358</v>
      </c>
      <c r="H718" s="1094">
        <v>0.99288826888376613</v>
      </c>
      <c r="I718" s="1094">
        <v>1.0085220577291789</v>
      </c>
      <c r="K718">
        <v>4.5907345089327567</v>
      </c>
      <c r="L718">
        <v>0</v>
      </c>
      <c r="M718">
        <v>1.4479262641126536E-3</v>
      </c>
      <c r="N718">
        <v>0.13108094431121703</v>
      </c>
      <c r="O718">
        <v>3.9412941970653349E-2</v>
      </c>
      <c r="P718">
        <v>1.9810750832591349E-2</v>
      </c>
      <c r="Q718">
        <v>1.3280408061048408E-3</v>
      </c>
      <c r="R718">
        <v>1.442082107603971E-3</v>
      </c>
      <c r="S718">
        <v>0.23777090273125401</v>
      </c>
      <c r="T718">
        <v>4.0591241677427243</v>
      </c>
      <c r="U718">
        <v>0</v>
      </c>
      <c r="V718">
        <v>9.4523053561131835E-3</v>
      </c>
      <c r="W718">
        <v>7.7285840603087047E-2</v>
      </c>
      <c r="X718">
        <v>1.139902460167372E-2</v>
      </c>
      <c r="Y718">
        <v>4.0754341338494326E-3</v>
      </c>
    </row>
    <row r="719" spans="1:25" x14ac:dyDescent="0.25">
      <c r="A719" s="1090"/>
      <c r="B719" s="1448">
        <v>469</v>
      </c>
      <c r="C719" s="1094">
        <v>1.0407185372922207</v>
      </c>
      <c r="D719" s="1094">
        <v>1.0238763174980996</v>
      </c>
      <c r="E719" s="1094">
        <v>0.96821491132280846</v>
      </c>
      <c r="F719" s="1094">
        <v>1.006033379227568</v>
      </c>
      <c r="G719" s="1094">
        <v>0.98452632409701568</v>
      </c>
      <c r="H719" s="1094">
        <v>1.0027302865055467</v>
      </c>
      <c r="I719" s="1094">
        <v>0.98432456696858961</v>
      </c>
      <c r="K719">
        <v>4.4800942184676833</v>
      </c>
      <c r="L719">
        <v>0</v>
      </c>
      <c r="M719">
        <v>1.5016346908376856E-3</v>
      </c>
      <c r="N719">
        <v>0.11826486440603871</v>
      </c>
      <c r="O719">
        <v>3.6971844750078087E-2</v>
      </c>
      <c r="P719">
        <v>1.8735923347747641E-2</v>
      </c>
      <c r="Q719">
        <v>1.2071356577373958E-3</v>
      </c>
      <c r="R719">
        <v>1.4955287149064553E-3</v>
      </c>
      <c r="S719">
        <v>0.21832605195037272</v>
      </c>
      <c r="T719">
        <v>3.9911625739443402</v>
      </c>
      <c r="U719">
        <v>0</v>
      </c>
      <c r="V719">
        <v>9.4523053561131887E-3</v>
      </c>
      <c r="W719">
        <v>7.1992001661632277E-2</v>
      </c>
      <c r="X719">
        <v>9.7611450430108975E-3</v>
      </c>
      <c r="Y719">
        <v>4.22647832654169E-3</v>
      </c>
    </row>
    <row r="720" spans="1:25" x14ac:dyDescent="0.25">
      <c r="A720" s="1090"/>
      <c r="B720" s="1448">
        <v>470</v>
      </c>
      <c r="C720" s="1094">
        <v>1.0219733734495169</v>
      </c>
      <c r="D720" s="1094">
        <v>1.000389204271656</v>
      </c>
      <c r="E720" s="1094">
        <v>1.0135960168115412</v>
      </c>
      <c r="F720" s="1094">
        <v>1.0033175784602335</v>
      </c>
      <c r="G720" s="1094">
        <v>1.0141209686262576</v>
      </c>
      <c r="H720" s="1094">
        <v>1.0158775493258922</v>
      </c>
      <c r="I720" s="1094">
        <v>0.98922065783737922</v>
      </c>
      <c r="K720">
        <v>4.4899429413799723</v>
      </c>
      <c r="L720">
        <v>0</v>
      </c>
      <c r="M720">
        <v>1.4175279216054608E-3</v>
      </c>
      <c r="N720">
        <v>0.12772533634266672</v>
      </c>
      <c r="O720">
        <v>3.7593140916807086E-2</v>
      </c>
      <c r="P720">
        <v>1.9361569992679514E-2</v>
      </c>
      <c r="Q720">
        <v>1.2902418142173141E-3</v>
      </c>
      <c r="R720">
        <v>1.4118232012088915E-3</v>
      </c>
      <c r="S720">
        <v>0.22555632441484674</v>
      </c>
      <c r="T720">
        <v>3.9786468060714757</v>
      </c>
      <c r="U720">
        <v>0</v>
      </c>
      <c r="V720">
        <v>9.4523053561131991E-3</v>
      </c>
      <c r="W720">
        <v>7.5387900120157378E-2</v>
      </c>
      <c r="X720">
        <v>1.0945100917182614E-2</v>
      </c>
      <c r="Y720">
        <v>3.9899201542187195E-3</v>
      </c>
    </row>
    <row r="721" spans="1:25" x14ac:dyDescent="0.25">
      <c r="A721" s="1090"/>
      <c r="B721" s="1448">
        <v>471</v>
      </c>
      <c r="C721" s="1094">
        <v>1.0089676109514107</v>
      </c>
      <c r="D721" s="1094">
        <v>1.0018217813035033</v>
      </c>
      <c r="E721" s="1094">
        <v>1.0345982977381465</v>
      </c>
      <c r="F721" s="1094">
        <v>1.0092948591399717</v>
      </c>
      <c r="G721" s="1094">
        <v>0.99750773389373693</v>
      </c>
      <c r="H721" s="1094">
        <v>0.98773218056340994</v>
      </c>
      <c r="I721" s="1094">
        <v>0.99837658434865295</v>
      </c>
      <c r="K721">
        <v>4.5186278080713222</v>
      </c>
      <c r="L721">
        <v>0</v>
      </c>
      <c r="M721">
        <v>1.3425588876580033E-3</v>
      </c>
      <c r="N721">
        <v>0.12871138696350093</v>
      </c>
      <c r="O721">
        <v>3.8138008738678265E-2</v>
      </c>
      <c r="P721">
        <v>1.9784724325715222E-2</v>
      </c>
      <c r="Q721">
        <v>1.3294849420995591E-3</v>
      </c>
      <c r="R721">
        <v>1.3370346911409053E-3</v>
      </c>
      <c r="S721">
        <v>0.22928126976316307</v>
      </c>
      <c r="T721">
        <v>4.0015519896652858</v>
      </c>
      <c r="U721">
        <v>0</v>
      </c>
      <c r="V721">
        <v>9.4523053561131904E-3</v>
      </c>
      <c r="W721">
        <v>7.4916314001166856E-2</v>
      </c>
      <c r="X721">
        <v>1.1689286397180565E-2</v>
      </c>
      <c r="Y721">
        <v>3.7785621149339574E-3</v>
      </c>
    </row>
    <row r="722" spans="1:25" x14ac:dyDescent="0.25">
      <c r="A722" s="1090"/>
      <c r="B722" s="1448">
        <v>472</v>
      </c>
      <c r="C722" s="1094">
        <v>1.0265958818693415</v>
      </c>
      <c r="D722" s="1094">
        <v>1.0146437810817808</v>
      </c>
      <c r="E722" s="1094">
        <v>0.99847391721278245</v>
      </c>
      <c r="F722" s="1094">
        <v>0.9898477822001297</v>
      </c>
      <c r="G722" s="1094">
        <v>1.0109277105905861</v>
      </c>
      <c r="H722" s="1094">
        <v>0.99113201819108609</v>
      </c>
      <c r="I722" s="1094">
        <v>0.95897666292974759</v>
      </c>
      <c r="K722">
        <v>4.4113270542900773</v>
      </c>
      <c r="L722">
        <v>0</v>
      </c>
      <c r="M722">
        <v>1.3944455841102751E-3</v>
      </c>
      <c r="N722">
        <v>0.12012361948611819</v>
      </c>
      <c r="O722">
        <v>3.6812705733737204E-2</v>
      </c>
      <c r="P722">
        <v>1.8848786415879108E-2</v>
      </c>
      <c r="Q722">
        <v>1.2608004722779829E-3</v>
      </c>
      <c r="R722">
        <v>1.3886156987429263E-3</v>
      </c>
      <c r="S722">
        <v>0.21304330988575129</v>
      </c>
      <c r="T722">
        <v>3.9258007811100115</v>
      </c>
      <c r="U722">
        <v>0</v>
      </c>
      <c r="V722">
        <v>9.4523053561131887E-3</v>
      </c>
      <c r="W722">
        <v>7.1626489903299992E-2</v>
      </c>
      <c r="X722">
        <v>1.0439751831812814E-2</v>
      </c>
      <c r="Y722">
        <v>3.9243339804409067E-3</v>
      </c>
    </row>
    <row r="723" spans="1:25" x14ac:dyDescent="0.25">
      <c r="A723" s="1090"/>
      <c r="B723" s="1448">
        <v>473</v>
      </c>
      <c r="C723" s="1094">
        <v>1.0128908311088796</v>
      </c>
      <c r="D723" s="1094">
        <v>1.041447405135322</v>
      </c>
      <c r="E723" s="1094">
        <v>1.0016455151838357</v>
      </c>
      <c r="F723" s="1094">
        <v>1.0264711782196707</v>
      </c>
      <c r="G723" s="1094">
        <v>1.0366298402480212</v>
      </c>
      <c r="H723" s="1094">
        <v>0.97385666746029353</v>
      </c>
      <c r="I723" s="1094">
        <v>1.0026256989984472</v>
      </c>
      <c r="K723">
        <v>4.5791249362188298</v>
      </c>
      <c r="L723">
        <v>0</v>
      </c>
      <c r="M723">
        <v>1.4154217579312885E-3</v>
      </c>
      <c r="N723">
        <v>0.12309133816138104</v>
      </c>
      <c r="O723">
        <v>3.8268118982197077E-2</v>
      </c>
      <c r="P723">
        <v>1.9623900687201812E-2</v>
      </c>
      <c r="Q723">
        <v>1.2680435795377292E-3</v>
      </c>
      <c r="R723">
        <v>1.4096132225034474E-3</v>
      </c>
      <c r="S723">
        <v>0.22831016677668792</v>
      </c>
      <c r="T723">
        <v>4.070927584683651</v>
      </c>
      <c r="U723">
        <v>0</v>
      </c>
      <c r="V723">
        <v>9.4523053561131783E-3</v>
      </c>
      <c r="W723">
        <v>7.3238903820277521E-2</v>
      </c>
      <c r="X723">
        <v>1.0966708121536684E-2</v>
      </c>
      <c r="Y723">
        <v>3.9836745856732421E-3</v>
      </c>
    </row>
    <row r="724" spans="1:25" x14ac:dyDescent="0.25">
      <c r="A724" s="1090"/>
      <c r="B724" s="1448">
        <v>474</v>
      </c>
      <c r="C724" s="1094">
        <v>0.9712505376498668</v>
      </c>
      <c r="D724" s="1094">
        <v>1.021943991967645</v>
      </c>
      <c r="E724" s="1094">
        <v>1.0236779723978309</v>
      </c>
      <c r="F724" s="1094">
        <v>1.0467358281268249</v>
      </c>
      <c r="G724" s="1094">
        <v>0.9892133536032659</v>
      </c>
      <c r="H724" s="1094">
        <v>0.97975634990632088</v>
      </c>
      <c r="I724" s="1094">
        <v>1.0070568350412408</v>
      </c>
      <c r="K724">
        <v>4.6972236512727443</v>
      </c>
      <c r="L724">
        <v>0</v>
      </c>
      <c r="M724">
        <v>1.4564355259486844E-3</v>
      </c>
      <c r="N724">
        <v>0.13520810878448764</v>
      </c>
      <c r="O724">
        <v>4.084364557642025E-2</v>
      </c>
      <c r="P724">
        <v>2.0386643742286822E-2</v>
      </c>
      <c r="Q724">
        <v>1.3576398480675612E-3</v>
      </c>
      <c r="R724">
        <v>1.4506092336728327E-3</v>
      </c>
      <c r="S724">
        <v>0.24420109802354961</v>
      </c>
      <c r="T724">
        <v>4.1504232849461253</v>
      </c>
      <c r="U724">
        <v>0</v>
      </c>
      <c r="V724">
        <v>9.4523053561131939E-3</v>
      </c>
      <c r="W724">
        <v>7.9269310676149701E-2</v>
      </c>
      <c r="X724">
        <v>1.1987908168681121E-2</v>
      </c>
      <c r="Y724">
        <v>4.0995324431353144E-3</v>
      </c>
    </row>
    <row r="725" spans="1:25" x14ac:dyDescent="0.25">
      <c r="A725" s="1090"/>
      <c r="B725" s="1448">
        <v>475</v>
      </c>
      <c r="C725" s="1094">
        <v>0.98876498757750353</v>
      </c>
      <c r="D725" s="1094">
        <v>1.0358487986348766</v>
      </c>
      <c r="E725" s="1094">
        <v>1.0001746087308756</v>
      </c>
      <c r="F725" s="1094">
        <v>1.0267172343941167</v>
      </c>
      <c r="G725" s="1094">
        <v>0.98699906015227479</v>
      </c>
      <c r="H725" s="1094">
        <v>0.97956276004587806</v>
      </c>
      <c r="I725" s="1094">
        <v>1.0117726046397422</v>
      </c>
      <c r="K725">
        <v>4.5963076367461335</v>
      </c>
      <c r="L725">
        <v>0</v>
      </c>
      <c r="M725">
        <v>1.4664869111597177E-3</v>
      </c>
      <c r="N725">
        <v>0.12698079254466935</v>
      </c>
      <c r="O725">
        <v>3.9306234579766383E-2</v>
      </c>
      <c r="P725">
        <v>1.9646084560331144E-2</v>
      </c>
      <c r="Q725">
        <v>1.3001485314850182E-3</v>
      </c>
      <c r="R725">
        <v>1.4605053015478064E-3</v>
      </c>
      <c r="S725">
        <v>0.23687387595750176</v>
      </c>
      <c r="T725">
        <v>4.0719609140519326</v>
      </c>
      <c r="U725">
        <v>0</v>
      </c>
      <c r="V725">
        <v>9.4523053561132008E-3</v>
      </c>
      <c r="W725">
        <v>7.5628217106482515E-2</v>
      </c>
      <c r="X725">
        <v>1.1037546180982421E-2</v>
      </c>
      <c r="Y725">
        <v>4.1274994864790296E-3</v>
      </c>
    </row>
    <row r="726" spans="1:25" x14ac:dyDescent="0.25">
      <c r="A726" s="1090"/>
      <c r="B726" s="1448">
        <v>476</v>
      </c>
      <c r="C726" s="1094">
        <v>0.98172760093532718</v>
      </c>
      <c r="D726" s="1094">
        <v>1.0371962053856385</v>
      </c>
      <c r="E726" s="1094">
        <v>0.98682191767381511</v>
      </c>
      <c r="F726" s="1094">
        <v>0.98506669739351138</v>
      </c>
      <c r="G726" s="1094">
        <v>0.99545477052567966</v>
      </c>
      <c r="H726" s="1094">
        <v>0.97103049983333589</v>
      </c>
      <c r="I726" s="1094">
        <v>1.0209208481763998</v>
      </c>
      <c r="K726">
        <v>4.4148718490327381</v>
      </c>
      <c r="L726">
        <v>0</v>
      </c>
      <c r="M726">
        <v>1.4442525492542279E-3</v>
      </c>
      <c r="N726">
        <v>0.12017698172151872</v>
      </c>
      <c r="O726">
        <v>3.8052861623795731E-2</v>
      </c>
      <c r="P726">
        <v>1.8692562194586489E-2</v>
      </c>
      <c r="Q726">
        <v>1.2938343176577686E-3</v>
      </c>
      <c r="R726">
        <v>1.438059646437908E-3</v>
      </c>
      <c r="S726">
        <v>0.23329955361469634</v>
      </c>
      <c r="T726">
        <v>3.9072773498760398</v>
      </c>
      <c r="U726">
        <v>0</v>
      </c>
      <c r="V726">
        <v>9.4523053561131817E-3</v>
      </c>
      <c r="W726">
        <v>7.2227715290248615E-2</v>
      </c>
      <c r="X726">
        <v>1.034081158940453E-2</v>
      </c>
      <c r="Y726">
        <v>4.0640663514937558E-3</v>
      </c>
    </row>
    <row r="727" spans="1:25" x14ac:dyDescent="0.25">
      <c r="A727" s="1090"/>
      <c r="B727" s="1448">
        <v>477</v>
      </c>
      <c r="C727" s="1094">
        <v>1.0069943232471064</v>
      </c>
      <c r="D727" s="1094">
        <v>1.0251196965901657</v>
      </c>
      <c r="E727" s="1094">
        <v>0.99642712416692036</v>
      </c>
      <c r="F727" s="1094">
        <v>0.97401602425714695</v>
      </c>
      <c r="G727" s="1094">
        <v>0.99659136368783874</v>
      </c>
      <c r="H727" s="1094">
        <v>0.95599413229523011</v>
      </c>
      <c r="I727" s="1094">
        <v>1.0206881903207126</v>
      </c>
      <c r="K727">
        <v>4.3532840130781683</v>
      </c>
      <c r="L727">
        <v>0</v>
      </c>
      <c r="M727">
        <v>1.349620227331187E-3</v>
      </c>
      <c r="N727">
        <v>0.11553311562983985</v>
      </c>
      <c r="O727">
        <v>3.6791066044512238E-2</v>
      </c>
      <c r="P727">
        <v>1.8591338397996135E-2</v>
      </c>
      <c r="Q727">
        <v>1.2778250705788722E-3</v>
      </c>
      <c r="R727">
        <v>1.3436756721230789E-3</v>
      </c>
      <c r="S727">
        <v>0.22535585392968635</v>
      </c>
      <c r="T727">
        <v>3.8630870108705109</v>
      </c>
      <c r="U727">
        <v>0</v>
      </c>
      <c r="V727">
        <v>9.4523053561131869E-3</v>
      </c>
      <c r="W727">
        <v>6.8984826621155654E-2</v>
      </c>
      <c r="X727">
        <v>1.0419285678776686E-2</v>
      </c>
      <c r="Y727">
        <v>3.7973300342044928E-3</v>
      </c>
    </row>
    <row r="728" spans="1:25" x14ac:dyDescent="0.25">
      <c r="A728" s="1090"/>
      <c r="B728" s="1448">
        <v>478</v>
      </c>
      <c r="C728" s="1094">
        <v>1.0080341261108201</v>
      </c>
      <c r="D728" s="1094">
        <v>0.98085365805287983</v>
      </c>
      <c r="E728" s="1094">
        <v>1.0120265067417216</v>
      </c>
      <c r="F728" s="1094">
        <v>0.99530093929489505</v>
      </c>
      <c r="G728" s="1094">
        <v>1.0159745841142156</v>
      </c>
      <c r="H728" s="1094">
        <v>1.0107094542334887</v>
      </c>
      <c r="I728" s="1094">
        <v>1.0097027186548342</v>
      </c>
      <c r="K728">
        <v>4.4678106576335024</v>
      </c>
      <c r="L728">
        <v>0</v>
      </c>
      <c r="M728">
        <v>1.434417009196062E-3</v>
      </c>
      <c r="N728">
        <v>0.12864117822282245</v>
      </c>
      <c r="O728">
        <v>3.8118630108648723E-2</v>
      </c>
      <c r="P728">
        <v>1.9228444291156492E-2</v>
      </c>
      <c r="Q728">
        <v>1.3166851256403945E-3</v>
      </c>
      <c r="R728">
        <v>1.4285682612088888E-3</v>
      </c>
      <c r="S728">
        <v>0.23315583758846689</v>
      </c>
      <c r="T728">
        <v>3.9469160096217455</v>
      </c>
      <c r="U728">
        <v>0</v>
      </c>
      <c r="V728">
        <v>9.4523053561131835E-3</v>
      </c>
      <c r="W728">
        <v>7.6008351861869217E-2</v>
      </c>
      <c r="X728">
        <v>1.0941821232825234E-2</v>
      </c>
      <c r="Y728">
        <v>4.037242972203565E-3</v>
      </c>
    </row>
    <row r="729" spans="1:25" x14ac:dyDescent="0.25">
      <c r="A729" s="1090"/>
      <c r="B729" s="1448">
        <v>479</v>
      </c>
      <c r="C729" s="1094">
        <v>1.0043272901427114</v>
      </c>
      <c r="D729" s="1094">
        <v>1.0022432297220631</v>
      </c>
      <c r="E729" s="1094">
        <v>1.0342238422922116</v>
      </c>
      <c r="F729" s="1094">
        <v>1.0263717428706183</v>
      </c>
      <c r="G729" s="1094">
        <v>1.0372666516863789</v>
      </c>
      <c r="H729" s="1094">
        <v>0.97306636704596738</v>
      </c>
      <c r="I729" s="1094">
        <v>1.0069552673999902</v>
      </c>
      <c r="K729">
        <v>4.5935178773804717</v>
      </c>
      <c r="L729">
        <v>0</v>
      </c>
      <c r="M729">
        <v>1.3519698750964907E-3</v>
      </c>
      <c r="N729">
        <v>0.12947119508397908</v>
      </c>
      <c r="O729">
        <v>3.8958564021312689E-2</v>
      </c>
      <c r="P729">
        <v>2.0116372288275335E-2</v>
      </c>
      <c r="Q729">
        <v>1.3349836720621634E-3</v>
      </c>
      <c r="R729">
        <v>1.3464166884015129E-3</v>
      </c>
      <c r="S729">
        <v>0.23380842111702327</v>
      </c>
      <c r="T729">
        <v>4.0692711099234238</v>
      </c>
      <c r="U729">
        <v>0</v>
      </c>
      <c r="V729">
        <v>9.4523053561131904E-3</v>
      </c>
      <c r="W729">
        <v>7.5377195586793205E-2</v>
      </c>
      <c r="X729">
        <v>1.1928207162711729E-2</v>
      </c>
      <c r="Y729">
        <v>3.8050763554740409E-3</v>
      </c>
    </row>
    <row r="730" spans="1:25" x14ac:dyDescent="0.25">
      <c r="A730" s="1090"/>
      <c r="B730" s="1448">
        <v>480</v>
      </c>
      <c r="C730" s="1094">
        <v>1.0002630758404187</v>
      </c>
      <c r="D730" s="1094">
        <v>0.99862100542031673</v>
      </c>
      <c r="E730" s="1094">
        <v>1.0110317986368962</v>
      </c>
      <c r="F730" s="1094">
        <v>1.0179830932192495</v>
      </c>
      <c r="G730" s="1094">
        <v>1.0108953409545114</v>
      </c>
      <c r="H730" s="1094">
        <v>1.0451584188628043</v>
      </c>
      <c r="I730" s="1094">
        <v>1.0222027876517634</v>
      </c>
      <c r="K730">
        <v>4.5810990529801723</v>
      </c>
      <c r="L730">
        <v>0</v>
      </c>
      <c r="M730">
        <v>1.5210071761148026E-3</v>
      </c>
      <c r="N730">
        <v>0.13603595244190375</v>
      </c>
      <c r="O730">
        <v>3.9016058736632817E-2</v>
      </c>
      <c r="P730">
        <v>1.9671892399451062E-2</v>
      </c>
      <c r="Q730">
        <v>1.3163058264537815E-3</v>
      </c>
      <c r="R730">
        <v>1.5151428693604514E-3</v>
      </c>
      <c r="S730">
        <v>0.24293489365237575</v>
      </c>
      <c r="T730">
        <v>4.0369015761695826</v>
      </c>
      <c r="U730">
        <v>0</v>
      </c>
      <c r="V730">
        <v>9.4523053561131956E-3</v>
      </c>
      <c r="W730">
        <v>8.0431230202955908E-2</v>
      </c>
      <c r="X730">
        <v>1.1062793076955915E-2</v>
      </c>
      <c r="Y730">
        <v>4.2819094244985366E-3</v>
      </c>
    </row>
    <row r="731" spans="1:25" x14ac:dyDescent="0.25">
      <c r="A731" s="1090"/>
      <c r="B731" s="1448">
        <v>481</v>
      </c>
      <c r="C731" s="1094">
        <v>1.0245151648633708</v>
      </c>
      <c r="D731" s="1094">
        <v>1.0092208813633388</v>
      </c>
      <c r="E731" s="1094">
        <v>0.98742982121611245</v>
      </c>
      <c r="F731" s="1094">
        <v>0.99014440600469955</v>
      </c>
      <c r="G731" s="1094">
        <v>1.0225013882101659</v>
      </c>
      <c r="H731" s="1094">
        <v>0.99950253710381221</v>
      </c>
      <c r="I731" s="1094">
        <v>0.98705152989941769</v>
      </c>
      <c r="K731">
        <v>4.421798810556365</v>
      </c>
      <c r="L731">
        <v>0</v>
      </c>
      <c r="M731">
        <v>1.4457240925470174E-3</v>
      </c>
      <c r="N731">
        <v>0.12053387409940221</v>
      </c>
      <c r="O731">
        <v>3.7050638820870591E-2</v>
      </c>
      <c r="P731">
        <v>1.8735138198990288E-2</v>
      </c>
      <c r="Q731">
        <v>1.254091662180391E-3</v>
      </c>
      <c r="R731">
        <v>1.4397322294356777E-3</v>
      </c>
      <c r="S731">
        <v>0.22072967213040848</v>
      </c>
      <c r="T731">
        <v>3.9273950686658483</v>
      </c>
      <c r="U731">
        <v>0</v>
      </c>
      <c r="V731">
        <v>9.4523053561131869E-3</v>
      </c>
      <c r="W731">
        <v>7.2412192210518339E-2</v>
      </c>
      <c r="X731">
        <v>1.0173028076404637E-2</v>
      </c>
      <c r="Y731">
        <v>4.0687931987411236E-3</v>
      </c>
    </row>
    <row r="732" spans="1:25" x14ac:dyDescent="0.25">
      <c r="A732" s="1090"/>
      <c r="B732" s="1448">
        <v>482</v>
      </c>
      <c r="C732" s="1094">
        <v>0.99957224400536704</v>
      </c>
      <c r="D732" s="1094">
        <v>1.0062313309660325</v>
      </c>
      <c r="E732" s="1094">
        <v>0.99325837303653064</v>
      </c>
      <c r="F732" s="1094">
        <v>0.99133222466295667</v>
      </c>
      <c r="G732" s="1094">
        <v>0.97548022572672211</v>
      </c>
      <c r="H732" s="1094">
        <v>0.96216676261821144</v>
      </c>
      <c r="I732" s="1094">
        <v>1.0156244368168672</v>
      </c>
      <c r="K732">
        <v>4.4358836928086651</v>
      </c>
      <c r="L732">
        <v>0</v>
      </c>
      <c r="M732">
        <v>1.4124309079811671E-3</v>
      </c>
      <c r="N732">
        <v>0.11979220225119666</v>
      </c>
      <c r="O732">
        <v>3.8026356793380532E-2</v>
      </c>
      <c r="P732">
        <v>1.8881236302985691E-2</v>
      </c>
      <c r="Q732">
        <v>1.2933963620695558E-3</v>
      </c>
      <c r="R732">
        <v>1.4063571330094351E-3</v>
      </c>
      <c r="S732">
        <v>0.23034152413183573</v>
      </c>
      <c r="T732">
        <v>3.9318854654858595</v>
      </c>
      <c r="U732">
        <v>0</v>
      </c>
      <c r="V732">
        <v>9.4523053561131887E-3</v>
      </c>
      <c r="W732">
        <v>7.1681819796305474E-2</v>
      </c>
      <c r="X732">
        <v>1.0560987475718398E-2</v>
      </c>
      <c r="Y732">
        <v>3.9744726281724912E-3</v>
      </c>
    </row>
    <row r="733" spans="1:25" x14ac:dyDescent="0.25">
      <c r="A733" s="1090"/>
      <c r="B733" s="1448">
        <v>483</v>
      </c>
      <c r="C733" s="1094">
        <v>0.96102154432183129</v>
      </c>
      <c r="D733" s="1094">
        <v>0.98212779346800261</v>
      </c>
      <c r="E733" s="1094">
        <v>1.0256612864213075</v>
      </c>
      <c r="F733" s="1094">
        <v>1.0285285965214408</v>
      </c>
      <c r="G733" s="1094">
        <v>1.0307292395232948</v>
      </c>
      <c r="H733" s="1094">
        <v>1.0348288204339893</v>
      </c>
      <c r="I733" s="1094">
        <v>1.0189614258601591</v>
      </c>
      <c r="K733">
        <v>4.6496596869826323</v>
      </c>
      <c r="L733">
        <v>0</v>
      </c>
      <c r="M733">
        <v>1.5457247065663704E-3</v>
      </c>
      <c r="N733">
        <v>0.14436263515219219</v>
      </c>
      <c r="O733">
        <v>4.1195548253289416E-2</v>
      </c>
      <c r="P733">
        <v>2.0127752242871638E-2</v>
      </c>
      <c r="Q733">
        <v>1.3964104504227723E-3</v>
      </c>
      <c r="R733">
        <v>1.5397670795423877E-3</v>
      </c>
      <c r="S733">
        <v>0.25426004926318668</v>
      </c>
      <c r="T733">
        <v>4.0781528584339659</v>
      </c>
      <c r="U733">
        <v>0</v>
      </c>
      <c r="V733">
        <v>9.4523053561131835E-3</v>
      </c>
      <c r="W733">
        <v>8.4524890936424957E-2</v>
      </c>
      <c r="X733">
        <v>1.1841695198749178E-2</v>
      </c>
      <c r="Y733">
        <v>4.3514993224422023E-3</v>
      </c>
    </row>
    <row r="734" spans="1:25" x14ac:dyDescent="0.25">
      <c r="A734" s="1090"/>
      <c r="B734" s="1448">
        <v>484</v>
      </c>
      <c r="C734" s="1094">
        <v>1.0067878050386507</v>
      </c>
      <c r="D734" s="1094">
        <v>1.0102913311176891</v>
      </c>
      <c r="E734" s="1094">
        <v>1.0416288880906295</v>
      </c>
      <c r="F734" s="1094">
        <v>0.98536084641983757</v>
      </c>
      <c r="G734" s="1094">
        <v>1.0214563074413938</v>
      </c>
      <c r="H734" s="1094">
        <v>1.0315548663502185</v>
      </c>
      <c r="I734" s="1094">
        <v>1.0174611890505143</v>
      </c>
      <c r="K734">
        <v>4.4304817867273245</v>
      </c>
      <c r="L734">
        <v>0</v>
      </c>
      <c r="M734">
        <v>1.3471509842414853E-3</v>
      </c>
      <c r="N734">
        <v>0.13187304987178408</v>
      </c>
      <c r="O734">
        <v>3.7141494942886225E-2</v>
      </c>
      <c r="P734">
        <v>1.9456974520392172E-2</v>
      </c>
      <c r="Q734">
        <v>1.3357174370885734E-3</v>
      </c>
      <c r="R734">
        <v>1.341714992240145E-3</v>
      </c>
      <c r="S734">
        <v>0.2331164229366251</v>
      </c>
      <c r="T734">
        <v>3.9064019254147246</v>
      </c>
      <c r="U734">
        <v>0</v>
      </c>
      <c r="V734">
        <v>9.4523053561131973E-3</v>
      </c>
      <c r="W734">
        <v>7.640191333970664E-2</v>
      </c>
      <c r="X734">
        <v>1.1515629896841044E-2</v>
      </c>
      <c r="Y734">
        <v>3.7917890031644941E-3</v>
      </c>
    </row>
    <row r="735" spans="1:25" x14ac:dyDescent="0.25">
      <c r="A735" s="1090"/>
      <c r="B735" s="1448">
        <v>485</v>
      </c>
      <c r="C735" s="1094">
        <v>0.97678284111660185</v>
      </c>
      <c r="D735" s="1094">
        <v>0.99588004106114814</v>
      </c>
      <c r="E735" s="1094">
        <v>1.0192853513979936</v>
      </c>
      <c r="F735" s="1094">
        <v>1.0172119634933248</v>
      </c>
      <c r="G735" s="1094">
        <v>0.95929876675111947</v>
      </c>
      <c r="H735" s="1094">
        <v>1.0155100195111453</v>
      </c>
      <c r="I735" s="1094">
        <v>1.010977178326939</v>
      </c>
      <c r="K735">
        <v>4.5799375507444848</v>
      </c>
      <c r="L735">
        <v>0</v>
      </c>
      <c r="M735">
        <v>1.4877606682793644E-3</v>
      </c>
      <c r="N735">
        <v>0.13633704424949453</v>
      </c>
      <c r="O735">
        <v>3.9908344624544408E-2</v>
      </c>
      <c r="P735">
        <v>1.9779813510180003E-2</v>
      </c>
      <c r="Q735">
        <v>1.3589173724544009E-3</v>
      </c>
      <c r="R735">
        <v>1.4818526180435351E-3</v>
      </c>
      <c r="S735">
        <v>0.24375011437655553</v>
      </c>
      <c r="T735">
        <v>4.0335262577547066</v>
      </c>
      <c r="U735">
        <v>0</v>
      </c>
      <c r="V735">
        <v>9.4523053561131973E-3</v>
      </c>
      <c r="W735">
        <v>8.0165401236629005E-2</v>
      </c>
      <c r="X735">
        <v>1.1477431681351926E-2</v>
      </c>
      <c r="Y735">
        <v>4.1878286326864755E-3</v>
      </c>
    </row>
    <row r="736" spans="1:25" x14ac:dyDescent="0.25">
      <c r="A736" s="1090"/>
      <c r="B736" s="1448">
        <v>486</v>
      </c>
      <c r="C736" s="1094">
        <v>1.0065935630495313</v>
      </c>
      <c r="D736" s="1094">
        <v>1.0444615101848682</v>
      </c>
      <c r="E736" s="1094">
        <v>0.97458018185963036</v>
      </c>
      <c r="F736" s="1094">
        <v>0.97526165836919232</v>
      </c>
      <c r="G736" s="1094">
        <v>1.0094126858882198</v>
      </c>
      <c r="H736" s="1094">
        <v>0.99057252645887095</v>
      </c>
      <c r="I736" s="1094">
        <v>0.9957341260382282</v>
      </c>
      <c r="K736">
        <v>4.3573948407330327</v>
      </c>
      <c r="L736">
        <v>0</v>
      </c>
      <c r="M736">
        <v>1.4556495845403602E-3</v>
      </c>
      <c r="N736">
        <v>0.11680954503677635</v>
      </c>
      <c r="O736">
        <v>3.6720753498708111E-2</v>
      </c>
      <c r="P736">
        <v>1.8295114643402745E-2</v>
      </c>
      <c r="Q736">
        <v>1.2450593782146961E-3</v>
      </c>
      <c r="R736">
        <v>1.4494696928748847E-3</v>
      </c>
      <c r="S736">
        <v>0.22137601125952985</v>
      </c>
      <c r="T736">
        <v>3.8688444850298991</v>
      </c>
      <c r="U736">
        <v>0</v>
      </c>
      <c r="V736">
        <v>9.4523053561131904E-3</v>
      </c>
      <c r="W736">
        <v>7.0794856691229979E-2</v>
      </c>
      <c r="X736">
        <v>9.7665777169825829E-3</v>
      </c>
      <c r="Y736">
        <v>4.096312013840489E-3</v>
      </c>
    </row>
    <row r="737" spans="1:25" x14ac:dyDescent="0.25">
      <c r="A737" s="1090"/>
      <c r="B737" s="1448">
        <v>487</v>
      </c>
      <c r="C737" s="1094">
        <v>1.0008417260816984</v>
      </c>
      <c r="D737" s="1094">
        <v>1.0083649614412755</v>
      </c>
      <c r="E737" s="1094">
        <v>0.98258944417776295</v>
      </c>
      <c r="F737" s="1094">
        <v>1.0069749071395886</v>
      </c>
      <c r="G737" s="1094">
        <v>1.0294151235619664</v>
      </c>
      <c r="H737" s="1094">
        <v>0.97489038425408348</v>
      </c>
      <c r="I737" s="1094">
        <v>1.0118415079029515</v>
      </c>
      <c r="K737">
        <v>4.5051195706759222</v>
      </c>
      <c r="L737">
        <v>0</v>
      </c>
      <c r="M737">
        <v>1.4834207071344871E-3</v>
      </c>
      <c r="N737">
        <v>0.12190955199456509</v>
      </c>
      <c r="O737">
        <v>3.8618039311965287E-2</v>
      </c>
      <c r="P737">
        <v>1.9019960449404513E-2</v>
      </c>
      <c r="Q737">
        <v>1.2788239447871737E-3</v>
      </c>
      <c r="R737">
        <v>1.4772223174581026E-3</v>
      </c>
      <c r="S737">
        <v>0.23245025592174645</v>
      </c>
      <c r="T737">
        <v>3.9943400052976741</v>
      </c>
      <c r="U737">
        <v>0</v>
      </c>
      <c r="V737">
        <v>9.4523053561131887E-3</v>
      </c>
      <c r="W737">
        <v>7.3481101327033713E-2</v>
      </c>
      <c r="X737">
        <v>1.0400982412581739E-2</v>
      </c>
      <c r="Y737">
        <v>4.1747430497253166E-3</v>
      </c>
    </row>
    <row r="738" spans="1:25" x14ac:dyDescent="0.25">
      <c r="A738" s="1090"/>
      <c r="B738" s="1448">
        <v>488</v>
      </c>
      <c r="C738" s="1094">
        <v>1.0052216870892472</v>
      </c>
      <c r="D738" s="1094">
        <v>0.97933229579903369</v>
      </c>
      <c r="E738" s="1094">
        <v>0.98180002968040048</v>
      </c>
      <c r="F738" s="1094">
        <v>0.99354157186530778</v>
      </c>
      <c r="G738" s="1094">
        <v>1.0137431112349549</v>
      </c>
      <c r="H738" s="1094">
        <v>0.96798845163171909</v>
      </c>
      <c r="I738" s="1094">
        <v>1.0307296191937307</v>
      </c>
      <c r="K738">
        <v>4.4513305197429718</v>
      </c>
      <c r="L738">
        <v>0</v>
      </c>
      <c r="M738">
        <v>1.4664546724362459E-3</v>
      </c>
      <c r="N738">
        <v>0.12022289350755677</v>
      </c>
      <c r="O738">
        <v>3.8388149417688512E-2</v>
      </c>
      <c r="P738">
        <v>1.8781882017468214E-2</v>
      </c>
      <c r="Q738">
        <v>1.2873368580634795E-3</v>
      </c>
      <c r="R738">
        <v>1.4602003901525347E-3</v>
      </c>
      <c r="S738">
        <v>0.23518049976265631</v>
      </c>
      <c r="T738">
        <v>3.9410844862565542</v>
      </c>
      <c r="U738">
        <v>0</v>
      </c>
      <c r="V738">
        <v>9.4523053561131869E-3</v>
      </c>
      <c r="W738">
        <v>7.2503610877017843E-2</v>
      </c>
      <c r="X738">
        <v>1.0308972188539069E-2</v>
      </c>
      <c r="Y738">
        <v>4.1266377835971098E-3</v>
      </c>
    </row>
    <row r="739" spans="1:25" x14ac:dyDescent="0.25">
      <c r="A739" s="1090"/>
      <c r="B739" s="1448">
        <v>489</v>
      </c>
      <c r="C739" s="1094">
        <v>0.98389908703552831</v>
      </c>
      <c r="D739" s="1094">
        <v>1.000865472347447</v>
      </c>
      <c r="E739" s="1094">
        <v>1.0107661912761885</v>
      </c>
      <c r="F739" s="1094">
        <v>1.0088078199432342</v>
      </c>
      <c r="G739" s="1094">
        <v>0.98076502080169559</v>
      </c>
      <c r="H739" s="1094">
        <v>1.0299973922808612</v>
      </c>
      <c r="I739" s="1094">
        <v>1.0011536637257172</v>
      </c>
      <c r="K739">
        <v>4.5391209413704328</v>
      </c>
      <c r="L739">
        <v>0</v>
      </c>
      <c r="M739">
        <v>1.5096840340637556E-3</v>
      </c>
      <c r="N739">
        <v>0.13490461252400152</v>
      </c>
      <c r="O739">
        <v>3.9274046628019491E-2</v>
      </c>
      <c r="P739">
        <v>1.9483451102612712E-2</v>
      </c>
      <c r="Q739">
        <v>1.3366949327698692E-3</v>
      </c>
      <c r="R739">
        <v>1.5037242066281275E-3</v>
      </c>
      <c r="S739">
        <v>0.23905500843408306</v>
      </c>
      <c r="T739">
        <v>4.0005263713712838</v>
      </c>
      <c r="U739">
        <v>0</v>
      </c>
      <c r="V739">
        <v>9.4523053561131939E-3</v>
      </c>
      <c r="W739">
        <v>7.9776540316455882E-2</v>
      </c>
      <c r="X739">
        <v>1.1068231120684073E-2</v>
      </c>
      <c r="Y739">
        <v>4.2496394118433298E-3</v>
      </c>
    </row>
    <row r="740" spans="1:25" x14ac:dyDescent="0.25">
      <c r="A740" s="1090"/>
      <c r="B740" s="1448">
        <v>490</v>
      </c>
      <c r="C740" s="1094">
        <v>0.96978571573369299</v>
      </c>
      <c r="D740" s="1094">
        <v>1.0213281758756783</v>
      </c>
      <c r="E740" s="1094">
        <v>1.0276484686192022</v>
      </c>
      <c r="F740" s="1094">
        <v>0.98072888015614412</v>
      </c>
      <c r="G740" s="1094">
        <v>1.0094164401427315</v>
      </c>
      <c r="H740" s="1094">
        <v>1.0079393171301936</v>
      </c>
      <c r="I740" s="1094">
        <v>1.0226717731201074</v>
      </c>
      <c r="K740">
        <v>4.4195752412928089</v>
      </c>
      <c r="L740">
        <v>0</v>
      </c>
      <c r="M740">
        <v>1.394917788650206E-3</v>
      </c>
      <c r="N740">
        <v>0.13100707478880017</v>
      </c>
      <c r="O740">
        <v>3.8307659580860631E-2</v>
      </c>
      <c r="P740">
        <v>1.9209720695434244E-2</v>
      </c>
      <c r="Q740">
        <v>1.364579170075829E-3</v>
      </c>
      <c r="R740">
        <v>1.3891300768933855E-3</v>
      </c>
      <c r="S740">
        <v>0.23983897444547425</v>
      </c>
      <c r="T740">
        <v>3.8885520207858373</v>
      </c>
      <c r="U740">
        <v>0</v>
      </c>
      <c r="V740">
        <v>9.4523053561131904E-3</v>
      </c>
      <c r="W740">
        <v>7.6604043269960509E-2</v>
      </c>
      <c r="X740">
        <v>1.1318863259643954E-2</v>
      </c>
      <c r="Y740">
        <v>3.9257876523650188E-3</v>
      </c>
    </row>
    <row r="741" spans="1:25" x14ac:dyDescent="0.25">
      <c r="A741" s="1090"/>
      <c r="B741" s="1448">
        <v>491</v>
      </c>
      <c r="C741" s="1094">
        <v>0.97502267632825401</v>
      </c>
      <c r="D741" s="1094">
        <v>0.98969262948644909</v>
      </c>
      <c r="E741" s="1094">
        <v>0.99486147045254347</v>
      </c>
      <c r="F741" s="1094">
        <v>1.0290111828095589</v>
      </c>
      <c r="G741" s="1094">
        <v>1.0031512601413879</v>
      </c>
      <c r="H741" s="1094">
        <v>0.99250608846329857</v>
      </c>
      <c r="I741" s="1094">
        <v>0.9954421649945544</v>
      </c>
      <c r="K741">
        <v>4.6205643183032876</v>
      </c>
      <c r="L741">
        <v>0</v>
      </c>
      <c r="M741">
        <v>1.5552447758352974E-3</v>
      </c>
      <c r="N741">
        <v>0.13257068214178702</v>
      </c>
      <c r="O741">
        <v>4.0723002969591769E-2</v>
      </c>
      <c r="P741">
        <v>1.9628929459031622E-2</v>
      </c>
      <c r="Q741">
        <v>1.3366233599931075E-3</v>
      </c>
      <c r="R741">
        <v>1.5489977638645995E-3</v>
      </c>
      <c r="S741">
        <v>0.2409516980584738</v>
      </c>
      <c r="T741">
        <v>4.0812671656476365</v>
      </c>
      <c r="U741">
        <v>0</v>
      </c>
      <c r="V741">
        <v>9.4523053561131956E-3</v>
      </c>
      <c r="W741">
        <v>7.9242014496819432E-2</v>
      </c>
      <c r="X741">
        <v>1.1020557884743463E-2</v>
      </c>
      <c r="Y741">
        <v>4.3775859410661805E-3</v>
      </c>
    </row>
    <row r="742" spans="1:25" x14ac:dyDescent="0.25">
      <c r="A742" s="1090"/>
      <c r="B742" s="1448">
        <v>492</v>
      </c>
      <c r="C742" s="1094">
        <v>1.0034885298932601</v>
      </c>
      <c r="D742" s="1094">
        <v>0.98548707769914146</v>
      </c>
      <c r="E742" s="1094">
        <v>0.9825534856296797</v>
      </c>
      <c r="F742" s="1094">
        <v>1.0093329337996428</v>
      </c>
      <c r="G742" s="1094">
        <v>1.0000745329660832</v>
      </c>
      <c r="H742" s="1094">
        <v>0.98165191718890921</v>
      </c>
      <c r="I742" s="1094">
        <v>1.0104100367146627</v>
      </c>
      <c r="K742">
        <v>4.5196388917034236</v>
      </c>
      <c r="L742">
        <v>0</v>
      </c>
      <c r="M742">
        <v>1.5071283709745511E-3</v>
      </c>
      <c r="N742">
        <v>0.12384944778924037</v>
      </c>
      <c r="O742">
        <v>3.8962651836621752E-2</v>
      </c>
      <c r="P742">
        <v>1.906844486278881E-2</v>
      </c>
      <c r="Q742">
        <v>1.2871730596968971E-3</v>
      </c>
      <c r="R742">
        <v>1.5008888479884886E-3</v>
      </c>
      <c r="S742">
        <v>0.23400961502195186</v>
      </c>
      <c r="T742">
        <v>4.0036949194551079</v>
      </c>
      <c r="U742">
        <v>0</v>
      </c>
      <c r="V742">
        <v>9.4523053561131991E-3</v>
      </c>
      <c r="W742">
        <v>7.4652211322704956E-2</v>
      </c>
      <c r="X742">
        <v>1.0426736050323265E-2</v>
      </c>
      <c r="Y742">
        <v>4.241626471858319E-3</v>
      </c>
    </row>
    <row r="743" spans="1:25" x14ac:dyDescent="0.25">
      <c r="A743" s="1090"/>
      <c r="B743" s="1448">
        <v>493</v>
      </c>
      <c r="C743" s="1094">
        <v>0.99631979093385992</v>
      </c>
      <c r="D743" s="1094">
        <v>1.009472278558017</v>
      </c>
      <c r="E743" s="1094">
        <v>1.0055279585277492</v>
      </c>
      <c r="F743" s="1094">
        <v>0.97939260541726869</v>
      </c>
      <c r="G743" s="1094">
        <v>1.0108692441838798</v>
      </c>
      <c r="H743" s="1094">
        <v>0.9667920062601767</v>
      </c>
      <c r="I743" s="1094">
        <v>1.023647346818503</v>
      </c>
      <c r="K743">
        <v>4.3888583717347744</v>
      </c>
      <c r="L743">
        <v>0</v>
      </c>
      <c r="M743">
        <v>1.3691328580808567E-3</v>
      </c>
      <c r="N743">
        <v>0.12041551197716469</v>
      </c>
      <c r="O743">
        <v>3.7560063638085915E-2</v>
      </c>
      <c r="P743">
        <v>1.8840121983467281E-2</v>
      </c>
      <c r="Q743">
        <v>1.3096553088064783E-3</v>
      </c>
      <c r="R743">
        <v>1.3632023093927044E-3</v>
      </c>
      <c r="S743">
        <v>0.23116279602983356</v>
      </c>
      <c r="T743">
        <v>3.8840720384838843</v>
      </c>
      <c r="U743">
        <v>0</v>
      </c>
      <c r="V743">
        <v>9.4523053561131939E-3</v>
      </c>
      <c r="W743">
        <v>7.1459494511978153E-2</v>
      </c>
      <c r="X743">
        <v>1.0739801192211127E-2</v>
      </c>
      <c r="Y743">
        <v>3.8525138019166868E-3</v>
      </c>
    </row>
    <row r="744" spans="1:25" x14ac:dyDescent="0.25">
      <c r="A744" s="1090"/>
      <c r="B744" s="1448">
        <v>494</v>
      </c>
      <c r="C744" s="1094">
        <v>1.0025273482825283</v>
      </c>
      <c r="D744" s="1094">
        <v>1.0302387038401037</v>
      </c>
      <c r="E744" s="1094">
        <v>0.99908764832666253</v>
      </c>
      <c r="F744" s="1094">
        <v>0.99182714018015228</v>
      </c>
      <c r="G744" s="1094">
        <v>0.98584446242463608</v>
      </c>
      <c r="H744" s="1094">
        <v>0.96760966714239183</v>
      </c>
      <c r="I744" s="1094">
        <v>1.0127251466478278</v>
      </c>
      <c r="K744">
        <v>4.4342323965322512</v>
      </c>
      <c r="L744">
        <v>0</v>
      </c>
      <c r="M744">
        <v>1.3865215393303841E-3</v>
      </c>
      <c r="N744">
        <v>0.11964723425701602</v>
      </c>
      <c r="O744">
        <v>3.7538010069972885E-2</v>
      </c>
      <c r="P744">
        <v>1.8960429583070901E-2</v>
      </c>
      <c r="Q744">
        <v>1.2838921896072275E-3</v>
      </c>
      <c r="R744">
        <v>1.3805956656463459E-3</v>
      </c>
      <c r="S744">
        <v>0.22787561300431311</v>
      </c>
      <c r="T744">
        <v>3.9336278495723738</v>
      </c>
      <c r="U744">
        <v>0</v>
      </c>
      <c r="V744">
        <v>9.4523053561131904E-3</v>
      </c>
      <c r="W744">
        <v>7.1312822627948899E-2</v>
      </c>
      <c r="X744">
        <v>1.0638496990908484E-2</v>
      </c>
      <c r="Y744">
        <v>3.9016687546094084E-3</v>
      </c>
    </row>
    <row r="745" spans="1:25" x14ac:dyDescent="0.25">
      <c r="A745" s="1090"/>
      <c r="B745" s="1448">
        <v>495</v>
      </c>
      <c r="C745" s="1094">
        <v>1.0005034315063102</v>
      </c>
      <c r="D745" s="1094">
        <v>0.99867578952856273</v>
      </c>
      <c r="E745" s="1094">
        <v>1.0431248413161651</v>
      </c>
      <c r="F745" s="1094">
        <v>0.96505708237554899</v>
      </c>
      <c r="G745" s="1094">
        <v>1.0072714934414098</v>
      </c>
      <c r="H745" s="1094">
        <v>1.0238164047101039</v>
      </c>
      <c r="I745" s="1094">
        <v>1.0117918241166417</v>
      </c>
      <c r="K745">
        <v>4.3427297324888974</v>
      </c>
      <c r="L745">
        <v>0</v>
      </c>
      <c r="M745">
        <v>1.3197541785315097E-3</v>
      </c>
      <c r="N745">
        <v>0.12974820164730785</v>
      </c>
      <c r="O745">
        <v>3.6764404754963162E-2</v>
      </c>
      <c r="P745">
        <v>1.9086364821160617E-2</v>
      </c>
      <c r="Q745">
        <v>1.3520254009853436E-3</v>
      </c>
      <c r="R745">
        <v>1.3142760767401948E-3</v>
      </c>
      <c r="S745">
        <v>0.23026677127714756</v>
      </c>
      <c r="T745">
        <v>3.8258550821613313</v>
      </c>
      <c r="U745">
        <v>0</v>
      </c>
      <c r="V745">
        <v>9.4523053561131817E-3</v>
      </c>
      <c r="W745">
        <v>7.5097037871681122E-2</v>
      </c>
      <c r="X745">
        <v>1.1398772766899941E-2</v>
      </c>
      <c r="Y745">
        <v>3.7142445330995361E-3</v>
      </c>
    </row>
    <row r="746" spans="1:25" x14ac:dyDescent="0.25">
      <c r="A746" s="1090"/>
      <c r="B746" s="1448">
        <v>496</v>
      </c>
      <c r="C746" s="1094">
        <v>1.0198181818870611</v>
      </c>
      <c r="D746" s="1094">
        <v>1.0306312713371351</v>
      </c>
      <c r="E746" s="1094">
        <v>1.0453020805394908</v>
      </c>
      <c r="F746" s="1094">
        <v>1.0037698556321315</v>
      </c>
      <c r="G746" s="1094">
        <v>1.0039710811407347</v>
      </c>
      <c r="H746" s="1094">
        <v>1.0126704472171306</v>
      </c>
      <c r="I746" s="1094">
        <v>0.98823674268491035</v>
      </c>
      <c r="K746">
        <v>4.4903107206132278</v>
      </c>
      <c r="L746">
        <v>0</v>
      </c>
      <c r="M746">
        <v>1.3090880133105973E-3</v>
      </c>
      <c r="N746">
        <v>0.12954481583307983</v>
      </c>
      <c r="O746">
        <v>3.7030667086430019E-2</v>
      </c>
      <c r="P746">
        <v>1.9806193184476281E-2</v>
      </c>
      <c r="Q746">
        <v>1.3121913229158836E-3</v>
      </c>
      <c r="R746">
        <v>1.3038053870483154E-3</v>
      </c>
      <c r="S746">
        <v>0.22362930366846517</v>
      </c>
      <c r="T746">
        <v>3.9792458962957569</v>
      </c>
      <c r="U746">
        <v>0</v>
      </c>
      <c r="V746">
        <v>9.4523053561131904E-3</v>
      </c>
      <c r="W746">
        <v>7.4872304365311101E-2</v>
      </c>
      <c r="X746">
        <v>1.1737672562309896E-2</v>
      </c>
      <c r="Y746">
        <v>3.6846535646309435E-3</v>
      </c>
    </row>
    <row r="747" spans="1:25" x14ac:dyDescent="0.25">
      <c r="A747" s="1090"/>
      <c r="B747" s="1448">
        <v>497</v>
      </c>
      <c r="C747" s="1094">
        <v>1.006707112573235</v>
      </c>
      <c r="D747" s="1094">
        <v>0.99424910585267279</v>
      </c>
      <c r="E747" s="1094">
        <v>1.0135017708153462</v>
      </c>
      <c r="F747" s="1094">
        <v>0.96803536393761402</v>
      </c>
      <c r="G747" s="1094">
        <v>1.0206015269130799</v>
      </c>
      <c r="H747" s="1094">
        <v>0.99730502340714366</v>
      </c>
      <c r="I747" s="1094">
        <v>1.0075519253366221</v>
      </c>
      <c r="K747">
        <v>4.3421753636223137</v>
      </c>
      <c r="L747">
        <v>0</v>
      </c>
      <c r="M747">
        <v>1.3668728303690453E-3</v>
      </c>
      <c r="N747">
        <v>0.12309908497439942</v>
      </c>
      <c r="O747">
        <v>3.6912607613888718E-2</v>
      </c>
      <c r="P747">
        <v>1.8722762483332045E-2</v>
      </c>
      <c r="Q747">
        <v>1.312932180401934E-3</v>
      </c>
      <c r="R747">
        <v>1.3610661663476973E-3</v>
      </c>
      <c r="S747">
        <v>0.2267225607658408</v>
      </c>
      <c r="T747">
        <v>3.838738953847296</v>
      </c>
      <c r="U747">
        <v>0</v>
      </c>
      <c r="V747">
        <v>9.4523053561131852E-3</v>
      </c>
      <c r="W747">
        <v>7.266191297593233E-2</v>
      </c>
      <c r="X747">
        <v>1.0711573190548046E-2</v>
      </c>
      <c r="Y747">
        <v>3.8464768985846903E-3</v>
      </c>
    </row>
    <row r="748" spans="1:25" x14ac:dyDescent="0.25">
      <c r="A748" s="1090"/>
      <c r="B748" s="1448">
        <v>498</v>
      </c>
      <c r="C748" s="1094">
        <v>1.0197985358655057</v>
      </c>
      <c r="D748" s="1094">
        <v>1.0308831589172869</v>
      </c>
      <c r="E748" s="1094">
        <v>1.0153208268785077</v>
      </c>
      <c r="F748" s="1094">
        <v>1.0163715126355968</v>
      </c>
      <c r="G748" s="1094">
        <v>1.0154334898699267</v>
      </c>
      <c r="H748" s="1094">
        <v>1.0022855780996611</v>
      </c>
      <c r="I748" s="1094">
        <v>1.0347425095528482</v>
      </c>
      <c r="K748">
        <v>4.5500528394106903</v>
      </c>
      <c r="L748">
        <v>0</v>
      </c>
      <c r="M748">
        <v>1.3976583313385048E-3</v>
      </c>
      <c r="N748">
        <v>0.12657924870420476</v>
      </c>
      <c r="O748">
        <v>3.7696157772255053E-2</v>
      </c>
      <c r="P748">
        <v>1.9669046182277581E-2</v>
      </c>
      <c r="Q748">
        <v>1.2794291461543387E-3</v>
      </c>
      <c r="R748">
        <v>1.3920302238597012E-3</v>
      </c>
      <c r="S748">
        <v>0.2353447078637268</v>
      </c>
      <c r="T748">
        <v>4.0303457799668889</v>
      </c>
      <c r="U748">
        <v>0</v>
      </c>
      <c r="V748">
        <v>9.4523053561131939E-3</v>
      </c>
      <c r="W748">
        <v>7.4625242921566137E-2</v>
      </c>
      <c r="X748">
        <v>1.1132565915873249E-2</v>
      </c>
      <c r="Y748">
        <v>3.9339836891075716E-3</v>
      </c>
    </row>
    <row r="749" spans="1:25" x14ac:dyDescent="0.25">
      <c r="A749" s="1090"/>
      <c r="B749" s="1448">
        <v>499</v>
      </c>
      <c r="C749" s="1094">
        <v>1.0048383937788268</v>
      </c>
      <c r="D749" s="1094">
        <v>1.0224474410172155</v>
      </c>
      <c r="E749" s="1094">
        <v>0.99112162318469488</v>
      </c>
      <c r="F749" s="1094">
        <v>0.98307801169152331</v>
      </c>
      <c r="G749" s="1094">
        <v>0.99782700999286722</v>
      </c>
      <c r="H749" s="1094">
        <v>1.017736650737008</v>
      </c>
      <c r="I749" s="1094">
        <v>0.97409756300550743</v>
      </c>
      <c r="K749">
        <v>4.4000069051763067</v>
      </c>
      <c r="L749">
        <v>0</v>
      </c>
      <c r="M749">
        <v>1.4710543326829344E-3</v>
      </c>
      <c r="N749">
        <v>0.12400136585173827</v>
      </c>
      <c r="O749">
        <v>3.7287194489273166E-2</v>
      </c>
      <c r="P749">
        <v>1.8663285944964431E-2</v>
      </c>
      <c r="Q749">
        <v>1.276065796241991E-3</v>
      </c>
      <c r="R749">
        <v>1.4650238609159427E-3</v>
      </c>
      <c r="S749">
        <v>0.22146319935347192</v>
      </c>
      <c r="T749">
        <v>3.8992273741928773</v>
      </c>
      <c r="U749">
        <v>0</v>
      </c>
      <c r="V749">
        <v>9.4523053561131973E-3</v>
      </c>
      <c r="W749">
        <v>7.4308325503934972E-2</v>
      </c>
      <c r="X749">
        <v>1.0193549879223262E-2</v>
      </c>
      <c r="Y749">
        <v>4.140269280229072E-3</v>
      </c>
    </row>
    <row r="750" spans="1:25" x14ac:dyDescent="0.25">
      <c r="A750" s="1090"/>
      <c r="B750" s="1448">
        <v>500</v>
      </c>
      <c r="C750" s="1094">
        <v>0.99595839200016656</v>
      </c>
      <c r="D750" s="1094">
        <v>1.025041403473915</v>
      </c>
      <c r="E750" s="1094">
        <v>0.96381936529876078</v>
      </c>
      <c r="F750" s="1094">
        <v>0.99124962078697043</v>
      </c>
      <c r="G750" s="1094">
        <v>0.99052389928740792</v>
      </c>
      <c r="H750" s="1094">
        <v>1.025761169271113</v>
      </c>
      <c r="I750" s="1094">
        <v>0.98819547999937252</v>
      </c>
      <c r="K750">
        <v>4.4421432215002055</v>
      </c>
      <c r="L750">
        <v>0</v>
      </c>
      <c r="M750">
        <v>1.5955724498556523E-3</v>
      </c>
      <c r="N750">
        <v>0.12403709469698143</v>
      </c>
      <c r="O750">
        <v>3.8077955454791243E-2</v>
      </c>
      <c r="P750">
        <v>1.8458338704382796E-2</v>
      </c>
      <c r="Q750">
        <v>1.2559683183007938E-3</v>
      </c>
      <c r="R750">
        <v>1.5891359739236869E-3</v>
      </c>
      <c r="S750">
        <v>0.22836588783983991</v>
      </c>
      <c r="T750">
        <v>3.9326807182709187</v>
      </c>
      <c r="U750">
        <v>0</v>
      </c>
      <c r="V750">
        <v>9.4523053561131956E-3</v>
      </c>
      <c r="W750">
        <v>7.57356816087809E-2</v>
      </c>
      <c r="X750">
        <v>9.5946881389274621E-3</v>
      </c>
      <c r="Y750">
        <v>4.4910195871005337E-3</v>
      </c>
    </row>
    <row r="751" spans="1:25" x14ac:dyDescent="0.25">
      <c r="A751" s="1090"/>
      <c r="B751" s="1448">
        <v>501</v>
      </c>
      <c r="C751" s="1094">
        <v>0.96777829335662025</v>
      </c>
      <c r="D751" s="1094">
        <v>0.99048240051629832</v>
      </c>
      <c r="E751" s="1094">
        <v>0.99656515207524743</v>
      </c>
      <c r="F751" s="1094">
        <v>0.97155178188651059</v>
      </c>
      <c r="G751" s="1094">
        <v>1.0078321885150041</v>
      </c>
      <c r="H751" s="1094">
        <v>1.0272914544269043</v>
      </c>
      <c r="I751" s="1094">
        <v>1.0120474956894385</v>
      </c>
      <c r="K751">
        <v>4.3849266002860636</v>
      </c>
      <c r="L751">
        <v>0</v>
      </c>
      <c r="M751">
        <v>1.525634906693352E-3</v>
      </c>
      <c r="N751">
        <v>0.13069290077890955</v>
      </c>
      <c r="O751">
        <v>3.8712728867299442E-2</v>
      </c>
      <c r="P751">
        <v>1.8615637318743963E-2</v>
      </c>
      <c r="Q751">
        <v>1.3481715719578481E-3</v>
      </c>
      <c r="R751">
        <v>1.5193656584757118E-3</v>
      </c>
      <c r="S751">
        <v>0.24006578967546177</v>
      </c>
      <c r="T751">
        <v>3.8533083573587672</v>
      </c>
      <c r="U751">
        <v>0</v>
      </c>
      <c r="V751">
        <v>9.4523053561132026E-3</v>
      </c>
      <c r="W751">
        <v>7.8029437760464379E-2</v>
      </c>
      <c r="X751">
        <v>1.0413697497626622E-2</v>
      </c>
      <c r="Y751">
        <v>4.2938433489329592E-3</v>
      </c>
    </row>
    <row r="752" spans="1:25" x14ac:dyDescent="0.25">
      <c r="A752" s="1090"/>
      <c r="B752" s="1448">
        <v>502</v>
      </c>
      <c r="C752" s="1094">
        <v>1.0040127091256417</v>
      </c>
      <c r="D752" s="1094">
        <v>1.0054625661167309</v>
      </c>
      <c r="E752" s="1094">
        <v>1.0012612918018018</v>
      </c>
      <c r="F752" s="1094">
        <v>1.0463564404345822</v>
      </c>
      <c r="G752" s="1094">
        <v>1.0197410552620527</v>
      </c>
      <c r="H752" s="1094">
        <v>0.97586142802769016</v>
      </c>
      <c r="I752" s="1094">
        <v>0.99037274384439111</v>
      </c>
      <c r="K752">
        <v>4.6740916564410817</v>
      </c>
      <c r="L752">
        <v>0</v>
      </c>
      <c r="M752">
        <v>1.4803430722290674E-3</v>
      </c>
      <c r="N752">
        <v>0.12860182094786188</v>
      </c>
      <c r="O752">
        <v>3.9914608114807369E-2</v>
      </c>
      <c r="P752">
        <v>1.9999111574533324E-2</v>
      </c>
      <c r="Q752">
        <v>1.296950216933582E-3</v>
      </c>
      <c r="R752">
        <v>1.4743953574468272E-3</v>
      </c>
      <c r="S752">
        <v>0.23306941511495222</v>
      </c>
      <c r="T752">
        <v>4.1498067272306969</v>
      </c>
      <c r="U752">
        <v>0</v>
      </c>
      <c r="V752">
        <v>9.4523053561131921E-3</v>
      </c>
      <c r="W752">
        <v>7.6537474874010275E-2</v>
      </c>
      <c r="X752">
        <v>1.1252436881050399E-2</v>
      </c>
      <c r="Y752">
        <v>4.166753844905266E-3</v>
      </c>
    </row>
    <row r="753" spans="1:25" x14ac:dyDescent="0.25">
      <c r="A753" s="1090"/>
      <c r="B753" s="1448">
        <v>503</v>
      </c>
      <c r="C753" s="1094">
        <v>0.98944608494576813</v>
      </c>
      <c r="D753" s="1094">
        <v>1.0449809844550699</v>
      </c>
      <c r="E753" s="1094">
        <v>1.0022367131953898</v>
      </c>
      <c r="F753" s="1094">
        <v>1.0075433971147245</v>
      </c>
      <c r="G753" s="1094">
        <v>0.99827531584525087</v>
      </c>
      <c r="H753" s="1094">
        <v>0.99882120317545997</v>
      </c>
      <c r="I753" s="1094">
        <v>0.98275223501499653</v>
      </c>
      <c r="K753">
        <v>4.5091528133288863</v>
      </c>
      <c r="L753">
        <v>0</v>
      </c>
      <c r="M753">
        <v>1.4550214752284431E-3</v>
      </c>
      <c r="N753">
        <v>0.126760445103414</v>
      </c>
      <c r="O753">
        <v>3.8396377706381872E-2</v>
      </c>
      <c r="P753">
        <v>1.9288201389418242E-2</v>
      </c>
      <c r="Q753">
        <v>1.2969882489413617E-3</v>
      </c>
      <c r="R753">
        <v>1.4490907492141975E-3</v>
      </c>
      <c r="S753">
        <v>0.22782960213433823</v>
      </c>
      <c r="T753">
        <v>3.9958383962811328</v>
      </c>
      <c r="U753">
        <v>0</v>
      </c>
      <c r="V753">
        <v>9.4523053561131973E-3</v>
      </c>
      <c r="W753">
        <v>7.5391918137766231E-2</v>
      </c>
      <c r="X753">
        <v>1.080926860726643E-2</v>
      </c>
      <c r="Y753">
        <v>4.0952410901244083E-3</v>
      </c>
    </row>
    <row r="754" spans="1:25" x14ac:dyDescent="0.25">
      <c r="A754" s="1090"/>
      <c r="B754" s="1448">
        <v>504</v>
      </c>
      <c r="C754" s="1094">
        <v>1.0402185031141118</v>
      </c>
      <c r="D754" s="1094">
        <v>0.98763245666697597</v>
      </c>
      <c r="E754" s="1094">
        <v>0.97037703914832174</v>
      </c>
      <c r="F754" s="1094">
        <v>1.0078159530815891</v>
      </c>
      <c r="G754" s="1094">
        <v>1.0386480992293543</v>
      </c>
      <c r="H754" s="1094">
        <v>0.99252634007613949</v>
      </c>
      <c r="I754" s="1094">
        <v>1.0415993549511557</v>
      </c>
      <c r="K754">
        <v>4.5043329433857542</v>
      </c>
      <c r="L754">
        <v>0</v>
      </c>
      <c r="M754">
        <v>1.5044910027116702E-3</v>
      </c>
      <c r="N754">
        <v>0.11924894108840091</v>
      </c>
      <c r="O754">
        <v>3.7578842815607597E-2</v>
      </c>
      <c r="P754">
        <v>1.8864072461858023E-2</v>
      </c>
      <c r="Q754">
        <v>1.2275701831424653E-3</v>
      </c>
      <c r="R754">
        <v>1.4983214060142083E-3</v>
      </c>
      <c r="S754">
        <v>0.23316186820231949</v>
      </c>
      <c r="T754">
        <v>3.9981502282863248</v>
      </c>
      <c r="U754">
        <v>0</v>
      </c>
      <c r="V754">
        <v>9.4523053561131973E-3</v>
      </c>
      <c r="W754">
        <v>7.2482803690355618E-2</v>
      </c>
      <c r="X754">
        <v>9.9381102135012826E-3</v>
      </c>
      <c r="Y754">
        <v>4.2343706848240797E-3</v>
      </c>
    </row>
    <row r="755" spans="1:25" x14ac:dyDescent="0.25">
      <c r="A755" s="1090"/>
      <c r="B755" s="1448">
        <v>505</v>
      </c>
      <c r="C755" s="1094">
        <v>1.0027424033934513</v>
      </c>
      <c r="D755" s="1094">
        <v>1.0054877279615824</v>
      </c>
      <c r="E755" s="1094">
        <v>0.99384953232553319</v>
      </c>
      <c r="F755" s="1094">
        <v>1.0283696779229847</v>
      </c>
      <c r="G755" s="1094">
        <v>0.97686405889282424</v>
      </c>
      <c r="H755" s="1094">
        <v>0.96408805700595379</v>
      </c>
      <c r="I755" s="1094">
        <v>1.0006305020525497</v>
      </c>
      <c r="K755">
        <v>4.5940519817946512</v>
      </c>
      <c r="L755">
        <v>0</v>
      </c>
      <c r="M755">
        <v>1.461880876662281E-3</v>
      </c>
      <c r="N755">
        <v>0.12422393106899131</v>
      </c>
      <c r="O755">
        <v>3.932983946572071E-2</v>
      </c>
      <c r="P755">
        <v>1.9562604519693046E-2</v>
      </c>
      <c r="Q755">
        <v>1.2903448834116087E-3</v>
      </c>
      <c r="R755">
        <v>1.4558320407937668E-3</v>
      </c>
      <c r="S755">
        <v>0.23209391012451994</v>
      </c>
      <c r="T755">
        <v>4.0787625651700576</v>
      </c>
      <c r="U755">
        <v>0</v>
      </c>
      <c r="V755">
        <v>9.4523053561131939E-3</v>
      </c>
      <c r="W755">
        <v>7.4303874184404581E-2</v>
      </c>
      <c r="X755">
        <v>1.0924363362803346E-2</v>
      </c>
      <c r="Y755">
        <v>4.1142924948015342E-3</v>
      </c>
    </row>
    <row r="756" spans="1:25" x14ac:dyDescent="0.25">
      <c r="A756" s="1090"/>
      <c r="B756" s="1448">
        <v>506</v>
      </c>
      <c r="C756" s="1094">
        <v>0.9803723670214497</v>
      </c>
      <c r="D756" s="1094">
        <v>1.0152854244332532</v>
      </c>
      <c r="E756" s="1094">
        <v>0.99996569185680695</v>
      </c>
      <c r="F756" s="1094">
        <v>0.98246787433618055</v>
      </c>
      <c r="G756" s="1094">
        <v>0.99824537146791359</v>
      </c>
      <c r="H756" s="1094">
        <v>0.98280732165839557</v>
      </c>
      <c r="I756" s="1094">
        <v>0.95997901386493056</v>
      </c>
      <c r="K756">
        <v>4.3982097770617141</v>
      </c>
      <c r="L756">
        <v>0</v>
      </c>
      <c r="M756">
        <v>1.4323077455202975E-3</v>
      </c>
      <c r="N756">
        <v>0.12392350934902034</v>
      </c>
      <c r="O756">
        <v>3.8241109073417962E-2</v>
      </c>
      <c r="P756">
        <v>1.8775079811959885E-2</v>
      </c>
      <c r="Q756">
        <v>1.3216014838476936E-3</v>
      </c>
      <c r="R756">
        <v>1.4262236721067649E-3</v>
      </c>
      <c r="S756">
        <v>0.22155165509929178</v>
      </c>
      <c r="T756">
        <v>3.8964757524239451</v>
      </c>
      <c r="U756">
        <v>0</v>
      </c>
      <c r="V756">
        <v>9.4523053561131904E-3</v>
      </c>
      <c r="W756">
        <v>7.3817758332724803E-2</v>
      </c>
      <c r="X756">
        <v>1.0626473220408281E-2</v>
      </c>
      <c r="Y756">
        <v>4.0306169844000535E-3</v>
      </c>
    </row>
    <row r="757" spans="1:25" x14ac:dyDescent="0.25">
      <c r="A757" s="1090"/>
      <c r="B757" s="1448">
        <v>507</v>
      </c>
      <c r="C757" s="1094">
        <v>0.98922126277868494</v>
      </c>
      <c r="D757" s="1094">
        <v>1.0210456793817098</v>
      </c>
      <c r="E757" s="1094">
        <v>0.98892891536920113</v>
      </c>
      <c r="F757" s="1094">
        <v>0.97074657560344957</v>
      </c>
      <c r="G757" s="1094">
        <v>0.9747490164951006</v>
      </c>
      <c r="H757" s="1094">
        <v>1.0172188207346686</v>
      </c>
      <c r="I757" s="1094">
        <v>1.0144585202637699</v>
      </c>
      <c r="K757">
        <v>4.3623130533317855</v>
      </c>
      <c r="L757">
        <v>0</v>
      </c>
      <c r="M757">
        <v>1.4824908317079269E-3</v>
      </c>
      <c r="N757">
        <v>0.12414881452829532</v>
      </c>
      <c r="O757">
        <v>3.7435913268829946E-2</v>
      </c>
      <c r="P757">
        <v>1.8461367128324156E-2</v>
      </c>
      <c r="Q757">
        <v>1.2944725270932305E-3</v>
      </c>
      <c r="R757">
        <v>1.4763334692745756E-3</v>
      </c>
      <c r="S757">
        <v>0.23234867266184275</v>
      </c>
      <c r="T757">
        <v>3.8503980866949608</v>
      </c>
      <c r="U757">
        <v>0</v>
      </c>
      <c r="V757">
        <v>9.4523053561131939E-3</v>
      </c>
      <c r="W757">
        <v>7.4507772773374822E-2</v>
      </c>
      <c r="X757">
        <v>1.0099574658487783E-2</v>
      </c>
      <c r="Y757">
        <v>4.1722310968983194E-3</v>
      </c>
    </row>
    <row r="758" spans="1:25" x14ac:dyDescent="0.25">
      <c r="A758" s="1090"/>
      <c r="B758" s="1448">
        <v>508</v>
      </c>
      <c r="C758" s="1094">
        <v>1.008689963039832</v>
      </c>
      <c r="D758" s="1094">
        <v>0.95899643391540235</v>
      </c>
      <c r="E758" s="1094">
        <v>1.0108476704816032</v>
      </c>
      <c r="F758" s="1094">
        <v>0.98131035113256448</v>
      </c>
      <c r="G758" s="1094">
        <v>0.98835218424916949</v>
      </c>
      <c r="H758" s="1094">
        <v>1.0224747669781336</v>
      </c>
      <c r="I758" s="1094">
        <v>1.0147576185509173</v>
      </c>
      <c r="K758">
        <v>4.4141482592075452</v>
      </c>
      <c r="L758">
        <v>0</v>
      </c>
      <c r="M758">
        <v>1.4464108000591116E-3</v>
      </c>
      <c r="N758">
        <v>0.12926355750586835</v>
      </c>
      <c r="O758">
        <v>3.7906491044865098E-2</v>
      </c>
      <c r="P758">
        <v>1.8963598512327373E-2</v>
      </c>
      <c r="Q758">
        <v>1.326412986227864E-3</v>
      </c>
      <c r="R758">
        <v>1.4404982424526388E-3</v>
      </c>
      <c r="S758">
        <v>0.23448141080671567</v>
      </c>
      <c r="T758">
        <v>3.8914794326920958</v>
      </c>
      <c r="U758">
        <v>0</v>
      </c>
      <c r="V758">
        <v>9.4523053561131939E-3</v>
      </c>
      <c r="W758">
        <v>7.6436494519859649E-2</v>
      </c>
      <c r="X758">
        <v>1.0773510331066832E-2</v>
      </c>
      <c r="Y758">
        <v>4.0709580100093835E-3</v>
      </c>
    </row>
    <row r="759" spans="1:25" x14ac:dyDescent="0.25">
      <c r="A759" s="1090"/>
      <c r="B759" s="1448">
        <v>509</v>
      </c>
      <c r="C759" s="1094">
        <v>0.95993171979839353</v>
      </c>
      <c r="D759" s="1094">
        <v>0.96253464461590454</v>
      </c>
      <c r="E759" s="1094">
        <v>0.96930811388396965</v>
      </c>
      <c r="F759" s="1094">
        <v>1.0120940050035285</v>
      </c>
      <c r="G759" s="1094">
        <v>1.0180081281384534</v>
      </c>
      <c r="H759" s="1094">
        <v>0.9853770846232992</v>
      </c>
      <c r="I759" s="1094">
        <v>0.99634048008131415</v>
      </c>
      <c r="K759">
        <v>4.5540555994109537</v>
      </c>
      <c r="L759">
        <v>0</v>
      </c>
      <c r="M759">
        <v>1.6459285192798685E-3</v>
      </c>
      <c r="N759">
        <v>0.13004448649355319</v>
      </c>
      <c r="O759">
        <v>4.1325774389045868E-2</v>
      </c>
      <c r="P759">
        <v>1.8971142343320847E-2</v>
      </c>
      <c r="Q759">
        <v>1.3427543453740274E-3</v>
      </c>
      <c r="R759">
        <v>1.6391585674011499E-3</v>
      </c>
      <c r="S759">
        <v>0.24371047637950144</v>
      </c>
      <c r="T759">
        <v>4.0151636761769121</v>
      </c>
      <c r="U759">
        <v>0</v>
      </c>
      <c r="V759">
        <v>9.4523053561131973E-3</v>
      </c>
      <c r="W759">
        <v>7.9102947746110264E-2</v>
      </c>
      <c r="X759">
        <v>1.0316418877584888E-2</v>
      </c>
      <c r="Y759">
        <v>4.6323872553121924E-3</v>
      </c>
    </row>
    <row r="760" spans="1:25" x14ac:dyDescent="0.25">
      <c r="A760" s="1090"/>
      <c r="B760" s="1448">
        <v>510</v>
      </c>
      <c r="C760" s="1094">
        <v>1.0027741396746774</v>
      </c>
      <c r="D760" s="1094">
        <v>1.0310016302615448</v>
      </c>
      <c r="E760" s="1094">
        <v>1.0091349506104785</v>
      </c>
      <c r="F760" s="1094">
        <v>1.0201554147068068</v>
      </c>
      <c r="G760" s="1094">
        <v>0.98070150214213037</v>
      </c>
      <c r="H760" s="1094">
        <v>1.0254505092832089</v>
      </c>
      <c r="I760" s="1094">
        <v>0.98788303534240718</v>
      </c>
      <c r="K760">
        <v>4.5698252962809107</v>
      </c>
      <c r="L760">
        <v>0</v>
      </c>
      <c r="M760">
        <v>1.4787374714780627E-3</v>
      </c>
      <c r="N760">
        <v>0.13150607161144126</v>
      </c>
      <c r="O760">
        <v>3.8519854974517452E-2</v>
      </c>
      <c r="P760">
        <v>1.9628647141006501E-2</v>
      </c>
      <c r="Q760">
        <v>1.2942642348467328E-3</v>
      </c>
      <c r="R760">
        <v>1.4729388886435938E-3</v>
      </c>
      <c r="S760">
        <v>0.23081858759811427</v>
      </c>
      <c r="T760">
        <v>4.045589433643566</v>
      </c>
      <c r="U760">
        <v>0</v>
      </c>
      <c r="V760">
        <v>9.4523053561131783E-3</v>
      </c>
      <c r="W760">
        <v>7.7852004955566503E-2</v>
      </c>
      <c r="X760">
        <v>1.1007287595705054E-2</v>
      </c>
      <c r="Y760">
        <v>4.1626377528711954E-3</v>
      </c>
    </row>
    <row r="761" spans="1:25" x14ac:dyDescent="0.25">
      <c r="A761" s="1090"/>
      <c r="B761" s="1448">
        <v>511</v>
      </c>
      <c r="C761" s="1094">
        <v>1.0216118418594433</v>
      </c>
      <c r="D761" s="1094">
        <v>1.017920185586475</v>
      </c>
      <c r="E761" s="1094">
        <v>1.0239564801749064</v>
      </c>
      <c r="F761" s="1094">
        <v>0.99558894870322645</v>
      </c>
      <c r="G761" s="1094">
        <v>1.009085440598126</v>
      </c>
      <c r="H761" s="1094">
        <v>1.0306771579450071</v>
      </c>
      <c r="I761" s="1094">
        <v>0.99070700181200289</v>
      </c>
      <c r="K761">
        <v>4.4587799964119466</v>
      </c>
      <c r="L761">
        <v>0</v>
      </c>
      <c r="M761">
        <v>1.387079325607096E-3</v>
      </c>
      <c r="N761">
        <v>0.12887594714253883</v>
      </c>
      <c r="O761">
        <v>3.6989322622342467E-2</v>
      </c>
      <c r="P761">
        <v>1.9361425149137124E-2</v>
      </c>
      <c r="Q761">
        <v>1.2930561488724765E-3</v>
      </c>
      <c r="R761">
        <v>1.3815347626090157E-3</v>
      </c>
      <c r="S761">
        <v>0.22468987147726813</v>
      </c>
      <c r="T761">
        <v>3.9476098176766778</v>
      </c>
      <c r="U761">
        <v>0</v>
      </c>
      <c r="V761">
        <v>9.4523053561131921E-3</v>
      </c>
      <c r="W761">
        <v>7.5542920400268498E-2</v>
      </c>
      <c r="X761">
        <v>1.1066552287400777E-2</v>
      </c>
      <c r="Y761">
        <v>3.904322714322575E-3</v>
      </c>
    </row>
    <row r="762" spans="1:25" x14ac:dyDescent="0.25">
      <c r="A762" s="1090"/>
      <c r="B762" s="1448">
        <v>512</v>
      </c>
      <c r="C762" s="1094">
        <v>1.0146462523709781</v>
      </c>
      <c r="D762" s="1094">
        <v>0.99534904927154766</v>
      </c>
      <c r="E762" s="1094">
        <v>1.0249708963525832</v>
      </c>
      <c r="F762" s="1094">
        <v>0.99881793932721497</v>
      </c>
      <c r="G762" s="1094">
        <v>0.96296971357198824</v>
      </c>
      <c r="H762" s="1094">
        <v>0.96847860234540684</v>
      </c>
      <c r="I762" s="1094">
        <v>0.9803258104350544</v>
      </c>
      <c r="K762">
        <v>4.4605048610904579</v>
      </c>
      <c r="L762">
        <v>0</v>
      </c>
      <c r="M762">
        <v>1.325575640029274E-3</v>
      </c>
      <c r="N762">
        <v>0.12350146072317393</v>
      </c>
      <c r="O762">
        <v>3.769379112734899E-2</v>
      </c>
      <c r="P762">
        <v>1.9419324701432157E-2</v>
      </c>
      <c r="Q762">
        <v>1.3147879851927397E-3</v>
      </c>
      <c r="R762">
        <v>1.3199547812081133E-3</v>
      </c>
      <c r="S762">
        <v>0.22132909125335898</v>
      </c>
      <c r="T762">
        <v>3.9603749678293636</v>
      </c>
      <c r="U762">
        <v>0</v>
      </c>
      <c r="V762">
        <v>9.4523053561131973E-3</v>
      </c>
      <c r="W762">
        <v>7.2343767343098303E-2</v>
      </c>
      <c r="X762">
        <v>1.1350692644718885E-2</v>
      </c>
      <c r="Y762">
        <v>3.7302929854744508E-3</v>
      </c>
    </row>
    <row r="763" spans="1:25" x14ac:dyDescent="0.25">
      <c r="A763" s="1090"/>
      <c r="B763" s="1448">
        <v>513</v>
      </c>
      <c r="C763" s="1094">
        <v>1.0425864641346945</v>
      </c>
      <c r="D763" s="1094">
        <v>0.97652531207212601</v>
      </c>
      <c r="E763" s="1094">
        <v>0.99185906303522842</v>
      </c>
      <c r="F763" s="1094">
        <v>1.0203874060715532</v>
      </c>
      <c r="G763" s="1094">
        <v>1.0226175917360658</v>
      </c>
      <c r="H763" s="1094">
        <v>0.98080033614094597</v>
      </c>
      <c r="I763" s="1094">
        <v>0.97727906695451294</v>
      </c>
      <c r="K763">
        <v>4.5446665625959373</v>
      </c>
      <c r="L763">
        <v>0</v>
      </c>
      <c r="M763">
        <v>1.4420433750448939E-3</v>
      </c>
      <c r="N763">
        <v>0.12182203352465901</v>
      </c>
      <c r="O763">
        <v>3.79880355658158E-2</v>
      </c>
      <c r="P763">
        <v>1.933595431170184E-2</v>
      </c>
      <c r="Q763">
        <v>1.2534764267992759E-3</v>
      </c>
      <c r="R763">
        <v>1.4361325942098798E-3</v>
      </c>
      <c r="S763">
        <v>0.22000193506496513</v>
      </c>
      <c r="T763">
        <v>4.0471805610343701</v>
      </c>
      <c r="U763">
        <v>0</v>
      </c>
      <c r="V763">
        <v>9.4523053561131939E-3</v>
      </c>
      <c r="W763">
        <v>7.2965764361081251E-2</v>
      </c>
      <c r="X763">
        <v>1.061378737649251E-2</v>
      </c>
      <c r="Y763">
        <v>4.0586203547738706E-3</v>
      </c>
    </row>
    <row r="764" spans="1:25" x14ac:dyDescent="0.25">
      <c r="A764" s="1090"/>
      <c r="B764" s="1448">
        <v>514</v>
      </c>
      <c r="C764" s="1094">
        <v>1.0115898636081642</v>
      </c>
      <c r="D764" s="1094">
        <v>1.0033700304616926</v>
      </c>
      <c r="E764" s="1094">
        <v>1.0271353870766153</v>
      </c>
      <c r="F764" s="1094">
        <v>1.0318217745935752</v>
      </c>
      <c r="G764" s="1094">
        <v>0.96843341430467678</v>
      </c>
      <c r="H764" s="1094">
        <v>0.98909541148321622</v>
      </c>
      <c r="I764" s="1094">
        <v>1.0218798057586591</v>
      </c>
      <c r="K764">
        <v>4.6210843614930477</v>
      </c>
      <c r="L764">
        <v>0</v>
      </c>
      <c r="M764">
        <v>1.3916896492493103E-3</v>
      </c>
      <c r="N764">
        <v>0.13052271675962598</v>
      </c>
      <c r="O764">
        <v>3.891656833125564E-2</v>
      </c>
      <c r="P764">
        <v>2.0132396670630028E-2</v>
      </c>
      <c r="Q764">
        <v>1.3169341104513092E-3</v>
      </c>
      <c r="R764">
        <v>1.3860955380029071E-3</v>
      </c>
      <c r="S764">
        <v>0.23760528420596327</v>
      </c>
      <c r="T764">
        <v>4.0911532572852902</v>
      </c>
      <c r="U764">
        <v>0</v>
      </c>
      <c r="V764">
        <v>9.4523053561131869E-3</v>
      </c>
      <c r="W764">
        <v>7.634680873113367E-2</v>
      </c>
      <c r="X764">
        <v>1.1726472340045544E-2</v>
      </c>
      <c r="Y764">
        <v>3.9172118137844412E-3</v>
      </c>
    </row>
    <row r="765" spans="1:25" x14ac:dyDescent="0.25">
      <c r="A765" s="1090"/>
      <c r="B765" s="1448">
        <v>515</v>
      </c>
      <c r="C765" s="1094">
        <v>0.95545173715833664</v>
      </c>
      <c r="D765" s="1094">
        <v>0.99551802514086052</v>
      </c>
      <c r="E765" s="1094">
        <v>1.0426241702412962</v>
      </c>
      <c r="F765" s="1094">
        <v>1.0318797082010847</v>
      </c>
      <c r="G765" s="1094">
        <v>1.0049098310182789</v>
      </c>
      <c r="H765" s="1094">
        <v>1.0128196804728247</v>
      </c>
      <c r="I765" s="1094">
        <v>0.99140421946420543</v>
      </c>
      <c r="K765">
        <v>4.6534810935538085</v>
      </c>
      <c r="L765">
        <v>0</v>
      </c>
      <c r="M765">
        <v>1.4648072409630885E-3</v>
      </c>
      <c r="N765">
        <v>0.14382848904640522</v>
      </c>
      <c r="O765">
        <v>4.1219527423791563E-2</v>
      </c>
      <c r="P765">
        <v>2.039933912550777E-2</v>
      </c>
      <c r="Q765">
        <v>1.4169792101565858E-3</v>
      </c>
      <c r="R765">
        <v>1.459057464663388E-3</v>
      </c>
      <c r="S765">
        <v>0.24657420338850267</v>
      </c>
      <c r="T765">
        <v>4.090784766877829</v>
      </c>
      <c r="U765">
        <v>0</v>
      </c>
      <c r="V765">
        <v>9.4523053561131887E-3</v>
      </c>
      <c r="W765">
        <v>8.3273946673627183E-2</v>
      </c>
      <c r="X765">
        <v>1.2413878439271019E-2</v>
      </c>
      <c r="Y765">
        <v>4.1234077889065468E-3</v>
      </c>
    </row>
    <row r="766" spans="1:25" x14ac:dyDescent="0.25">
      <c r="A766" s="1090"/>
      <c r="B766" s="1448">
        <v>516</v>
      </c>
      <c r="C766" s="1094">
        <v>1.021424323528509</v>
      </c>
      <c r="D766" s="1094">
        <v>0.99506315769926645</v>
      </c>
      <c r="E766" s="1094">
        <v>0.97985094515417903</v>
      </c>
      <c r="F766" s="1094">
        <v>0.96695533115565258</v>
      </c>
      <c r="G766" s="1094">
        <v>0.9655094422244721</v>
      </c>
      <c r="H766" s="1094">
        <v>0.99934520959223416</v>
      </c>
      <c r="I766" s="1094">
        <v>0.97465943382391129</v>
      </c>
      <c r="K766">
        <v>4.320262244467739</v>
      </c>
      <c r="L766">
        <v>0</v>
      </c>
      <c r="M766">
        <v>1.4469327849125177E-3</v>
      </c>
      <c r="N766">
        <v>0.11794085728907351</v>
      </c>
      <c r="O766">
        <v>3.6547305138953733E-2</v>
      </c>
      <c r="P766">
        <v>1.8196409000556382E-2</v>
      </c>
      <c r="Q766">
        <v>1.2567394554635651E-3</v>
      </c>
      <c r="R766">
        <v>1.4407917414431131E-3</v>
      </c>
      <c r="S766">
        <v>0.21608827720618745</v>
      </c>
      <c r="T766">
        <v>3.8356972031409953</v>
      </c>
      <c r="U766">
        <v>0</v>
      </c>
      <c r="V766">
        <v>9.4523053561131904E-3</v>
      </c>
      <c r="W766">
        <v>7.1222360282325994E-2</v>
      </c>
      <c r="X766">
        <v>9.7951411809755456E-3</v>
      </c>
      <c r="Y766">
        <v>4.0717874605640516E-3</v>
      </c>
    </row>
    <row r="767" spans="1:25" x14ac:dyDescent="0.25">
      <c r="A767" s="1090"/>
      <c r="B767" s="1448">
        <v>517</v>
      </c>
      <c r="C767" s="1094">
        <v>1.0240859801223781</v>
      </c>
      <c r="D767" s="1094">
        <v>1.000109909330763</v>
      </c>
      <c r="E767" s="1094">
        <v>1.0269457896997976</v>
      </c>
      <c r="F767" s="1094">
        <v>1.0206233025251015</v>
      </c>
      <c r="G767" s="1094">
        <v>0.98962448498618583</v>
      </c>
      <c r="H767" s="1094">
        <v>0.97204244075781554</v>
      </c>
      <c r="I767" s="1094">
        <v>1.0102672628269773</v>
      </c>
      <c r="K767">
        <v>4.558927064087908</v>
      </c>
      <c r="L767">
        <v>0</v>
      </c>
      <c r="M767">
        <v>1.3386797603274808E-3</v>
      </c>
      <c r="N767">
        <v>0.12546618025327513</v>
      </c>
      <c r="O767">
        <v>3.8075322406064829E-2</v>
      </c>
      <c r="P767">
        <v>1.9884829642323108E-2</v>
      </c>
      <c r="Q767">
        <v>1.3023511099820085E-3</v>
      </c>
      <c r="R767">
        <v>1.3331444927156043E-3</v>
      </c>
      <c r="S767">
        <v>0.22924453185933405</v>
      </c>
      <c r="T767">
        <v>4.0467588045416463</v>
      </c>
      <c r="U767">
        <v>0</v>
      </c>
      <c r="V767">
        <v>9.4523053561131939E-3</v>
      </c>
      <c r="W767">
        <v>7.3398317340677102E-2</v>
      </c>
      <c r="X767">
        <v>1.1582388728922473E-2</v>
      </c>
      <c r="Y767">
        <v>3.7675681171814562E-3</v>
      </c>
    </row>
    <row r="768" spans="1:25" x14ac:dyDescent="0.25">
      <c r="A768" s="1090"/>
      <c r="B768" s="1448">
        <v>518</v>
      </c>
      <c r="C768" s="1094">
        <v>1.0113968024768114</v>
      </c>
      <c r="D768" s="1094">
        <v>1.0060072206979995</v>
      </c>
      <c r="E768" s="1094">
        <v>0.98720411368482841</v>
      </c>
      <c r="F768" s="1094">
        <v>0.97957898725237691</v>
      </c>
      <c r="G768" s="1094">
        <v>1.0157632327286126</v>
      </c>
      <c r="H768" s="1094">
        <v>0.98361174764898252</v>
      </c>
      <c r="I768" s="1094">
        <v>1.0376172576536644</v>
      </c>
      <c r="K768">
        <v>4.3890633523167368</v>
      </c>
      <c r="L768">
        <v>0</v>
      </c>
      <c r="M768">
        <v>1.4283756561774483E-3</v>
      </c>
      <c r="N768">
        <v>0.11899439198060803</v>
      </c>
      <c r="O768">
        <v>3.7179619841737337E-2</v>
      </c>
      <c r="P768">
        <v>1.8595641466871683E-2</v>
      </c>
      <c r="Q768">
        <v>1.2717315815571513E-3</v>
      </c>
      <c r="R768">
        <v>1.4222954434761027E-3</v>
      </c>
      <c r="S768">
        <v>0.23237352442608575</v>
      </c>
      <c r="T768">
        <v>3.8854959426696825</v>
      </c>
      <c r="U768">
        <v>0</v>
      </c>
      <c r="V768">
        <v>9.4523053561131904E-3</v>
      </c>
      <c r="W768">
        <v>7.1498330221537135E-2</v>
      </c>
      <c r="X768">
        <v>1.0188429474862414E-2</v>
      </c>
      <c r="Y768">
        <v>4.0195155103837331E-3</v>
      </c>
    </row>
    <row r="769" spans="1:25" x14ac:dyDescent="0.25">
      <c r="A769" s="1090"/>
      <c r="B769" s="1448">
        <v>519</v>
      </c>
      <c r="C769" s="1094">
        <v>0.99806336460529443</v>
      </c>
      <c r="D769" s="1094">
        <v>1.0267869918242041</v>
      </c>
      <c r="E769" s="1094">
        <v>1.038946426790113</v>
      </c>
      <c r="F769" s="1094">
        <v>0.99352211584682482</v>
      </c>
      <c r="G769" s="1094">
        <v>1.0356670380712976</v>
      </c>
      <c r="H769" s="1094">
        <v>1.0039824704335809</v>
      </c>
      <c r="I769" s="1094">
        <v>0.96891251474379281</v>
      </c>
      <c r="K769">
        <v>4.4486369354577207</v>
      </c>
      <c r="L769">
        <v>0</v>
      </c>
      <c r="M769">
        <v>1.3324534897275098E-3</v>
      </c>
      <c r="N769">
        <v>0.12939478848909208</v>
      </c>
      <c r="O769">
        <v>3.7550780369867393E-2</v>
      </c>
      <c r="P769">
        <v>1.9519794060703768E-2</v>
      </c>
      <c r="Q769">
        <v>1.3356961657454147E-3</v>
      </c>
      <c r="R769">
        <v>1.3269743369591022E-3</v>
      </c>
      <c r="S769">
        <v>0.22209594089478399</v>
      </c>
      <c r="T769">
        <v>3.9388562497096449</v>
      </c>
      <c r="U769">
        <v>0</v>
      </c>
      <c r="V769">
        <v>9.4523053561131835E-3</v>
      </c>
      <c r="W769">
        <v>7.5098493073847264E-2</v>
      </c>
      <c r="X769">
        <v>1.1588235704748949E-2</v>
      </c>
      <c r="Y769">
        <v>3.750130785944474E-3</v>
      </c>
    </row>
    <row r="770" spans="1:25" x14ac:dyDescent="0.25">
      <c r="A770" s="1090"/>
      <c r="B770" s="1448">
        <v>520</v>
      </c>
      <c r="C770" s="1094">
        <v>0.98812803222105727</v>
      </c>
      <c r="D770" s="1094">
        <v>1.009354921832246</v>
      </c>
      <c r="E770" s="1094">
        <v>1.0028582281716765</v>
      </c>
      <c r="F770" s="1094">
        <v>0.97448414463966515</v>
      </c>
      <c r="G770" s="1094">
        <v>1.0145744587086345</v>
      </c>
      <c r="H770" s="1094">
        <v>1.0031903598317418</v>
      </c>
      <c r="I770" s="1094">
        <v>1.0324891644243377</v>
      </c>
      <c r="K770">
        <v>4.3830798267578164</v>
      </c>
      <c r="L770">
        <v>0</v>
      </c>
      <c r="M770">
        <v>1.4334153302989617E-3</v>
      </c>
      <c r="N770">
        <v>0.1250932755236295</v>
      </c>
      <c r="O770">
        <v>3.7701416128124506E-2</v>
      </c>
      <c r="P770">
        <v>1.8741648960011775E-2</v>
      </c>
      <c r="Q770">
        <v>1.3175639526722953E-3</v>
      </c>
      <c r="R770">
        <v>1.4274016005059221E-3</v>
      </c>
      <c r="S770">
        <v>0.23711120232648561</v>
      </c>
      <c r="T770">
        <v>3.8647049486468186</v>
      </c>
      <c r="U770">
        <v>0</v>
      </c>
      <c r="V770">
        <v>9.4523053561131904E-3</v>
      </c>
      <c r="W770">
        <v>7.4369161433481906E-2</v>
      </c>
      <c r="X770">
        <v>1.0560372260283737E-2</v>
      </c>
      <c r="Y770">
        <v>4.03394589998665E-3</v>
      </c>
    </row>
    <row r="771" spans="1:25" x14ac:dyDescent="0.25">
      <c r="A771" s="1090"/>
      <c r="B771" s="1448">
        <v>521</v>
      </c>
      <c r="C771" s="1094">
        <v>1.0135318196188186</v>
      </c>
      <c r="D771" s="1094">
        <v>0.99935118176915116</v>
      </c>
      <c r="E771" s="1094">
        <v>0.96557122587811961</v>
      </c>
      <c r="F771" s="1094">
        <v>0.98914466998061246</v>
      </c>
      <c r="G771" s="1094">
        <v>0.98689120621868121</v>
      </c>
      <c r="H771" s="1094">
        <v>0.99653066426936032</v>
      </c>
      <c r="I771" s="1094">
        <v>1.025812039894674</v>
      </c>
      <c r="K771">
        <v>4.4297702097928031</v>
      </c>
      <c r="L771">
        <v>0</v>
      </c>
      <c r="M771">
        <v>1.5298941312517698E-3</v>
      </c>
      <c r="N771">
        <v>0.11953668301173777</v>
      </c>
      <c r="O771">
        <v>3.7707621988970326E-2</v>
      </c>
      <c r="P771">
        <v>1.8462894224331068E-2</v>
      </c>
      <c r="Q771">
        <v>1.2487017462331597E-3</v>
      </c>
      <c r="R771">
        <v>1.5235281114983968E-3</v>
      </c>
      <c r="S771">
        <v>0.23219332547307209</v>
      </c>
      <c r="T771">
        <v>3.9242624206001571</v>
      </c>
      <c r="U771">
        <v>0</v>
      </c>
      <c r="V771">
        <v>9.4523053561131904E-3</v>
      </c>
      <c r="W771">
        <v>7.2899308800384241E-2</v>
      </c>
      <c r="X771">
        <v>9.7077078525932749E-3</v>
      </c>
      <c r="Y771">
        <v>4.3056067589633228E-3</v>
      </c>
    </row>
    <row r="772" spans="1:25" x14ac:dyDescent="0.25">
      <c r="A772" s="1090"/>
      <c r="B772" s="1448">
        <v>522</v>
      </c>
      <c r="C772" s="1094">
        <v>0.99117203136069199</v>
      </c>
      <c r="D772" s="1094">
        <v>1.003733045495895</v>
      </c>
      <c r="E772" s="1094">
        <v>1.0092724202661763</v>
      </c>
      <c r="F772" s="1094">
        <v>0.98940199828417486</v>
      </c>
      <c r="G772" s="1094">
        <v>1.0022284633842469</v>
      </c>
      <c r="H772" s="1094">
        <v>1.0078365897882429</v>
      </c>
      <c r="I772" s="1094">
        <v>1.0126780900106187</v>
      </c>
      <c r="K772">
        <v>4.4456604289495694</v>
      </c>
      <c r="L772">
        <v>0</v>
      </c>
      <c r="M772">
        <v>1.4411588337714777E-3</v>
      </c>
      <c r="N772">
        <v>0.12819161359291917</v>
      </c>
      <c r="O772">
        <v>3.8202423611596245E-2</v>
      </c>
      <c r="P772">
        <v>1.9091102370255277E-2</v>
      </c>
      <c r="Q772">
        <v>1.3236841148165208E-3</v>
      </c>
      <c r="R772">
        <v>1.4352308569462015E-3</v>
      </c>
      <c r="S772">
        <v>0.23498546210171364</v>
      </c>
      <c r="T772">
        <v>3.9236266868092136</v>
      </c>
      <c r="U772">
        <v>0</v>
      </c>
      <c r="V772">
        <v>9.4523053561131817E-3</v>
      </c>
      <c r="W772">
        <v>7.588282853857678E-2</v>
      </c>
      <c r="X772">
        <v>1.0854178454770984E-2</v>
      </c>
      <c r="Y772">
        <v>4.0560719764223315E-3</v>
      </c>
    </row>
    <row r="773" spans="1:25" x14ac:dyDescent="0.25">
      <c r="A773" s="1090"/>
      <c r="B773" s="1448">
        <v>523</v>
      </c>
      <c r="C773" s="1094">
        <v>1.0075175827904881</v>
      </c>
      <c r="D773" s="1094">
        <v>1.0243901566181752</v>
      </c>
      <c r="E773" s="1094">
        <v>1.0234662978046545</v>
      </c>
      <c r="F773" s="1094">
        <v>0.9890332588717351</v>
      </c>
      <c r="G773" s="1094">
        <v>0.9850575639914495</v>
      </c>
      <c r="H773" s="1094">
        <v>1.0181963398250287</v>
      </c>
      <c r="I773" s="1094">
        <v>1.021872616868688</v>
      </c>
      <c r="K773">
        <v>4.439182148589305</v>
      </c>
      <c r="L773">
        <v>0</v>
      </c>
      <c r="M773">
        <v>1.3782735496699209E-3</v>
      </c>
      <c r="N773">
        <v>0.12786253803127665</v>
      </c>
      <c r="O773">
        <v>3.7168770022767639E-2</v>
      </c>
      <c r="P773">
        <v>1.9270702443620658E-2</v>
      </c>
      <c r="Q773">
        <v>1.307284999763456E-3</v>
      </c>
      <c r="R773">
        <v>1.3726598409247383E-3</v>
      </c>
      <c r="S773">
        <v>0.23255914167845831</v>
      </c>
      <c r="T773">
        <v>3.9216340984008169</v>
      </c>
      <c r="U773">
        <v>0</v>
      </c>
      <c r="V773">
        <v>9.4523053561131991E-3</v>
      </c>
      <c r="W773">
        <v>7.4973332240047957E-2</v>
      </c>
      <c r="X773">
        <v>1.1080347617107956E-2</v>
      </c>
      <c r="Y773">
        <v>3.8792415080745888E-3</v>
      </c>
    </row>
    <row r="774" spans="1:25" x14ac:dyDescent="0.25">
      <c r="A774" s="1090"/>
      <c r="B774" s="1448">
        <v>524</v>
      </c>
      <c r="C774" s="1094">
        <v>0.97659696381111882</v>
      </c>
      <c r="D774" s="1094">
        <v>1.0008412263210709</v>
      </c>
      <c r="E774" s="1094">
        <v>0.99016206802950957</v>
      </c>
      <c r="F774" s="1094">
        <v>1.0216473138256259</v>
      </c>
      <c r="G774" s="1094">
        <v>1.0167547768909819</v>
      </c>
      <c r="H774" s="1094">
        <v>0.97572871055033328</v>
      </c>
      <c r="I774" s="1094">
        <v>0.99264643370841599</v>
      </c>
      <c r="K774">
        <v>4.5792637859664866</v>
      </c>
      <c r="L774">
        <v>0</v>
      </c>
      <c r="M774">
        <v>1.5238228690028712E-3</v>
      </c>
      <c r="N774">
        <v>0.12808249487722231</v>
      </c>
      <c r="O774">
        <v>4.021964098492628E-2</v>
      </c>
      <c r="P774">
        <v>1.9409129964311076E-2</v>
      </c>
      <c r="Q774">
        <v>1.3231374319466339E-3</v>
      </c>
      <c r="R774">
        <v>1.5175521291055118E-3</v>
      </c>
      <c r="S774">
        <v>0.23659804748987948</v>
      </c>
      <c r="T774">
        <v>4.0522440673818148</v>
      </c>
      <c r="U774">
        <v>0</v>
      </c>
      <c r="V774">
        <v>9.4523053561132026E-3</v>
      </c>
      <c r="W774">
        <v>7.6804070470554459E-2</v>
      </c>
      <c r="X774">
        <v>1.0848444573133843E-2</v>
      </c>
      <c r="Y774">
        <v>4.2887181764763556E-3</v>
      </c>
    </row>
    <row r="775" spans="1:25" x14ac:dyDescent="0.25">
      <c r="A775" s="1090"/>
      <c r="B775" s="1448">
        <v>525</v>
      </c>
      <c r="C775" s="1094">
        <v>1.0398712742263132</v>
      </c>
      <c r="D775" s="1094">
        <v>1.0238796104187933</v>
      </c>
      <c r="E775" s="1094">
        <v>0.99157421063570339</v>
      </c>
      <c r="F775" s="1094">
        <v>1.0071392198565008</v>
      </c>
      <c r="G775" s="1094">
        <v>0.99079321355131011</v>
      </c>
      <c r="H775" s="1094">
        <v>0.99577612667279669</v>
      </c>
      <c r="I775" s="1094">
        <v>1.0226288911724315</v>
      </c>
      <c r="K775">
        <v>4.4943926712463487</v>
      </c>
      <c r="L775">
        <v>0</v>
      </c>
      <c r="M775">
        <v>1.4225690190439835E-3</v>
      </c>
      <c r="N775">
        <v>0.12007646999435277</v>
      </c>
      <c r="O775">
        <v>3.6889236150707841E-2</v>
      </c>
      <c r="P775">
        <v>1.9124439145012356E-2</v>
      </c>
      <c r="Q775">
        <v>1.232866159788127E-3</v>
      </c>
      <c r="R775">
        <v>1.4167505143325612E-3</v>
      </c>
      <c r="S775">
        <v>0.2266594338171623</v>
      </c>
      <c r="T775">
        <v>3.9946450155448323</v>
      </c>
      <c r="U775">
        <v>0</v>
      </c>
      <c r="V775">
        <v>9.4523053561131973E-3</v>
      </c>
      <c r="W775">
        <v>7.1934178405333768E-2</v>
      </c>
      <c r="X775">
        <v>1.0380700060465724E-2</v>
      </c>
      <c r="Y775">
        <v>4.0038451172887688E-3</v>
      </c>
    </row>
    <row r="776" spans="1:25" x14ac:dyDescent="0.25">
      <c r="A776" s="1090"/>
      <c r="B776" s="1448">
        <v>526</v>
      </c>
      <c r="C776" s="1094">
        <v>0.97232413102713533</v>
      </c>
      <c r="D776" s="1094">
        <v>0.99918621527502727</v>
      </c>
      <c r="E776" s="1094">
        <v>1.0361546319068407</v>
      </c>
      <c r="F776" s="1094">
        <v>0.99617596568014477</v>
      </c>
      <c r="G776" s="1094">
        <v>0.98144448723033939</v>
      </c>
      <c r="H776" s="1094">
        <v>1.0230600671387013</v>
      </c>
      <c r="I776" s="1094">
        <v>1.0212408954061651</v>
      </c>
      <c r="K776">
        <v>4.495447069358721</v>
      </c>
      <c r="L776">
        <v>0</v>
      </c>
      <c r="M776">
        <v>1.4211151280658452E-3</v>
      </c>
      <c r="N776">
        <v>0.13688302147799955</v>
      </c>
      <c r="O776">
        <v>3.9091068380740959E-2</v>
      </c>
      <c r="P776">
        <v>1.9633557256083501E-2</v>
      </c>
      <c r="Q776">
        <v>1.3828453816593792E-3</v>
      </c>
      <c r="R776">
        <v>1.4153955779942094E-3</v>
      </c>
      <c r="S776">
        <v>0.24422485928883822</v>
      </c>
      <c r="T776">
        <v>3.9494814907817548</v>
      </c>
      <c r="U776">
        <v>0</v>
      </c>
      <c r="V776">
        <v>9.4523053561131852E-3</v>
      </c>
      <c r="W776">
        <v>7.9590818865503635E-2</v>
      </c>
      <c r="X776">
        <v>1.1712806156346863E-2</v>
      </c>
      <c r="Y776">
        <v>4.0000159637520946E-3</v>
      </c>
    </row>
    <row r="777" spans="1:25" x14ac:dyDescent="0.25">
      <c r="A777" s="1090"/>
      <c r="B777" s="1448">
        <v>527</v>
      </c>
      <c r="C777" s="1094">
        <v>0.96877356015325211</v>
      </c>
      <c r="D777" s="1094">
        <v>1.0012269030109497</v>
      </c>
      <c r="E777" s="1094">
        <v>1.0414317967430995</v>
      </c>
      <c r="F777" s="1094">
        <v>0.9857656729275629</v>
      </c>
      <c r="G777" s="1094">
        <v>1.0059139770124153</v>
      </c>
      <c r="H777" s="1094">
        <v>1.0163992740517951</v>
      </c>
      <c r="I777" s="1094">
        <v>1.0008023430280417</v>
      </c>
      <c r="K777">
        <v>4.4446944726700197</v>
      </c>
      <c r="L777">
        <v>0</v>
      </c>
      <c r="M777">
        <v>1.3855705213338477E-3</v>
      </c>
      <c r="N777">
        <v>0.13554704878720086</v>
      </c>
      <c r="O777">
        <v>3.8755611528694715E-2</v>
      </c>
      <c r="P777">
        <v>1.9483981569183382E-2</v>
      </c>
      <c r="Q777">
        <v>1.3929144949961054E-3</v>
      </c>
      <c r="R777">
        <v>1.379898452268574E-3</v>
      </c>
      <c r="S777">
        <v>0.23785111954439001</v>
      </c>
      <c r="T777">
        <v>3.9080140824424339</v>
      </c>
      <c r="U777">
        <v>0</v>
      </c>
      <c r="V777">
        <v>9.4523053561131852E-3</v>
      </c>
      <c r="W777">
        <v>7.8540652226736382E-2</v>
      </c>
      <c r="X777">
        <v>1.1762730412960594E-2</v>
      </c>
      <c r="Y777">
        <v>3.8996983763741012E-3</v>
      </c>
    </row>
    <row r="778" spans="1:25" x14ac:dyDescent="0.25">
      <c r="A778" s="1090"/>
      <c r="B778" s="1448">
        <v>528</v>
      </c>
      <c r="C778" s="1094">
        <v>1.0051969878931124</v>
      </c>
      <c r="D778" s="1094">
        <v>0.99677902174843713</v>
      </c>
      <c r="E778" s="1094">
        <v>0.99877333178643357</v>
      </c>
      <c r="F778" s="1094">
        <v>1.0007728701409135</v>
      </c>
      <c r="G778" s="1094">
        <v>1.0217212191879872</v>
      </c>
      <c r="H778" s="1094">
        <v>1.0187776476496573</v>
      </c>
      <c r="I778" s="1094">
        <v>0.99404662824569989</v>
      </c>
      <c r="K778">
        <v>4.4876148458159344</v>
      </c>
      <c r="L778">
        <v>0</v>
      </c>
      <c r="M778">
        <v>1.4895578493872251E-3</v>
      </c>
      <c r="N778">
        <v>0.12845123833501343</v>
      </c>
      <c r="O778">
        <v>3.8280343470464315E-2</v>
      </c>
      <c r="P778">
        <v>1.912927282271638E-2</v>
      </c>
      <c r="Q778">
        <v>1.2971557539075676E-3</v>
      </c>
      <c r="R778">
        <v>1.4835651781383891E-3</v>
      </c>
      <c r="S778">
        <v>0.2305136801677799</v>
      </c>
      <c r="T778">
        <v>3.9691189730662804</v>
      </c>
      <c r="U778">
        <v>0</v>
      </c>
      <c r="V778">
        <v>9.4523053561131869E-3</v>
      </c>
      <c r="W778">
        <v>7.6576512909434374E-2</v>
      </c>
      <c r="X778">
        <v>1.0608688147211717E-2</v>
      </c>
      <c r="Y778">
        <v>4.1926684582623101E-3</v>
      </c>
    </row>
    <row r="779" spans="1:25" x14ac:dyDescent="0.25">
      <c r="A779" s="1090"/>
      <c r="B779" s="1448">
        <v>529</v>
      </c>
      <c r="C779" s="1094">
        <v>0.97001620438192648</v>
      </c>
      <c r="D779" s="1094">
        <v>0.96536034923046921</v>
      </c>
      <c r="E779" s="1094">
        <v>1.0185335214439624</v>
      </c>
      <c r="F779" s="1094">
        <v>0.99524406081468797</v>
      </c>
      <c r="G779" s="1094">
        <v>0.97511276989635964</v>
      </c>
      <c r="H779" s="1094">
        <v>1.0321417835776652</v>
      </c>
      <c r="I779" s="1094">
        <v>1.0314063989944759</v>
      </c>
      <c r="K779">
        <v>4.5019092799108362</v>
      </c>
      <c r="L779">
        <v>0</v>
      </c>
      <c r="M779">
        <v>1.5109868328732796E-3</v>
      </c>
      <c r="N779">
        <v>0.13815475379792422</v>
      </c>
      <c r="O779">
        <v>3.9816828742322063E-2</v>
      </c>
      <c r="P779">
        <v>1.9398256713680624E-2</v>
      </c>
      <c r="Q779">
        <v>1.3846583165442144E-3</v>
      </c>
      <c r="R779">
        <v>1.5049534644274005E-3</v>
      </c>
      <c r="S779">
        <v>0.25045448805463272</v>
      </c>
      <c r="T779">
        <v>3.9464456887796566</v>
      </c>
      <c r="U779">
        <v>0</v>
      </c>
      <c r="V779">
        <v>9.4523053561131852E-3</v>
      </c>
      <c r="W779">
        <v>8.1274967819959132E-2</v>
      </c>
      <c r="X779">
        <v>1.1280252310213432E-2</v>
      </c>
      <c r="Y779">
        <v>4.253113388233469E-3</v>
      </c>
    </row>
    <row r="780" spans="1:25" x14ac:dyDescent="0.25">
      <c r="A780" s="1090"/>
      <c r="B780" s="1448">
        <v>530</v>
      </c>
      <c r="C780" s="1094">
        <v>0.98016050207339167</v>
      </c>
      <c r="D780" s="1094">
        <v>0.9888657558047208</v>
      </c>
      <c r="E780" s="1094">
        <v>0.97991297021739221</v>
      </c>
      <c r="F780" s="1094">
        <v>0.98970646880558955</v>
      </c>
      <c r="G780" s="1094">
        <v>0.99850648870357017</v>
      </c>
      <c r="H780" s="1094">
        <v>1.0390009546356347</v>
      </c>
      <c r="I780" s="1094">
        <v>1.0178842547613494</v>
      </c>
      <c r="K780">
        <v>4.4618628124128037</v>
      </c>
      <c r="L780">
        <v>0</v>
      </c>
      <c r="M780">
        <v>1.6082153102919801E-3</v>
      </c>
      <c r="N780">
        <v>0.13114491110704224</v>
      </c>
      <c r="O780">
        <v>3.9079130614560788E-2</v>
      </c>
      <c r="P780">
        <v>1.8719658751776332E-2</v>
      </c>
      <c r="Q780">
        <v>1.3129946476885756E-3</v>
      </c>
      <c r="R780">
        <v>1.6018005572054235E-3</v>
      </c>
      <c r="S780">
        <v>0.24242699301358533</v>
      </c>
      <c r="T780">
        <v>3.9259435564551688</v>
      </c>
      <c r="U780">
        <v>0</v>
      </c>
      <c r="V780">
        <v>9.4523053561132043E-3</v>
      </c>
      <c r="W780">
        <v>7.9192684991348627E-2</v>
      </c>
      <c r="X780">
        <v>1.0070181562252657E-2</v>
      </c>
      <c r="Y780">
        <v>4.5268106663499171E-3</v>
      </c>
    </row>
    <row r="781" spans="1:25" x14ac:dyDescent="0.25">
      <c r="A781" s="1090"/>
      <c r="B781" s="1448">
        <v>531</v>
      </c>
      <c r="C781" s="1094">
        <v>1.0051744487236773</v>
      </c>
      <c r="D781" s="1094">
        <v>1.0223755619106629</v>
      </c>
      <c r="E781" s="1094">
        <v>1.0241316466494155</v>
      </c>
      <c r="F781" s="1094">
        <v>1.002037581602252</v>
      </c>
      <c r="G781" s="1094">
        <v>0.99271249514395365</v>
      </c>
      <c r="H781" s="1094">
        <v>0.97919093714185901</v>
      </c>
      <c r="I781" s="1094">
        <v>0.98633070120922528</v>
      </c>
      <c r="K781">
        <v>4.4788506623282887</v>
      </c>
      <c r="L781">
        <v>0</v>
      </c>
      <c r="M781">
        <v>1.3451275017600317E-3</v>
      </c>
      <c r="N781">
        <v>0.12501989557158491</v>
      </c>
      <c r="O781">
        <v>3.777047045086375E-2</v>
      </c>
      <c r="P781">
        <v>1.9480254790584847E-2</v>
      </c>
      <c r="Q781">
        <v>1.3121013386234092E-3</v>
      </c>
      <c r="R781">
        <v>1.3395041880300996E-3</v>
      </c>
      <c r="S781">
        <v>0.22425485401107756</v>
      </c>
      <c r="T781">
        <v>3.9731726872911826</v>
      </c>
      <c r="U781">
        <v>0</v>
      </c>
      <c r="V781">
        <v>9.4523053561131991E-3</v>
      </c>
      <c r="W781">
        <v>7.3274091937223618E-2</v>
      </c>
      <c r="X781">
        <v>1.1334083793079814E-2</v>
      </c>
      <c r="Y781">
        <v>3.7855411016799886E-3</v>
      </c>
    </row>
    <row r="782" spans="1:25" x14ac:dyDescent="0.25">
      <c r="A782" s="1090"/>
      <c r="B782" s="1448">
        <v>532</v>
      </c>
      <c r="C782" s="1094">
        <v>1.0027006349813115</v>
      </c>
      <c r="D782" s="1094">
        <v>0.99295341611362808</v>
      </c>
      <c r="E782" s="1094">
        <v>0.99129310745710031</v>
      </c>
      <c r="F782" s="1094">
        <v>0.99843019992088389</v>
      </c>
      <c r="G782" s="1094">
        <v>1.040418083972992</v>
      </c>
      <c r="H782" s="1094">
        <v>1.0116571422246361</v>
      </c>
      <c r="I782" s="1094">
        <v>0.9902207316277406</v>
      </c>
      <c r="K782">
        <v>4.4754706510156881</v>
      </c>
      <c r="L782">
        <v>0</v>
      </c>
      <c r="M782">
        <v>1.5051565377906461E-3</v>
      </c>
      <c r="N782">
        <v>0.12694541815871566</v>
      </c>
      <c r="O782">
        <v>3.8395995540087893E-2</v>
      </c>
      <c r="P782">
        <v>1.8977489640355883E-2</v>
      </c>
      <c r="Q782">
        <v>1.2940380048062209E-3</v>
      </c>
      <c r="R782">
        <v>1.4990442408784181E-3</v>
      </c>
      <c r="S782">
        <v>0.22956892253604042</v>
      </c>
      <c r="T782">
        <v>3.9601129139520177</v>
      </c>
      <c r="U782">
        <v>0</v>
      </c>
      <c r="V782">
        <v>9.4523053561131939E-3</v>
      </c>
      <c r="W782">
        <v>7.6063691639524283E-2</v>
      </c>
      <c r="X782">
        <v>1.0429575013600093E-2</v>
      </c>
      <c r="Y782">
        <v>4.2364134713361685E-3</v>
      </c>
    </row>
    <row r="783" spans="1:25" x14ac:dyDescent="0.25">
      <c r="A783" s="1090"/>
      <c r="B783" s="1448">
        <v>533</v>
      </c>
      <c r="C783" s="1094">
        <v>1.029510756290607</v>
      </c>
      <c r="D783" s="1094">
        <v>1.0064707850957144</v>
      </c>
      <c r="E783" s="1094">
        <v>1.0228985958158359</v>
      </c>
      <c r="F783" s="1094">
        <v>0.97429890914294714</v>
      </c>
      <c r="G783" s="1094">
        <v>0.95368428157647434</v>
      </c>
      <c r="H783" s="1094">
        <v>0.95664653385926479</v>
      </c>
      <c r="I783" s="1094">
        <v>0.97976488601321332</v>
      </c>
      <c r="K783">
        <v>4.3412441827868538</v>
      </c>
      <c r="L783">
        <v>0</v>
      </c>
      <c r="M783">
        <v>1.2588455127484439E-3</v>
      </c>
      <c r="N783">
        <v>0.11654893361456181</v>
      </c>
      <c r="O783">
        <v>3.6090373058818438E-2</v>
      </c>
      <c r="P783">
        <v>1.8901368544671216E-2</v>
      </c>
      <c r="Q783">
        <v>1.287803197198659E-3</v>
      </c>
      <c r="R783">
        <v>1.253306168403769E-3</v>
      </c>
      <c r="S783">
        <v>0.21285725914559214</v>
      </c>
      <c r="T783">
        <v>3.8632314786073754</v>
      </c>
      <c r="U783">
        <v>0</v>
      </c>
      <c r="V783">
        <v>9.4523053561131921E-3</v>
      </c>
      <c r="W783">
        <v>6.8365318395916683E-2</v>
      </c>
      <c r="X783">
        <v>1.0972943293642233E-2</v>
      </c>
      <c r="Y783">
        <v>3.5419389173084984E-3</v>
      </c>
    </row>
    <row r="784" spans="1:25" x14ac:dyDescent="0.25">
      <c r="A784" s="1090"/>
      <c r="B784" s="1448">
        <v>534</v>
      </c>
      <c r="C784" s="1094">
        <v>1.026990219654075</v>
      </c>
      <c r="D784" s="1094">
        <v>1.0272232966178168</v>
      </c>
      <c r="E784" s="1094">
        <v>0.97891473927913231</v>
      </c>
      <c r="F784" s="1094">
        <v>1.0103537112212373</v>
      </c>
      <c r="G784" s="1094">
        <v>1.0170761433089017</v>
      </c>
      <c r="H784" s="1094">
        <v>0.9931545783470066</v>
      </c>
      <c r="I784" s="1094">
        <v>0.99385633863999501</v>
      </c>
      <c r="K784">
        <v>4.50526001928377</v>
      </c>
      <c r="L784">
        <v>0</v>
      </c>
      <c r="M784">
        <v>1.4781048914712764E-3</v>
      </c>
      <c r="N784">
        <v>0.12016632076385879</v>
      </c>
      <c r="O784">
        <v>3.7506694369731419E-2</v>
      </c>
      <c r="P784">
        <v>1.8985906004182623E-2</v>
      </c>
      <c r="Q784">
        <v>1.2331229536108443E-3</v>
      </c>
      <c r="R784">
        <v>1.4720624861474583E-3</v>
      </c>
      <c r="S784">
        <v>0.22312047395612966</v>
      </c>
      <c r="T784">
        <v>4.007885328499083</v>
      </c>
      <c r="U784">
        <v>0</v>
      </c>
      <c r="V784">
        <v>9.452305356113206E-3</v>
      </c>
      <c r="W784">
        <v>7.2612857928394892E-2</v>
      </c>
      <c r="X784">
        <v>1.0142890885478515E-2</v>
      </c>
      <c r="Y784">
        <v>4.1601609725069521E-3</v>
      </c>
    </row>
    <row r="785" spans="1:25" x14ac:dyDescent="0.25">
      <c r="A785" s="1090"/>
      <c r="B785" s="1448">
        <v>535</v>
      </c>
      <c r="C785" s="1094">
        <v>0.98151732050580176</v>
      </c>
      <c r="D785" s="1094">
        <v>0.99134636678935484</v>
      </c>
      <c r="E785" s="1094">
        <v>0.96742443367763753</v>
      </c>
      <c r="F785" s="1094">
        <v>1.0100290584681724</v>
      </c>
      <c r="G785" s="1094">
        <v>1.0167100527502</v>
      </c>
      <c r="H785" s="1094">
        <v>0.95908101342871066</v>
      </c>
      <c r="I785" s="1094">
        <v>1.0055208028236882</v>
      </c>
      <c r="K785">
        <v>4.5232135376881963</v>
      </c>
      <c r="L785">
        <v>0</v>
      </c>
      <c r="M785">
        <v>1.5513627919240276E-3</v>
      </c>
      <c r="N785">
        <v>0.12187420610299278</v>
      </c>
      <c r="O785">
        <v>3.9874702588780009E-2</v>
      </c>
      <c r="P785">
        <v>1.8873488344547776E-2</v>
      </c>
      <c r="Q785">
        <v>1.2956864207625933E-3</v>
      </c>
      <c r="R785">
        <v>1.5447935004376636E-3</v>
      </c>
      <c r="S785">
        <v>0.23599718892820162</v>
      </c>
      <c r="T785">
        <v>4.0070452201689006</v>
      </c>
      <c r="U785">
        <v>0</v>
      </c>
      <c r="V785">
        <v>9.4523053561131939E-3</v>
      </c>
      <c r="W785">
        <v>7.4229661610077241E-2</v>
      </c>
      <c r="X785">
        <v>1.0211943087662306E-2</v>
      </c>
      <c r="Y785">
        <v>4.3657043716413329E-3</v>
      </c>
    </row>
    <row r="786" spans="1:25" x14ac:dyDescent="0.25">
      <c r="A786" s="1090"/>
      <c r="B786" s="1448">
        <v>536</v>
      </c>
      <c r="C786" s="1094">
        <v>1.0198736385961702</v>
      </c>
      <c r="D786" s="1094">
        <v>0.99189210448922438</v>
      </c>
      <c r="E786" s="1094">
        <v>0.98373361210546861</v>
      </c>
      <c r="F786" s="1094">
        <v>1.0423492386931164</v>
      </c>
      <c r="G786" s="1094">
        <v>1.0038896184724708</v>
      </c>
      <c r="H786" s="1094">
        <v>1.0327010746039507</v>
      </c>
      <c r="I786" s="1094">
        <v>1.0035531050997353</v>
      </c>
      <c r="K786">
        <v>4.6686247307608104</v>
      </c>
      <c r="L786">
        <v>0</v>
      </c>
      <c r="M786">
        <v>1.6027080216546082E-3</v>
      </c>
      <c r="N786">
        <v>0.13220932713157479</v>
      </c>
      <c r="O786">
        <v>3.9479971641582928E-2</v>
      </c>
      <c r="P786">
        <v>1.9688381367417799E-2</v>
      </c>
      <c r="Q786">
        <v>1.2645079981141666E-3</v>
      </c>
      <c r="R786">
        <v>1.5965997893619612E-3</v>
      </c>
      <c r="S786">
        <v>0.23725820630321337</v>
      </c>
      <c r="T786">
        <v>4.1346126157397354</v>
      </c>
      <c r="U786">
        <v>0</v>
      </c>
      <c r="V786">
        <v>9.4523053561132008E-3</v>
      </c>
      <c r="W786">
        <v>7.9626990770002917E-2</v>
      </c>
      <c r="X786">
        <v>1.0526419785979575E-2</v>
      </c>
      <c r="Y786">
        <v>4.5121128993644505E-3</v>
      </c>
    </row>
    <row r="787" spans="1:25" x14ac:dyDescent="0.25">
      <c r="A787" s="1090"/>
      <c r="B787" s="1448">
        <v>537</v>
      </c>
      <c r="C787" s="1094">
        <v>0.96885036533487856</v>
      </c>
      <c r="D787" s="1094">
        <v>1.0488468052448934</v>
      </c>
      <c r="E787" s="1094">
        <v>1.0043329989757734</v>
      </c>
      <c r="F787" s="1094">
        <v>0.95903915372118675</v>
      </c>
      <c r="G787" s="1094">
        <v>0.98447095864422873</v>
      </c>
      <c r="H787" s="1094">
        <v>1.0301801924925857</v>
      </c>
      <c r="I787" s="1094">
        <v>0.99088804377935347</v>
      </c>
      <c r="K787">
        <v>4.3158973417127786</v>
      </c>
      <c r="L787">
        <v>0</v>
      </c>
      <c r="M787">
        <v>1.4505495588002352E-3</v>
      </c>
      <c r="N787">
        <v>0.12714845361934685</v>
      </c>
      <c r="O787">
        <v>3.7255791032270648E-2</v>
      </c>
      <c r="P787">
        <v>1.8444988265594018E-2</v>
      </c>
      <c r="Q787">
        <v>1.3249778452836284E-3</v>
      </c>
      <c r="R787">
        <v>1.4445283512814651E-3</v>
      </c>
      <c r="S787">
        <v>0.22891140023072326</v>
      </c>
      <c r="T787">
        <v>3.803397921112913</v>
      </c>
      <c r="U787">
        <v>0</v>
      </c>
      <c r="V787">
        <v>9.4523053561131904E-3</v>
      </c>
      <c r="W787">
        <v>7.5515859504217964E-2</v>
      </c>
      <c r="X787">
        <v>1.0369318548590667E-2</v>
      </c>
      <c r="Y787">
        <v>4.082347405243901E-3</v>
      </c>
    </row>
    <row r="788" spans="1:25" x14ac:dyDescent="0.25">
      <c r="A788" s="1090"/>
      <c r="B788" s="1448">
        <v>538</v>
      </c>
      <c r="C788" s="1094">
        <v>0.98365141514236587</v>
      </c>
      <c r="D788" s="1094">
        <v>1.0239577300484912</v>
      </c>
      <c r="E788" s="1094">
        <v>0.97483441030970419</v>
      </c>
      <c r="F788" s="1094">
        <v>0.98734242012971307</v>
      </c>
      <c r="G788" s="1094">
        <v>0.99034174236503658</v>
      </c>
      <c r="H788" s="1094">
        <v>1.0296075323803648</v>
      </c>
      <c r="I788" s="1094">
        <v>1.0076820352059956</v>
      </c>
      <c r="K788">
        <v>4.437938592816538</v>
      </c>
      <c r="L788">
        <v>0</v>
      </c>
      <c r="M788">
        <v>1.5790361502084501E-3</v>
      </c>
      <c r="N788">
        <v>0.12683327780424747</v>
      </c>
      <c r="O788">
        <v>3.8343852875293398E-2</v>
      </c>
      <c r="P788">
        <v>1.8575650184146142E-2</v>
      </c>
      <c r="Q788">
        <v>1.2845272450653586E-3</v>
      </c>
      <c r="R788">
        <v>1.5726651684245551E-3</v>
      </c>
      <c r="S788">
        <v>0.2355177265711518</v>
      </c>
      <c r="T788">
        <v>3.9167589610248683</v>
      </c>
      <c r="U788">
        <v>0</v>
      </c>
      <c r="V788">
        <v>9.4523053561132078E-3</v>
      </c>
      <c r="W788">
        <v>7.6856512150362641E-2</v>
      </c>
      <c r="X788">
        <v>9.8776787537941304E-3</v>
      </c>
      <c r="Y788">
        <v>4.4444718332734747E-3</v>
      </c>
    </row>
    <row r="789" spans="1:25" x14ac:dyDescent="0.25">
      <c r="A789" s="1090"/>
      <c r="B789" s="1448">
        <v>539</v>
      </c>
      <c r="C789" s="1094">
        <v>0.9563261954086486</v>
      </c>
      <c r="D789" s="1094">
        <v>1.0026687928063565</v>
      </c>
      <c r="E789" s="1094">
        <v>1.0319906538756296</v>
      </c>
      <c r="F789" s="1094">
        <v>1.0125375082611741</v>
      </c>
      <c r="G789" s="1094">
        <v>1.0021461233486868</v>
      </c>
      <c r="H789" s="1094">
        <v>1.0044860975470609</v>
      </c>
      <c r="I789" s="1094">
        <v>1.0346101065848861</v>
      </c>
      <c r="K789">
        <v>4.5729761861081402</v>
      </c>
      <c r="L789">
        <v>0</v>
      </c>
      <c r="M789">
        <v>1.4526025373188887E-3</v>
      </c>
      <c r="N789">
        <v>0.13820339839667575</v>
      </c>
      <c r="O789">
        <v>4.0371987734522774E-2</v>
      </c>
      <c r="P789">
        <v>1.9916146895350154E-2</v>
      </c>
      <c r="Q789">
        <v>1.3991281262871922E-3</v>
      </c>
      <c r="R789">
        <v>1.4467439832688113E-3</v>
      </c>
      <c r="S789">
        <v>0.25255221845880893</v>
      </c>
      <c r="T789">
        <v>4.0145070241332554</v>
      </c>
      <c r="U789">
        <v>0</v>
      </c>
      <c r="V789">
        <v>9.4523053561131956E-3</v>
      </c>
      <c r="W789">
        <v>8.0579866681385073E-2</v>
      </c>
      <c r="X789">
        <v>1.1911359929393416E-2</v>
      </c>
      <c r="Y789">
        <v>4.088608950395642E-3</v>
      </c>
    </row>
    <row r="790" spans="1:25" x14ac:dyDescent="0.25">
      <c r="A790" s="1090"/>
      <c r="B790" s="1448">
        <v>540</v>
      </c>
      <c r="C790" s="1094">
        <v>0.99014580372865768</v>
      </c>
      <c r="D790" s="1094">
        <v>0.98109099021946911</v>
      </c>
      <c r="E790" s="1094">
        <v>1.006177278855285</v>
      </c>
      <c r="F790" s="1094">
        <v>1.001231574237329</v>
      </c>
      <c r="G790" s="1094">
        <v>1.0225081628957138</v>
      </c>
      <c r="H790" s="1094">
        <v>1.000157921034986</v>
      </c>
      <c r="I790" s="1094">
        <v>0.9881658030094076</v>
      </c>
      <c r="K790">
        <v>4.4939154683523359</v>
      </c>
      <c r="L790">
        <v>0</v>
      </c>
      <c r="M790">
        <v>1.4715614918159195E-3</v>
      </c>
      <c r="N790">
        <v>0.12970392905433276</v>
      </c>
      <c r="O790">
        <v>3.9075734774850164E-2</v>
      </c>
      <c r="P790">
        <v>1.9250587827827723E-2</v>
      </c>
      <c r="Q790">
        <v>1.3336793882262204E-3</v>
      </c>
      <c r="R790">
        <v>1.4655337571776608E-3</v>
      </c>
      <c r="S790">
        <v>0.23241441858052103</v>
      </c>
      <c r="T790">
        <v>3.9706562644965171</v>
      </c>
      <c r="U790">
        <v>0</v>
      </c>
      <c r="V790">
        <v>9.4523053561131991E-3</v>
      </c>
      <c r="W790">
        <v>7.6937982917244449E-2</v>
      </c>
      <c r="X790">
        <v>1.0954883405343596E-2</v>
      </c>
      <c r="Y790">
        <v>4.1417102859934258E-3</v>
      </c>
    </row>
    <row r="791" spans="1:25" x14ac:dyDescent="0.25">
      <c r="A791" s="1090"/>
      <c r="B791" s="1448">
        <v>541</v>
      </c>
      <c r="C791" s="1094">
        <v>1.0257062674481889</v>
      </c>
      <c r="D791" s="1094">
        <v>1.0475438387086433</v>
      </c>
      <c r="E791" s="1094">
        <v>0.9806555963368403</v>
      </c>
      <c r="F791" s="1094">
        <v>0.99698477007876662</v>
      </c>
      <c r="G791" s="1094">
        <v>1.0066196764132145</v>
      </c>
      <c r="H791" s="1094">
        <v>1.0274656886989597</v>
      </c>
      <c r="I791" s="1094">
        <v>0.96260717126034334</v>
      </c>
      <c r="K791">
        <v>4.4463834944161675</v>
      </c>
      <c r="L791">
        <v>0</v>
      </c>
      <c r="M791">
        <v>1.4936460232133433E-3</v>
      </c>
      <c r="N791">
        <v>0.12206894915177116</v>
      </c>
      <c r="O791">
        <v>3.6756145383507924E-2</v>
      </c>
      <c r="P791">
        <v>1.8739085049306037E-2</v>
      </c>
      <c r="Q791">
        <v>1.2268828655977396E-3</v>
      </c>
      <c r="R791">
        <v>1.4876651708490229E-3</v>
      </c>
      <c r="S791">
        <v>0.21556670882948512</v>
      </c>
      <c r="T791">
        <v>3.9547864791470611</v>
      </c>
      <c r="U791">
        <v>0</v>
      </c>
      <c r="V791">
        <v>9.4523053561131887E-3</v>
      </c>
      <c r="W791">
        <v>7.3674620216446676E-2</v>
      </c>
      <c r="X791">
        <v>9.9140439185587109E-3</v>
      </c>
      <c r="Y791">
        <v>4.2042553506821964E-3</v>
      </c>
    </row>
    <row r="792" spans="1:25" x14ac:dyDescent="0.25">
      <c r="A792" s="1090"/>
      <c r="B792" s="1448">
        <v>542</v>
      </c>
      <c r="C792" s="1094">
        <v>1.0056973837821472</v>
      </c>
      <c r="D792" s="1094">
        <v>1.0026774303812127</v>
      </c>
      <c r="E792" s="1094">
        <v>1.0040854283205778</v>
      </c>
      <c r="F792" s="1094">
        <v>1.0019904254900873</v>
      </c>
      <c r="G792" s="1094">
        <v>1.0183577942896342</v>
      </c>
      <c r="H792" s="1094">
        <v>0.98056017920763128</v>
      </c>
      <c r="I792" s="1094">
        <v>1.02867450037577</v>
      </c>
      <c r="K792">
        <v>4.4896164167891488</v>
      </c>
      <c r="L792">
        <v>0</v>
      </c>
      <c r="M792">
        <v>1.4153946019405128E-3</v>
      </c>
      <c r="N792">
        <v>0.12397301335873619</v>
      </c>
      <c r="O792">
        <v>3.8181236949410967E-2</v>
      </c>
      <c r="P792">
        <v>1.9247677291266793E-2</v>
      </c>
      <c r="Q792">
        <v>1.2993508394390459E-3</v>
      </c>
      <c r="R792">
        <v>1.4094855217423774E-3</v>
      </c>
      <c r="S792">
        <v>0.23522903322951957</v>
      </c>
      <c r="T792">
        <v>3.9737453130616416</v>
      </c>
      <c r="U792">
        <v>0</v>
      </c>
      <c r="V792">
        <v>9.4523053561131835E-3</v>
      </c>
      <c r="W792">
        <v>7.3642191922853706E-2</v>
      </c>
      <c r="X792">
        <v>1.086889016679354E-2</v>
      </c>
      <c r="Y792">
        <v>3.9833136935729669E-3</v>
      </c>
    </row>
    <row r="793" spans="1:25" x14ac:dyDescent="0.25">
      <c r="A793" s="1090"/>
      <c r="B793" s="1448">
        <v>543</v>
      </c>
      <c r="C793" s="1094">
        <v>1.0083058349382632</v>
      </c>
      <c r="D793" s="1094">
        <v>1.0276112766789998</v>
      </c>
      <c r="E793" s="1094">
        <v>1.0400520090396206</v>
      </c>
      <c r="F793" s="1094">
        <v>0.99840657638024</v>
      </c>
      <c r="G793" s="1094">
        <v>0.97508528183424747</v>
      </c>
      <c r="H793" s="1094">
        <v>1.0443558408555762</v>
      </c>
      <c r="I793" s="1094">
        <v>0.97557862977314103</v>
      </c>
      <c r="K793">
        <v>4.4779817401310948</v>
      </c>
      <c r="L793">
        <v>0</v>
      </c>
      <c r="M793">
        <v>1.3750066586467543E-3</v>
      </c>
      <c r="N793">
        <v>0.13398795377657041</v>
      </c>
      <c r="O793">
        <v>3.7332609322191575E-2</v>
      </c>
      <c r="P793">
        <v>1.9639271295484092E-2</v>
      </c>
      <c r="Q793">
        <v>1.3229256620116829E-3</v>
      </c>
      <c r="R793">
        <v>1.3695975879217477E-3</v>
      </c>
      <c r="S793">
        <v>0.2249616652966803</v>
      </c>
      <c r="T793">
        <v>3.9581796613754734</v>
      </c>
      <c r="U793">
        <v>0</v>
      </c>
      <c r="V793">
        <v>9.4523053561131939E-3</v>
      </c>
      <c r="W793">
        <v>7.7707728144824545E-2</v>
      </c>
      <c r="X793">
        <v>1.153244162516991E-2</v>
      </c>
      <c r="Y793">
        <v>3.8705873472961822E-3</v>
      </c>
    </row>
    <row r="794" spans="1:25" x14ac:dyDescent="0.25">
      <c r="A794" s="1090"/>
      <c r="B794" s="1448">
        <v>544</v>
      </c>
      <c r="C794" s="1094">
        <v>0.95710839423664107</v>
      </c>
      <c r="D794" s="1094">
        <v>0.9972208511312286</v>
      </c>
      <c r="E794" s="1094">
        <v>0.96652233434869217</v>
      </c>
      <c r="F794" s="1094">
        <v>0.99429760959690572</v>
      </c>
      <c r="G794" s="1094">
        <v>1.0197890769832096</v>
      </c>
      <c r="H794" s="1094">
        <v>0.96227068818285433</v>
      </c>
      <c r="I794" s="1094">
        <v>0.9875665339189178</v>
      </c>
      <c r="K794">
        <v>4.4618043696493759</v>
      </c>
      <c r="L794">
        <v>0</v>
      </c>
      <c r="M794">
        <v>1.57071352624786E-3</v>
      </c>
      <c r="N794">
        <v>0.12305771975612367</v>
      </c>
      <c r="O794">
        <v>4.0166103953621503E-2</v>
      </c>
      <c r="P794">
        <v>1.8579490443828579E-2</v>
      </c>
      <c r="Q794">
        <v>1.3245472576392007E-3</v>
      </c>
      <c r="R794">
        <v>1.5639798884837294E-3</v>
      </c>
      <c r="S794">
        <v>0.23503147986027667</v>
      </c>
      <c r="T794">
        <v>3.944669219968076</v>
      </c>
      <c r="U794">
        <v>0</v>
      </c>
      <c r="V794">
        <v>9.4523053561131973E-3</v>
      </c>
      <c r="W794">
        <v>7.499725396453398E-2</v>
      </c>
      <c r="X794">
        <v>1.0113056157853691E-2</v>
      </c>
      <c r="Y794">
        <v>4.4199265690709477E-3</v>
      </c>
    </row>
    <row r="795" spans="1:25" x14ac:dyDescent="0.25">
      <c r="A795" s="1090"/>
      <c r="B795" s="1448">
        <v>545</v>
      </c>
      <c r="C795" s="1094">
        <v>0.98752129297007074</v>
      </c>
      <c r="D795" s="1094">
        <v>0.96689925296990231</v>
      </c>
      <c r="E795" s="1094">
        <v>1.0183832382381433</v>
      </c>
      <c r="F795" s="1094">
        <v>1.0228993894334837</v>
      </c>
      <c r="G795" s="1094">
        <v>1.000541053170896</v>
      </c>
      <c r="H795" s="1094">
        <v>1.0249688045767937</v>
      </c>
      <c r="I795" s="1094">
        <v>1.0081848636492459</v>
      </c>
      <c r="K795">
        <v>4.606820023324401</v>
      </c>
      <c r="L795">
        <v>0</v>
      </c>
      <c r="M795">
        <v>1.5141906077176743E-3</v>
      </c>
      <c r="N795">
        <v>0.13839729668035647</v>
      </c>
      <c r="O795">
        <v>4.0173303772217422E-2</v>
      </c>
      <c r="P795">
        <v>1.9873334238115634E-2</v>
      </c>
      <c r="Q795">
        <v>1.3590741369320486E-3</v>
      </c>
      <c r="R795">
        <v>1.5082660832521591E-3</v>
      </c>
      <c r="S795">
        <v>0.24427941572585879</v>
      </c>
      <c r="T795">
        <v>4.0561132869767178</v>
      </c>
      <c r="U795">
        <v>0</v>
      </c>
      <c r="V795">
        <v>9.4523053561132026E-3</v>
      </c>
      <c r="W795">
        <v>8.1425820727020884E-2</v>
      </c>
      <c r="X795">
        <v>1.1489635133587191E-2</v>
      </c>
      <c r="Y795">
        <v>4.2624751019387204E-3</v>
      </c>
    </row>
    <row r="796" spans="1:25" x14ac:dyDescent="0.25">
      <c r="A796" s="1090"/>
      <c r="B796" s="1448">
        <v>546</v>
      </c>
      <c r="C796" s="1094">
        <v>1.0083752723591937</v>
      </c>
      <c r="D796" s="1094">
        <v>0.99346068761062023</v>
      </c>
      <c r="E796" s="1094">
        <v>0.98482528226688604</v>
      </c>
      <c r="F796" s="1094">
        <v>0.96599950009214208</v>
      </c>
      <c r="G796" s="1094">
        <v>0.98996742171885999</v>
      </c>
      <c r="H796" s="1094">
        <v>0.98840086477049005</v>
      </c>
      <c r="I796" s="1094">
        <v>0.95531963100137451</v>
      </c>
      <c r="K796">
        <v>4.3154386584186435</v>
      </c>
      <c r="L796">
        <v>0</v>
      </c>
      <c r="M796">
        <v>1.4340533890241961E-3</v>
      </c>
      <c r="N796">
        <v>0.118622823451529</v>
      </c>
      <c r="O796">
        <v>3.6974799139629512E-2</v>
      </c>
      <c r="P796">
        <v>1.8236655167244875E-2</v>
      </c>
      <c r="Q796">
        <v>1.2793273189609666E-3</v>
      </c>
      <c r="R796">
        <v>1.4278935517310161E-3</v>
      </c>
      <c r="S796">
        <v>0.21374532511349084</v>
      </c>
      <c r="T796">
        <v>3.8317210694460777</v>
      </c>
      <c r="U796">
        <v>0</v>
      </c>
      <c r="V796">
        <v>9.4523053561131939E-3</v>
      </c>
      <c r="W796">
        <v>7.1390855446927526E-2</v>
      </c>
      <c r="X796">
        <v>9.9863216242506402E-3</v>
      </c>
      <c r="Y796">
        <v>4.0353361917074655E-3</v>
      </c>
    </row>
    <row r="797" spans="1:25" x14ac:dyDescent="0.25">
      <c r="A797" s="1090"/>
      <c r="B797" s="1448">
        <v>547</v>
      </c>
      <c r="C797" s="1094">
        <v>0.97711909540385422</v>
      </c>
      <c r="D797" s="1094">
        <v>1.0032596470156101</v>
      </c>
      <c r="E797" s="1094">
        <v>0.98533651110690612</v>
      </c>
      <c r="F797" s="1094">
        <v>1.0479456030055616</v>
      </c>
      <c r="G797" s="1094">
        <v>1.0120072131973201</v>
      </c>
      <c r="H797" s="1094">
        <v>0.98432659213261953</v>
      </c>
      <c r="I797" s="1094">
        <v>0.9911698452571539</v>
      </c>
      <c r="K797">
        <v>4.6958327770302821</v>
      </c>
      <c r="L797">
        <v>0</v>
      </c>
      <c r="M797">
        <v>1.5903481201582925E-3</v>
      </c>
      <c r="N797">
        <v>0.13179303815140972</v>
      </c>
      <c r="O797">
        <v>4.1228523307989894E-2</v>
      </c>
      <c r="P797">
        <v>1.9827595793120437E-2</v>
      </c>
      <c r="Q797">
        <v>1.315659168219224E-3</v>
      </c>
      <c r="R797">
        <v>1.5840229474701436E-3</v>
      </c>
      <c r="S797">
        <v>0.24076232117796054</v>
      </c>
      <c r="T797">
        <v>4.1567468667688834</v>
      </c>
      <c r="U797">
        <v>0</v>
      </c>
      <c r="V797">
        <v>9.4523053561132078E-3</v>
      </c>
      <c r="W797">
        <v>7.9289414140108233E-2</v>
      </c>
      <c r="X797">
        <v>1.0946808555177134E-2</v>
      </c>
      <c r="Y797">
        <v>4.4765697839817195E-3</v>
      </c>
    </row>
    <row r="798" spans="1:25" x14ac:dyDescent="0.25">
      <c r="A798" s="1090"/>
      <c r="B798" s="1448">
        <v>548</v>
      </c>
      <c r="C798" s="1094">
        <v>0.98103458037380176</v>
      </c>
      <c r="D798" s="1094">
        <v>0.97359383206113081</v>
      </c>
      <c r="E798" s="1094">
        <v>0.97921229655392317</v>
      </c>
      <c r="F798" s="1094">
        <v>0.99903798126453569</v>
      </c>
      <c r="G798" s="1094">
        <v>1.0133794348186371</v>
      </c>
      <c r="H798" s="1094">
        <v>1.0254392029432302</v>
      </c>
      <c r="I798" s="1094">
        <v>1.000128871841133</v>
      </c>
      <c r="K798">
        <v>4.4971827266637572</v>
      </c>
      <c r="L798">
        <v>0</v>
      </c>
      <c r="M798">
        <v>1.6130670160404972E-3</v>
      </c>
      <c r="N798">
        <v>0.13126533747566782</v>
      </c>
      <c r="O798">
        <v>3.9663516338258931E-2</v>
      </c>
      <c r="P798">
        <v>1.8862905612179046E-2</v>
      </c>
      <c r="Q798">
        <v>1.3192145498073546E-3</v>
      </c>
      <c r="R798">
        <v>1.6066084602712673E-3</v>
      </c>
      <c r="S798">
        <v>0.23959382993365463</v>
      </c>
      <c r="T798">
        <v>3.9629864955976171</v>
      </c>
      <c r="U798">
        <v>0</v>
      </c>
      <c r="V798">
        <v>9.4523053561131939E-3</v>
      </c>
      <c r="W798">
        <v>7.9303477368425648E-2</v>
      </c>
      <c r="X798">
        <v>1.0201704820323782E-2</v>
      </c>
      <c r="Y798">
        <v>4.5403981674800257E-3</v>
      </c>
    </row>
    <row r="799" spans="1:25" x14ac:dyDescent="0.25">
      <c r="A799" s="1090"/>
      <c r="B799" s="1448">
        <v>549</v>
      </c>
      <c r="C799" s="1094">
        <v>0.99318833079722058</v>
      </c>
      <c r="D799" s="1094">
        <v>1.0321735419457345</v>
      </c>
      <c r="E799" s="1094">
        <v>1.0213409716100534</v>
      </c>
      <c r="F799" s="1094">
        <v>1.0124401929813858</v>
      </c>
      <c r="G799" s="1094">
        <v>1.0149858553878359</v>
      </c>
      <c r="H799" s="1094">
        <v>1.0171811165745306</v>
      </c>
      <c r="I799" s="1094">
        <v>0.96644168576862821</v>
      </c>
      <c r="K799">
        <v>4.5344028459234726</v>
      </c>
      <c r="L799">
        <v>0</v>
      </c>
      <c r="M799">
        <v>1.4317776135797592E-3</v>
      </c>
      <c r="N799">
        <v>0.13200558132675966</v>
      </c>
      <c r="O799">
        <v>3.8495418661751185E-2</v>
      </c>
      <c r="P799">
        <v>1.9640300608193249E-2</v>
      </c>
      <c r="Q799">
        <v>1.3197646472794377E-3</v>
      </c>
      <c r="R799">
        <v>1.4260745734884E-3</v>
      </c>
      <c r="S799">
        <v>0.2261169899393777</v>
      </c>
      <c r="T799">
        <v>4.0145264066288533</v>
      </c>
      <c r="U799">
        <v>0</v>
      </c>
      <c r="V799">
        <v>9.4523053561131921E-3</v>
      </c>
      <c r="W799">
        <v>7.7512232490885957E-2</v>
      </c>
      <c r="X799">
        <v>1.130935368402294E-2</v>
      </c>
      <c r="Y799">
        <v>4.0301956203214126E-3</v>
      </c>
    </row>
    <row r="800" spans="1:25" x14ac:dyDescent="0.25">
      <c r="A800" s="1090"/>
      <c r="B800" s="1448">
        <v>550</v>
      </c>
      <c r="C800" s="1094">
        <v>0.99715503332110456</v>
      </c>
      <c r="D800" s="1094">
        <v>1.0183545735551573</v>
      </c>
      <c r="E800" s="1094">
        <v>0.96213995946244513</v>
      </c>
      <c r="F800" s="1094">
        <v>1.0237053087054078</v>
      </c>
      <c r="G800" s="1094">
        <v>0.99250990320470989</v>
      </c>
      <c r="H800" s="1094">
        <v>1.026797222846787</v>
      </c>
      <c r="I800" s="1094">
        <v>0.99456388336152557</v>
      </c>
      <c r="K800">
        <v>4.5869692814583463</v>
      </c>
      <c r="L800">
        <v>0</v>
      </c>
      <c r="M800">
        <v>1.657419068934646E-3</v>
      </c>
      <c r="N800">
        <v>0.12822055373629435</v>
      </c>
      <c r="O800">
        <v>3.9392155327615766E-2</v>
      </c>
      <c r="P800">
        <v>1.9034180637713533E-2</v>
      </c>
      <c r="Q800">
        <v>1.2558972611608347E-3</v>
      </c>
      <c r="R800">
        <v>1.6509507626275004E-3</v>
      </c>
      <c r="S800">
        <v>0.23521129893077716</v>
      </c>
      <c r="T800">
        <v>4.0615119641748949</v>
      </c>
      <c r="U800">
        <v>0</v>
      </c>
      <c r="V800">
        <v>9.4523053561131991E-3</v>
      </c>
      <c r="W800">
        <v>7.8381244055667917E-2</v>
      </c>
      <c r="X800">
        <v>9.8504373850974176E-3</v>
      </c>
      <c r="Y800">
        <v>4.6657128993133762E-3</v>
      </c>
    </row>
    <row r="801" spans="1:25" x14ac:dyDescent="0.25">
      <c r="A801" s="1090"/>
      <c r="B801" s="1448">
        <v>551</v>
      </c>
      <c r="C801" s="1094">
        <v>1.0025657063993496</v>
      </c>
      <c r="D801" s="1094">
        <v>1.0136797287977322</v>
      </c>
      <c r="E801" s="1094">
        <v>1.0209057935627843</v>
      </c>
      <c r="F801" s="1094">
        <v>0.98284894557975822</v>
      </c>
      <c r="G801" s="1094">
        <v>0.99531179371034129</v>
      </c>
      <c r="H801" s="1094">
        <v>0.95878855237601457</v>
      </c>
      <c r="I801" s="1094">
        <v>0.98853347164102356</v>
      </c>
      <c r="K801">
        <v>4.3918513383461386</v>
      </c>
      <c r="L801">
        <v>0</v>
      </c>
      <c r="M801">
        <v>1.3086675480050026E-3</v>
      </c>
      <c r="N801">
        <v>0.12045529591270719</v>
      </c>
      <c r="O801">
        <v>3.7292373603560296E-2</v>
      </c>
      <c r="P801">
        <v>1.9070755539580875E-2</v>
      </c>
      <c r="Q801">
        <v>1.3164253027054395E-3</v>
      </c>
      <c r="R801">
        <v>1.3029716098301291E-3</v>
      </c>
      <c r="S801">
        <v>0.22150182193901891</v>
      </c>
      <c r="T801">
        <v>3.8972073536133474</v>
      </c>
      <c r="U801">
        <v>0</v>
      </c>
      <c r="V801">
        <v>9.4523053561131904E-3</v>
      </c>
      <c r="W801">
        <v>7.0750542544895184E-2</v>
      </c>
      <c r="X801">
        <v>1.1127863225826094E-2</v>
      </c>
      <c r="Y801">
        <v>3.6822972465564703E-3</v>
      </c>
    </row>
    <row r="802" spans="1:25" x14ac:dyDescent="0.25">
      <c r="A802" s="1090"/>
      <c r="B802" s="1448">
        <v>552</v>
      </c>
      <c r="C802" s="1094">
        <v>1.0083139219609694</v>
      </c>
      <c r="D802" s="1094">
        <v>1.0297532138665666</v>
      </c>
      <c r="E802" s="1094">
        <v>0.99705773358921035</v>
      </c>
      <c r="F802" s="1094">
        <v>1.009210101586802</v>
      </c>
      <c r="G802" s="1094">
        <v>1.0060376639290294</v>
      </c>
      <c r="H802" s="1094">
        <v>1.0096557183674966</v>
      </c>
      <c r="I802" s="1094">
        <v>1.0241011681097096</v>
      </c>
      <c r="K802">
        <v>4.5218971756738657</v>
      </c>
      <c r="L802">
        <v>0</v>
      </c>
      <c r="M802">
        <v>1.4701198368876282E-3</v>
      </c>
      <c r="N802">
        <v>0.12613179546161185</v>
      </c>
      <c r="O802">
        <v>3.7997651887633543E-2</v>
      </c>
      <c r="P802">
        <v>1.9277716727321693E-2</v>
      </c>
      <c r="Q802">
        <v>1.2745428312503477E-3</v>
      </c>
      <c r="R802">
        <v>1.4642016219792654E-3</v>
      </c>
      <c r="S802">
        <v>0.2350842674320382</v>
      </c>
      <c r="T802">
        <v>4.0026474866813393</v>
      </c>
      <c r="U802">
        <v>0</v>
      </c>
      <c r="V802">
        <v>9.4523053561131939E-3</v>
      </c>
      <c r="W802">
        <v>7.5281134979475001E-2</v>
      </c>
      <c r="X802">
        <v>1.0618246961769967E-2</v>
      </c>
      <c r="Y802">
        <v>4.1379455702190487E-3</v>
      </c>
    </row>
    <row r="803" spans="1:25" x14ac:dyDescent="0.25">
      <c r="A803" s="1090"/>
      <c r="B803" s="1448">
        <v>553</v>
      </c>
      <c r="C803" s="1094">
        <v>1.0014048200406762</v>
      </c>
      <c r="D803" s="1094">
        <v>0.99358005816519746</v>
      </c>
      <c r="E803" s="1094">
        <v>0.98966677302036488</v>
      </c>
      <c r="F803" s="1094">
        <v>1.0151636465132854</v>
      </c>
      <c r="G803" s="1094">
        <v>0.98719008154501575</v>
      </c>
      <c r="H803" s="1094">
        <v>1.007795331940943</v>
      </c>
      <c r="I803" s="1094">
        <v>1.0079775951137517</v>
      </c>
      <c r="K803">
        <v>4.5524722746698192</v>
      </c>
      <c r="L803">
        <v>0</v>
      </c>
      <c r="M803">
        <v>1.5312526203831516E-3</v>
      </c>
      <c r="N803">
        <v>0.12853173236978421</v>
      </c>
      <c r="O803">
        <v>3.9091488539605035E-2</v>
      </c>
      <c r="P803">
        <v>1.9284531425459446E-2</v>
      </c>
      <c r="Q803">
        <v>1.2935703049513285E-3</v>
      </c>
      <c r="R803">
        <v>1.5251129975865107E-3</v>
      </c>
      <c r="S803">
        <v>0.23629313141115998</v>
      </c>
      <c r="T803">
        <v>4.0265466041917808</v>
      </c>
      <c r="U803">
        <v>0</v>
      </c>
      <c r="V803">
        <v>9.4523053561131973E-3</v>
      </c>
      <c r="W803">
        <v>7.7099436296666241E-2</v>
      </c>
      <c r="X803">
        <v>1.0575528629045717E-2</v>
      </c>
      <c r="Y803">
        <v>4.3100857680486611E-3</v>
      </c>
    </row>
    <row r="804" spans="1:25" x14ac:dyDescent="0.25">
      <c r="A804" s="1090"/>
      <c r="B804" s="1448">
        <v>554</v>
      </c>
      <c r="C804" s="1094">
        <v>0.99970018707551056</v>
      </c>
      <c r="D804" s="1094">
        <v>0.99680156259899877</v>
      </c>
      <c r="E804" s="1094">
        <v>1.0021116760939182</v>
      </c>
      <c r="F804" s="1094">
        <v>1.0119948318009677</v>
      </c>
      <c r="G804" s="1094">
        <v>0.97885141513192464</v>
      </c>
      <c r="H804" s="1094">
        <v>0.99507455951102219</v>
      </c>
      <c r="I804" s="1094">
        <v>1.0126142951830877</v>
      </c>
      <c r="K804">
        <v>4.5376648122392611</v>
      </c>
      <c r="L804">
        <v>0</v>
      </c>
      <c r="M804">
        <v>1.4688608578167948E-3</v>
      </c>
      <c r="N804">
        <v>0.12791906079512505</v>
      </c>
      <c r="O804">
        <v>3.8898847980029724E-2</v>
      </c>
      <c r="P804">
        <v>1.9404359388087725E-2</v>
      </c>
      <c r="Q804">
        <v>1.3080122109684323E-3</v>
      </c>
      <c r="R804">
        <v>1.4628775066883374E-3</v>
      </c>
      <c r="S804">
        <v>0.23605902611445109</v>
      </c>
      <c r="T804">
        <v>4.0134972519719421</v>
      </c>
      <c r="U804">
        <v>0</v>
      </c>
      <c r="V804">
        <v>9.4523053561131973E-3</v>
      </c>
      <c r="W804">
        <v>7.6087435624338395E-2</v>
      </c>
      <c r="X804">
        <v>1.0910292630014544E-2</v>
      </c>
      <c r="Y804">
        <v>4.1342035193154651E-3</v>
      </c>
    </row>
    <row r="805" spans="1:25" x14ac:dyDescent="0.25">
      <c r="A805" s="1090"/>
      <c r="B805" s="1448">
        <v>555</v>
      </c>
      <c r="C805" s="1094">
        <v>1.0206851177607512</v>
      </c>
      <c r="D805" s="1094">
        <v>1.0053253987033721</v>
      </c>
      <c r="E805" s="1094">
        <v>1.0041113567996285</v>
      </c>
      <c r="F805" s="1094">
        <v>0.99206958856566907</v>
      </c>
      <c r="G805" s="1094">
        <v>0.98484553611438941</v>
      </c>
      <c r="H805" s="1094">
        <v>1.0267464741282897</v>
      </c>
      <c r="I805" s="1094">
        <v>0.99838009078197587</v>
      </c>
      <c r="K805">
        <v>4.4443378201457566</v>
      </c>
      <c r="L805">
        <v>0</v>
      </c>
      <c r="M805">
        <v>1.4442969328608312E-3</v>
      </c>
      <c r="N805">
        <v>0.12653307040948303</v>
      </c>
      <c r="O805">
        <v>3.7208650070988412E-2</v>
      </c>
      <c r="P805">
        <v>1.9029408449571461E-2</v>
      </c>
      <c r="Q805">
        <v>1.2789495944869622E-3</v>
      </c>
      <c r="R805">
        <v>1.4384810784411266E-3</v>
      </c>
      <c r="S805">
        <v>0.2266578083142386</v>
      </c>
      <c r="T805">
        <v>3.9343997686778271</v>
      </c>
      <c r="U805">
        <v>0</v>
      </c>
      <c r="V805">
        <v>9.4523053561131991E-3</v>
      </c>
      <c r="W805">
        <v>7.5161598178452457E-2</v>
      </c>
      <c r="X805">
        <v>1.0556819598502328E-2</v>
      </c>
      <c r="Y805">
        <v>4.065257350509663E-3</v>
      </c>
    </row>
    <row r="806" spans="1:25" x14ac:dyDescent="0.25">
      <c r="A806" s="1090"/>
      <c r="B806" s="1448">
        <v>556</v>
      </c>
      <c r="C806" s="1094">
        <v>0.96317387443746394</v>
      </c>
      <c r="D806" s="1094">
        <v>1.0307050806079103</v>
      </c>
      <c r="E806" s="1094">
        <v>1.002780371333672</v>
      </c>
      <c r="F806" s="1094">
        <v>0.99064634072783253</v>
      </c>
      <c r="G806" s="1094">
        <v>1.0028249217989895</v>
      </c>
      <c r="H806" s="1094">
        <v>0.98672929977879476</v>
      </c>
      <c r="I806" s="1094">
        <v>1.0104673471380072</v>
      </c>
      <c r="K806">
        <v>4.4533720451544276</v>
      </c>
      <c r="L806">
        <v>0</v>
      </c>
      <c r="M806">
        <v>1.4582914149664781E-3</v>
      </c>
      <c r="N806">
        <v>0.12723475948793864</v>
      </c>
      <c r="O806">
        <v>3.8992393972194471E-2</v>
      </c>
      <c r="P806">
        <v>1.903645698853642E-2</v>
      </c>
      <c r="Q806">
        <v>1.3403403717246118E-3</v>
      </c>
      <c r="R806">
        <v>1.4521723160982104E-3</v>
      </c>
      <c r="S806">
        <v>0.23792327119766069</v>
      </c>
      <c r="T806">
        <v>3.928805506644653</v>
      </c>
      <c r="U806">
        <v>0</v>
      </c>
      <c r="V806">
        <v>9.4523053561131817E-3</v>
      </c>
      <c r="W806">
        <v>7.5646267255282437E-2</v>
      </c>
      <c r="X806">
        <v>1.0842913145788446E-2</v>
      </c>
      <c r="Y806">
        <v>4.1039498334051296E-3</v>
      </c>
    </row>
    <row r="807" spans="1:25" x14ac:dyDescent="0.25">
      <c r="A807" s="1090"/>
      <c r="B807" s="1448">
        <v>557</v>
      </c>
      <c r="C807" s="1094">
        <v>1.0134440267567486</v>
      </c>
      <c r="D807" s="1094">
        <v>0.98904971315647594</v>
      </c>
      <c r="E807" s="1094">
        <v>0.96665735674477826</v>
      </c>
      <c r="F807" s="1094">
        <v>1.0376014325775278</v>
      </c>
      <c r="G807" s="1094">
        <v>0.99474346426211935</v>
      </c>
      <c r="H807" s="1094">
        <v>1.0158059404249746</v>
      </c>
      <c r="I807" s="1094">
        <v>1.0041529954208297</v>
      </c>
      <c r="K807">
        <v>4.644800710849224</v>
      </c>
      <c r="L807">
        <v>0</v>
      </c>
      <c r="M807">
        <v>1.638768761738615E-3</v>
      </c>
      <c r="N807">
        <v>0.12849193701663431</v>
      </c>
      <c r="O807">
        <v>3.971496285763091E-2</v>
      </c>
      <c r="P807">
        <v>1.9352338519264531E-2</v>
      </c>
      <c r="Q807">
        <v>1.2551899312019184E-3</v>
      </c>
      <c r="R807">
        <v>1.6323902764069707E-3</v>
      </c>
      <c r="S807">
        <v>0.23704172751834554</v>
      </c>
      <c r="T807">
        <v>4.1164627202072159</v>
      </c>
      <c r="U807">
        <v>0</v>
      </c>
      <c r="V807">
        <v>9.4523053561131869E-3</v>
      </c>
      <c r="W807">
        <v>7.8301815056550025E-2</v>
      </c>
      <c r="X807">
        <v>1.0120833323370364E-2</v>
      </c>
      <c r="Y807">
        <v>4.6132595482280695E-3</v>
      </c>
    </row>
    <row r="808" spans="1:25" x14ac:dyDescent="0.25">
      <c r="A808" s="1090"/>
      <c r="B808" s="1448">
        <v>558</v>
      </c>
      <c r="C808" s="1094">
        <v>1.0136982763166609</v>
      </c>
      <c r="D808" s="1094">
        <v>0.99757183322113563</v>
      </c>
      <c r="E808" s="1094">
        <v>1.0188402521438167</v>
      </c>
      <c r="F808" s="1094">
        <v>1.0123432101529579</v>
      </c>
      <c r="G808" s="1094">
        <v>0.97782151894176239</v>
      </c>
      <c r="H808" s="1094">
        <v>0.99315319980987282</v>
      </c>
      <c r="I808" s="1094">
        <v>0.99580639196001763</v>
      </c>
      <c r="K808">
        <v>4.5296938029314386</v>
      </c>
      <c r="L808">
        <v>0</v>
      </c>
      <c r="M808">
        <v>1.39570157950133E-3</v>
      </c>
      <c r="N808">
        <v>0.1277185457858096</v>
      </c>
      <c r="O808">
        <v>3.8248047486451275E-2</v>
      </c>
      <c r="P808">
        <v>1.9615379737096685E-2</v>
      </c>
      <c r="Q808">
        <v>1.3080484503753113E-3</v>
      </c>
      <c r="R808">
        <v>1.3900071934769629E-3</v>
      </c>
      <c r="S808">
        <v>0.22879026094507771</v>
      </c>
      <c r="T808">
        <v>4.014237305147895</v>
      </c>
      <c r="U808">
        <v>0</v>
      </c>
      <c r="V808">
        <v>9.4523053561132026E-3</v>
      </c>
      <c r="W808">
        <v>7.5120078915151128E-2</v>
      </c>
      <c r="X808">
        <v>1.1281259042691904E-2</v>
      </c>
      <c r="Y808">
        <v>3.9282664507948907E-3</v>
      </c>
    </row>
    <row r="809" spans="1:25" x14ac:dyDescent="0.25">
      <c r="A809" s="1090"/>
      <c r="B809" s="1448">
        <v>559</v>
      </c>
      <c r="C809" s="1094">
        <v>1.0247258969698569</v>
      </c>
      <c r="D809" s="1094">
        <v>0.98786827496330587</v>
      </c>
      <c r="E809" s="1094">
        <v>0.98322762180648948</v>
      </c>
      <c r="F809" s="1094">
        <v>0.96938276890620267</v>
      </c>
      <c r="G809" s="1094">
        <v>0.98777470795156141</v>
      </c>
      <c r="H809" s="1094">
        <v>1.0058611185332593</v>
      </c>
      <c r="I809" s="1094">
        <v>0.9983663714126797</v>
      </c>
      <c r="K809">
        <v>4.3379658031581378</v>
      </c>
      <c r="L809">
        <v>0</v>
      </c>
      <c r="M809">
        <v>1.4492218714802618E-3</v>
      </c>
      <c r="N809">
        <v>0.11932142514031782</v>
      </c>
      <c r="O809">
        <v>3.6605198386126782E-2</v>
      </c>
      <c r="P809">
        <v>1.8312119858505164E-2</v>
      </c>
      <c r="Q809">
        <v>1.2600160236932571E-3</v>
      </c>
      <c r="R809">
        <v>1.4431261946065491E-3</v>
      </c>
      <c r="S809">
        <v>0.22196587340316085</v>
      </c>
      <c r="T809">
        <v>3.8452005370768099</v>
      </c>
      <c r="U809">
        <v>0</v>
      </c>
      <c r="V809">
        <v>9.4523053561131904E-3</v>
      </c>
      <c r="W809">
        <v>7.1889727990663468E-2</v>
      </c>
      <c r="X809">
        <v>9.8863107961916653E-3</v>
      </c>
      <c r="Y809">
        <v>4.0783848034309893E-3</v>
      </c>
    </row>
    <row r="810" spans="1:25" x14ac:dyDescent="0.25">
      <c r="A810" s="1090"/>
      <c r="B810" s="1448">
        <v>560</v>
      </c>
      <c r="C810" s="1094">
        <v>1.0060479686153754</v>
      </c>
      <c r="D810" s="1094">
        <v>1.02768625723951</v>
      </c>
      <c r="E810" s="1094">
        <v>1.0288561630271171</v>
      </c>
      <c r="F810" s="1094">
        <v>1.0227600743550389</v>
      </c>
      <c r="G810" s="1094">
        <v>1.0399666483550545</v>
      </c>
      <c r="H810" s="1094">
        <v>1.0075485164510631</v>
      </c>
      <c r="I810" s="1094">
        <v>0.99590976702776934</v>
      </c>
      <c r="K810">
        <v>4.5792721525430178</v>
      </c>
      <c r="L810">
        <v>0</v>
      </c>
      <c r="M810">
        <v>1.3944407243138362E-3</v>
      </c>
      <c r="N810">
        <v>0.13145296674559132</v>
      </c>
      <c r="O810">
        <v>3.84056184669909E-2</v>
      </c>
      <c r="P810">
        <v>1.9960609372002062E-2</v>
      </c>
      <c r="Q810">
        <v>1.3134672854375139E-3</v>
      </c>
      <c r="R810">
        <v>1.3888896556057369E-3</v>
      </c>
      <c r="S810">
        <v>0.23120690504053337</v>
      </c>
      <c r="T810">
        <v>4.0551576935288844</v>
      </c>
      <c r="U810">
        <v>0</v>
      </c>
      <c r="V810">
        <v>9.4523053561131904E-3</v>
      </c>
      <c r="W810">
        <v>7.6803241496140123E-2</v>
      </c>
      <c r="X810">
        <v>1.1599788116582216E-2</v>
      </c>
      <c r="Y810">
        <v>3.9251082034508257E-3</v>
      </c>
    </row>
    <row r="811" spans="1:25" x14ac:dyDescent="0.25">
      <c r="A811" s="1090"/>
      <c r="B811" s="1448">
        <v>561</v>
      </c>
      <c r="C811" s="1094">
        <v>0.96185995898734034</v>
      </c>
      <c r="D811" s="1094">
        <v>1.0050378956940049</v>
      </c>
      <c r="E811" s="1094">
        <v>0.96928631107974972</v>
      </c>
      <c r="F811" s="1094">
        <v>1.0315224739076376</v>
      </c>
      <c r="G811" s="1094">
        <v>1.0048115092918264</v>
      </c>
      <c r="H811" s="1094">
        <v>1.0346815649047512</v>
      </c>
      <c r="I811" s="1094">
        <v>1.005289072559203</v>
      </c>
      <c r="K811">
        <v>4.6477335387159497</v>
      </c>
      <c r="L811">
        <v>0</v>
      </c>
      <c r="M811">
        <v>1.7277536734518952E-3</v>
      </c>
      <c r="N811">
        <v>0.1365375739881928</v>
      </c>
      <c r="O811">
        <v>4.1314508206286307E-2</v>
      </c>
      <c r="P811">
        <v>1.9338597192699654E-2</v>
      </c>
      <c r="Q811">
        <v>1.3170745579623685E-3</v>
      </c>
      <c r="R811">
        <v>1.7211127649666806E-3</v>
      </c>
      <c r="S811">
        <v>0.24937974866986459</v>
      </c>
      <c r="T811">
        <v>4.0922408666417134</v>
      </c>
      <c r="U811">
        <v>0</v>
      </c>
      <c r="V811">
        <v>9.4523053561131904E-3</v>
      </c>
      <c r="W811">
        <v>8.3053787148889335E-2</v>
      </c>
      <c r="X811">
        <v>1.0241721788171718E-2</v>
      </c>
      <c r="Y811">
        <v>4.863996074539377E-3</v>
      </c>
    </row>
    <row r="812" spans="1:25" x14ac:dyDescent="0.25">
      <c r="A812" s="1090"/>
      <c r="B812" s="1448">
        <v>562</v>
      </c>
      <c r="C812" s="1094">
        <v>1.0196598942385566</v>
      </c>
      <c r="D812" s="1094">
        <v>0.96116059706163304</v>
      </c>
      <c r="E812" s="1094">
        <v>0.9611281397932917</v>
      </c>
      <c r="F812" s="1094">
        <v>1.0108871519843159</v>
      </c>
      <c r="G812" s="1094">
        <v>0.98928800073926704</v>
      </c>
      <c r="H812" s="1094">
        <v>1.010647050119011</v>
      </c>
      <c r="I812" s="1094">
        <v>0.99043937281271588</v>
      </c>
      <c r="K812">
        <v>4.524155024461268</v>
      </c>
      <c r="L812">
        <v>0</v>
      </c>
      <c r="M812">
        <v>1.6157169873663847E-3</v>
      </c>
      <c r="N812">
        <v>0.12460511331408089</v>
      </c>
      <c r="O812">
        <v>3.893709610997384E-2</v>
      </c>
      <c r="P812">
        <v>1.8771440865721616E-2</v>
      </c>
      <c r="Q812">
        <v>1.2557891862463265E-3</v>
      </c>
      <c r="R812">
        <v>1.609229762947587E-3</v>
      </c>
      <c r="S812">
        <v>0.22990392671776824</v>
      </c>
      <c r="T812">
        <v>4.0106960913660323</v>
      </c>
      <c r="U812">
        <v>0</v>
      </c>
      <c r="V812">
        <v>9.4523053561131991E-3</v>
      </c>
      <c r="W812">
        <v>7.6224614599437884E-2</v>
      </c>
      <c r="X812">
        <v>9.7673280013388843E-3</v>
      </c>
      <c r="Y812">
        <v>4.5478061689702975E-3</v>
      </c>
    </row>
    <row r="813" spans="1:25" x14ac:dyDescent="0.25">
      <c r="A813" s="1090"/>
      <c r="B813" s="1448">
        <v>563</v>
      </c>
      <c r="C813" s="1094">
        <v>1.0316834071818999</v>
      </c>
      <c r="D813" s="1094">
        <v>0.99108343286142231</v>
      </c>
      <c r="E813" s="1094">
        <v>0.99894453261262028</v>
      </c>
      <c r="F813" s="1094">
        <v>1.0063453880473545</v>
      </c>
      <c r="G813" s="1094">
        <v>1.0197643570611212</v>
      </c>
      <c r="H813" s="1094">
        <v>1.0004972146063764</v>
      </c>
      <c r="I813" s="1094">
        <v>1.0237089672941735</v>
      </c>
      <c r="K813">
        <v>4.5023408902700348</v>
      </c>
      <c r="L813">
        <v>0</v>
      </c>
      <c r="M813">
        <v>1.4359495469382531E-3</v>
      </c>
      <c r="N813">
        <v>0.12388485568659195</v>
      </c>
      <c r="O813">
        <v>3.759016849223195E-2</v>
      </c>
      <c r="P813">
        <v>1.9235199604672168E-2</v>
      </c>
      <c r="Q813">
        <v>1.266940140874778E-3</v>
      </c>
      <c r="R813">
        <v>1.4300994359756555E-3</v>
      </c>
      <c r="S813">
        <v>0.2311863670561847</v>
      </c>
      <c r="T813">
        <v>3.991213313982362</v>
      </c>
      <c r="U813">
        <v>0</v>
      </c>
      <c r="V813">
        <v>9.4523053561131869E-3</v>
      </c>
      <c r="W813">
        <v>7.3845701156385807E-2</v>
      </c>
      <c r="X813">
        <v>1.0630318716586656E-2</v>
      </c>
      <c r="Y813">
        <v>4.0415701889941116E-3</v>
      </c>
    </row>
    <row r="814" spans="1:25" x14ac:dyDescent="0.25">
      <c r="A814" s="1090"/>
      <c r="B814" s="1448">
        <v>564</v>
      </c>
      <c r="C814" s="1094">
        <v>0.97561906427954492</v>
      </c>
      <c r="D814" s="1094">
        <v>1.0020811018204359</v>
      </c>
      <c r="E814" s="1094">
        <v>0.99166623917857344</v>
      </c>
      <c r="F814" s="1094">
        <v>1.0144360003720079</v>
      </c>
      <c r="G814" s="1094">
        <v>1.0131779616759795</v>
      </c>
      <c r="H814" s="1094">
        <v>0.98414938757611925</v>
      </c>
      <c r="I814" s="1094">
        <v>0.9790238749545187</v>
      </c>
      <c r="K814">
        <v>4.5471785287152242</v>
      </c>
      <c r="L814">
        <v>0</v>
      </c>
      <c r="M814">
        <v>1.5221194562805365E-3</v>
      </c>
      <c r="N814">
        <v>0.12851199203943711</v>
      </c>
      <c r="O814">
        <v>3.9945272815793728E-2</v>
      </c>
      <c r="P814">
        <v>1.9285377776473708E-2</v>
      </c>
      <c r="Q814">
        <v>1.3255254815409481E-3</v>
      </c>
      <c r="R814">
        <v>1.5158653530791023E-3</v>
      </c>
      <c r="S814">
        <v>0.23302962904722352</v>
      </c>
      <c r="T814">
        <v>4.0235828745597297</v>
      </c>
      <c r="U814">
        <v>0</v>
      </c>
      <c r="V814">
        <v>9.4523053561131852E-3</v>
      </c>
      <c r="W814">
        <v>7.6982828522551602E-2</v>
      </c>
      <c r="X814">
        <v>1.0785026000915328E-2</v>
      </c>
      <c r="Y814">
        <v>4.2839512186464666E-3</v>
      </c>
    </row>
    <row r="815" spans="1:25" x14ac:dyDescent="0.25">
      <c r="A815" s="1090"/>
      <c r="B815" s="1448">
        <v>565</v>
      </c>
      <c r="C815" s="1094">
        <v>1.0045982371625002</v>
      </c>
      <c r="D815" s="1094">
        <v>0.98869145397404479</v>
      </c>
      <c r="E815" s="1094">
        <v>0.99378354859384999</v>
      </c>
      <c r="F815" s="1094">
        <v>1.0024790244898278</v>
      </c>
      <c r="G815" s="1094">
        <v>0.99400897065083027</v>
      </c>
      <c r="H815" s="1094">
        <v>0.98238991817913512</v>
      </c>
      <c r="I815" s="1094">
        <v>1.0192938175028519</v>
      </c>
      <c r="K815">
        <v>4.4919262668535778</v>
      </c>
      <c r="L815">
        <v>0</v>
      </c>
      <c r="M815">
        <v>1.4595991724043903E-3</v>
      </c>
      <c r="N815">
        <v>0.12400237815532759</v>
      </c>
      <c r="O815">
        <v>3.8528019599152738E-2</v>
      </c>
      <c r="P815">
        <v>1.9107827934140471E-2</v>
      </c>
      <c r="Q815">
        <v>1.2965955125967537E-3</v>
      </c>
      <c r="R815">
        <v>1.4535198460627152E-3</v>
      </c>
      <c r="S815">
        <v>0.23455263699903184</v>
      </c>
      <c r="T815">
        <v>3.9760765058290328</v>
      </c>
      <c r="U815">
        <v>0</v>
      </c>
      <c r="V815">
        <v>9.4523053561131939E-3</v>
      </c>
      <c r="W815">
        <v>7.417467529484302E-2</v>
      </c>
      <c r="X815">
        <v>1.0633643443714013E-2</v>
      </c>
      <c r="Y815">
        <v>4.107758055963865E-3</v>
      </c>
    </row>
    <row r="816" spans="1:25" x14ac:dyDescent="0.25">
      <c r="A816" s="1090"/>
      <c r="B816" s="1448">
        <v>566</v>
      </c>
      <c r="C816" s="1094">
        <v>1.0288922045224986</v>
      </c>
      <c r="D816" s="1094">
        <v>1.0376325414480843</v>
      </c>
      <c r="E816" s="1094">
        <v>0.99520718040716982</v>
      </c>
      <c r="F816" s="1094">
        <v>0.99728708864479421</v>
      </c>
      <c r="G816" s="1094">
        <v>0.98337991738182595</v>
      </c>
      <c r="H816" s="1094">
        <v>1.0128271303256764</v>
      </c>
      <c r="I816" s="1094">
        <v>1.0169484421014598</v>
      </c>
      <c r="K816">
        <v>4.4576818066479857</v>
      </c>
      <c r="L816">
        <v>0</v>
      </c>
      <c r="M816">
        <v>1.4294457305614465E-3</v>
      </c>
      <c r="N816">
        <v>0.12196696081650853</v>
      </c>
      <c r="O816">
        <v>3.6697850885828172E-2</v>
      </c>
      <c r="P816">
        <v>1.899877848234274E-2</v>
      </c>
      <c r="Q816">
        <v>1.2432706163136621E-3</v>
      </c>
      <c r="R816">
        <v>1.4236409749767542E-3</v>
      </c>
      <c r="S816">
        <v>0.22664439380698154</v>
      </c>
      <c r="T816">
        <v>3.955429809403995</v>
      </c>
      <c r="U816">
        <v>0</v>
      </c>
      <c r="V816">
        <v>9.4523053561131904E-3</v>
      </c>
      <c r="W816">
        <v>7.2886718935095601E-2</v>
      </c>
      <c r="X816">
        <v>1.0344205015259521E-2</v>
      </c>
      <c r="Y816">
        <v>4.023318085131046E-3</v>
      </c>
    </row>
    <row r="817" spans="1:25" x14ac:dyDescent="0.25">
      <c r="A817" s="1090"/>
      <c r="B817" s="1448">
        <v>567</v>
      </c>
      <c r="C817" s="1094">
        <v>1.0278936441965487</v>
      </c>
      <c r="D817" s="1094">
        <v>0.97955038345645151</v>
      </c>
      <c r="E817" s="1094">
        <v>0.98929298795331633</v>
      </c>
      <c r="F817" s="1094">
        <v>0.96710231140944858</v>
      </c>
      <c r="G817" s="1094">
        <v>0.98575501777409291</v>
      </c>
      <c r="H817" s="1094">
        <v>1.0109367980722517</v>
      </c>
      <c r="I817" s="1094">
        <v>1.001342438434234</v>
      </c>
      <c r="K817">
        <v>4.3305629297079999</v>
      </c>
      <c r="L817">
        <v>0</v>
      </c>
      <c r="M817">
        <v>1.4351434327377849E-3</v>
      </c>
      <c r="N817">
        <v>0.12030859089328087</v>
      </c>
      <c r="O817">
        <v>3.6490467924054505E-2</v>
      </c>
      <c r="P817">
        <v>1.8356876762681676E-2</v>
      </c>
      <c r="Q817">
        <v>1.2670154462211922E-3</v>
      </c>
      <c r="R817">
        <v>1.4291231772375975E-3</v>
      </c>
      <c r="S817">
        <v>0.22254130344991777</v>
      </c>
      <c r="T817">
        <v>3.83592988938388</v>
      </c>
      <c r="U817">
        <v>0</v>
      </c>
      <c r="V817">
        <v>9.4523053561131991E-3</v>
      </c>
      <c r="W817">
        <v>7.2185170306474603E-2</v>
      </c>
      <c r="X817">
        <v>9.9985192336041161E-3</v>
      </c>
      <c r="Y817">
        <v>4.0388112072665301E-3</v>
      </c>
    </row>
    <row r="818" spans="1:25" x14ac:dyDescent="0.25">
      <c r="A818" s="1090"/>
      <c r="B818" s="1448">
        <v>568</v>
      </c>
      <c r="C818" s="1094">
        <v>0.99911691620440546</v>
      </c>
      <c r="D818" s="1094">
        <v>0.99018440571035338</v>
      </c>
      <c r="E818" s="1094">
        <v>1.0032994093563414</v>
      </c>
      <c r="F818" s="1094">
        <v>1.0106041099899505</v>
      </c>
      <c r="G818" s="1094">
        <v>1.0090135266357529</v>
      </c>
      <c r="H818" s="1094">
        <v>1.0350629488183352</v>
      </c>
      <c r="I818" s="1094">
        <v>0.9888997838045922</v>
      </c>
      <c r="K818">
        <v>4.5389072613522154</v>
      </c>
      <c r="L818">
        <v>0</v>
      </c>
      <c r="M818">
        <v>1.5269357019354955E-3</v>
      </c>
      <c r="N818">
        <v>0.13346571004570745</v>
      </c>
      <c r="O818">
        <v>3.8963474769543115E-2</v>
      </c>
      <c r="P818">
        <v>1.9386563740859602E-2</v>
      </c>
      <c r="Q818">
        <v>1.3136014808938399E-3</v>
      </c>
      <c r="R818">
        <v>1.520947888591881E-3</v>
      </c>
      <c r="S818">
        <v>0.23395893212359423</v>
      </c>
      <c r="T818">
        <v>4.0079361023391007</v>
      </c>
      <c r="U818">
        <v>0</v>
      </c>
      <c r="V818">
        <v>9.4523053561131887E-3</v>
      </c>
      <c r="W818">
        <v>7.9323047728545801E-2</v>
      </c>
      <c r="X818">
        <v>1.0815196729161241E-2</v>
      </c>
      <c r="Y818">
        <v>4.2983148520388086E-3</v>
      </c>
    </row>
    <row r="819" spans="1:25" x14ac:dyDescent="0.25">
      <c r="A819" s="1090"/>
      <c r="B819" s="1448">
        <v>569</v>
      </c>
      <c r="C819" s="1094">
        <v>0.99425690639848496</v>
      </c>
      <c r="D819" s="1094">
        <v>0.99160903137573864</v>
      </c>
      <c r="E819" s="1094">
        <v>1.0325349879973973</v>
      </c>
      <c r="F819" s="1094">
        <v>1.0190369235188199</v>
      </c>
      <c r="G819" s="1094">
        <v>1.0207985760706022</v>
      </c>
      <c r="H819" s="1094">
        <v>1.0170771672071446</v>
      </c>
      <c r="I819" s="1094">
        <v>1.0147236894350664</v>
      </c>
      <c r="K819">
        <v>4.5826522305657997</v>
      </c>
      <c r="L819">
        <v>0</v>
      </c>
      <c r="M819">
        <v>1.4284278800688742E-3</v>
      </c>
      <c r="N819">
        <v>0.13613250126750934</v>
      </c>
      <c r="O819">
        <v>3.9250976144957185E-2</v>
      </c>
      <c r="P819">
        <v>1.9990521737217583E-2</v>
      </c>
      <c r="Q819">
        <v>1.352353509269225E-3</v>
      </c>
      <c r="R819">
        <v>1.4227742887973169E-3</v>
      </c>
      <c r="S819">
        <v>0.24108358924452222</v>
      </c>
      <c r="T819">
        <v>4.0402551064173622</v>
      </c>
      <c r="U819">
        <v>0</v>
      </c>
      <c r="V819">
        <v>9.4523053561131852E-3</v>
      </c>
      <c r="W819">
        <v>7.9343858157548436E-2</v>
      </c>
      <c r="X819">
        <v>1.1775803558755191E-2</v>
      </c>
      <c r="Y819">
        <v>4.0208687638195965E-3</v>
      </c>
    </row>
    <row r="820" spans="1:25" x14ac:dyDescent="0.25">
      <c r="A820" s="1090"/>
      <c r="B820" s="1448">
        <v>570</v>
      </c>
      <c r="C820" s="1094">
        <v>0.96178116706584593</v>
      </c>
      <c r="D820" s="1094">
        <v>0.98199684686421929</v>
      </c>
      <c r="E820" s="1094">
        <v>0.98434109099814837</v>
      </c>
      <c r="F820" s="1094">
        <v>1.0036813992434499</v>
      </c>
      <c r="G820" s="1094">
        <v>1.0372278252689719</v>
      </c>
      <c r="H820" s="1094">
        <v>0.97245521382376654</v>
      </c>
      <c r="I820" s="1094">
        <v>1.0180725166515234</v>
      </c>
      <c r="K820">
        <v>4.5156235336954653</v>
      </c>
      <c r="L820">
        <v>0</v>
      </c>
      <c r="M820">
        <v>1.5454518690767331E-3</v>
      </c>
      <c r="N820">
        <v>0.12766596410865821</v>
      </c>
      <c r="O820">
        <v>4.0469176050506935E-2</v>
      </c>
      <c r="P820">
        <v>1.9040767057229305E-2</v>
      </c>
      <c r="Q820">
        <v>1.3469821245576268E-3</v>
      </c>
      <c r="R820">
        <v>1.5389569586181932E-3</v>
      </c>
      <c r="S820">
        <v>0.24459973173916758</v>
      </c>
      <c r="T820">
        <v>3.9812082467734493</v>
      </c>
      <c r="U820">
        <v>0</v>
      </c>
      <c r="V820">
        <v>9.4523053561131783E-3</v>
      </c>
      <c r="W820">
        <v>7.6858708005032292E-2</v>
      </c>
      <c r="X820">
        <v>1.0638937532351629E-2</v>
      </c>
      <c r="Y820">
        <v>4.3492098588606221E-3</v>
      </c>
    </row>
    <row r="821" spans="1:25" x14ac:dyDescent="0.25">
      <c r="A821" s="1090"/>
      <c r="B821" s="1448">
        <v>571</v>
      </c>
      <c r="C821" s="1094">
        <v>1.0403657313422683</v>
      </c>
      <c r="D821" s="1094">
        <v>0.9686897072946381</v>
      </c>
      <c r="E821" s="1094">
        <v>1.0202792893922341</v>
      </c>
      <c r="F821" s="1094">
        <v>0.99313818841605761</v>
      </c>
      <c r="G821" s="1094">
        <v>0.99387065138978037</v>
      </c>
      <c r="H821" s="1094">
        <v>1.0028912285542426</v>
      </c>
      <c r="I821" s="1094">
        <v>1.0063258746629318</v>
      </c>
      <c r="K821">
        <v>4.4432694357547522</v>
      </c>
      <c r="L821">
        <v>0</v>
      </c>
      <c r="M821">
        <v>1.3591033741625097E-3</v>
      </c>
      <c r="N821">
        <v>0.12489535958027106</v>
      </c>
      <c r="O821">
        <v>3.698325719244043E-2</v>
      </c>
      <c r="P821">
        <v>1.9267203516722477E-2</v>
      </c>
      <c r="Q821">
        <v>1.2911577324413554E-3</v>
      </c>
      <c r="R821">
        <v>1.3535063999910741E-3</v>
      </c>
      <c r="S821">
        <v>0.2251157044574526</v>
      </c>
      <c r="T821">
        <v>3.9380298680528578</v>
      </c>
      <c r="U821">
        <v>0</v>
      </c>
      <c r="V821">
        <v>9.452305356113206E-3</v>
      </c>
      <c r="W821">
        <v>7.3389094648146358E-2</v>
      </c>
      <c r="X821">
        <v>1.1025969770774292E-2</v>
      </c>
      <c r="Y821">
        <v>3.8251124217000151E-3</v>
      </c>
    </row>
    <row r="822" spans="1:25" x14ac:dyDescent="0.25">
      <c r="A822" s="1090"/>
      <c r="B822" s="1448">
        <v>572</v>
      </c>
      <c r="C822" s="1094">
        <v>1.0009047263290438</v>
      </c>
      <c r="D822" s="1094">
        <v>0.96804609709755662</v>
      </c>
      <c r="E822" s="1094">
        <v>0.99660627123321821</v>
      </c>
      <c r="F822" s="1094">
        <v>0.97586958782464517</v>
      </c>
      <c r="G822" s="1094">
        <v>0.9922870150396047</v>
      </c>
      <c r="H822" s="1094">
        <v>0.98467225262754021</v>
      </c>
      <c r="I822" s="1094">
        <v>0.98354860305768566</v>
      </c>
      <c r="K822">
        <v>4.3730592149564531</v>
      </c>
      <c r="L822">
        <v>0</v>
      </c>
      <c r="M822">
        <v>1.4331518219479283E-3</v>
      </c>
      <c r="N822">
        <v>0.12276573702520763</v>
      </c>
      <c r="O822">
        <v>3.7943715361481972E-2</v>
      </c>
      <c r="P822">
        <v>1.8624338534290852E-2</v>
      </c>
      <c r="Q822">
        <v>1.3156001976358642E-3</v>
      </c>
      <c r="R822">
        <v>1.4270347821713576E-3</v>
      </c>
      <c r="S822">
        <v>0.22473526020056089</v>
      </c>
      <c r="T822">
        <v>3.8704318405746689</v>
      </c>
      <c r="U822">
        <v>0</v>
      </c>
      <c r="V822">
        <v>9.4523053561131887E-3</v>
      </c>
      <c r="W822">
        <v>7.3294528946167142E-2</v>
      </c>
      <c r="X822">
        <v>1.0469096556733471E-2</v>
      </c>
      <c r="Y822">
        <v>4.0329092433679173E-3</v>
      </c>
    </row>
    <row r="823" spans="1:25" x14ac:dyDescent="0.25">
      <c r="A823" s="1090"/>
      <c r="B823" s="1448">
        <v>573</v>
      </c>
      <c r="C823" s="1094">
        <v>1.0112225377306523</v>
      </c>
      <c r="D823" s="1094">
        <v>0.97438734270458049</v>
      </c>
      <c r="E823" s="1094">
        <v>0.9840657268262597</v>
      </c>
      <c r="F823" s="1094">
        <v>0.99294537651630843</v>
      </c>
      <c r="G823" s="1094">
        <v>1.0185811661354316</v>
      </c>
      <c r="H823" s="1094">
        <v>0.96518026178530614</v>
      </c>
      <c r="I823" s="1094">
        <v>1.0035119875676168</v>
      </c>
      <c r="K823">
        <v>4.4399743595006598</v>
      </c>
      <c r="L823">
        <v>0</v>
      </c>
      <c r="M823">
        <v>1.4486888452217887E-3</v>
      </c>
      <c r="N823">
        <v>0.11956561642450292</v>
      </c>
      <c r="O823">
        <v>3.8199354905691082E-2</v>
      </c>
      <c r="P823">
        <v>1.876929851285342E-2</v>
      </c>
      <c r="Q823">
        <v>1.2848109100542199E-3</v>
      </c>
      <c r="R823">
        <v>1.4424886508459867E-3</v>
      </c>
      <c r="S823">
        <v>0.22766206661643393</v>
      </c>
      <c r="T823">
        <v>3.9386331714690175</v>
      </c>
      <c r="U823">
        <v>0</v>
      </c>
      <c r="V823">
        <v>9.4523053561131991E-3</v>
      </c>
      <c r="W823">
        <v>7.1995600356810283E-2</v>
      </c>
      <c r="X823">
        <v>1.0341752087466327E-2</v>
      </c>
      <c r="Y823">
        <v>4.0765830560894768E-3</v>
      </c>
    </row>
    <row r="824" spans="1:25" x14ac:dyDescent="0.25">
      <c r="A824" s="1090"/>
      <c r="B824" s="1448">
        <v>574</v>
      </c>
      <c r="C824" s="1094">
        <v>0.96736903027144716</v>
      </c>
      <c r="D824" s="1094">
        <v>0.98708350047707893</v>
      </c>
      <c r="E824" s="1094">
        <v>0.98529726381245164</v>
      </c>
      <c r="F824" s="1094">
        <v>1.0181481522709501</v>
      </c>
      <c r="G824" s="1094">
        <v>1.0307957351569907</v>
      </c>
      <c r="H824" s="1094">
        <v>0.99233917988886344</v>
      </c>
      <c r="I824" s="1094">
        <v>0.96177993615449187</v>
      </c>
      <c r="K824">
        <v>4.5677980032293632</v>
      </c>
      <c r="L824">
        <v>0</v>
      </c>
      <c r="M824">
        <v>1.583981223533211E-3</v>
      </c>
      <c r="N824">
        <v>0.13123920808258449</v>
      </c>
      <c r="O824">
        <v>4.072416162018231E-2</v>
      </c>
      <c r="P824">
        <v>1.9260941141964444E-2</v>
      </c>
      <c r="Q824">
        <v>1.3375430002040614E-3</v>
      </c>
      <c r="R824">
        <v>1.5775500933377668E-3</v>
      </c>
      <c r="S824">
        <v>0.23313435961055168</v>
      </c>
      <c r="T824">
        <v>4.0385548026615545</v>
      </c>
      <c r="U824">
        <v>0</v>
      </c>
      <c r="V824">
        <v>9.4523053561132026E-3</v>
      </c>
      <c r="W824">
        <v>7.8958333979152293E-2</v>
      </c>
      <c r="X824">
        <v>1.068450190321951E-2</v>
      </c>
      <c r="Y824">
        <v>4.4582770040245854E-3</v>
      </c>
    </row>
    <row r="825" spans="1:25" x14ac:dyDescent="0.25">
      <c r="A825" s="1090"/>
      <c r="B825" s="1448">
        <v>575</v>
      </c>
      <c r="C825" s="1094">
        <v>1.0250318551460098</v>
      </c>
      <c r="D825" s="1094">
        <v>0.98967210276932704</v>
      </c>
      <c r="E825" s="1094">
        <v>1.0473780515438156</v>
      </c>
      <c r="F825" s="1094">
        <v>1.0228847283066653</v>
      </c>
      <c r="G825" s="1094">
        <v>0.97999252401151282</v>
      </c>
      <c r="H825" s="1094">
        <v>1.025619160267724</v>
      </c>
      <c r="I825" s="1094">
        <v>0.99906945650017154</v>
      </c>
      <c r="K825">
        <v>4.5851838055479393</v>
      </c>
      <c r="L825">
        <v>0</v>
      </c>
      <c r="M825">
        <v>1.3600802013310183E-3</v>
      </c>
      <c r="N825">
        <v>0.13543548830753627</v>
      </c>
      <c r="O825">
        <v>3.8143511744635872E-2</v>
      </c>
      <c r="P825">
        <v>2.0229688222116234E-2</v>
      </c>
      <c r="Q825">
        <v>1.3291612857827438E-3</v>
      </c>
      <c r="R825">
        <v>1.3547619581769899E-3</v>
      </c>
      <c r="S825">
        <v>0.23161400168505078</v>
      </c>
      <c r="T825">
        <v>4.0549439860520353</v>
      </c>
      <c r="U825">
        <v>0</v>
      </c>
      <c r="V825">
        <v>9.4523053561131939E-3</v>
      </c>
      <c r="W825">
        <v>7.8170526316984901E-2</v>
      </c>
      <c r="X825">
        <v>1.2041794095846135E-2</v>
      </c>
      <c r="Y825">
        <v>3.8286607249907452E-3</v>
      </c>
    </row>
    <row r="826" spans="1:25" x14ac:dyDescent="0.25">
      <c r="A826" s="1090"/>
      <c r="B826" s="1448">
        <v>576</v>
      </c>
      <c r="C826" s="1094">
        <v>1.0004753209286028</v>
      </c>
      <c r="D826" s="1094">
        <v>0.95190849831870816</v>
      </c>
      <c r="E826" s="1094">
        <v>1.0065804564375809</v>
      </c>
      <c r="F826" s="1094">
        <v>0.98742536821883775</v>
      </c>
      <c r="G826" s="1094">
        <v>1.0212477307956511</v>
      </c>
      <c r="H826" s="1094">
        <v>1.0009591093106303</v>
      </c>
      <c r="I826" s="1094">
        <v>1.0144280623655457</v>
      </c>
      <c r="K826">
        <v>4.4397755615251295</v>
      </c>
      <c r="L826">
        <v>0</v>
      </c>
      <c r="M826">
        <v>1.4537512127015802E-3</v>
      </c>
      <c r="N826">
        <v>0.12828029447537306</v>
      </c>
      <c r="O826">
        <v>3.8599699113865252E-2</v>
      </c>
      <c r="P826">
        <v>1.9023292520295266E-2</v>
      </c>
      <c r="Q826">
        <v>1.3364087190568534E-3</v>
      </c>
      <c r="R826">
        <v>1.4477183502609701E-3</v>
      </c>
      <c r="S826">
        <v>0.23619973262750604</v>
      </c>
      <c r="T826">
        <v>3.9158888846456947</v>
      </c>
      <c r="U826">
        <v>0</v>
      </c>
      <c r="V826">
        <v>9.45230535611318E-3</v>
      </c>
      <c r="W826">
        <v>7.607286609625484E-2</v>
      </c>
      <c r="X826">
        <v>1.0836748247505789E-2</v>
      </c>
      <c r="Y826">
        <v>4.0913625859048822E-3</v>
      </c>
    </row>
    <row r="827" spans="1:25" x14ac:dyDescent="0.25">
      <c r="A827" s="1090"/>
      <c r="B827" s="1448">
        <v>577</v>
      </c>
      <c r="C827" s="1094">
        <v>1.0343906330116803</v>
      </c>
      <c r="D827" s="1094">
        <v>0.97828745109440862</v>
      </c>
      <c r="E827" s="1094">
        <v>0.99887128548037685</v>
      </c>
      <c r="F827" s="1094">
        <v>0.99554317096508593</v>
      </c>
      <c r="G827" s="1094">
        <v>1.0281778903388203</v>
      </c>
      <c r="H827" s="1094">
        <v>1.027118019610292</v>
      </c>
      <c r="I827" s="1094">
        <v>0.98697331825272605</v>
      </c>
      <c r="K827">
        <v>4.4547865269332911</v>
      </c>
      <c r="L827">
        <v>0</v>
      </c>
      <c r="M827">
        <v>1.4623867051661407E-3</v>
      </c>
      <c r="N827">
        <v>0.12614625183639072</v>
      </c>
      <c r="O827">
        <v>3.7283129268953656E-2</v>
      </c>
      <c r="P827">
        <v>1.9004536025734393E-2</v>
      </c>
      <c r="Q827">
        <v>1.2701300015898658E-3</v>
      </c>
      <c r="R827">
        <v>1.4565205919054411E-3</v>
      </c>
      <c r="S827">
        <v>0.2235072961441873</v>
      </c>
      <c r="T827">
        <v>3.9483739894758347</v>
      </c>
      <c r="U827">
        <v>0</v>
      </c>
      <c r="V827">
        <v>9.4523053561131991E-3</v>
      </c>
      <c r="W827">
        <v>7.5197407153157231E-2</v>
      </c>
      <c r="X827">
        <v>1.0441109391775002E-2</v>
      </c>
      <c r="Y827">
        <v>4.1162383928115172E-3</v>
      </c>
    </row>
    <row r="828" spans="1:25" x14ac:dyDescent="0.25">
      <c r="A828" s="1090"/>
      <c r="B828" s="1448">
        <v>578</v>
      </c>
      <c r="C828" s="1094">
        <v>1.0052273971543018</v>
      </c>
      <c r="D828" s="1094">
        <v>0.99317064532508093</v>
      </c>
      <c r="E828" s="1094">
        <v>0.99828802161894714</v>
      </c>
      <c r="F828" s="1094">
        <v>0.9916505905644547</v>
      </c>
      <c r="G828" s="1094">
        <v>0.99006496312438819</v>
      </c>
      <c r="H828" s="1094">
        <v>0.95955344207920534</v>
      </c>
      <c r="I828" s="1094">
        <v>0.98102760479267592</v>
      </c>
      <c r="K828">
        <v>4.4287070128407278</v>
      </c>
      <c r="L828">
        <v>0</v>
      </c>
      <c r="M828">
        <v>1.3936293643953723E-3</v>
      </c>
      <c r="N828">
        <v>0.11997155534832024</v>
      </c>
      <c r="O828">
        <v>3.7988620327362214E-2</v>
      </c>
      <c r="P828">
        <v>1.8919278266184478E-2</v>
      </c>
      <c r="Q828">
        <v>1.298458850021421E-3</v>
      </c>
      <c r="R828">
        <v>1.3876220400320827E-3</v>
      </c>
      <c r="S828">
        <v>0.22197725370795943</v>
      </c>
      <c r="T828">
        <v>3.9329578620312136</v>
      </c>
      <c r="U828">
        <v>0</v>
      </c>
      <c r="V828">
        <v>9.4523053561131835E-3</v>
      </c>
      <c r="W828">
        <v>7.1544816492999999E-2</v>
      </c>
      <c r="X828">
        <v>1.0681343959858595E-2</v>
      </c>
      <c r="Y828">
        <v>3.9215258250618083E-3</v>
      </c>
    </row>
    <row r="829" spans="1:25" x14ac:dyDescent="0.25">
      <c r="A829" s="1090"/>
      <c r="B829" s="1448">
        <v>579</v>
      </c>
      <c r="C829" s="1094">
        <v>0.97647780072920887</v>
      </c>
      <c r="D829" s="1094">
        <v>0.99600978960040532</v>
      </c>
      <c r="E829" s="1094">
        <v>1.0196438736008471</v>
      </c>
      <c r="F829" s="1094">
        <v>1.0239139212190964</v>
      </c>
      <c r="G829" s="1094">
        <v>1.0129900999306791</v>
      </c>
      <c r="H829" s="1094">
        <v>1.0145495182828941</v>
      </c>
      <c r="I829" s="1094">
        <v>0.98807222906426739</v>
      </c>
      <c r="K829">
        <v>4.6038342275545094</v>
      </c>
      <c r="L829">
        <v>0</v>
      </c>
      <c r="M829">
        <v>1.4953634886307548E-3</v>
      </c>
      <c r="N829">
        <v>0.13718224780322011</v>
      </c>
      <c r="O829">
        <v>4.0179145315692354E-2</v>
      </c>
      <c r="P829">
        <v>1.9886992429420828E-2</v>
      </c>
      <c r="Q829">
        <v>1.3596836356223683E-3</v>
      </c>
      <c r="R829">
        <v>1.4894583742015249E-3</v>
      </c>
      <c r="S829">
        <v>0.23928584495731653</v>
      </c>
      <c r="T829">
        <v>4.0600875245203216</v>
      </c>
      <c r="U829">
        <v>0</v>
      </c>
      <c r="V829">
        <v>9.4523053561131921E-3</v>
      </c>
      <c r="W829">
        <v>8.064308843823724E-2</v>
      </c>
      <c r="X829">
        <v>1.1553977132732035E-2</v>
      </c>
      <c r="Y829">
        <v>4.2093230802609681E-3</v>
      </c>
    </row>
    <row r="830" spans="1:25" x14ac:dyDescent="0.25">
      <c r="A830" s="1090"/>
      <c r="B830" s="1448">
        <v>580</v>
      </c>
      <c r="C830" s="1094">
        <v>1.0006760099756848</v>
      </c>
      <c r="D830" s="1094">
        <v>0.98969821977682459</v>
      </c>
      <c r="E830" s="1094">
        <v>1.0333290028409434</v>
      </c>
      <c r="F830" s="1094">
        <v>0.9921398431523073</v>
      </c>
      <c r="G830" s="1094">
        <v>1.0113156736757003</v>
      </c>
      <c r="H830" s="1094">
        <v>0.98766414893529919</v>
      </c>
      <c r="I830" s="1094">
        <v>1.0316943459108627</v>
      </c>
      <c r="K830">
        <v>4.4568397121270538</v>
      </c>
      <c r="L830">
        <v>0</v>
      </c>
      <c r="M830">
        <v>1.3407704962434958E-3</v>
      </c>
      <c r="N830">
        <v>0.12804947974531908</v>
      </c>
      <c r="O830">
        <v>3.7993675696145694E-2</v>
      </c>
      <c r="P830">
        <v>1.9485812704926185E-2</v>
      </c>
      <c r="Q830">
        <v>1.3456120311157531E-3</v>
      </c>
      <c r="R830">
        <v>1.3351582749621409E-3</v>
      </c>
      <c r="S830">
        <v>0.23701952757770808</v>
      </c>
      <c r="T830">
        <v>3.9335846420616427</v>
      </c>
      <c r="U830">
        <v>0</v>
      </c>
      <c r="V830">
        <v>9.4523053561131973E-3</v>
      </c>
      <c r="W830">
        <v>7.4593566388461111E-2</v>
      </c>
      <c r="X830">
        <v>1.1547443567344089E-2</v>
      </c>
      <c r="Y830">
        <v>3.7732592195551715E-3</v>
      </c>
    </row>
    <row r="831" spans="1:25" x14ac:dyDescent="0.25">
      <c r="A831" s="1090"/>
      <c r="B831" s="1448">
        <v>581</v>
      </c>
      <c r="C831" s="1094">
        <v>1.0240981188051326</v>
      </c>
      <c r="D831" s="1094">
        <v>0.96511652718747099</v>
      </c>
      <c r="E831" s="1094">
        <v>0.95707513582143733</v>
      </c>
      <c r="F831" s="1094">
        <v>0.96282926537846658</v>
      </c>
      <c r="G831" s="1094">
        <v>0.9806514356286099</v>
      </c>
      <c r="H831" s="1094">
        <v>1.0063015827549284</v>
      </c>
      <c r="I831" s="1094">
        <v>0.97489487790028995</v>
      </c>
      <c r="K831">
        <v>4.3054825868117659</v>
      </c>
      <c r="L831">
        <v>0</v>
      </c>
      <c r="M831">
        <v>1.53642551007114E-3</v>
      </c>
      <c r="N831">
        <v>0.11704581107460643</v>
      </c>
      <c r="O831">
        <v>3.6891018440459389E-2</v>
      </c>
      <c r="P831">
        <v>1.7819278052901445E-2</v>
      </c>
      <c r="Q831">
        <v>1.243851426896223E-3</v>
      </c>
      <c r="R831">
        <v>1.5299220880186958E-3</v>
      </c>
      <c r="S831">
        <v>0.21751030337785657</v>
      </c>
      <c r="T831">
        <v>3.8201779244530263</v>
      </c>
      <c r="U831">
        <v>0</v>
      </c>
      <c r="V831">
        <v>9.4523053561132043E-3</v>
      </c>
      <c r="W831">
        <v>7.1802335191384334E-2</v>
      </c>
      <c r="X831">
        <v>9.2225862358008125E-3</v>
      </c>
      <c r="Y831">
        <v>4.3236766247667022E-3</v>
      </c>
    </row>
    <row r="832" spans="1:25" x14ac:dyDescent="0.25">
      <c r="A832" s="1090"/>
      <c r="B832" s="1448">
        <v>582</v>
      </c>
      <c r="C832" s="1094">
        <v>0.9971695701569071</v>
      </c>
      <c r="D832" s="1094">
        <v>0.98309262655855645</v>
      </c>
      <c r="E832" s="1094">
        <v>1.0198876613926309</v>
      </c>
      <c r="F832" s="1094">
        <v>0.99210932749655578</v>
      </c>
      <c r="G832" s="1094">
        <v>0.96364027085905235</v>
      </c>
      <c r="H832" s="1094">
        <v>0.98569642359754817</v>
      </c>
      <c r="I832" s="1094">
        <v>1.007229763023842</v>
      </c>
      <c r="K832">
        <v>4.4518643994151859</v>
      </c>
      <c r="L832">
        <v>0</v>
      </c>
      <c r="M832">
        <v>1.3851791605703203E-3</v>
      </c>
      <c r="N832">
        <v>0.12713447887947618</v>
      </c>
      <c r="O832">
        <v>3.8321168784134794E-2</v>
      </c>
      <c r="P832">
        <v>1.9277163059559101E-2</v>
      </c>
      <c r="Q832">
        <v>1.3387161489574907E-3</v>
      </c>
      <c r="R832">
        <v>1.3793693001022608E-3</v>
      </c>
      <c r="S832">
        <v>0.23253395715532993</v>
      </c>
      <c r="T832">
        <v>3.9339648390911877</v>
      </c>
      <c r="U832">
        <v>0</v>
      </c>
      <c r="V832">
        <v>9.4523053561131783E-3</v>
      </c>
      <c r="W832">
        <v>7.4724320870579827E-2</v>
      </c>
      <c r="X832">
        <v>1.1225056978367684E-2</v>
      </c>
      <c r="Y832">
        <v>3.8982029519532431E-3</v>
      </c>
    </row>
    <row r="833" spans="1:25" x14ac:dyDescent="0.25">
      <c r="A833" s="1090"/>
      <c r="B833" s="1448">
        <v>583</v>
      </c>
      <c r="C833" s="1094">
        <v>1.0109872005831388</v>
      </c>
      <c r="D833" s="1094">
        <v>1.0217085137757667</v>
      </c>
      <c r="E833" s="1094">
        <v>1.0447329474790246</v>
      </c>
      <c r="F833" s="1094">
        <v>0.9974152439683357</v>
      </c>
      <c r="G833" s="1094">
        <v>0.99955844625003609</v>
      </c>
      <c r="H833" s="1094">
        <v>1.0265802170364673</v>
      </c>
      <c r="I833" s="1094">
        <v>1.0291020617880398</v>
      </c>
      <c r="K833">
        <v>4.4812456850796547</v>
      </c>
      <c r="L833">
        <v>0</v>
      </c>
      <c r="M833">
        <v>1.3364675590480176E-3</v>
      </c>
      <c r="N833">
        <v>0.13203604780008235</v>
      </c>
      <c r="O833">
        <v>3.725081971609906E-2</v>
      </c>
      <c r="P833">
        <v>1.9735937643906673E-2</v>
      </c>
      <c r="Q833">
        <v>1.3276356244587978E-3</v>
      </c>
      <c r="R833">
        <v>1.3311137663954242E-3</v>
      </c>
      <c r="S833">
        <v>0.2355681868278551</v>
      </c>
      <c r="T833">
        <v>3.9540754408774466</v>
      </c>
      <c r="U833">
        <v>0</v>
      </c>
      <c r="V833">
        <v>9.4523053561131835E-3</v>
      </c>
      <c r="W833">
        <v>7.6340629586916384E-2</v>
      </c>
      <c r="X833">
        <v>1.1702206309868358E-2</v>
      </c>
      <c r="Y833">
        <v>3.7618291295620065E-3</v>
      </c>
    </row>
    <row r="834" spans="1:25" x14ac:dyDescent="0.25">
      <c r="A834" s="1090"/>
      <c r="B834" s="1448">
        <v>584</v>
      </c>
      <c r="C834" s="1094">
        <v>1.0227598808605411</v>
      </c>
      <c r="D834" s="1094">
        <v>1.0120475711038772</v>
      </c>
      <c r="E834" s="1094">
        <v>1.0375931054382632</v>
      </c>
      <c r="F834" s="1094">
        <v>0.98119884445715788</v>
      </c>
      <c r="G834" s="1094">
        <v>1.0425160577443933</v>
      </c>
      <c r="H834" s="1094">
        <v>1.036920134450581</v>
      </c>
      <c r="I834" s="1094">
        <v>0.96420288416287858</v>
      </c>
      <c r="K834">
        <v>4.393169726212947</v>
      </c>
      <c r="L834">
        <v>0</v>
      </c>
      <c r="M834">
        <v>1.3378712927945807E-3</v>
      </c>
      <c r="N834">
        <v>0.12941296194345589</v>
      </c>
      <c r="O834">
        <v>3.6408354538544178E-2</v>
      </c>
      <c r="P834">
        <v>1.924919880904713E-2</v>
      </c>
      <c r="Q834">
        <v>1.3095203207747178E-3</v>
      </c>
      <c r="R834">
        <v>1.3324779937506595E-3</v>
      </c>
      <c r="S834">
        <v>0.21710140902880073</v>
      </c>
      <c r="T834">
        <v>3.890049786476963</v>
      </c>
      <c r="U834">
        <v>0</v>
      </c>
      <c r="V834">
        <v>9.4523053561131939E-3</v>
      </c>
      <c r="W834">
        <v>7.5176018270775441E-2</v>
      </c>
      <c r="X834">
        <v>1.1249880227292687E-2</v>
      </c>
      <c r="Y834">
        <v>3.7656845402217333E-3</v>
      </c>
    </row>
    <row r="835" spans="1:25" x14ac:dyDescent="0.25">
      <c r="A835" s="1090"/>
      <c r="B835" s="1448">
        <v>585</v>
      </c>
      <c r="C835" s="1094">
        <v>0.96266611343319841</v>
      </c>
      <c r="D835" s="1094">
        <v>1.0011984671862701</v>
      </c>
      <c r="E835" s="1094">
        <v>1.0318376742854773</v>
      </c>
      <c r="F835" s="1094">
        <v>1.002832633360043</v>
      </c>
      <c r="G835" s="1094">
        <v>0.99624010316652056</v>
      </c>
      <c r="H835" s="1094">
        <v>1.0266834293506701</v>
      </c>
      <c r="I835" s="1094">
        <v>0.96750314191527598</v>
      </c>
      <c r="K835">
        <v>4.5171034184118559</v>
      </c>
      <c r="L835">
        <v>0</v>
      </c>
      <c r="M835">
        <v>1.4621760709891646E-3</v>
      </c>
      <c r="N835">
        <v>0.13905821354856751</v>
      </c>
      <c r="O835">
        <v>3.9746122846968192E-2</v>
      </c>
      <c r="P835">
        <v>1.9652522011626504E-2</v>
      </c>
      <c r="Q835">
        <v>1.3905512019247186E-3</v>
      </c>
      <c r="R835">
        <v>1.4563507973859718E-3</v>
      </c>
      <c r="S835">
        <v>0.23488616078614019</v>
      </c>
      <c r="T835">
        <v>3.9760349028057393</v>
      </c>
      <c r="U835">
        <v>0</v>
      </c>
      <c r="V835">
        <v>9.4523053561131869E-3</v>
      </c>
      <c r="W835">
        <v>8.1086473611241841E-2</v>
      </c>
      <c r="X835">
        <v>1.1686232976600475E-2</v>
      </c>
      <c r="Y835">
        <v>4.1157585405362978E-3</v>
      </c>
    </row>
    <row r="836" spans="1:25" x14ac:dyDescent="0.25">
      <c r="A836" s="1090"/>
      <c r="B836" s="1448">
        <v>586</v>
      </c>
      <c r="C836" s="1094">
        <v>0.99727420850626924</v>
      </c>
      <c r="D836" s="1094">
        <v>1.0193089542670482</v>
      </c>
      <c r="E836" s="1094">
        <v>0.98185479889596972</v>
      </c>
      <c r="F836" s="1094">
        <v>0.99659184423237623</v>
      </c>
      <c r="G836" s="1094">
        <v>1.0250337376779133</v>
      </c>
      <c r="H836" s="1094">
        <v>0.97454926296725364</v>
      </c>
      <c r="I836" s="1094">
        <v>1.0243491144096444</v>
      </c>
      <c r="K836">
        <v>4.4621596432128392</v>
      </c>
      <c r="L836">
        <v>0</v>
      </c>
      <c r="M836">
        <v>1.4688419600243383E-3</v>
      </c>
      <c r="N836">
        <v>0.12044321211640135</v>
      </c>
      <c r="O836">
        <v>3.8196290823065041E-2</v>
      </c>
      <c r="P836">
        <v>1.8830449837585757E-2</v>
      </c>
      <c r="Q836">
        <v>1.2770555351871702E-3</v>
      </c>
      <c r="R836">
        <v>1.4626386357094526E-3</v>
      </c>
      <c r="S836">
        <v>0.23373294395155994</v>
      </c>
      <c r="T836">
        <v>3.9531819142866644</v>
      </c>
      <c r="U836">
        <v>0</v>
      </c>
      <c r="V836">
        <v>9.45230535611318E-3</v>
      </c>
      <c r="W836">
        <v>7.2633757692766754E-2</v>
      </c>
      <c r="X836">
        <v>1.0284388486120212E-2</v>
      </c>
      <c r="Y836">
        <v>4.133528451692201E-3</v>
      </c>
    </row>
    <row r="837" spans="1:25" x14ac:dyDescent="0.25">
      <c r="A837" s="1090"/>
      <c r="B837" s="1448">
        <v>587</v>
      </c>
      <c r="C837" s="1094">
        <v>0.99250860264846952</v>
      </c>
      <c r="D837" s="1094">
        <v>1.0143173322190868</v>
      </c>
      <c r="E837" s="1094">
        <v>1.0085140272352244</v>
      </c>
      <c r="F837" s="1094">
        <v>0.9794729435442755</v>
      </c>
      <c r="G837" s="1094">
        <v>0.98766049375606224</v>
      </c>
      <c r="H837" s="1094">
        <v>0.99268025313736097</v>
      </c>
      <c r="I837" s="1094">
        <v>1.0082888118314191</v>
      </c>
      <c r="K837">
        <v>4.3941976865030972</v>
      </c>
      <c r="L837">
        <v>0</v>
      </c>
      <c r="M837">
        <v>1.3997681295619692E-3</v>
      </c>
      <c r="N837">
        <v>0.12421751490235271</v>
      </c>
      <c r="O837">
        <v>3.7615095209733322E-2</v>
      </c>
      <c r="P837">
        <v>1.8878332107242556E-2</v>
      </c>
      <c r="Q837">
        <v>1.3155161408000323E-3</v>
      </c>
      <c r="R837">
        <v>1.3938634874757457E-3</v>
      </c>
      <c r="S837">
        <v>0.23019122347133639</v>
      </c>
      <c r="T837">
        <v>3.8842796483601294</v>
      </c>
      <c r="U837">
        <v>0</v>
      </c>
      <c r="V837">
        <v>9.4523053561131869E-3</v>
      </c>
      <c r="W837">
        <v>7.3567840052816205E-2</v>
      </c>
      <c r="X837">
        <v>1.0746950912609672E-2</v>
      </c>
      <c r="Y837">
        <v>3.9391646320495717E-3</v>
      </c>
    </row>
    <row r="838" spans="1:25" x14ac:dyDescent="0.25">
      <c r="A838" s="1090"/>
      <c r="B838" s="1448">
        <v>588</v>
      </c>
      <c r="C838" s="1094">
        <v>0.99075637469910005</v>
      </c>
      <c r="D838" s="1094">
        <v>1.0389800741943991</v>
      </c>
      <c r="E838" s="1094">
        <v>0.98746773896118256</v>
      </c>
      <c r="F838" s="1094">
        <v>0.98141105416417718</v>
      </c>
      <c r="G838" s="1094">
        <v>0.9827084378571449</v>
      </c>
      <c r="H838" s="1094">
        <v>0.97741636079938909</v>
      </c>
      <c r="I838" s="1094">
        <v>1.0052219451320101</v>
      </c>
      <c r="K838">
        <v>4.3924592383230578</v>
      </c>
      <c r="L838">
        <v>0</v>
      </c>
      <c r="M838">
        <v>1.4322474122837161E-3</v>
      </c>
      <c r="N838">
        <v>0.11940798146793369</v>
      </c>
      <c r="O838">
        <v>3.7536026287188114E-2</v>
      </c>
      <c r="P838">
        <v>1.8609654799880134E-2</v>
      </c>
      <c r="Q838">
        <v>1.2818778001915218E-3</v>
      </c>
      <c r="R838">
        <v>1.4261234798407889E-3</v>
      </c>
      <c r="S838">
        <v>0.22740661108825511</v>
      </c>
      <c r="T838">
        <v>3.8927529149770281</v>
      </c>
      <c r="U838">
        <v>0</v>
      </c>
      <c r="V838">
        <v>9.4523053561132095E-3</v>
      </c>
      <c r="W838">
        <v>7.1733944363475063E-2</v>
      </c>
      <c r="X838">
        <v>1.0253712282022926E-2</v>
      </c>
      <c r="Y838">
        <v>4.0303338334070878E-3</v>
      </c>
    </row>
    <row r="839" spans="1:25" x14ac:dyDescent="0.25">
      <c r="A839" s="1090"/>
      <c r="B839" s="1448">
        <v>589</v>
      </c>
      <c r="C839" s="1094">
        <v>1.0015850809955631</v>
      </c>
      <c r="D839" s="1094">
        <v>0.97225711740905441</v>
      </c>
      <c r="E839" s="1094">
        <v>0.98753949005700292</v>
      </c>
      <c r="F839" s="1094">
        <v>1.0137863252155144</v>
      </c>
      <c r="G839" s="1094">
        <v>1.0101623077349489</v>
      </c>
      <c r="H839" s="1094">
        <v>0.99288536549655382</v>
      </c>
      <c r="I839" s="1094">
        <v>0.97619957943968561</v>
      </c>
      <c r="K839">
        <v>4.538112373719704</v>
      </c>
      <c r="L839">
        <v>0</v>
      </c>
      <c r="M839">
        <v>1.5262266660774537E-3</v>
      </c>
      <c r="N839">
        <v>0.12729583657680221</v>
      </c>
      <c r="O839">
        <v>3.9386527420927457E-2</v>
      </c>
      <c r="P839">
        <v>1.9196442207534272E-2</v>
      </c>
      <c r="Q839">
        <v>1.3022159467541419E-3</v>
      </c>
      <c r="R839">
        <v>1.5200068955905531E-3</v>
      </c>
      <c r="S839">
        <v>0.22897575113601382</v>
      </c>
      <c r="T839">
        <v>4.0211661778067072</v>
      </c>
      <c r="U839">
        <v>0</v>
      </c>
      <c r="V839">
        <v>9.4523053561131956E-3</v>
      </c>
      <c r="W839">
        <v>7.6468806812705584E-2</v>
      </c>
      <c r="X839">
        <v>1.0578874692653683E-2</v>
      </c>
      <c r="Y839">
        <v>4.2956555339756395E-3</v>
      </c>
    </row>
    <row r="840" spans="1:25" x14ac:dyDescent="0.25">
      <c r="A840" s="1090"/>
      <c r="B840" s="1448">
        <v>590</v>
      </c>
      <c r="C840" s="1094">
        <v>0.99401713168492734</v>
      </c>
      <c r="D840" s="1094">
        <v>0.97249957023289557</v>
      </c>
      <c r="E840" s="1094">
        <v>1.0210276761708448</v>
      </c>
      <c r="F840" s="1094">
        <v>0.96410743783349606</v>
      </c>
      <c r="G840" s="1094">
        <v>0.97963102818428038</v>
      </c>
      <c r="H840" s="1094">
        <v>0.99041593644965842</v>
      </c>
      <c r="I840" s="1094">
        <v>1.0122902006478709</v>
      </c>
      <c r="K840">
        <v>4.3346424204408329</v>
      </c>
      <c r="L840">
        <v>0</v>
      </c>
      <c r="M840">
        <v>1.3595953876878416E-3</v>
      </c>
      <c r="N840">
        <v>0.12519526213595983</v>
      </c>
      <c r="O840">
        <v>3.75122112380653E-2</v>
      </c>
      <c r="P840">
        <v>1.8773640040406336E-2</v>
      </c>
      <c r="Q840">
        <v>1.3500955305122415E-3</v>
      </c>
      <c r="R840">
        <v>1.3537558703808016E-3</v>
      </c>
      <c r="S840">
        <v>0.23114166496778152</v>
      </c>
      <c r="T840">
        <v>3.8228888177464131</v>
      </c>
      <c r="U840">
        <v>0</v>
      </c>
      <c r="V840">
        <v>9.45230535611318E-3</v>
      </c>
      <c r="W840">
        <v>7.352863395792833E-2</v>
      </c>
      <c r="X840">
        <v>1.0979811540896363E-2</v>
      </c>
      <c r="Y840">
        <v>3.8258174440675488E-3</v>
      </c>
    </row>
    <row r="841" spans="1:25" x14ac:dyDescent="0.25">
      <c r="A841" s="1090"/>
      <c r="B841" s="1448">
        <v>591</v>
      </c>
      <c r="C841" s="1094">
        <v>0.96883806215200363</v>
      </c>
      <c r="D841" s="1094">
        <v>1.0006613550623638</v>
      </c>
      <c r="E841" s="1094">
        <v>0.9770853983602551</v>
      </c>
      <c r="F841" s="1094">
        <v>1.0358894809584913</v>
      </c>
      <c r="G841" s="1094">
        <v>0.99099041372284957</v>
      </c>
      <c r="H841" s="1094">
        <v>1.0043475290986303</v>
      </c>
      <c r="I841" s="1094">
        <v>1.0242402858013475</v>
      </c>
      <c r="K841">
        <v>4.6606666972384625</v>
      </c>
      <c r="L841">
        <v>0</v>
      </c>
      <c r="M841">
        <v>1.6477923075272154E-3</v>
      </c>
      <c r="N841">
        <v>0.13325554517565286</v>
      </c>
      <c r="O841">
        <v>4.1205575684374413E-2</v>
      </c>
      <c r="P841">
        <v>1.9536507993551128E-2</v>
      </c>
      <c r="Q841">
        <v>1.3188095464718773E-3</v>
      </c>
      <c r="R841">
        <v>1.6412948508845865E-3</v>
      </c>
      <c r="S841">
        <v>0.25079782976258413</v>
      </c>
      <c r="T841">
        <v>4.109253916956721</v>
      </c>
      <c r="U841">
        <v>0</v>
      </c>
      <c r="V841">
        <v>9.4523053561131939E-3</v>
      </c>
      <c r="W841">
        <v>8.062340166904737E-2</v>
      </c>
      <c r="X841">
        <v>1.0590877995054249E-2</v>
      </c>
      <c r="Y841">
        <v>4.6384245555339144E-3</v>
      </c>
    </row>
    <row r="842" spans="1:25" x14ac:dyDescent="0.25">
      <c r="A842" s="1090"/>
      <c r="B842" s="1448">
        <v>592</v>
      </c>
      <c r="C842" s="1094">
        <v>1.0378522564961341</v>
      </c>
      <c r="D842" s="1094">
        <v>0.97546798948041735</v>
      </c>
      <c r="E842" s="1094">
        <v>0.98317642773495528</v>
      </c>
      <c r="F842" s="1094">
        <v>1.0199213354849994</v>
      </c>
      <c r="G842" s="1094">
        <v>0.99758810428890676</v>
      </c>
      <c r="H842" s="1094">
        <v>0.95747774871148794</v>
      </c>
      <c r="I842" s="1094">
        <v>0.97639922094787535</v>
      </c>
      <c r="K842">
        <v>4.5374199676354259</v>
      </c>
      <c r="L842">
        <v>0</v>
      </c>
      <c r="M842">
        <v>1.4401878958481963E-3</v>
      </c>
      <c r="N842">
        <v>0.11856026472618542</v>
      </c>
      <c r="O842">
        <v>3.8219472065773148E-2</v>
      </c>
      <c r="P842">
        <v>1.9199000120471165E-2</v>
      </c>
      <c r="Q842">
        <v>1.2503263757711648E-3</v>
      </c>
      <c r="R842">
        <v>1.4341381766008725E-3</v>
      </c>
      <c r="S842">
        <v>0.21909805743668676</v>
      </c>
      <c r="T842">
        <v>4.045671262228284</v>
      </c>
      <c r="U842">
        <v>0</v>
      </c>
      <c r="V842">
        <v>9.4523053561131783E-3</v>
      </c>
      <c r="W842">
        <v>7.1433637973651196E-2</v>
      </c>
      <c r="X842">
        <v>1.0488707093395317E-2</v>
      </c>
      <c r="Y842">
        <v>4.0529839783442359E-3</v>
      </c>
    </row>
    <row r="843" spans="1:25" x14ac:dyDescent="0.25">
      <c r="A843" s="1090"/>
      <c r="B843" s="1448">
        <v>593</v>
      </c>
      <c r="C843" s="1094">
        <v>1.0084610866558352</v>
      </c>
      <c r="D843" s="1094">
        <v>0.99630458075442663</v>
      </c>
      <c r="E843" s="1094">
        <v>1.0135068119115751</v>
      </c>
      <c r="F843" s="1094">
        <v>0.99468947376125916</v>
      </c>
      <c r="G843" s="1094">
        <v>1.0212806748460834</v>
      </c>
      <c r="H843" s="1094">
        <v>0.99813212642527271</v>
      </c>
      <c r="I843" s="1094">
        <v>0.99272996113276957</v>
      </c>
      <c r="K843">
        <v>4.4549694054464286</v>
      </c>
      <c r="L843">
        <v>0</v>
      </c>
      <c r="M843">
        <v>1.4018958016399547E-3</v>
      </c>
      <c r="N843">
        <v>0.12626990817077821</v>
      </c>
      <c r="O843">
        <v>3.7831699968369201E-2</v>
      </c>
      <c r="P843">
        <v>1.9209820770390042E-2</v>
      </c>
      <c r="Q843">
        <v>1.3095719927016267E-3</v>
      </c>
      <c r="R843">
        <v>1.3961040850381191E-3</v>
      </c>
      <c r="S843">
        <v>0.22701677325541697</v>
      </c>
      <c r="T843">
        <v>3.9444354912357302</v>
      </c>
      <c r="U843">
        <v>0</v>
      </c>
      <c r="V843">
        <v>9.4523053561131904E-3</v>
      </c>
      <c r="W843">
        <v>7.4533308716112384E-2</v>
      </c>
      <c r="X843">
        <v>1.0970820965599646E-2</v>
      </c>
      <c r="Y843">
        <v>3.9454967318223698E-3</v>
      </c>
    </row>
    <row r="844" spans="1:25" x14ac:dyDescent="0.25">
      <c r="A844" s="1090"/>
      <c r="B844" s="1448">
        <v>594</v>
      </c>
      <c r="C844" s="1094">
        <v>1.0279837934943439</v>
      </c>
      <c r="D844" s="1094">
        <v>0.99885543086362305</v>
      </c>
      <c r="E844" s="1094">
        <v>1.0056836297061384</v>
      </c>
      <c r="F844" s="1094">
        <v>0.98159991737391727</v>
      </c>
      <c r="G844" s="1094">
        <v>0.95658839872939883</v>
      </c>
      <c r="H844" s="1094">
        <v>1.0271262421159149</v>
      </c>
      <c r="I844" s="1094">
        <v>1.0038661527013426</v>
      </c>
      <c r="K844">
        <v>4.3975631676768741</v>
      </c>
      <c r="L844">
        <v>0</v>
      </c>
      <c r="M844">
        <v>1.4184586019435276E-3</v>
      </c>
      <c r="N844">
        <v>0.12484429280523422</v>
      </c>
      <c r="O844">
        <v>3.6638787427658276E-2</v>
      </c>
      <c r="P844">
        <v>1.8854739413502061E-2</v>
      </c>
      <c r="Q844">
        <v>1.2748642332970129E-3</v>
      </c>
      <c r="R844">
        <v>1.4126882597207513E-3</v>
      </c>
      <c r="S844">
        <v>0.22513916404384376</v>
      </c>
      <c r="T844">
        <v>3.8928199860909296</v>
      </c>
      <c r="U844">
        <v>0</v>
      </c>
      <c r="V844">
        <v>9.4523053561131869E-3</v>
      </c>
      <c r="W844">
        <v>7.4079949270317066E-2</v>
      </c>
      <c r="X844">
        <v>1.0472484502585231E-2</v>
      </c>
      <c r="Y844">
        <v>3.9923648756173295E-3</v>
      </c>
    </row>
    <row r="845" spans="1:25" x14ac:dyDescent="0.25">
      <c r="A845" s="1090"/>
      <c r="B845" s="1448">
        <v>595</v>
      </c>
      <c r="C845" s="1094">
        <v>1.0214131259351844</v>
      </c>
      <c r="D845" s="1094">
        <v>0.99276871682503731</v>
      </c>
      <c r="E845" s="1094">
        <v>1.0105170738059575</v>
      </c>
      <c r="F845" s="1094">
        <v>1.0046164219315405</v>
      </c>
      <c r="G845" s="1094">
        <v>1.021180400965088</v>
      </c>
      <c r="H845" s="1094">
        <v>0.96398700723115438</v>
      </c>
      <c r="I845" s="1094">
        <v>0.98474635913422792</v>
      </c>
      <c r="K845">
        <v>4.4814816071790142</v>
      </c>
      <c r="L845">
        <v>0</v>
      </c>
      <c r="M845">
        <v>1.3605318231999794E-3</v>
      </c>
      <c r="N845">
        <v>0.12145170141173126</v>
      </c>
      <c r="O845">
        <v>3.7798718350985944E-2</v>
      </c>
      <c r="P845">
        <v>1.9323492180136997E-2</v>
      </c>
      <c r="Q845">
        <v>1.2915177425878535E-3</v>
      </c>
      <c r="R845">
        <v>1.3547691754745112E-3</v>
      </c>
      <c r="S845">
        <v>0.22155878469585136</v>
      </c>
      <c r="T845">
        <v>3.9839144520882219</v>
      </c>
      <c r="U845">
        <v>0</v>
      </c>
      <c r="V845">
        <v>9.4523053561131956E-3</v>
      </c>
      <c r="W845">
        <v>7.1833098538612597E-2</v>
      </c>
      <c r="X845">
        <v>1.1034618340869756E-2</v>
      </c>
      <c r="Y845">
        <v>3.8286811216245551E-3</v>
      </c>
    </row>
    <row r="846" spans="1:25" x14ac:dyDescent="0.25">
      <c r="A846" s="1090"/>
      <c r="B846" s="1448">
        <v>596</v>
      </c>
      <c r="C846" s="1094">
        <v>0.99754441933299853</v>
      </c>
      <c r="D846" s="1094">
        <v>0.96792849548129745</v>
      </c>
      <c r="E846" s="1094">
        <v>1.0144890913152922</v>
      </c>
      <c r="F846" s="1094">
        <v>1.0081066683975288</v>
      </c>
      <c r="G846" s="1094">
        <v>1.014760544460152</v>
      </c>
      <c r="H846" s="1094">
        <v>0.95815916686806002</v>
      </c>
      <c r="I846" s="1094">
        <v>0.97308711363020217</v>
      </c>
      <c r="K846">
        <v>4.5081965413676119</v>
      </c>
      <c r="L846">
        <v>0</v>
      </c>
      <c r="M846">
        <v>1.3918954518201143E-3</v>
      </c>
      <c r="N846">
        <v>0.1257196442969411</v>
      </c>
      <c r="O846">
        <v>3.9205285191565936E-2</v>
      </c>
      <c r="P846">
        <v>1.9463480267894902E-2</v>
      </c>
      <c r="Q846">
        <v>1.3404116418552301E-3</v>
      </c>
      <c r="R846">
        <v>1.3859845543071152E-3</v>
      </c>
      <c r="S846">
        <v>0.22599499191780731</v>
      </c>
      <c r="T846">
        <v>3.9976038503159406</v>
      </c>
      <c r="U846">
        <v>0</v>
      </c>
      <c r="V846">
        <v>9.4523053561131921E-3</v>
      </c>
      <c r="W846">
        <v>7.4159718705866726E-2</v>
      </c>
      <c r="X846">
        <v>1.1345866405754667E-2</v>
      </c>
      <c r="Y846">
        <v>3.9168981653869301E-3</v>
      </c>
    </row>
    <row r="847" spans="1:25" x14ac:dyDescent="0.25">
      <c r="A847" s="1090"/>
      <c r="B847" s="1448">
        <v>597</v>
      </c>
      <c r="C847" s="1094">
        <v>1.0019479196517662</v>
      </c>
      <c r="D847" s="1094">
        <v>1.0148785623007177</v>
      </c>
      <c r="E847" s="1094">
        <v>0.99833334336110779</v>
      </c>
      <c r="F847" s="1094">
        <v>0.98760693091481966</v>
      </c>
      <c r="G847" s="1094">
        <v>0.99085023901470359</v>
      </c>
      <c r="H847" s="1094">
        <v>0.99207939467766104</v>
      </c>
      <c r="I847" s="1094">
        <v>0.98156786089676218</v>
      </c>
      <c r="K847">
        <v>4.4179928987821429</v>
      </c>
      <c r="L847">
        <v>0</v>
      </c>
      <c r="M847">
        <v>1.4271808394435695E-3</v>
      </c>
      <c r="N847">
        <v>0.12289170179749312</v>
      </c>
      <c r="O847">
        <v>3.7630374831322914E-2</v>
      </c>
      <c r="P847">
        <v>1.8852325008397858E-2</v>
      </c>
      <c r="Q847">
        <v>1.2915409036547568E-3</v>
      </c>
      <c r="R847">
        <v>1.4212063234350794E-3</v>
      </c>
      <c r="S847">
        <v>0.22313855239533908</v>
      </c>
      <c r="T847">
        <v>3.9169187099059664</v>
      </c>
      <c r="U847">
        <v>0</v>
      </c>
      <c r="V847">
        <v>9.4523053561131904E-3</v>
      </c>
      <c r="W847">
        <v>7.3283993029922667E-2</v>
      </c>
      <c r="X847">
        <v>1.0522932495939845E-2</v>
      </c>
      <c r="Y847">
        <v>4.0164375739974202E-3</v>
      </c>
    </row>
    <row r="848" spans="1:25" x14ac:dyDescent="0.25">
      <c r="A848" s="1090"/>
      <c r="B848" s="1448">
        <v>598</v>
      </c>
      <c r="C848" s="1094">
        <v>1.0131201168226289</v>
      </c>
      <c r="D848" s="1094">
        <v>0.97382179024115423</v>
      </c>
      <c r="E848" s="1094">
        <v>1.0324326270803081</v>
      </c>
      <c r="F848" s="1094">
        <v>0.99912259132609593</v>
      </c>
      <c r="G848" s="1094">
        <v>1.0033852445219993</v>
      </c>
      <c r="H848" s="1094">
        <v>1.0092575953196199</v>
      </c>
      <c r="I848" s="1094">
        <v>0.99415094797021597</v>
      </c>
      <c r="K848">
        <v>4.481683607206473</v>
      </c>
      <c r="L848">
        <v>0</v>
      </c>
      <c r="M848">
        <v>1.3741884500577406E-3</v>
      </c>
      <c r="N848">
        <v>0.13090930100056514</v>
      </c>
      <c r="O848">
        <v>3.8042532943274206E-2</v>
      </c>
      <c r="P848">
        <v>1.9566805025299221E-2</v>
      </c>
      <c r="Q848">
        <v>1.3367031815829757E-3</v>
      </c>
      <c r="R848">
        <v>1.3685985948463581E-3</v>
      </c>
      <c r="S848">
        <v>0.22940039861505943</v>
      </c>
      <c r="T848">
        <v>3.9613030340193234</v>
      </c>
      <c r="U848">
        <v>0</v>
      </c>
      <c r="V848">
        <v>9.4523053561131869E-3</v>
      </c>
      <c r="W848">
        <v>7.6304717314701204E-2</v>
      </c>
      <c r="X848">
        <v>1.1505635489168071E-2</v>
      </c>
      <c r="Y848">
        <v>3.8677641165956165E-3</v>
      </c>
    </row>
    <row r="849" spans="1:25" x14ac:dyDescent="0.25">
      <c r="A849" s="1090"/>
      <c r="B849" s="1448">
        <v>599</v>
      </c>
      <c r="C849" s="1094">
        <v>0.99687453372856272</v>
      </c>
      <c r="D849" s="1094">
        <v>1.0046579176708759</v>
      </c>
      <c r="E849" s="1094">
        <v>1.0232753037737481</v>
      </c>
      <c r="F849" s="1094">
        <v>0.99042594491577152</v>
      </c>
      <c r="G849" s="1094">
        <v>0.96952583934496861</v>
      </c>
      <c r="H849" s="1094">
        <v>0.97563030153646768</v>
      </c>
      <c r="I849" s="1094">
        <v>1.0319934202997707</v>
      </c>
      <c r="K849">
        <v>4.4441284600233333</v>
      </c>
      <c r="L849">
        <v>0</v>
      </c>
      <c r="M849">
        <v>1.3476094915312608E-3</v>
      </c>
      <c r="N849">
        <v>0.12492567729845613</v>
      </c>
      <c r="O849">
        <v>3.7913620277573189E-2</v>
      </c>
      <c r="P849">
        <v>1.9308134749795265E-2</v>
      </c>
      <c r="Q849">
        <v>1.3313469347781758E-3</v>
      </c>
      <c r="R849">
        <v>1.3418892260213696E-3</v>
      </c>
      <c r="S849">
        <v>0.23569888140446371</v>
      </c>
      <c r="T849">
        <v>3.9271633845861489</v>
      </c>
      <c r="U849">
        <v>0</v>
      </c>
      <c r="V849">
        <v>9.4523053561131869E-3</v>
      </c>
      <c r="W849">
        <v>7.3260586041700951E-2</v>
      </c>
      <c r="X849">
        <v>1.1287962238680782E-2</v>
      </c>
      <c r="Y849">
        <v>3.7922814011323545E-3</v>
      </c>
    </row>
    <row r="850" spans="1:25" x14ac:dyDescent="0.25">
      <c r="A850" s="1090"/>
      <c r="B850" s="1448">
        <v>600</v>
      </c>
      <c r="C850" s="1094">
        <v>0.96258080673994229</v>
      </c>
      <c r="D850" s="1094">
        <v>1.0113954379053536</v>
      </c>
      <c r="E850" s="1094">
        <v>0.98796031134911355</v>
      </c>
      <c r="F850" s="1094">
        <v>0.99138152680494107</v>
      </c>
      <c r="G850" s="1094">
        <v>1.0032472265508252</v>
      </c>
      <c r="H850" s="1094">
        <v>0.95229288361815734</v>
      </c>
      <c r="I850" s="1094">
        <v>1.0101876013168616</v>
      </c>
      <c r="K850">
        <v>4.4486221669213126</v>
      </c>
      <c r="L850">
        <v>0</v>
      </c>
      <c r="M850">
        <v>1.4649915900147522E-3</v>
      </c>
      <c r="N850">
        <v>0.12230799041718075</v>
      </c>
      <c r="O850">
        <v>3.9446115459480194E-2</v>
      </c>
      <c r="P850">
        <v>1.883701413054412E-2</v>
      </c>
      <c r="Q850">
        <v>1.3342449670745754E-3</v>
      </c>
      <c r="R850">
        <v>1.458626787703162E-3</v>
      </c>
      <c r="S850">
        <v>0.23677842146557124</v>
      </c>
      <c r="T850">
        <v>3.9322819446289023</v>
      </c>
      <c r="U850">
        <v>0</v>
      </c>
      <c r="V850">
        <v>9.4523053561131904E-3</v>
      </c>
      <c r="W850">
        <v>7.3451452620249186E-2</v>
      </c>
      <c r="X850">
        <v>1.0616852015570378E-2</v>
      </c>
      <c r="Y850">
        <v>4.1221906629363182E-3</v>
      </c>
    </row>
    <row r="851" spans="1:25" x14ac:dyDescent="0.25">
      <c r="A851" s="1090"/>
      <c r="B851" s="1448">
        <v>601</v>
      </c>
      <c r="C851" s="1094">
        <v>1.0140805599737521</v>
      </c>
      <c r="D851" s="1094">
        <v>1.0337757242528065</v>
      </c>
      <c r="E851" s="1094">
        <v>1.0477407964909531</v>
      </c>
      <c r="F851" s="1094">
        <v>0.98908707143289853</v>
      </c>
      <c r="G851" s="1094">
        <v>0.99094870650564737</v>
      </c>
      <c r="H851" s="1094">
        <v>1.012923565231191</v>
      </c>
      <c r="I851" s="1094">
        <v>1.0136556813939779</v>
      </c>
      <c r="K851">
        <v>4.4340879804172584</v>
      </c>
      <c r="L851">
        <v>0</v>
      </c>
      <c r="M851">
        <v>1.2893748137566467E-3</v>
      </c>
      <c r="N851">
        <v>0.12850859211891902</v>
      </c>
      <c r="O851">
        <v>3.6634546069527159E-2</v>
      </c>
      <c r="P851">
        <v>1.9587652630737942E-2</v>
      </c>
      <c r="Q851">
        <v>1.3206860707771718E-3</v>
      </c>
      <c r="R851">
        <v>1.2840961382831811E-3</v>
      </c>
      <c r="S851">
        <v>0.22818657416504007</v>
      </c>
      <c r="T851">
        <v>3.9209491671123433</v>
      </c>
      <c r="U851">
        <v>0</v>
      </c>
      <c r="V851">
        <v>9.4523053561132043E-3</v>
      </c>
      <c r="W851">
        <v>7.4154858234476373E-2</v>
      </c>
      <c r="X851">
        <v>1.1669923611902609E-2</v>
      </c>
      <c r="Y851">
        <v>3.6289537228907137E-3</v>
      </c>
    </row>
    <row r="852" spans="1:25" x14ac:dyDescent="0.25">
      <c r="A852" s="1090"/>
      <c r="B852" s="1448">
        <v>602</v>
      </c>
      <c r="C852" s="1094">
        <v>1.0295383724269387</v>
      </c>
      <c r="D852" s="1094">
        <v>1.0285493545883042</v>
      </c>
      <c r="E852" s="1094">
        <v>0.99164967624368672</v>
      </c>
      <c r="F852" s="1094">
        <v>1.0226971439418728</v>
      </c>
      <c r="G852" s="1094">
        <v>0.99958994347954233</v>
      </c>
      <c r="H852" s="1094">
        <v>0.98750853766905389</v>
      </c>
      <c r="I852" s="1094">
        <v>1.0368521871124183</v>
      </c>
      <c r="K852">
        <v>4.5674545907731474</v>
      </c>
      <c r="L852">
        <v>0</v>
      </c>
      <c r="M852">
        <v>1.4439785333942461E-3</v>
      </c>
      <c r="N852">
        <v>0.12191433949729392</v>
      </c>
      <c r="O852">
        <v>3.7765731306223897E-2</v>
      </c>
      <c r="P852">
        <v>1.9435863196779316E-2</v>
      </c>
      <c r="Q852">
        <v>1.2430560674157568E-3</v>
      </c>
      <c r="R852">
        <v>1.4381132499228556E-3</v>
      </c>
      <c r="S852">
        <v>0.23360464975319961</v>
      </c>
      <c r="T852">
        <v>4.0563499025500196</v>
      </c>
      <c r="U852">
        <v>0</v>
      </c>
      <c r="V852">
        <v>9.4523053561131921E-3</v>
      </c>
      <c r="W852">
        <v>7.3031444024036163E-2</v>
      </c>
      <c r="X852">
        <v>1.0598946466501525E-2</v>
      </c>
      <c r="Y852">
        <v>4.064217839034651E-3</v>
      </c>
    </row>
    <row r="853" spans="1:25" x14ac:dyDescent="0.25">
      <c r="A853" s="1090"/>
      <c r="B853" s="1448">
        <v>603</v>
      </c>
      <c r="C853" s="1094">
        <v>0.98207422365384578</v>
      </c>
      <c r="D853" s="1094">
        <v>0.97107589396020844</v>
      </c>
      <c r="E853" s="1094">
        <v>1.0229799650731013</v>
      </c>
      <c r="F853" s="1094">
        <v>1.0158204647836828</v>
      </c>
      <c r="G853" s="1094">
        <v>1.0117541426524923</v>
      </c>
      <c r="H853" s="1094">
        <v>1.0380540690256042</v>
      </c>
      <c r="I853" s="1094">
        <v>1.0198376463016909</v>
      </c>
      <c r="K853">
        <v>4.5849110645752065</v>
      </c>
      <c r="L853">
        <v>0</v>
      </c>
      <c r="M853">
        <v>1.5139865360573558E-3</v>
      </c>
      <c r="N853">
        <v>0.14027649264576611</v>
      </c>
      <c r="O853">
        <v>4.0014327448082927E-2</v>
      </c>
      <c r="P853">
        <v>1.9826989313074566E-2</v>
      </c>
      <c r="Q853">
        <v>1.3695728027918583E-3</v>
      </c>
      <c r="R853">
        <v>1.5080968864355814E-3</v>
      </c>
      <c r="S853">
        <v>0.24803830698508259</v>
      </c>
      <c r="T853">
        <v>4.0278671433700541</v>
      </c>
      <c r="U853">
        <v>0</v>
      </c>
      <c r="V853">
        <v>9.4523053561131991E-3</v>
      </c>
      <c r="W853">
        <v>8.2278983716552206E-2</v>
      </c>
      <c r="X853">
        <v>1.1530835648490233E-2</v>
      </c>
      <c r="Y853">
        <v>4.2619969388175052E-3</v>
      </c>
    </row>
    <row r="854" spans="1:25" x14ac:dyDescent="0.25">
      <c r="A854" s="1090"/>
      <c r="B854" s="1448">
        <v>604</v>
      </c>
      <c r="C854" s="1094">
        <v>1.0085015777187893</v>
      </c>
      <c r="D854" s="1094">
        <v>1.0126284914329524</v>
      </c>
      <c r="E854" s="1094">
        <v>1.0142798810129707</v>
      </c>
      <c r="F854" s="1094">
        <v>0.96509118043435782</v>
      </c>
      <c r="G854" s="1094">
        <v>0.99285749219401809</v>
      </c>
      <c r="H854" s="1094">
        <v>0.99224372689262474</v>
      </c>
      <c r="I854" s="1094">
        <v>1.0084601478850153</v>
      </c>
      <c r="K854">
        <v>4.3242861117071758</v>
      </c>
      <c r="L854">
        <v>0</v>
      </c>
      <c r="M854">
        <v>1.3413206586719933E-3</v>
      </c>
      <c r="N854">
        <v>0.12107220746073656</v>
      </c>
      <c r="O854">
        <v>3.6461599624018654E-2</v>
      </c>
      <c r="P854">
        <v>1.8669116689166366E-2</v>
      </c>
      <c r="Q854">
        <v>1.3018889632868691E-3</v>
      </c>
      <c r="R854">
        <v>1.3355760809661524E-3</v>
      </c>
      <c r="S854">
        <v>0.22442409331102903</v>
      </c>
      <c r="T854">
        <v>3.8270354082658171</v>
      </c>
      <c r="U854">
        <v>0</v>
      </c>
      <c r="V854">
        <v>9.4523053561131887E-3</v>
      </c>
      <c r="W854">
        <v>7.1428282046473002E-2</v>
      </c>
      <c r="X854">
        <v>1.0672514597017827E-2</v>
      </c>
      <c r="Y854">
        <v>3.7744399712204874E-3</v>
      </c>
    </row>
    <row r="855" spans="1:25" x14ac:dyDescent="0.25">
      <c r="A855" s="1090"/>
      <c r="B855" s="1448">
        <v>605</v>
      </c>
      <c r="C855" s="1094">
        <v>1.0292218015201966</v>
      </c>
      <c r="D855" s="1094">
        <v>0.96611221138047387</v>
      </c>
      <c r="E855" s="1094">
        <v>1.0318726329951164</v>
      </c>
      <c r="F855" s="1094">
        <v>0.97062785511424488</v>
      </c>
      <c r="G855" s="1094">
        <v>0.9719230672113528</v>
      </c>
      <c r="H855" s="1094">
        <v>0.97828365149618002</v>
      </c>
      <c r="I855" s="1094">
        <v>0.99758299300928055</v>
      </c>
      <c r="K855">
        <v>4.3425454037780646</v>
      </c>
      <c r="L855">
        <v>0</v>
      </c>
      <c r="M855">
        <v>1.2795072922833553E-3</v>
      </c>
      <c r="N855">
        <v>0.12165736805081111</v>
      </c>
      <c r="O855">
        <v>3.6498924662135369E-2</v>
      </c>
      <c r="P855">
        <v>1.899168575755094E-2</v>
      </c>
      <c r="Q855">
        <v>1.3193605240376014E-3</v>
      </c>
      <c r="R855">
        <v>1.2739808205866764E-3</v>
      </c>
      <c r="S855">
        <v>0.22055590566750546</v>
      </c>
      <c r="T855">
        <v>3.8483479951215607</v>
      </c>
      <c r="U855">
        <v>0</v>
      </c>
      <c r="V855">
        <v>9.4523053561131904E-3</v>
      </c>
      <c r="W855">
        <v>7.0938196294775546E-2</v>
      </c>
      <c r="X855">
        <v>1.1188821752455985E-2</v>
      </c>
      <c r="Y855">
        <v>3.6003670628124199E-3</v>
      </c>
    </row>
    <row r="856" spans="1:25" x14ac:dyDescent="0.25">
      <c r="A856" s="1090"/>
      <c r="B856" s="1448">
        <v>606</v>
      </c>
      <c r="C856" s="1094">
        <v>1.0111076701836583</v>
      </c>
      <c r="D856" s="1094">
        <v>1.0065008658777581</v>
      </c>
      <c r="E856" s="1094">
        <v>1.010056514522792</v>
      </c>
      <c r="F856" s="1094">
        <v>0.99039014635192701</v>
      </c>
      <c r="G856" s="1094">
        <v>1.0317442643269403</v>
      </c>
      <c r="H856" s="1094">
        <v>1.0057037870781409</v>
      </c>
      <c r="I856" s="1094">
        <v>0.97912074461560505</v>
      </c>
      <c r="K856">
        <v>4.4317327319403166</v>
      </c>
      <c r="L856">
        <v>0</v>
      </c>
      <c r="M856">
        <v>1.4072738284374819E-3</v>
      </c>
      <c r="N856">
        <v>0.12546789405904185</v>
      </c>
      <c r="O856">
        <v>3.7440066229097561E-2</v>
      </c>
      <c r="P856">
        <v>1.906289233003243E-2</v>
      </c>
      <c r="Q856">
        <v>1.2970229899164373E-3</v>
      </c>
      <c r="R856">
        <v>1.401478720028631E-3</v>
      </c>
      <c r="S856">
        <v>0.22252808146184347</v>
      </c>
      <c r="T856">
        <v>3.9275159088473206</v>
      </c>
      <c r="U856">
        <v>0</v>
      </c>
      <c r="V856">
        <v>9.4523053561131817E-3</v>
      </c>
      <c r="W856">
        <v>7.4231434588131556E-2</v>
      </c>
      <c r="X856">
        <v>1.0782235326588389E-2</v>
      </c>
      <c r="Y856">
        <v>3.9606858606395269E-3</v>
      </c>
    </row>
    <row r="857" spans="1:25" x14ac:dyDescent="0.25">
      <c r="A857" s="1090"/>
      <c r="B857" s="1448">
        <v>607</v>
      </c>
      <c r="C857" s="1094">
        <v>0.98319789712988048</v>
      </c>
      <c r="D857" s="1094">
        <v>0.97148385055090813</v>
      </c>
      <c r="E857" s="1094">
        <v>0.97918135652605109</v>
      </c>
      <c r="F857" s="1094">
        <v>1.0330585469223301</v>
      </c>
      <c r="G857" s="1094">
        <v>1.0157845274727597</v>
      </c>
      <c r="H857" s="1094">
        <v>1.0131423269493087</v>
      </c>
      <c r="I857" s="1094">
        <v>1.0393600223946537</v>
      </c>
      <c r="K857">
        <v>4.6525206726145019</v>
      </c>
      <c r="L857">
        <v>0</v>
      </c>
      <c r="M857">
        <v>1.6456809281076125E-3</v>
      </c>
      <c r="N857">
        <v>0.1339183775822253</v>
      </c>
      <c r="O857">
        <v>4.0959703252283826E-2</v>
      </c>
      <c r="P857">
        <v>1.9528150512255159E-2</v>
      </c>
      <c r="Q857">
        <v>1.3174193232494687E-3</v>
      </c>
      <c r="R857">
        <v>1.6392305691172934E-3</v>
      </c>
      <c r="S857">
        <v>0.25328899958012918</v>
      </c>
      <c r="T857">
        <v>4.0979405945884517</v>
      </c>
      <c r="U857">
        <v>0</v>
      </c>
      <c r="V857">
        <v>9.4523053561131921E-3</v>
      </c>
      <c r="W857">
        <v>8.0908017932244863E-2</v>
      </c>
      <c r="X857">
        <v>1.0580964108879345E-2</v>
      </c>
      <c r="Y857">
        <v>4.6325907376590855E-3</v>
      </c>
    </row>
    <row r="858" spans="1:25" x14ac:dyDescent="0.25">
      <c r="A858" s="1090"/>
      <c r="B858" s="1448">
        <v>608</v>
      </c>
      <c r="C858" s="1094">
        <v>1.0026457800448598</v>
      </c>
      <c r="D858" s="1094">
        <v>0.97862517261903903</v>
      </c>
      <c r="E858" s="1094">
        <v>1.0302930339136074</v>
      </c>
      <c r="F858" s="1094">
        <v>1.013803592768072</v>
      </c>
      <c r="G858" s="1094">
        <v>1.0134271606074952</v>
      </c>
      <c r="H858" s="1094">
        <v>1.0285598940602869</v>
      </c>
      <c r="I858" s="1094">
        <v>0.96040917979948204</v>
      </c>
      <c r="K858">
        <v>4.5478391802699534</v>
      </c>
      <c r="L858">
        <v>0</v>
      </c>
      <c r="M858">
        <v>1.4394874935885261E-3</v>
      </c>
      <c r="N858">
        <v>0.13628361628559099</v>
      </c>
      <c r="O858">
        <v>3.8943141404807348E-2</v>
      </c>
      <c r="P858">
        <v>1.9797542565318731E-2</v>
      </c>
      <c r="Q858">
        <v>1.3455906267355712E-3</v>
      </c>
      <c r="R858">
        <v>1.4338247698561103E-3</v>
      </c>
      <c r="S858">
        <v>0.22723723937118481</v>
      </c>
      <c r="T858">
        <v>4.0195913303983266</v>
      </c>
      <c r="U858">
        <v>0</v>
      </c>
      <c r="V858">
        <v>9.4523053561131939E-3</v>
      </c>
      <c r="W858">
        <v>7.9549855043993298E-2</v>
      </c>
      <c r="X858">
        <v>1.1592123674655017E-2</v>
      </c>
      <c r="Y858">
        <v>4.0520982669560645E-3</v>
      </c>
    </row>
    <row r="859" spans="1:25" x14ac:dyDescent="0.25">
      <c r="A859" s="1090"/>
      <c r="B859" s="1448">
        <v>609</v>
      </c>
      <c r="C859" s="1094">
        <v>1.0049403445115497</v>
      </c>
      <c r="D859" s="1094">
        <v>0.98738107563028832</v>
      </c>
      <c r="E859" s="1094">
        <v>1.0041805629677318</v>
      </c>
      <c r="F859" s="1094">
        <v>1.0017687532899737</v>
      </c>
      <c r="G859" s="1094">
        <v>1.0092335976520554</v>
      </c>
      <c r="H859" s="1094">
        <v>1.0162141204453672</v>
      </c>
      <c r="I859" s="1094">
        <v>0.99106026806066105</v>
      </c>
      <c r="K859">
        <v>4.4929391855096963</v>
      </c>
      <c r="L859">
        <v>0</v>
      </c>
      <c r="M859">
        <v>1.4763977006801007E-3</v>
      </c>
      <c r="N859">
        <v>0.12937157123419565</v>
      </c>
      <c r="O859">
        <v>3.8436525177883235E-2</v>
      </c>
      <c r="P859">
        <v>1.922345999243075E-2</v>
      </c>
      <c r="Q859">
        <v>1.308456721361155E-3</v>
      </c>
      <c r="R859">
        <v>1.470448886083327E-3</v>
      </c>
      <c r="S859">
        <v>0.23050699347720871</v>
      </c>
      <c r="T859">
        <v>3.9728625721450008</v>
      </c>
      <c r="U859">
        <v>0</v>
      </c>
      <c r="V859">
        <v>9.4523053561131956E-3</v>
      </c>
      <c r="W859">
        <v>7.6844104728262211E-2</v>
      </c>
      <c r="X859">
        <v>1.0783544676301044E-2</v>
      </c>
      <c r="Y859">
        <v>4.1556008155331798E-3</v>
      </c>
    </row>
    <row r="860" spans="1:25" x14ac:dyDescent="0.25">
      <c r="A860" s="1090"/>
      <c r="B860" s="1448">
        <v>610</v>
      </c>
      <c r="C860" s="1094">
        <v>0.98052541829262574</v>
      </c>
      <c r="D860" s="1094">
        <v>0.99430741857195759</v>
      </c>
      <c r="E860" s="1094">
        <v>1.0391964909317788</v>
      </c>
      <c r="F860" s="1094">
        <v>1.0103111036313217</v>
      </c>
      <c r="G860" s="1094">
        <v>1.0270210622868485</v>
      </c>
      <c r="H860" s="1094">
        <v>0.97540776623384728</v>
      </c>
      <c r="I860" s="1094">
        <v>1.0131379578067292</v>
      </c>
      <c r="K860">
        <v>4.5388206177992085</v>
      </c>
      <c r="L860">
        <v>0</v>
      </c>
      <c r="M860">
        <v>1.3564787761547992E-3</v>
      </c>
      <c r="N860">
        <v>0.13181857039150277</v>
      </c>
      <c r="O860">
        <v>3.9369510910674206E-2</v>
      </c>
      <c r="P860">
        <v>1.9914706560566462E-2</v>
      </c>
      <c r="Q860">
        <v>1.3774682806889172E-3</v>
      </c>
      <c r="R860">
        <v>1.3508324432063665E-3</v>
      </c>
      <c r="S860">
        <v>0.23915092685679365</v>
      </c>
      <c r="T860">
        <v>4.0054073948789668</v>
      </c>
      <c r="U860">
        <v>0</v>
      </c>
      <c r="V860">
        <v>9.4523053561131939E-3</v>
      </c>
      <c r="W860">
        <v>7.649262147669203E-2</v>
      </c>
      <c r="X860">
        <v>1.2025203804477427E-2</v>
      </c>
      <c r="Y860">
        <v>3.8175556156794872E-3</v>
      </c>
    </row>
    <row r="861" spans="1:25" x14ac:dyDescent="0.25">
      <c r="A861" s="1090"/>
      <c r="B861" s="1448">
        <v>611</v>
      </c>
      <c r="C861" s="1094">
        <v>0.97026200148124198</v>
      </c>
      <c r="D861" s="1094">
        <v>0.97550773023454551</v>
      </c>
      <c r="E861" s="1094">
        <v>1.015930054194895</v>
      </c>
      <c r="F861" s="1094">
        <v>1.0114620676645298</v>
      </c>
      <c r="G861" s="1094">
        <v>1.0195045512966421</v>
      </c>
      <c r="H861" s="1094">
        <v>1.0125876008042929</v>
      </c>
      <c r="I861" s="1094">
        <v>1.0269264021384752</v>
      </c>
      <c r="K861">
        <v>4.5643751500696137</v>
      </c>
      <c r="L861">
        <v>0</v>
      </c>
      <c r="M861">
        <v>1.5080164830971975E-3</v>
      </c>
      <c r="N861">
        <v>0.13682331026003208</v>
      </c>
      <c r="O861">
        <v>4.0305423878263136E-2</v>
      </c>
      <c r="P861">
        <v>1.9653886438927549E-2</v>
      </c>
      <c r="Q861">
        <v>1.37549054484831E-3</v>
      </c>
      <c r="R861">
        <v>1.5019767088578807E-3</v>
      </c>
      <c r="S861">
        <v>0.24962755590908933</v>
      </c>
      <c r="T861">
        <v>4.010854454387915</v>
      </c>
      <c r="U861">
        <v>0</v>
      </c>
      <c r="V861">
        <v>9.4523053561131869E-3</v>
      </c>
      <c r="W861">
        <v>8.0631807305686379E-2</v>
      </c>
      <c r="X861">
        <v>1.1412254913250342E-2</v>
      </c>
      <c r="Y861">
        <v>4.2447008497294688E-3</v>
      </c>
    </row>
    <row r="862" spans="1:25" x14ac:dyDescent="0.25">
      <c r="A862" s="1090"/>
      <c r="B862" s="1448">
        <v>612</v>
      </c>
      <c r="C862" s="1094">
        <v>0.98949243054106506</v>
      </c>
      <c r="D862" s="1094">
        <v>1.0149165101488458</v>
      </c>
      <c r="E862" s="1094">
        <v>0.95475393280097054</v>
      </c>
      <c r="F862" s="1094">
        <v>0.98035123054223483</v>
      </c>
      <c r="G862" s="1094">
        <v>1.0087549776139899</v>
      </c>
      <c r="H862" s="1094">
        <v>0.99803185303541397</v>
      </c>
      <c r="I862" s="1094">
        <v>1.0038870395126216</v>
      </c>
      <c r="K862">
        <v>4.394166447286838</v>
      </c>
      <c r="L862">
        <v>0</v>
      </c>
      <c r="M862">
        <v>1.5813355393733577E-3</v>
      </c>
      <c r="N862">
        <v>0.11964361420339968</v>
      </c>
      <c r="O862">
        <v>3.8117058802480605E-2</v>
      </c>
      <c r="P862">
        <v>1.8149735195933433E-2</v>
      </c>
      <c r="Q862">
        <v>1.259124649500235E-3</v>
      </c>
      <c r="R862">
        <v>1.5747066791249598E-3</v>
      </c>
      <c r="S862">
        <v>0.23038342463565575</v>
      </c>
      <c r="T862">
        <v>3.8897876157986158</v>
      </c>
      <c r="U862">
        <v>0</v>
      </c>
      <c r="V862">
        <v>9.4523053561131991E-3</v>
      </c>
      <c r="W862">
        <v>7.3514728832138942E-2</v>
      </c>
      <c r="X862">
        <v>9.4152273748711619E-3</v>
      </c>
      <c r="Y862">
        <v>4.4502412983747882E-3</v>
      </c>
    </row>
    <row r="863" spans="1:25" x14ac:dyDescent="0.25">
      <c r="A863" s="1090"/>
      <c r="B863" s="1448">
        <v>613</v>
      </c>
      <c r="C863" s="1094">
        <v>1.0040383616057467</v>
      </c>
      <c r="D863" s="1094">
        <v>1.0091277505746943</v>
      </c>
      <c r="E863" s="1094">
        <v>0.97284088228943311</v>
      </c>
      <c r="F863" s="1094">
        <v>1.0118243640554683</v>
      </c>
      <c r="G863" s="1094">
        <v>0.97127981262661178</v>
      </c>
      <c r="H863" s="1094">
        <v>0.97466901585850418</v>
      </c>
      <c r="I863" s="1094">
        <v>1.0043418750127471</v>
      </c>
      <c r="K863">
        <v>4.5219292013194154</v>
      </c>
      <c r="L863">
        <v>0</v>
      </c>
      <c r="M863">
        <v>1.5156964453701658E-3</v>
      </c>
      <c r="N863">
        <v>0.12101208396899012</v>
      </c>
      <c r="O863">
        <v>3.8735733398251926E-2</v>
      </c>
      <c r="P863">
        <v>1.8958989514295338E-2</v>
      </c>
      <c r="Q863">
        <v>1.2636130400690614E-3</v>
      </c>
      <c r="R863">
        <v>1.5093919926512831E-3</v>
      </c>
      <c r="S863">
        <v>0.23067240114380058</v>
      </c>
      <c r="T863">
        <v>4.0139559205036184</v>
      </c>
      <c r="U863">
        <v>0</v>
      </c>
      <c r="V863">
        <v>9.4523053561131817E-3</v>
      </c>
      <c r="W863">
        <v>7.3429719204970656E-2</v>
      </c>
      <c r="X863">
        <v>1.0189082634164367E-2</v>
      </c>
      <c r="Y863">
        <v>4.2656570078597605E-3</v>
      </c>
    </row>
    <row r="864" spans="1:25" x14ac:dyDescent="0.25">
      <c r="A864" s="1090"/>
      <c r="B864" s="1448">
        <v>614</v>
      </c>
      <c r="C864" s="1094">
        <v>1.0193407606160985</v>
      </c>
      <c r="D864" s="1094">
        <v>0.97930744648101486</v>
      </c>
      <c r="E864" s="1094">
        <v>1.014934531048252</v>
      </c>
      <c r="F864" s="1094">
        <v>1.0025865521130763</v>
      </c>
      <c r="G864" s="1094">
        <v>1.0019001297027639</v>
      </c>
      <c r="H864" s="1094">
        <v>1.0402264866924684</v>
      </c>
      <c r="I864" s="1094">
        <v>0.96598979094984805</v>
      </c>
      <c r="K864">
        <v>4.4931157843380269</v>
      </c>
      <c r="L864">
        <v>0</v>
      </c>
      <c r="M864">
        <v>1.462501116379635E-3</v>
      </c>
      <c r="N864">
        <v>0.13231285756892749</v>
      </c>
      <c r="O864">
        <v>3.7975874152479348E-2</v>
      </c>
      <c r="P864">
        <v>1.9359578591088999E-2</v>
      </c>
      <c r="Q864">
        <v>1.3061257242836016E-3</v>
      </c>
      <c r="R864">
        <v>1.4567490001367767E-3</v>
      </c>
      <c r="S864">
        <v>0.22392527472764701</v>
      </c>
      <c r="T864">
        <v>3.9756971815064728</v>
      </c>
      <c r="U864">
        <v>0</v>
      </c>
      <c r="V864">
        <v>9.4523053561131973E-3</v>
      </c>
      <c r="W864">
        <v>7.8025673543385868E-2</v>
      </c>
      <c r="X864">
        <v>1.0949781391952901E-2</v>
      </c>
      <c r="Y864">
        <v>4.1168838919114154E-3</v>
      </c>
    </row>
    <row r="865" spans="1:25" x14ac:dyDescent="0.25">
      <c r="A865" s="1090"/>
      <c r="B865" s="1448">
        <v>615</v>
      </c>
      <c r="C865" s="1094">
        <v>1.0295929336384104</v>
      </c>
      <c r="D865" s="1094">
        <v>1.0266931640723622</v>
      </c>
      <c r="E865" s="1094">
        <v>1.0201638649099476</v>
      </c>
      <c r="F865" s="1094">
        <v>1.044935957551087</v>
      </c>
      <c r="G865" s="1094">
        <v>0.96342534602371888</v>
      </c>
      <c r="H865" s="1094">
        <v>1.0205334170131386</v>
      </c>
      <c r="I865" s="1094">
        <v>0.99835915391571872</v>
      </c>
      <c r="K865">
        <v>4.6687833821203615</v>
      </c>
      <c r="L865">
        <v>0</v>
      </c>
      <c r="M865">
        <v>1.4366168065341983E-3</v>
      </c>
      <c r="N865">
        <v>0.1320093274587314</v>
      </c>
      <c r="O865">
        <v>3.8416010862278145E-2</v>
      </c>
      <c r="P865">
        <v>2.024059194038896E-2</v>
      </c>
      <c r="Q865">
        <v>1.2745444271206185E-3</v>
      </c>
      <c r="R865">
        <v>1.4310899615141706E-3</v>
      </c>
      <c r="S865">
        <v>0.23089316392878964</v>
      </c>
      <c r="T865">
        <v>4.1434249284139</v>
      </c>
      <c r="U865">
        <v>0</v>
      </c>
      <c r="V865">
        <v>9.4523053561131973E-3</v>
      </c>
      <c r="W865">
        <v>7.7575264632237614E-2</v>
      </c>
      <c r="X865">
        <v>1.145840245602916E-2</v>
      </c>
      <c r="Y865">
        <v>4.0443694897890027E-3</v>
      </c>
    </row>
    <row r="866" spans="1:25" x14ac:dyDescent="0.25">
      <c r="A866" s="1090"/>
      <c r="B866" s="1448">
        <v>616</v>
      </c>
      <c r="C866" s="1094">
        <v>1.0168998053085536</v>
      </c>
      <c r="D866" s="1094">
        <v>1.0279398791613552</v>
      </c>
      <c r="E866" s="1094">
        <v>0.97508688020851375</v>
      </c>
      <c r="F866" s="1094">
        <v>1.0015455144250616</v>
      </c>
      <c r="G866" s="1094">
        <v>1.013362466864119</v>
      </c>
      <c r="H866" s="1094">
        <v>1.0216985775739562</v>
      </c>
      <c r="I866" s="1094">
        <v>0.99979761299979542</v>
      </c>
      <c r="K866">
        <v>4.4798064456292419</v>
      </c>
      <c r="L866">
        <v>0</v>
      </c>
      <c r="M866">
        <v>1.5341903365249793E-3</v>
      </c>
      <c r="N866">
        <v>0.12332675049947846</v>
      </c>
      <c r="O866">
        <v>3.756366742525992E-2</v>
      </c>
      <c r="P866">
        <v>1.8794449343082407E-2</v>
      </c>
      <c r="Q866">
        <v>1.240873717383695E-3</v>
      </c>
      <c r="R866">
        <v>1.5280404776819479E-3</v>
      </c>
      <c r="S866">
        <v>0.22739516273330826</v>
      </c>
      <c r="T866">
        <v>3.9730924805806742</v>
      </c>
      <c r="U866">
        <v>0</v>
      </c>
      <c r="V866">
        <v>9.4523053561131817E-3</v>
      </c>
      <c r="W866">
        <v>7.4718709625285151E-2</v>
      </c>
      <c r="X866">
        <v>9.9098371572023686E-3</v>
      </c>
      <c r="Y866">
        <v>4.3183590503008988E-3</v>
      </c>
    </row>
    <row r="867" spans="1:25" x14ac:dyDescent="0.25">
      <c r="A867" s="1090"/>
      <c r="B867" s="1448">
        <v>617</v>
      </c>
      <c r="C867" s="1094">
        <v>0.98365572351481834</v>
      </c>
      <c r="D867" s="1094">
        <v>1.0059325370343737</v>
      </c>
      <c r="E867" s="1094">
        <v>0.97811555489737168</v>
      </c>
      <c r="F867" s="1094">
        <v>1.0065372767789276</v>
      </c>
      <c r="G867" s="1094">
        <v>1.0024946358011235</v>
      </c>
      <c r="H867" s="1094">
        <v>0.9941657872385834</v>
      </c>
      <c r="I867" s="1094">
        <v>1.0111636249062523</v>
      </c>
      <c r="K867">
        <v>4.5167776520225793</v>
      </c>
      <c r="L867">
        <v>0</v>
      </c>
      <c r="M867">
        <v>1.5545345480593952E-3</v>
      </c>
      <c r="N867">
        <v>0.1260790559179161</v>
      </c>
      <c r="O867">
        <v>3.9344896848487278E-2</v>
      </c>
      <c r="P867">
        <v>1.8973198616442803E-2</v>
      </c>
      <c r="Q867">
        <v>1.2973776293324817E-3</v>
      </c>
      <c r="R867">
        <v>1.5481621938811484E-3</v>
      </c>
      <c r="S867">
        <v>0.23796310550435856</v>
      </c>
      <c r="T867">
        <v>3.9927771962731025</v>
      </c>
      <c r="U867">
        <v>0</v>
      </c>
      <c r="V867">
        <v>9.4523053561131869E-3</v>
      </c>
      <c r="W867">
        <v>7.6227513160658719E-2</v>
      </c>
      <c r="X867">
        <v>1.0294150513843414E-2</v>
      </c>
      <c r="Y867">
        <v>4.3752245565001997E-3</v>
      </c>
    </row>
    <row r="868" spans="1:25" x14ac:dyDescent="0.25">
      <c r="A868" s="1090"/>
      <c r="B868" s="1448">
        <v>618</v>
      </c>
      <c r="C868" s="1094">
        <v>1.0058853594985964</v>
      </c>
      <c r="D868" s="1094">
        <v>0.99159370158578974</v>
      </c>
      <c r="E868" s="1094">
        <v>1.0074675462063341</v>
      </c>
      <c r="F868" s="1094">
        <v>1.0333257189873297</v>
      </c>
      <c r="G868" s="1094">
        <v>0.95608120146986242</v>
      </c>
      <c r="H868" s="1094">
        <v>0.99727322349824865</v>
      </c>
      <c r="I868" s="1094">
        <v>0.99423944220612626</v>
      </c>
      <c r="K868">
        <v>4.6261915956762625</v>
      </c>
      <c r="L868">
        <v>0</v>
      </c>
      <c r="M868">
        <v>1.4800997849320088E-3</v>
      </c>
      <c r="N868">
        <v>0.13097108869911903</v>
      </c>
      <c r="O868">
        <v>3.95193948517455E-2</v>
      </c>
      <c r="P868">
        <v>1.9859021585537418E-2</v>
      </c>
      <c r="Q868">
        <v>1.3086709986139102E-3</v>
      </c>
      <c r="R868">
        <v>1.474207636370625E-3</v>
      </c>
      <c r="S868">
        <v>0.23417733839440308</v>
      </c>
      <c r="T868">
        <v>4.0978837267678667</v>
      </c>
      <c r="U868">
        <v>0</v>
      </c>
      <c r="V868">
        <v>9.4523053561131835E-3</v>
      </c>
      <c r="W868">
        <v>7.7622230674609452E-2</v>
      </c>
      <c r="X868">
        <v>1.1237487166002811E-2</v>
      </c>
      <c r="Y868">
        <v>4.1662233308120923E-3</v>
      </c>
    </row>
    <row r="869" spans="1:25" x14ac:dyDescent="0.25">
      <c r="A869" s="1090"/>
      <c r="B869" s="1448">
        <v>619</v>
      </c>
      <c r="C869" s="1094">
        <v>1.0218915897478271</v>
      </c>
      <c r="D869" s="1094">
        <v>0.99210439008279838</v>
      </c>
      <c r="E869" s="1094">
        <v>1.034618477937465</v>
      </c>
      <c r="F869" s="1094">
        <v>0.95542567769336118</v>
      </c>
      <c r="G869" s="1094">
        <v>0.97354088709275033</v>
      </c>
      <c r="H869" s="1094">
        <v>0.99225865374925337</v>
      </c>
      <c r="I869" s="1094">
        <v>1.0236641475957846</v>
      </c>
      <c r="K869">
        <v>4.2845895526812754</v>
      </c>
      <c r="L869">
        <v>0</v>
      </c>
      <c r="M869">
        <v>1.265739917603049E-3</v>
      </c>
      <c r="N869">
        <v>0.12132824156689645</v>
      </c>
      <c r="O869">
        <v>3.5784991352253888E-2</v>
      </c>
      <c r="P869">
        <v>1.8767269023278008E-2</v>
      </c>
      <c r="Q869">
        <v>1.3178209592569748E-3</v>
      </c>
      <c r="R869">
        <v>1.2602645131360591E-3</v>
      </c>
      <c r="S869">
        <v>0.2247356257303933</v>
      </c>
      <c r="T869">
        <v>3.7879760889333314</v>
      </c>
      <c r="U869">
        <v>0</v>
      </c>
      <c r="V869">
        <v>9.4523053561131904E-3</v>
      </c>
      <c r="W869">
        <v>7.0618021830393465E-2</v>
      </c>
      <c r="X869">
        <v>1.1053059603058525E-2</v>
      </c>
      <c r="Y869">
        <v>3.5616037307664391E-3</v>
      </c>
    </row>
    <row r="870" spans="1:25" x14ac:dyDescent="0.25">
      <c r="A870" s="1090"/>
      <c r="B870" s="1448">
        <v>620</v>
      </c>
      <c r="C870" s="1094">
        <v>0.99306994033683393</v>
      </c>
      <c r="D870" s="1094">
        <v>0.99270590265568415</v>
      </c>
      <c r="E870" s="1094">
        <v>0.9964771882441863</v>
      </c>
      <c r="F870" s="1094">
        <v>1.0055709489757276</v>
      </c>
      <c r="G870" s="1094">
        <v>0.99341822552096848</v>
      </c>
      <c r="H870" s="1094">
        <v>0.95540758878853793</v>
      </c>
      <c r="I870" s="1094">
        <v>0.97754645155400555</v>
      </c>
      <c r="K870">
        <v>4.4933104570052791</v>
      </c>
      <c r="L870">
        <v>0</v>
      </c>
      <c r="M870">
        <v>1.4299382318869172E-3</v>
      </c>
      <c r="N870">
        <v>0.12244344040778969</v>
      </c>
      <c r="O870">
        <v>3.9013407129197382E-2</v>
      </c>
      <c r="P870">
        <v>1.9161480138510791E-2</v>
      </c>
      <c r="Q870">
        <v>1.3125590670932084E-3</v>
      </c>
      <c r="R870">
        <v>1.423832996999644E-3</v>
      </c>
      <c r="S870">
        <v>0.22571937703889972</v>
      </c>
      <c r="T870">
        <v>3.9882364398774723</v>
      </c>
      <c r="U870">
        <v>0</v>
      </c>
      <c r="V870">
        <v>9.4523053561131852E-3</v>
      </c>
      <c r="W870">
        <v>7.310850196134927E-2</v>
      </c>
      <c r="X870">
        <v>1.0845190509712915E-2</v>
      </c>
      <c r="Y870">
        <v>4.0238607540279197E-3</v>
      </c>
    </row>
    <row r="871" spans="1:25" x14ac:dyDescent="0.25">
      <c r="A871" s="1090"/>
      <c r="B871" s="1448">
        <v>621</v>
      </c>
      <c r="C871" s="1094">
        <v>1.0024209275030735</v>
      </c>
      <c r="D871" s="1094">
        <v>1.0127381496819745</v>
      </c>
      <c r="E871" s="1094">
        <v>1.0147355273905569</v>
      </c>
      <c r="F871" s="1094">
        <v>0.97669876781391363</v>
      </c>
      <c r="G871" s="1094">
        <v>0.96917125388191228</v>
      </c>
      <c r="H871" s="1094">
        <v>1.0126850807181602</v>
      </c>
      <c r="I871" s="1094">
        <v>1.0037680762742789</v>
      </c>
      <c r="K871">
        <v>4.3826670719168233</v>
      </c>
      <c r="L871">
        <v>0</v>
      </c>
      <c r="M871">
        <v>1.3923518942740392E-3</v>
      </c>
      <c r="N871">
        <v>0.12586527104801626</v>
      </c>
      <c r="O871">
        <v>3.7119327320325857E-2</v>
      </c>
      <c r="P871">
        <v>1.8903625731115807E-2</v>
      </c>
      <c r="Q871">
        <v>1.3102363038259436E-3</v>
      </c>
      <c r="R871">
        <v>1.3865782756112412E-3</v>
      </c>
      <c r="S871">
        <v>0.22804381400522278</v>
      </c>
      <c r="T871">
        <v>3.8730480645364</v>
      </c>
      <c r="U871">
        <v>0</v>
      </c>
      <c r="V871">
        <v>9.4523053561131991E-3</v>
      </c>
      <c r="W871">
        <v>7.4233377717863896E-2</v>
      </c>
      <c r="X871">
        <v>1.0778247449477937E-2</v>
      </c>
      <c r="Y871">
        <v>3.9185760671208662E-3</v>
      </c>
    </row>
    <row r="872" spans="1:25" x14ac:dyDescent="0.25">
      <c r="A872" s="1090"/>
      <c r="B872" s="1448">
        <v>622</v>
      </c>
      <c r="C872" s="1094">
        <v>1.0220930778678037</v>
      </c>
      <c r="D872" s="1094">
        <v>1.0191442082551525</v>
      </c>
      <c r="E872" s="1094">
        <v>1.0175632755988522</v>
      </c>
      <c r="F872" s="1094">
        <v>1.0361252050160217</v>
      </c>
      <c r="G872" s="1094">
        <v>0.99689507313475112</v>
      </c>
      <c r="H872" s="1094">
        <v>1.0451304798614851</v>
      </c>
      <c r="I872" s="1094">
        <v>0.98676993107436517</v>
      </c>
      <c r="K872">
        <v>4.6389181962595973</v>
      </c>
      <c r="L872">
        <v>0</v>
      </c>
      <c r="M872">
        <v>1.4820530538804722E-3</v>
      </c>
      <c r="N872">
        <v>0.13514851019019666</v>
      </c>
      <c r="O872">
        <v>3.8503054641694193E-2</v>
      </c>
      <c r="P872">
        <v>2.0041539507556324E-2</v>
      </c>
      <c r="Q872">
        <v>1.2848596013366996E-3</v>
      </c>
      <c r="R872">
        <v>1.476438441909684E-3</v>
      </c>
      <c r="S872">
        <v>0.23089661619162724</v>
      </c>
      <c r="T872">
        <v>4.1085898148317215</v>
      </c>
      <c r="U872">
        <v>0</v>
      </c>
      <c r="V872">
        <v>9.4523053561131869E-3</v>
      </c>
      <c r="W872">
        <v>7.9557947765427406E-2</v>
      </c>
      <c r="X872">
        <v>1.1276635028316405E-2</v>
      </c>
      <c r="Y872">
        <v>4.1725277575794181E-3</v>
      </c>
    </row>
    <row r="873" spans="1:25" x14ac:dyDescent="0.25">
      <c r="A873" s="1090"/>
      <c r="B873" s="1448">
        <v>623</v>
      </c>
      <c r="C873" s="1094">
        <v>0.98640741002991394</v>
      </c>
      <c r="D873" s="1094">
        <v>1.0361057651464947</v>
      </c>
      <c r="E873" s="1094">
        <v>0.97887451028492689</v>
      </c>
      <c r="F873" s="1094">
        <v>1.014914671508591</v>
      </c>
      <c r="G873" s="1094">
        <v>1.0145663732072032</v>
      </c>
      <c r="H873" s="1094">
        <v>1.016784348136063</v>
      </c>
      <c r="I873" s="1094">
        <v>1.0124264176545181</v>
      </c>
      <c r="K873">
        <v>4.5539532921088055</v>
      </c>
      <c r="L873">
        <v>0</v>
      </c>
      <c r="M873">
        <v>1.5773075578689253E-3</v>
      </c>
      <c r="N873">
        <v>0.12823047931644296</v>
      </c>
      <c r="O873">
        <v>3.9091494184181008E-2</v>
      </c>
      <c r="P873">
        <v>1.9135662952325133E-2</v>
      </c>
      <c r="Q873">
        <v>1.2793974926389934E-3</v>
      </c>
      <c r="R873">
        <v>1.5710376549649726E-3</v>
      </c>
      <c r="S873">
        <v>0.2386036146648324</v>
      </c>
      <c r="T873">
        <v>4.0259793808031512</v>
      </c>
      <c r="U873">
        <v>0</v>
      </c>
      <c r="V873">
        <v>9.4523053561131904E-3</v>
      </c>
      <c r="W873">
        <v>7.7487921331831411E-2</v>
      </c>
      <c r="X873">
        <v>1.0259433554212879E-2</v>
      </c>
      <c r="Y873">
        <v>4.4398723559819202E-3</v>
      </c>
    </row>
    <row r="874" spans="1:25" x14ac:dyDescent="0.25">
      <c r="A874" s="1090"/>
      <c r="B874" s="1448">
        <v>624</v>
      </c>
      <c r="C874" s="1094">
        <v>0.97762014471998826</v>
      </c>
      <c r="D874" s="1094">
        <v>0.98526740434415694</v>
      </c>
      <c r="E874" s="1094">
        <v>0.98688016186799887</v>
      </c>
      <c r="F874" s="1094">
        <v>1.0134626684613015</v>
      </c>
      <c r="G874" s="1094">
        <v>1.0304361777194491</v>
      </c>
      <c r="H874" s="1094">
        <v>0.97426132845943414</v>
      </c>
      <c r="I874" s="1094">
        <v>1.0044257308989903</v>
      </c>
      <c r="K874">
        <v>4.5475107513464437</v>
      </c>
      <c r="L874">
        <v>0</v>
      </c>
      <c r="M874">
        <v>1.5278038710499857E-3</v>
      </c>
      <c r="N874">
        <v>0.12716833719907525</v>
      </c>
      <c r="O874">
        <v>4.0129940694006438E-2</v>
      </c>
      <c r="P874">
        <v>1.9225793325475513E-2</v>
      </c>
      <c r="Q874">
        <v>1.3263071414607562E-3</v>
      </c>
      <c r="R874">
        <v>1.5214566344840781E-3</v>
      </c>
      <c r="S874">
        <v>0.23886686155163653</v>
      </c>
      <c r="T874">
        <v>4.0199080035887969</v>
      </c>
      <c r="U874">
        <v>0</v>
      </c>
      <c r="V874">
        <v>9.4523053561131973E-3</v>
      </c>
      <c r="W874">
        <v>7.6426562771042914E-2</v>
      </c>
      <c r="X874">
        <v>1.0713234348628083E-2</v>
      </c>
      <c r="Y874">
        <v>4.2997526067710696E-3</v>
      </c>
    </row>
    <row r="875" spans="1:25" x14ac:dyDescent="0.25">
      <c r="A875" s="1090"/>
      <c r="B875" s="1448">
        <v>625</v>
      </c>
      <c r="C875" s="1094">
        <v>0.97942466142259399</v>
      </c>
      <c r="D875" s="1094">
        <v>1.0114411427825847</v>
      </c>
      <c r="E875" s="1094">
        <v>1.0039708661790472</v>
      </c>
      <c r="F875" s="1094">
        <v>0.97808866167555353</v>
      </c>
      <c r="G875" s="1094">
        <v>1.0048002842923263</v>
      </c>
      <c r="H875" s="1094">
        <v>1.0113964965373277</v>
      </c>
      <c r="I875" s="1094">
        <v>1.0099920292135931</v>
      </c>
      <c r="K875">
        <v>4.4000919126809084</v>
      </c>
      <c r="L875">
        <v>0</v>
      </c>
      <c r="M875">
        <v>1.4587208888352566E-3</v>
      </c>
      <c r="N875">
        <v>0.12772826290983263</v>
      </c>
      <c r="O875">
        <v>3.8138015575149981E-2</v>
      </c>
      <c r="P875">
        <v>1.8812839054098134E-2</v>
      </c>
      <c r="Q875">
        <v>1.3294390604426506E-3</v>
      </c>
      <c r="R875">
        <v>1.4526729239349905E-3</v>
      </c>
      <c r="S875">
        <v>0.23506436047750989</v>
      </c>
      <c r="T875">
        <v>3.8789587238659209</v>
      </c>
      <c r="U875">
        <v>0</v>
      </c>
      <c r="V875">
        <v>9.4523053561132026E-3</v>
      </c>
      <c r="W875">
        <v>7.5878736467961824E-2</v>
      </c>
      <c r="X875">
        <v>1.0629913289402567E-2</v>
      </c>
      <c r="Y875">
        <v>4.1053645893714703E-3</v>
      </c>
    </row>
    <row r="876" spans="1:25" x14ac:dyDescent="0.25">
      <c r="A876" s="1090"/>
      <c r="B876" s="1448">
        <v>626</v>
      </c>
      <c r="C876" s="1094">
        <v>1.0333976323442666</v>
      </c>
      <c r="D876" s="1094">
        <v>0.99506840625180859</v>
      </c>
      <c r="E876" s="1094">
        <v>0.97384974827251136</v>
      </c>
      <c r="F876" s="1094">
        <v>0.97830379336097484</v>
      </c>
      <c r="G876" s="1094">
        <v>0.99878185719918022</v>
      </c>
      <c r="H876" s="1094">
        <v>0.98015518057556517</v>
      </c>
      <c r="I876" s="1094">
        <v>1.0049768609109588</v>
      </c>
      <c r="K876">
        <v>4.3657811492955467</v>
      </c>
      <c r="L876">
        <v>0</v>
      </c>
      <c r="M876">
        <v>1.4370773258591202E-3</v>
      </c>
      <c r="N876">
        <v>0.11506573714523576</v>
      </c>
      <c r="O876">
        <v>3.6586670061784246E-2</v>
      </c>
      <c r="P876">
        <v>1.8335263005286803E-2</v>
      </c>
      <c r="Q876">
        <v>1.2357088932134378E-3</v>
      </c>
      <c r="R876">
        <v>1.4309305314193E-3</v>
      </c>
      <c r="S876">
        <v>0.22056711345599675</v>
      </c>
      <c r="T876">
        <v>3.8809401309279359</v>
      </c>
      <c r="U876">
        <v>0</v>
      </c>
      <c r="V876">
        <v>9.4523053561131939E-3</v>
      </c>
      <c r="W876">
        <v>6.9773032365647705E-2</v>
      </c>
      <c r="X876">
        <v>9.7874159505992927E-3</v>
      </c>
      <c r="Y876">
        <v>4.0439189281689866E-3</v>
      </c>
    </row>
    <row r="877" spans="1:25" x14ac:dyDescent="0.25">
      <c r="A877" s="1090"/>
      <c r="B877" s="1448">
        <v>627</v>
      </c>
      <c r="C877" s="1094">
        <v>0.9860678316317304</v>
      </c>
      <c r="D877" s="1094">
        <v>0.99755205101140587</v>
      </c>
      <c r="E877" s="1094">
        <v>0.99793032459487041</v>
      </c>
      <c r="F877" s="1094">
        <v>1.0002469961845268</v>
      </c>
      <c r="G877" s="1094">
        <v>0.99104112051385096</v>
      </c>
      <c r="H877" s="1094">
        <v>0.99677223696315531</v>
      </c>
      <c r="I877" s="1094">
        <v>1.0357610800729546</v>
      </c>
      <c r="K877">
        <v>4.4980698863461406</v>
      </c>
      <c r="L877">
        <v>0</v>
      </c>
      <c r="M877">
        <v>1.4870552258419787E-3</v>
      </c>
      <c r="N877">
        <v>0.12790379678009034</v>
      </c>
      <c r="O877">
        <v>3.8996238383250795E-2</v>
      </c>
      <c r="P877">
        <v>1.9164392773519012E-2</v>
      </c>
      <c r="Q877">
        <v>1.3209541492585632E-3</v>
      </c>
      <c r="R877">
        <v>1.4809373454334536E-3</v>
      </c>
      <c r="S877">
        <v>0.24294753390833321</v>
      </c>
      <c r="T877">
        <v>3.9670654649519541</v>
      </c>
      <c r="U877">
        <v>0</v>
      </c>
      <c r="V877">
        <v>9.4523053561132095E-3</v>
      </c>
      <c r="W877">
        <v>7.6293660157143534E-2</v>
      </c>
      <c r="X877">
        <v>1.0746415764466563E-2</v>
      </c>
      <c r="Y877">
        <v>4.1852420024126261E-3</v>
      </c>
    </row>
    <row r="878" spans="1:25" x14ac:dyDescent="0.25">
      <c r="A878" s="1090"/>
      <c r="B878" s="1448">
        <v>628</v>
      </c>
      <c r="C878" s="1094">
        <v>1.0043772706131175</v>
      </c>
      <c r="D878" s="1094">
        <v>1.0260654784767602</v>
      </c>
      <c r="E878" s="1094">
        <v>0.98367462526975036</v>
      </c>
      <c r="F878" s="1094">
        <v>1.0208141042750514</v>
      </c>
      <c r="G878" s="1094">
        <v>1.0066106608893783</v>
      </c>
      <c r="H878" s="1094">
        <v>0.95765702110050832</v>
      </c>
      <c r="I878" s="1094">
        <v>0.99495814759545165</v>
      </c>
      <c r="K878">
        <v>4.5526227244786943</v>
      </c>
      <c r="L878">
        <v>0</v>
      </c>
      <c r="M878">
        <v>1.4584054886251994E-3</v>
      </c>
      <c r="N878">
        <v>0.12023809868988344</v>
      </c>
      <c r="O878">
        <v>3.8732901349957972E-2</v>
      </c>
      <c r="P878">
        <v>1.9259334002573986E-2</v>
      </c>
      <c r="Q878">
        <v>1.2666733389896235E-3</v>
      </c>
      <c r="R878">
        <v>1.4522857258227636E-3</v>
      </c>
      <c r="S878">
        <v>0.22739200558007208</v>
      </c>
      <c r="T878">
        <v>4.0491930404249015</v>
      </c>
      <c r="U878">
        <v>0</v>
      </c>
      <c r="V878">
        <v>9.4523053561132008E-3</v>
      </c>
      <c r="W878">
        <v>7.2419882498280644E-2</v>
      </c>
      <c r="X878">
        <v>1.0570332662774764E-2</v>
      </c>
      <c r="Y878">
        <v>4.1042703379451408E-3</v>
      </c>
    </row>
    <row r="879" spans="1:25" x14ac:dyDescent="0.25">
      <c r="A879" s="1090"/>
      <c r="B879" s="1448">
        <v>629</v>
      </c>
      <c r="C879" s="1094">
        <v>1.0093043397690264</v>
      </c>
      <c r="D879" s="1094">
        <v>1.0142380152211965</v>
      </c>
      <c r="E879" s="1094">
        <v>0.98979187262760226</v>
      </c>
      <c r="F879" s="1094">
        <v>0.99517247254925922</v>
      </c>
      <c r="G879" s="1094">
        <v>0.97846555664837531</v>
      </c>
      <c r="H879" s="1094">
        <v>0.97498565034883666</v>
      </c>
      <c r="I879" s="1094">
        <v>0.99260549388890695</v>
      </c>
      <c r="K879">
        <v>4.4448194923029263</v>
      </c>
      <c r="L879">
        <v>0</v>
      </c>
      <c r="M879">
        <v>1.4287912180127921E-3</v>
      </c>
      <c r="N879">
        <v>0.11994948608051044</v>
      </c>
      <c r="O879">
        <v>3.7709220251253353E-2</v>
      </c>
      <c r="P879">
        <v>1.8872615663341995E-2</v>
      </c>
      <c r="Q879">
        <v>1.273062235005075E-3</v>
      </c>
      <c r="R879">
        <v>1.422751172833348E-3</v>
      </c>
      <c r="S879">
        <v>0.22394243079147005</v>
      </c>
      <c r="T879">
        <v>3.9472488172176887</v>
      </c>
      <c r="U879">
        <v>0</v>
      </c>
      <c r="V879">
        <v>9.4523053561131939E-3</v>
      </c>
      <c r="W879">
        <v>7.1945271507778782E-2</v>
      </c>
      <c r="X879">
        <v>1.0411519808602315E-2</v>
      </c>
      <c r="Y879">
        <v>4.0208034363405998E-3</v>
      </c>
    </row>
    <row r="880" spans="1:25" x14ac:dyDescent="0.25">
      <c r="A880" s="1090"/>
      <c r="B880" s="1448">
        <v>630</v>
      </c>
      <c r="C880" s="1094">
        <v>0.99006953110827456</v>
      </c>
      <c r="D880" s="1094">
        <v>0.98289197559184083</v>
      </c>
      <c r="E880" s="1094">
        <v>1.0243049652774623</v>
      </c>
      <c r="F880" s="1094">
        <v>1.0028276578708348</v>
      </c>
      <c r="G880" s="1094">
        <v>0.9673751065571764</v>
      </c>
      <c r="H880" s="1094">
        <v>0.9922415699661653</v>
      </c>
      <c r="I880" s="1094">
        <v>1.0215804674541129</v>
      </c>
      <c r="K880">
        <v>4.5083203198659394</v>
      </c>
      <c r="L880">
        <v>0</v>
      </c>
      <c r="M880">
        <v>1.4064130556539014E-3</v>
      </c>
      <c r="N880">
        <v>0.13079061639510414</v>
      </c>
      <c r="O880">
        <v>3.8985107194868855E-2</v>
      </c>
      <c r="P880">
        <v>1.956914678564365E-2</v>
      </c>
      <c r="Q880">
        <v>1.3534696366208144E-3</v>
      </c>
      <c r="R880">
        <v>1.400615421244075E-3</v>
      </c>
      <c r="S880">
        <v>0.2397900065274525</v>
      </c>
      <c r="T880">
        <v>3.9762988734570768</v>
      </c>
      <c r="U880">
        <v>0</v>
      </c>
      <c r="V880">
        <v>9.4523053561131852E-3</v>
      </c>
      <c r="W880">
        <v>7.6647475011523747E-2</v>
      </c>
      <c r="X880">
        <v>1.1480871023582613E-2</v>
      </c>
      <c r="Y880">
        <v>3.9582461123646266E-3</v>
      </c>
    </row>
    <row r="881" spans="1:25" x14ac:dyDescent="0.25">
      <c r="A881" s="1090"/>
      <c r="B881" s="1448">
        <v>631</v>
      </c>
      <c r="C881" s="1094">
        <v>1.0073511654957319</v>
      </c>
      <c r="D881" s="1094">
        <v>1.002883002080172</v>
      </c>
      <c r="E881" s="1094">
        <v>0.98095994515859419</v>
      </c>
      <c r="F881" s="1094">
        <v>0.95940016703275877</v>
      </c>
      <c r="G881" s="1094">
        <v>0.99411602242753183</v>
      </c>
      <c r="H881" s="1094">
        <v>1.0149510250396512</v>
      </c>
      <c r="I881" s="1094">
        <v>1.0003982102503419</v>
      </c>
      <c r="K881">
        <v>4.3021759811838214</v>
      </c>
      <c r="L881">
        <v>0</v>
      </c>
      <c r="M881">
        <v>1.4704155063855781E-3</v>
      </c>
      <c r="N881">
        <v>0.1202539363260629</v>
      </c>
      <c r="O881">
        <v>3.6646173540350567E-2</v>
      </c>
      <c r="P881">
        <v>1.8113995506313454E-2</v>
      </c>
      <c r="Q881">
        <v>1.2715360165184879E-3</v>
      </c>
      <c r="R881">
        <v>1.4642225723533872E-3</v>
      </c>
      <c r="S881">
        <v>0.22430476259493301</v>
      </c>
      <c r="T881">
        <v>3.8056866392742674</v>
      </c>
      <c r="U881">
        <v>0</v>
      </c>
      <c r="V881">
        <v>9.4523053561131939E-3</v>
      </c>
      <c r="W881">
        <v>7.2564046392334242E-2</v>
      </c>
      <c r="X881">
        <v>9.7507743333812291E-3</v>
      </c>
      <c r="Y881">
        <v>4.1380047775758004E-3</v>
      </c>
    </row>
    <row r="882" spans="1:25" x14ac:dyDescent="0.25">
      <c r="A882" s="1090"/>
      <c r="B882" s="1448">
        <v>632</v>
      </c>
      <c r="C882" s="1094">
        <v>1.0185615518529914</v>
      </c>
      <c r="D882" s="1094">
        <v>0.96143587936632191</v>
      </c>
      <c r="E882" s="1094">
        <v>0.97122190680656617</v>
      </c>
      <c r="F882" s="1094">
        <v>1.0003833498531496</v>
      </c>
      <c r="G882" s="1094">
        <v>0.97930037744228826</v>
      </c>
      <c r="H882" s="1094">
        <v>1.0034475115401575</v>
      </c>
      <c r="I882" s="1094">
        <v>0.97444175101296493</v>
      </c>
      <c r="K882">
        <v>4.4739168470173638</v>
      </c>
      <c r="L882">
        <v>0</v>
      </c>
      <c r="M882">
        <v>1.5558894194752616E-3</v>
      </c>
      <c r="N882">
        <v>0.12363446956654874</v>
      </c>
      <c r="O882">
        <v>3.8500909032533011E-2</v>
      </c>
      <c r="P882">
        <v>1.8705425725389906E-2</v>
      </c>
      <c r="Q882">
        <v>1.2681599004009535E-3</v>
      </c>
      <c r="R882">
        <v>1.5495317941540002E-3</v>
      </c>
      <c r="S882">
        <v>0.22429882636798412</v>
      </c>
      <c r="T882">
        <v>3.9686313831764153</v>
      </c>
      <c r="U882">
        <v>0</v>
      </c>
      <c r="V882">
        <v>9.4523053561131869E-3</v>
      </c>
      <c r="W882">
        <v>7.5104688478401571E-2</v>
      </c>
      <c r="X882">
        <v>9.9479418874636131E-3</v>
      </c>
      <c r="Y882">
        <v>4.3790951514353117E-3</v>
      </c>
    </row>
    <row r="883" spans="1:25" x14ac:dyDescent="0.25">
      <c r="A883" s="1090"/>
      <c r="B883" s="1448">
        <v>633</v>
      </c>
      <c r="C883" s="1094">
        <v>1.0246830302660814</v>
      </c>
      <c r="D883" s="1094">
        <v>1.0030345720723515</v>
      </c>
      <c r="E883" s="1094">
        <v>1.0206980910201076</v>
      </c>
      <c r="F883" s="1094">
        <v>1.02430398903735</v>
      </c>
      <c r="G883" s="1094">
        <v>1.011986813965261</v>
      </c>
      <c r="H883" s="1094">
        <v>1.0203912797162626</v>
      </c>
      <c r="I883" s="1094">
        <v>0.99506030746885277</v>
      </c>
      <c r="K883">
        <v>4.5837854587894</v>
      </c>
      <c r="L883">
        <v>0</v>
      </c>
      <c r="M883">
        <v>1.4265591261693243E-3</v>
      </c>
      <c r="N883">
        <v>0.13128223649972476</v>
      </c>
      <c r="O883">
        <v>3.8188763903055936E-2</v>
      </c>
      <c r="P883">
        <v>1.9864820235036999E-2</v>
      </c>
      <c r="Q883">
        <v>1.293234175356253E-3</v>
      </c>
      <c r="R883">
        <v>1.4209600925073661E-3</v>
      </c>
      <c r="S883">
        <v>0.22965683358048697</v>
      </c>
      <c r="T883">
        <v>4.0615935315985769</v>
      </c>
      <c r="U883">
        <v>0</v>
      </c>
      <c r="V883">
        <v>9.4523053561132008E-3</v>
      </c>
      <c r="W883">
        <v>7.7120521332916442E-2</v>
      </c>
      <c r="X883">
        <v>1.132306943519194E-2</v>
      </c>
      <c r="Y883">
        <v>4.0157417065968606E-3</v>
      </c>
    </row>
    <row r="884" spans="1:25" x14ac:dyDescent="0.25">
      <c r="A884" s="1090"/>
      <c r="B884" s="1448">
        <v>634</v>
      </c>
      <c r="C884" s="1094">
        <v>0.98690957305655735</v>
      </c>
      <c r="D884" s="1094">
        <v>0.99463877678079349</v>
      </c>
      <c r="E884" s="1094">
        <v>0.9913607560615445</v>
      </c>
      <c r="F884" s="1094">
        <v>1.0001866436382836</v>
      </c>
      <c r="G884" s="1094">
        <v>0.95609351358072492</v>
      </c>
      <c r="H884" s="1094">
        <v>1.0211970328984827</v>
      </c>
      <c r="I884" s="1094">
        <v>1.0313901160554924</v>
      </c>
      <c r="K884">
        <v>4.5031146455587265</v>
      </c>
      <c r="L884">
        <v>0</v>
      </c>
      <c r="M884">
        <v>1.5450964908932645E-3</v>
      </c>
      <c r="N884">
        <v>0.13034599266557653</v>
      </c>
      <c r="O884">
        <v>3.9052007042709662E-2</v>
      </c>
      <c r="P884">
        <v>1.9074524633335636E-2</v>
      </c>
      <c r="Q884">
        <v>1.3139283198068028E-3</v>
      </c>
      <c r="R884">
        <v>1.5388914881431799E-3</v>
      </c>
      <c r="S884">
        <v>0.24386008643989632</v>
      </c>
      <c r="T884">
        <v>3.9670769781302604</v>
      </c>
      <c r="U884">
        <v>0</v>
      </c>
      <c r="V884">
        <v>9.4523053561132078E-3</v>
      </c>
      <c r="W884">
        <v>7.8097670271706277E-2</v>
      </c>
      <c r="X884">
        <v>1.0498332867767286E-2</v>
      </c>
      <c r="Y884">
        <v>4.3490248342997976E-3</v>
      </c>
    </row>
    <row r="885" spans="1:25" x14ac:dyDescent="0.25">
      <c r="A885" s="1090"/>
      <c r="B885" s="1448">
        <v>635</v>
      </c>
      <c r="C885" s="1094">
        <v>0.9794379865173295</v>
      </c>
      <c r="D885" s="1094">
        <v>0.97957914380944944</v>
      </c>
      <c r="E885" s="1094">
        <v>0.99499316883980249</v>
      </c>
      <c r="F885" s="1094">
        <v>0.99463523614186433</v>
      </c>
      <c r="G885" s="1094">
        <v>0.97052907555850887</v>
      </c>
      <c r="H885" s="1094">
        <v>1.024087483616648</v>
      </c>
      <c r="I885" s="1094">
        <v>0.9787675697049687</v>
      </c>
      <c r="K885">
        <v>4.4737843145277756</v>
      </c>
      <c r="L885">
        <v>0</v>
      </c>
      <c r="M885">
        <v>1.5502721660655189E-3</v>
      </c>
      <c r="N885">
        <v>0.13219706424605546</v>
      </c>
      <c r="O885">
        <v>3.9345532312019288E-2</v>
      </c>
      <c r="P885">
        <v>1.8979702586287783E-2</v>
      </c>
      <c r="Q885">
        <v>1.3362272346246491E-3</v>
      </c>
      <c r="R885">
        <v>1.5440294428873149E-3</v>
      </c>
      <c r="S885">
        <v>0.23361563887936215</v>
      </c>
      <c r="T885">
        <v>3.9449201846845008</v>
      </c>
      <c r="U885">
        <v>0</v>
      </c>
      <c r="V885">
        <v>9.4523053561131904E-3</v>
      </c>
      <c r="W885">
        <v>7.9011632821426397E-2</v>
      </c>
      <c r="X885">
        <v>1.0568724043890065E-2</v>
      </c>
      <c r="Y885">
        <v>4.3635450866710123E-3</v>
      </c>
    </row>
    <row r="886" spans="1:25" x14ac:dyDescent="0.25">
      <c r="A886" s="1090"/>
      <c r="B886" s="1448">
        <v>636</v>
      </c>
      <c r="C886" s="1094">
        <v>0.9948966229567584</v>
      </c>
      <c r="D886" s="1094">
        <v>0.95509850147848874</v>
      </c>
      <c r="E886" s="1094">
        <v>0.99116626411622344</v>
      </c>
      <c r="F886" s="1094">
        <v>1.0050445627954534</v>
      </c>
      <c r="G886" s="1094">
        <v>0.97209179600674156</v>
      </c>
      <c r="H886" s="1094">
        <v>1.0252350099642193</v>
      </c>
      <c r="I886" s="1094">
        <v>0.9621055851867234</v>
      </c>
      <c r="K886">
        <v>4.5122658778215401</v>
      </c>
      <c r="L886">
        <v>0</v>
      </c>
      <c r="M886">
        <v>1.572132270373301E-3</v>
      </c>
      <c r="N886">
        <v>0.1325549710159068</v>
      </c>
      <c r="O886">
        <v>3.9564800706182332E-2</v>
      </c>
      <c r="P886">
        <v>1.9094107082159539E-2</v>
      </c>
      <c r="Q886">
        <v>1.3244792928519611E-3</v>
      </c>
      <c r="R886">
        <v>1.5658738329835584E-3</v>
      </c>
      <c r="S886">
        <v>0.22953577528972546</v>
      </c>
      <c r="T886">
        <v>3.986352596671344</v>
      </c>
      <c r="U886">
        <v>0</v>
      </c>
      <c r="V886">
        <v>9.4523053561131852E-3</v>
      </c>
      <c r="W886">
        <v>7.9431697289641084E-2</v>
      </c>
      <c r="X886">
        <v>1.0536124554179429E-2</v>
      </c>
      <c r="Y886">
        <v>4.4252790008232866E-3</v>
      </c>
    </row>
    <row r="887" spans="1:25" x14ac:dyDescent="0.25">
      <c r="A887" s="1090"/>
      <c r="B887" s="1448">
        <v>637</v>
      </c>
      <c r="C887" s="1094">
        <v>1.0015771715838644</v>
      </c>
      <c r="D887" s="1094">
        <v>1.0130245558654885</v>
      </c>
      <c r="E887" s="1094">
        <v>0.96660613813581153</v>
      </c>
      <c r="F887" s="1094">
        <v>0.98786511338840088</v>
      </c>
      <c r="G887" s="1094">
        <v>0.99298103464035414</v>
      </c>
      <c r="H887" s="1094">
        <v>1.003848085564109</v>
      </c>
      <c r="I887" s="1094">
        <v>1.0202707585138606</v>
      </c>
      <c r="K887">
        <v>4.4283336929665484</v>
      </c>
      <c r="L887">
        <v>0</v>
      </c>
      <c r="M887">
        <v>1.5457158437647647E-3</v>
      </c>
      <c r="N887">
        <v>0.12114778040251852</v>
      </c>
      <c r="O887">
        <v>3.7894814673333083E-2</v>
      </c>
      <c r="P887">
        <v>1.8458848622334181E-2</v>
      </c>
      <c r="Q887">
        <v>1.2578955533649786E-3</v>
      </c>
      <c r="R887">
        <v>1.539322636745954E-3</v>
      </c>
      <c r="S887">
        <v>0.23308504252100221</v>
      </c>
      <c r="T887">
        <v>3.9191464235645554</v>
      </c>
      <c r="U887">
        <v>0</v>
      </c>
      <c r="V887">
        <v>9.4523053561131973E-3</v>
      </c>
      <c r="W887">
        <v>7.3828967453231989E-2</v>
      </c>
      <c r="X887">
        <v>9.7177647339444038E-3</v>
      </c>
      <c r="Y887">
        <v>4.3502432931678773E-3</v>
      </c>
    </row>
    <row r="888" spans="1:25" x14ac:dyDescent="0.25">
      <c r="A888" s="1090"/>
      <c r="B888" s="1448">
        <v>638</v>
      </c>
      <c r="C888" s="1094">
        <v>1.0041708994085861</v>
      </c>
      <c r="D888" s="1094">
        <v>1.014458675441567</v>
      </c>
      <c r="E888" s="1094">
        <v>0.99209636746043384</v>
      </c>
      <c r="F888" s="1094">
        <v>0.99558479550608647</v>
      </c>
      <c r="G888" s="1094">
        <v>1.0126536996795674</v>
      </c>
      <c r="H888" s="1094">
        <v>1.0021544538485199</v>
      </c>
      <c r="I888" s="1094">
        <v>0.98553857769995523</v>
      </c>
      <c r="K888">
        <v>4.4550359078871136</v>
      </c>
      <c r="L888">
        <v>0</v>
      </c>
      <c r="M888">
        <v>1.4694553020054473E-3</v>
      </c>
      <c r="N888">
        <v>0.12422360587659011</v>
      </c>
      <c r="O888">
        <v>3.7898823509986218E-2</v>
      </c>
      <c r="P888">
        <v>1.8919512712472171E-2</v>
      </c>
      <c r="Q888">
        <v>1.2820030470984739E-3</v>
      </c>
      <c r="R888">
        <v>1.4634142552297303E-3</v>
      </c>
      <c r="S888">
        <v>0.22553316342360588</v>
      </c>
      <c r="T888">
        <v>3.9487964972714544</v>
      </c>
      <c r="U888">
        <v>0</v>
      </c>
      <c r="V888">
        <v>9.4523053561131939E-3</v>
      </c>
      <c r="W888">
        <v>7.4392197368913143E-2</v>
      </c>
      <c r="X888">
        <v>1.0408119955981308E-2</v>
      </c>
      <c r="Y888">
        <v>4.1357204116722552E-3</v>
      </c>
    </row>
    <row r="889" spans="1:25" x14ac:dyDescent="0.25">
      <c r="A889" s="1090"/>
      <c r="B889" s="1448">
        <v>639</v>
      </c>
      <c r="C889" s="1094">
        <v>0.97418260958342728</v>
      </c>
      <c r="D889" s="1094">
        <v>1.0052193350197605</v>
      </c>
      <c r="E889" s="1094">
        <v>1.019560895547722</v>
      </c>
      <c r="F889" s="1094">
        <v>1.0130879669738142</v>
      </c>
      <c r="G889" s="1094">
        <v>1.0016250142530057</v>
      </c>
      <c r="H889" s="1094">
        <v>0.99223593986093384</v>
      </c>
      <c r="I889" s="1094">
        <v>1.0294765104345689</v>
      </c>
      <c r="K889">
        <v>4.5590362942135965</v>
      </c>
      <c r="L889">
        <v>0</v>
      </c>
      <c r="M889">
        <v>1.4454065194679326E-3</v>
      </c>
      <c r="N889">
        <v>0.13254918726483156</v>
      </c>
      <c r="O889">
        <v>3.9702147741792267E-2</v>
      </c>
      <c r="P889">
        <v>1.9716841886583344E-2</v>
      </c>
      <c r="Q889">
        <v>1.357783351662012E-3</v>
      </c>
      <c r="R889">
        <v>1.4395082101004075E-3</v>
      </c>
      <c r="S889">
        <v>0.24560353355406686</v>
      </c>
      <c r="T889">
        <v>4.0171629440467145</v>
      </c>
      <c r="U889">
        <v>0</v>
      </c>
      <c r="V889">
        <v>9.4523053561131869E-3</v>
      </c>
      <c r="W889">
        <v>7.7923839238952658E-2</v>
      </c>
      <c r="X889">
        <v>1.1505449979253068E-2</v>
      </c>
      <c r="Y889">
        <v>4.068160102996583E-3</v>
      </c>
    </row>
    <row r="890" spans="1:25" x14ac:dyDescent="0.25">
      <c r="A890" s="1090"/>
      <c r="B890" s="1448">
        <v>640</v>
      </c>
      <c r="C890" s="1094">
        <v>0.99543000516767288</v>
      </c>
      <c r="D890" s="1094">
        <v>1.0189925768769035</v>
      </c>
      <c r="E890" s="1094">
        <v>1.0168631948146798</v>
      </c>
      <c r="F890" s="1094">
        <v>0.99473784883596506</v>
      </c>
      <c r="G890" s="1094">
        <v>1.0184811805379634</v>
      </c>
      <c r="H890" s="1094">
        <v>1.0278418120068651</v>
      </c>
      <c r="I890" s="1094">
        <v>0.99775299384166205</v>
      </c>
      <c r="K890">
        <v>4.4674416961655314</v>
      </c>
      <c r="L890">
        <v>0</v>
      </c>
      <c r="M890">
        <v>1.4392459087592829E-3</v>
      </c>
      <c r="N890">
        <v>0.13094394695530304</v>
      </c>
      <c r="O890">
        <v>3.7962240890082322E-2</v>
      </c>
      <c r="P890">
        <v>1.9279700053825385E-2</v>
      </c>
      <c r="Q890">
        <v>1.3185709481372565E-3</v>
      </c>
      <c r="R890">
        <v>1.4334720349021451E-3</v>
      </c>
      <c r="S890">
        <v>0.23181809546376497</v>
      </c>
      <c r="T890">
        <v>3.9445011276594624</v>
      </c>
      <c r="U890">
        <v>0</v>
      </c>
      <c r="V890">
        <v>9.4523053561131973E-3</v>
      </c>
      <c r="W890">
        <v>7.7118904071864627E-2</v>
      </c>
      <c r="X890">
        <v>1.1001477229785504E-2</v>
      </c>
      <c r="Y890">
        <v>4.0511014110461195E-3</v>
      </c>
    </row>
    <row r="891" spans="1:25" x14ac:dyDescent="0.25">
      <c r="A891" s="1090"/>
      <c r="B891" s="1448">
        <v>641</v>
      </c>
      <c r="C891" s="1094">
        <v>0.99818566598335901</v>
      </c>
      <c r="D891" s="1094">
        <v>1.0180548631967625</v>
      </c>
      <c r="E891" s="1094">
        <v>1.0015055730836364</v>
      </c>
      <c r="F891" s="1094">
        <v>1.0067546708736237</v>
      </c>
      <c r="G891" s="1094">
        <v>0.98919612563802328</v>
      </c>
      <c r="H891" s="1094">
        <v>0.99416998376890819</v>
      </c>
      <c r="I891" s="1094">
        <v>0.98977452363078489</v>
      </c>
      <c r="K891">
        <v>4.5061175005032901</v>
      </c>
      <c r="L891">
        <v>0</v>
      </c>
      <c r="M891">
        <v>1.451737687965081E-3</v>
      </c>
      <c r="N891">
        <v>0.12619789036341883</v>
      </c>
      <c r="O891">
        <v>3.8434625972353822E-2</v>
      </c>
      <c r="P891">
        <v>1.9267781515810073E-2</v>
      </c>
      <c r="Q891">
        <v>1.2983145348909729E-3</v>
      </c>
      <c r="R891">
        <v>1.4457880239873119E-3</v>
      </c>
      <c r="S891">
        <v>0.22874880695970931</v>
      </c>
      <c r="T891">
        <v>3.9927383744576463</v>
      </c>
      <c r="U891">
        <v>0</v>
      </c>
      <c r="V891">
        <v>9.4523053561132026E-3</v>
      </c>
      <c r="W891">
        <v>7.5094385964855237E-2</v>
      </c>
      <c r="X891">
        <v>1.0805057705983126E-2</v>
      </c>
      <c r="Y891">
        <v>4.0859073364820859E-3</v>
      </c>
    </row>
    <row r="892" spans="1:25" x14ac:dyDescent="0.25">
      <c r="A892" s="1090"/>
      <c r="B892" s="1448">
        <v>642</v>
      </c>
      <c r="C892" s="1094">
        <v>0.96409088676897359</v>
      </c>
      <c r="D892" s="1094">
        <v>1.0086094202394111</v>
      </c>
      <c r="E892" s="1094">
        <v>1.0221724514698678</v>
      </c>
      <c r="F892" s="1094">
        <v>0.98449938498224676</v>
      </c>
      <c r="G892" s="1094">
        <v>0.9990727917812291</v>
      </c>
      <c r="H892" s="1094">
        <v>1.0355901012673687</v>
      </c>
      <c r="I892" s="1094">
        <v>1.0054282460287365</v>
      </c>
      <c r="K892">
        <v>4.4446234293792992</v>
      </c>
      <c r="L892">
        <v>0</v>
      </c>
      <c r="M892">
        <v>1.4713760976493679E-3</v>
      </c>
      <c r="N892">
        <v>0.13598509477357976</v>
      </c>
      <c r="O892">
        <v>3.8914870565157564E-2</v>
      </c>
      <c r="P892">
        <v>1.9207958349102942E-2</v>
      </c>
      <c r="Q892">
        <v>1.3731792638369362E-3</v>
      </c>
      <c r="R892">
        <v>1.4654568168156838E-3</v>
      </c>
      <c r="S892">
        <v>0.24085414689754694</v>
      </c>
      <c r="T892">
        <v>3.903704714832831</v>
      </c>
      <c r="U892">
        <v>0</v>
      </c>
      <c r="V892">
        <v>9.4523053561131921E-3</v>
      </c>
      <c r="W892">
        <v>7.9804754069986689E-2</v>
      </c>
      <c r="X892">
        <v>1.1190831705319829E-2</v>
      </c>
      <c r="Y892">
        <v>4.1414928466563614E-3</v>
      </c>
    </row>
    <row r="893" spans="1:25" x14ac:dyDescent="0.25">
      <c r="A893" s="1090"/>
      <c r="B893" s="1448">
        <v>643</v>
      </c>
      <c r="C893" s="1094">
        <v>0.96758046178404911</v>
      </c>
      <c r="D893" s="1094">
        <v>1.0169547698951542</v>
      </c>
      <c r="E893" s="1094">
        <v>0.97907322507841932</v>
      </c>
      <c r="F893" s="1094">
        <v>1.043423753635206</v>
      </c>
      <c r="G893" s="1094">
        <v>0.99896204391261001</v>
      </c>
      <c r="H893" s="1094">
        <v>1.0287400899705972</v>
      </c>
      <c r="I893" s="1094">
        <v>0.98607188387163802</v>
      </c>
      <c r="K893">
        <v>4.6896831585677692</v>
      </c>
      <c r="L893">
        <v>0</v>
      </c>
      <c r="M893">
        <v>1.6842458868010601E-3</v>
      </c>
      <c r="N893">
        <v>0.13702608256925489</v>
      </c>
      <c r="O893">
        <v>4.1277021717099682E-2</v>
      </c>
      <c r="P893">
        <v>1.9668019559998563E-2</v>
      </c>
      <c r="Q893">
        <v>1.3142883945062469E-3</v>
      </c>
      <c r="R893">
        <v>1.6778087922494017E-3</v>
      </c>
      <c r="S893">
        <v>0.2437627302092652</v>
      </c>
      <c r="T893">
        <v>4.1390616765177111</v>
      </c>
      <c r="U893">
        <v>0</v>
      </c>
      <c r="V893">
        <v>9.4523053561131904E-3</v>
      </c>
      <c r="W893">
        <v>8.2791703435191905E-2</v>
      </c>
      <c r="X893">
        <v>1.0594152161641807E-2</v>
      </c>
      <c r="Y893">
        <v>4.741615741538429E-3</v>
      </c>
    </row>
    <row r="894" spans="1:25" x14ac:dyDescent="0.25">
      <c r="A894" s="1090"/>
      <c r="B894" s="1448">
        <v>644</v>
      </c>
      <c r="C894" s="1094">
        <v>1.0223708778836302</v>
      </c>
      <c r="D894" s="1094">
        <v>1.0346584607244254</v>
      </c>
      <c r="E894" s="1094">
        <v>0.96788425983739623</v>
      </c>
      <c r="F894" s="1094">
        <v>1.017462046029197</v>
      </c>
      <c r="G894" s="1094">
        <v>1.003673781235491</v>
      </c>
      <c r="H894" s="1094">
        <v>1.0047033876709532</v>
      </c>
      <c r="I894" s="1094">
        <v>0.99997224272230334</v>
      </c>
      <c r="K894">
        <v>4.5406763830978312</v>
      </c>
      <c r="L894">
        <v>0</v>
      </c>
      <c r="M894">
        <v>1.5435114774831208E-3</v>
      </c>
      <c r="N894">
        <v>0.12145016149987262</v>
      </c>
      <c r="O894">
        <v>3.7905947459936057E-2</v>
      </c>
      <c r="P894">
        <v>1.8970888217653907E-2</v>
      </c>
      <c r="Q894">
        <v>1.2233070737675002E-3</v>
      </c>
      <c r="R894">
        <v>1.5373176231487983E-3</v>
      </c>
      <c r="S894">
        <v>0.22696531383092755</v>
      </c>
      <c r="T894">
        <v>4.036515697792483</v>
      </c>
      <c r="U894">
        <v>0</v>
      </c>
      <c r="V894">
        <v>9.4523053561131956E-3</v>
      </c>
      <c r="W894">
        <v>7.3947892035858664E-2</v>
      </c>
      <c r="X894">
        <v>9.9064867138857222E-3</v>
      </c>
      <c r="Y894">
        <v>4.344576971666768E-3</v>
      </c>
    </row>
    <row r="895" spans="1:25" x14ac:dyDescent="0.25">
      <c r="A895" s="1090"/>
      <c r="B895" s="1448">
        <v>645</v>
      </c>
      <c r="C895" s="1094">
        <v>0.95831663917242338</v>
      </c>
      <c r="D895" s="1094">
        <v>1.016455851608437</v>
      </c>
      <c r="E895" s="1094">
        <v>0.9701807289081571</v>
      </c>
      <c r="F895" s="1094">
        <v>1.0171999337849018</v>
      </c>
      <c r="G895" s="1094">
        <v>1.0370855613402532</v>
      </c>
      <c r="H895" s="1094">
        <v>0.98600409328198291</v>
      </c>
      <c r="I895" s="1094">
        <v>1.0141534344086738</v>
      </c>
      <c r="K895">
        <v>4.5723653764555463</v>
      </c>
      <c r="L895">
        <v>0</v>
      </c>
      <c r="M895">
        <v>1.6193176162147263E-3</v>
      </c>
      <c r="N895">
        <v>0.12827691836918276</v>
      </c>
      <c r="O895">
        <v>4.0700698764228847E-2</v>
      </c>
      <c r="P895">
        <v>1.9080871503107399E-2</v>
      </c>
      <c r="Q895">
        <v>1.3170132482036242E-3</v>
      </c>
      <c r="R895">
        <v>1.6126946314348961E-3</v>
      </c>
      <c r="S895">
        <v>0.2453082068552665</v>
      </c>
      <c r="T895">
        <v>4.0353855381009422</v>
      </c>
      <c r="U895">
        <v>0</v>
      </c>
      <c r="V895">
        <v>9.4523053561131991E-3</v>
      </c>
      <c r="W895">
        <v>7.7980815327794342E-2</v>
      </c>
      <c r="X895">
        <v>1.0312033763637193E-2</v>
      </c>
      <c r="Y895">
        <v>4.5575981518456285E-3</v>
      </c>
    </row>
    <row r="896" spans="1:25" x14ac:dyDescent="0.25">
      <c r="A896" s="1090"/>
      <c r="B896" s="1448">
        <v>646</v>
      </c>
      <c r="C896" s="1094">
        <v>1.0076445881261782</v>
      </c>
      <c r="D896" s="1094">
        <v>1.0116591071613488</v>
      </c>
      <c r="E896" s="1094">
        <v>0.98762951429391865</v>
      </c>
      <c r="F896" s="1094">
        <v>1.0010983120453816</v>
      </c>
      <c r="G896" s="1094">
        <v>0.99060449873880652</v>
      </c>
      <c r="H896" s="1094">
        <v>1.0010530414709733</v>
      </c>
      <c r="I896" s="1094">
        <v>0.97633949235109863</v>
      </c>
      <c r="K896">
        <v>4.4751622016616643</v>
      </c>
      <c r="L896">
        <v>0</v>
      </c>
      <c r="M896">
        <v>1.4863690614689844E-3</v>
      </c>
      <c r="N896">
        <v>0.12400237995320289</v>
      </c>
      <c r="O896">
        <v>3.804961565417922E-2</v>
      </c>
      <c r="P896">
        <v>1.8946672365082521E-2</v>
      </c>
      <c r="Q896">
        <v>1.2740780311741859E-3</v>
      </c>
      <c r="R896">
        <v>1.4802853105128947E-3</v>
      </c>
      <c r="S896">
        <v>0.22359831480350087</v>
      </c>
      <c r="T896">
        <v>3.970835937068685</v>
      </c>
      <c r="U896">
        <v>0</v>
      </c>
      <c r="V896">
        <v>9.4523053561131973E-3</v>
      </c>
      <c r="W896">
        <v>7.448579992341918E-2</v>
      </c>
      <c r="X896">
        <v>1.0339782955313199E-2</v>
      </c>
      <c r="Y896">
        <v>4.1833993019466153E-3</v>
      </c>
    </row>
    <row r="897" spans="1:25" x14ac:dyDescent="0.25">
      <c r="A897" s="1090"/>
      <c r="B897" s="1448">
        <v>647</v>
      </c>
      <c r="C897" s="1094">
        <v>1.0456862925016535</v>
      </c>
      <c r="D897" s="1094">
        <v>0.98202385458060881</v>
      </c>
      <c r="E897" s="1094">
        <v>1.0307783334576488</v>
      </c>
      <c r="F897" s="1094">
        <v>1.0004608904956813</v>
      </c>
      <c r="G897" s="1094">
        <v>0.98543904053389231</v>
      </c>
      <c r="H897" s="1094">
        <v>1.014544774597216</v>
      </c>
      <c r="I897" s="1094">
        <v>0.97823836194278657</v>
      </c>
      <c r="K897">
        <v>4.4686998374356435</v>
      </c>
      <c r="L897">
        <v>0</v>
      </c>
      <c r="M897">
        <v>1.3403468512557769E-3</v>
      </c>
      <c r="N897">
        <v>0.12706596309756935</v>
      </c>
      <c r="O897">
        <v>3.6794513172477318E-2</v>
      </c>
      <c r="P897">
        <v>1.951859875733887E-2</v>
      </c>
      <c r="Q897">
        <v>1.2889437700186203E-3</v>
      </c>
      <c r="R897">
        <v>1.3349302942354123E-3</v>
      </c>
      <c r="S897">
        <v>0.21871083740134695</v>
      </c>
      <c r="T897">
        <v>3.9666711455067523</v>
      </c>
      <c r="U897">
        <v>0</v>
      </c>
      <c r="V897">
        <v>9.4523053561131939E-3</v>
      </c>
      <c r="W897">
        <v>7.4145609030568313E-2</v>
      </c>
      <c r="X897">
        <v>1.1284722971858892E-2</v>
      </c>
      <c r="Y897">
        <v>3.7726149286159312E-3</v>
      </c>
    </row>
    <row r="898" spans="1:25" x14ac:dyDescent="0.25">
      <c r="A898" s="1090"/>
      <c r="B898" s="1448">
        <v>648</v>
      </c>
      <c r="C898" s="1094">
        <v>1.0179039298722556</v>
      </c>
      <c r="D898" s="1094">
        <v>1.0374670628299227</v>
      </c>
      <c r="E898" s="1094">
        <v>1.0026310747877611</v>
      </c>
      <c r="F898" s="1094">
        <v>0.96989340283229508</v>
      </c>
      <c r="G898" s="1094">
        <v>1.0014423690483931</v>
      </c>
      <c r="H898" s="1094">
        <v>0.98588170562742639</v>
      </c>
      <c r="I898" s="1094">
        <v>0.9753988243844206</v>
      </c>
      <c r="K898">
        <v>4.326982744344213</v>
      </c>
      <c r="L898">
        <v>0</v>
      </c>
      <c r="M898">
        <v>1.3468321885197641E-3</v>
      </c>
      <c r="N898">
        <v>0.1174470912017725</v>
      </c>
      <c r="O898">
        <v>3.6029548079875226E-2</v>
      </c>
      <c r="P898">
        <v>1.8549077087888322E-2</v>
      </c>
      <c r="Q898">
        <v>1.2647991597002962E-3</v>
      </c>
      <c r="R898">
        <v>1.3410554060271581E-3</v>
      </c>
      <c r="S898">
        <v>0.21375467255768996</v>
      </c>
      <c r="T898">
        <v>3.8465069123109785</v>
      </c>
      <c r="U898">
        <v>0</v>
      </c>
      <c r="V898">
        <v>9.4523053561131991E-3</v>
      </c>
      <c r="W898">
        <v>6.983413161921545E-2</v>
      </c>
      <c r="X898">
        <v>1.0360058791297755E-2</v>
      </c>
      <c r="Y898">
        <v>3.7899249621695689E-3</v>
      </c>
    </row>
    <row r="899" spans="1:25" x14ac:dyDescent="0.25">
      <c r="A899" s="1090"/>
      <c r="B899" s="1448">
        <v>649</v>
      </c>
      <c r="C899" s="1094">
        <v>0.98940591460213945</v>
      </c>
      <c r="D899" s="1094">
        <v>0.96977899556589975</v>
      </c>
      <c r="E899" s="1094">
        <v>0.99401445696170088</v>
      </c>
      <c r="F899" s="1094">
        <v>0.99777156949818602</v>
      </c>
      <c r="G899" s="1094">
        <v>0.99602518628787895</v>
      </c>
      <c r="H899" s="1094">
        <v>1.0005126144112149</v>
      </c>
      <c r="I899" s="1094">
        <v>0.98931994160923431</v>
      </c>
      <c r="K899">
        <v>4.4800812361932314</v>
      </c>
      <c r="L899">
        <v>0</v>
      </c>
      <c r="M899">
        <v>1.5132079678688863E-3</v>
      </c>
      <c r="N899">
        <v>0.12865208030510006</v>
      </c>
      <c r="O899">
        <v>3.9236271492795863E-2</v>
      </c>
      <c r="P899">
        <v>1.9020300989514845E-2</v>
      </c>
      <c r="Q899">
        <v>1.3269785597024228E-3</v>
      </c>
      <c r="R899">
        <v>1.5069904422701506E-3</v>
      </c>
      <c r="S899">
        <v>0.23317474714733338</v>
      </c>
      <c r="T899">
        <v>3.9573967905266665</v>
      </c>
      <c r="U899">
        <v>0</v>
      </c>
      <c r="V899">
        <v>9.4523053561131939E-3</v>
      </c>
      <c r="W899">
        <v>7.6943935054841858E-2</v>
      </c>
      <c r="X899">
        <v>1.0625174243627867E-2</v>
      </c>
      <c r="Y899">
        <v>4.2588700431329804E-3</v>
      </c>
    </row>
    <row r="900" spans="1:25" x14ac:dyDescent="0.25">
      <c r="A900" s="1090"/>
      <c r="B900" s="1448">
        <v>650</v>
      </c>
      <c r="C900" s="1094">
        <v>1.0451932817357721</v>
      </c>
      <c r="D900" s="1094">
        <v>0.96562309572745508</v>
      </c>
      <c r="E900" s="1094">
        <v>1.0023005752639336</v>
      </c>
      <c r="F900" s="1094">
        <v>1.0025892857238685</v>
      </c>
      <c r="G900" s="1094">
        <v>1.0075123545451572</v>
      </c>
      <c r="H900" s="1094">
        <v>1.0077968320524002</v>
      </c>
      <c r="I900" s="1094">
        <v>0.98965595598732614</v>
      </c>
      <c r="K900">
        <v>4.4787227728364316</v>
      </c>
      <c r="L900">
        <v>0</v>
      </c>
      <c r="M900">
        <v>1.4271843260621941E-3</v>
      </c>
      <c r="N900">
        <v>0.12436086798935016</v>
      </c>
      <c r="O900">
        <v>3.7330208119885008E-2</v>
      </c>
      <c r="P900">
        <v>1.9174580131091235E-2</v>
      </c>
      <c r="Q900">
        <v>1.267288806170464E-3</v>
      </c>
      <c r="R900">
        <v>1.4213905026438762E-3</v>
      </c>
      <c r="S900">
        <v>0.22234406557778405</v>
      </c>
      <c r="T900">
        <v>3.9761883420456514</v>
      </c>
      <c r="U900">
        <v>0</v>
      </c>
      <c r="V900">
        <v>9.4523053561131939E-3</v>
      </c>
      <c r="W900">
        <v>7.3961560461978326E-2</v>
      </c>
      <c r="X900">
        <v>1.0632390093319436E-2</v>
      </c>
      <c r="Y900">
        <v>4.0169580785028971E-3</v>
      </c>
    </row>
    <row r="901" spans="1:25" x14ac:dyDescent="0.25">
      <c r="A901" s="1090"/>
      <c r="B901" s="1448">
        <v>651</v>
      </c>
      <c r="C901" s="1094">
        <v>1.0242871368555466</v>
      </c>
      <c r="D901" s="1094">
        <v>0.98439258967807841</v>
      </c>
      <c r="E901" s="1094">
        <v>0.98066917695028266</v>
      </c>
      <c r="F901" s="1094">
        <v>0.99993799687753082</v>
      </c>
      <c r="G901" s="1094">
        <v>1.0371460192015374</v>
      </c>
      <c r="H901" s="1094">
        <v>1.0079888739925802</v>
      </c>
      <c r="I901" s="1094">
        <v>0.99993380685582323</v>
      </c>
      <c r="K901">
        <v>4.4734676755659759</v>
      </c>
      <c r="L901">
        <v>0</v>
      </c>
      <c r="M901">
        <v>1.5087101898317793E-3</v>
      </c>
      <c r="N901">
        <v>0.12329695184525633</v>
      </c>
      <c r="O901">
        <v>3.7845678799934931E-2</v>
      </c>
      <c r="P901">
        <v>1.8845278960845417E-2</v>
      </c>
      <c r="Q901">
        <v>1.2595373704397436E-3</v>
      </c>
      <c r="R901">
        <v>1.5025703995397628E-3</v>
      </c>
      <c r="S901">
        <v>0.22749509510621868</v>
      </c>
      <c r="T901">
        <v>3.9665006610769562</v>
      </c>
      <c r="U901">
        <v>0</v>
      </c>
      <c r="V901">
        <v>9.4523053561131973E-3</v>
      </c>
      <c r="W901">
        <v>7.4415088209494204E-2</v>
      </c>
      <c r="X901">
        <v>1.0116839966086557E-2</v>
      </c>
      <c r="Y901">
        <v>4.2463786649226069E-3</v>
      </c>
    </row>
    <row r="902" spans="1:25" x14ac:dyDescent="0.25">
      <c r="A902" s="1090"/>
      <c r="B902" s="1448">
        <v>652</v>
      </c>
      <c r="C902" s="1094">
        <v>0.96573916459119291</v>
      </c>
      <c r="D902" s="1094">
        <v>1.031118459080292</v>
      </c>
      <c r="E902" s="1094">
        <v>0.98928264587092218</v>
      </c>
      <c r="F902" s="1094">
        <v>1.0258896299601314</v>
      </c>
      <c r="G902" s="1094">
        <v>0.97150284535170095</v>
      </c>
      <c r="H902" s="1094">
        <v>0.99879925751418885</v>
      </c>
      <c r="I902" s="1094">
        <v>1.0209805908370895</v>
      </c>
      <c r="K902">
        <v>4.6118044077084344</v>
      </c>
      <c r="L902">
        <v>0</v>
      </c>
      <c r="M902">
        <v>1.5680403981111462E-3</v>
      </c>
      <c r="N902">
        <v>0.13147061873844793</v>
      </c>
      <c r="O902">
        <v>4.0363059194127568E-2</v>
      </c>
      <c r="P902">
        <v>1.9517000037332619E-2</v>
      </c>
      <c r="Q902">
        <v>1.321154648430346E-3</v>
      </c>
      <c r="R902">
        <v>1.5617627063226618E-3</v>
      </c>
      <c r="S902">
        <v>0.24648457457249986</v>
      </c>
      <c r="T902">
        <v>4.0691052447418743</v>
      </c>
      <c r="U902">
        <v>0</v>
      </c>
      <c r="V902">
        <v>9.4523053561131904E-3</v>
      </c>
      <c r="W902">
        <v>7.8882943890113619E-2</v>
      </c>
      <c r="X902">
        <v>1.0800123578272777E-2</v>
      </c>
      <c r="Y902">
        <v>4.4136606430099194E-3</v>
      </c>
    </row>
    <row r="903" spans="1:25" x14ac:dyDescent="0.25">
      <c r="A903" s="1090"/>
      <c r="B903" s="1448">
        <v>653</v>
      </c>
      <c r="C903" s="1094">
        <v>1.0231521112086959</v>
      </c>
      <c r="D903" s="1094">
        <v>0.98971182847620265</v>
      </c>
      <c r="E903" s="1094">
        <v>0.97777293640460095</v>
      </c>
      <c r="F903" s="1094">
        <v>0.99061278567174582</v>
      </c>
      <c r="G903" s="1094">
        <v>1.0449893653666376</v>
      </c>
      <c r="H903" s="1094">
        <v>1.0068508916453385</v>
      </c>
      <c r="I903" s="1094">
        <v>0.99874685644379357</v>
      </c>
      <c r="K903">
        <v>4.4312886588894553</v>
      </c>
      <c r="L903">
        <v>0</v>
      </c>
      <c r="M903">
        <v>1.5005430806928652E-3</v>
      </c>
      <c r="N903">
        <v>0.12157483834585896</v>
      </c>
      <c r="O903">
        <v>3.7472773823476996E-2</v>
      </c>
      <c r="P903">
        <v>1.8630370611703442E-2</v>
      </c>
      <c r="Q903">
        <v>1.2550586791973514E-3</v>
      </c>
      <c r="R903">
        <v>1.4943723138861366E-3</v>
      </c>
      <c r="S903">
        <v>0.22558906176440427</v>
      </c>
      <c r="T903">
        <v>3.9296202747852065</v>
      </c>
      <c r="U903">
        <v>0</v>
      </c>
      <c r="V903">
        <v>9.4523053561131939E-3</v>
      </c>
      <c r="W903">
        <v>7.3521539619025467E-2</v>
      </c>
      <c r="X903">
        <v>9.9553964223005574E-3</v>
      </c>
      <c r="Y903">
        <v>4.223210248971228E-3</v>
      </c>
    </row>
    <row r="904" spans="1:25" x14ac:dyDescent="0.25">
      <c r="A904" s="1090"/>
      <c r="B904" s="1448">
        <v>654</v>
      </c>
      <c r="C904" s="1094">
        <v>1.0367623436782876</v>
      </c>
      <c r="D904" s="1094">
        <v>0.97620517086126546</v>
      </c>
      <c r="E904" s="1094">
        <v>1.0319827884740165</v>
      </c>
      <c r="F904" s="1094">
        <v>1.0293180873413053</v>
      </c>
      <c r="G904" s="1094">
        <v>1.0029435367659891</v>
      </c>
      <c r="H904" s="1094">
        <v>0.98509299649292703</v>
      </c>
      <c r="I904" s="1094">
        <v>0.99417536276593976</v>
      </c>
      <c r="K904">
        <v>4.5957950685776217</v>
      </c>
      <c r="L904">
        <v>0</v>
      </c>
      <c r="M904">
        <v>1.3501142559610732E-3</v>
      </c>
      <c r="N904">
        <v>0.12844785209388415</v>
      </c>
      <c r="O904">
        <v>3.82641992229854E-2</v>
      </c>
      <c r="P904">
        <v>2.0105651531999506E-2</v>
      </c>
      <c r="Q904">
        <v>1.304451731047817E-3</v>
      </c>
      <c r="R904">
        <v>1.3446520123607713E-3</v>
      </c>
      <c r="S904">
        <v>0.22673885773929434</v>
      </c>
      <c r="T904">
        <v>4.0810389395426139</v>
      </c>
      <c r="U904">
        <v>0</v>
      </c>
      <c r="V904">
        <v>9.4523053561131939E-3</v>
      </c>
      <c r="W904">
        <v>7.4892258535763756E-2</v>
      </c>
      <c r="X904">
        <v>1.1755925821262298E-2</v>
      </c>
      <c r="Y904">
        <v>3.8000892462562619E-3</v>
      </c>
    </row>
    <row r="905" spans="1:25" x14ac:dyDescent="0.25">
      <c r="A905" s="1090"/>
      <c r="B905" s="1448">
        <v>655</v>
      </c>
      <c r="C905" s="1094">
        <v>1.0129310744056947</v>
      </c>
      <c r="D905" s="1094">
        <v>0.96907881604915902</v>
      </c>
      <c r="E905" s="1094">
        <v>0.98737104387241126</v>
      </c>
      <c r="F905" s="1094">
        <v>1.0027063043216551</v>
      </c>
      <c r="G905" s="1094">
        <v>0.99034833606158823</v>
      </c>
      <c r="H905" s="1094">
        <v>1.0076689454243499</v>
      </c>
      <c r="I905" s="1094">
        <v>0.9556244989097421</v>
      </c>
      <c r="K905">
        <v>4.4839361543955336</v>
      </c>
      <c r="L905">
        <v>0</v>
      </c>
      <c r="M905">
        <v>1.5174523407671086E-3</v>
      </c>
      <c r="N905">
        <v>0.12650277905448451</v>
      </c>
      <c r="O905">
        <v>3.8571346601028365E-2</v>
      </c>
      <c r="P905">
        <v>1.8961412895556192E-2</v>
      </c>
      <c r="Q905">
        <v>1.2891295830955083E-3</v>
      </c>
      <c r="R905">
        <v>1.5112919979263137E-3</v>
      </c>
      <c r="S905">
        <v>0.22130079962433849</v>
      </c>
      <c r="T905">
        <v>3.9772239351535461</v>
      </c>
      <c r="U905">
        <v>0</v>
      </c>
      <c r="V905">
        <v>9.4523053561132078E-3</v>
      </c>
      <c r="W905">
        <v>7.6001129656132232E-2</v>
      </c>
      <c r="X905">
        <v>1.0368450246249501E-2</v>
      </c>
      <c r="Y905">
        <v>4.2710265678255373E-3</v>
      </c>
    </row>
    <row r="906" spans="1:25" x14ac:dyDescent="0.25">
      <c r="A906" s="1090"/>
      <c r="B906" s="1448">
        <v>656</v>
      </c>
      <c r="C906" s="1094">
        <v>1.0156552306070894</v>
      </c>
      <c r="D906" s="1094">
        <v>1.0138095693664093</v>
      </c>
      <c r="E906" s="1094">
        <v>1.0105148501329295</v>
      </c>
      <c r="F906" s="1094">
        <v>0.98044926681181399</v>
      </c>
      <c r="G906" s="1094">
        <v>0.98276805852077909</v>
      </c>
      <c r="H906" s="1094">
        <v>0.98152459655208291</v>
      </c>
      <c r="I906" s="1094">
        <v>0.98346473707360382</v>
      </c>
      <c r="K906">
        <v>4.3793355922372905</v>
      </c>
      <c r="L906">
        <v>0</v>
      </c>
      <c r="M906">
        <v>1.3484073530213487E-3</v>
      </c>
      <c r="N906">
        <v>0.12036538930377395</v>
      </c>
      <c r="O906">
        <v>3.6788654538194521E-2</v>
      </c>
      <c r="P906">
        <v>1.8871394520630032E-2</v>
      </c>
      <c r="Q906">
        <v>1.2879866415071539E-3</v>
      </c>
      <c r="R906">
        <v>1.3426604229483737E-3</v>
      </c>
      <c r="S906">
        <v>0.2187891387553271</v>
      </c>
      <c r="T906">
        <v>3.8880770822541058</v>
      </c>
      <c r="U906">
        <v>0</v>
      </c>
      <c r="V906">
        <v>9.4523053561131904E-3</v>
      </c>
      <c r="W906">
        <v>7.1190701096310136E-2</v>
      </c>
      <c r="X906">
        <v>1.0724225838877506E-2</v>
      </c>
      <c r="Y906">
        <v>3.7944608625261689E-3</v>
      </c>
    </row>
    <row r="907" spans="1:25" x14ac:dyDescent="0.25">
      <c r="A907" s="1090"/>
      <c r="B907" s="1448">
        <v>657</v>
      </c>
      <c r="C907" s="1094">
        <v>1.0116563655707658</v>
      </c>
      <c r="D907" s="1094">
        <v>1.0067384001662032</v>
      </c>
      <c r="E907" s="1094">
        <v>1.012317726007802</v>
      </c>
      <c r="F907" s="1094">
        <v>0.99287798571577468</v>
      </c>
      <c r="G907" s="1094">
        <v>1.0024060991371908</v>
      </c>
      <c r="H907" s="1094">
        <v>1.0005318798270526</v>
      </c>
      <c r="I907" s="1094">
        <v>1.0078019917633492</v>
      </c>
      <c r="K907">
        <v>4.4477405869960016</v>
      </c>
      <c r="L907">
        <v>0</v>
      </c>
      <c r="M907">
        <v>1.3959705891290768E-3</v>
      </c>
      <c r="N907">
        <v>0.1252947291798823</v>
      </c>
      <c r="O907">
        <v>3.7494994236428554E-2</v>
      </c>
      <c r="P907">
        <v>1.9168910345806957E-2</v>
      </c>
      <c r="Q907">
        <v>1.2986937075415105E-3</v>
      </c>
      <c r="R907">
        <v>1.3902067306011683E-3</v>
      </c>
      <c r="S907">
        <v>0.22890757680376952</v>
      </c>
      <c r="T907">
        <v>3.9372967199546767</v>
      </c>
      <c r="U907">
        <v>0</v>
      </c>
      <c r="V907">
        <v>9.4523053561132008E-3</v>
      </c>
      <c r="W907">
        <v>7.4016633648201963E-2</v>
      </c>
      <c r="X907">
        <v>1.0886957264162802E-2</v>
      </c>
      <c r="Y907">
        <v>3.9288303579418345E-3</v>
      </c>
    </row>
    <row r="908" spans="1:25" x14ac:dyDescent="0.25">
      <c r="A908" s="1090"/>
      <c r="B908" s="1448">
        <v>658</v>
      </c>
      <c r="C908" s="1094">
        <v>0.96367013792992773</v>
      </c>
      <c r="D908" s="1094">
        <v>1.0134310672061224</v>
      </c>
      <c r="E908" s="1094">
        <v>0.9703601486840886</v>
      </c>
      <c r="F908" s="1094">
        <v>1.0114555767444788</v>
      </c>
      <c r="G908" s="1094">
        <v>0.97985132260743701</v>
      </c>
      <c r="H908" s="1094">
        <v>1.0246265336849301</v>
      </c>
      <c r="I908" s="1094">
        <v>0.99736421051161583</v>
      </c>
      <c r="K908">
        <v>4.5518900831710534</v>
      </c>
      <c r="L908">
        <v>0</v>
      </c>
      <c r="M908">
        <v>1.6653456265264227E-3</v>
      </c>
      <c r="N908">
        <v>0.1320108911936114</v>
      </c>
      <c r="O908">
        <v>4.0292750511897568E-2</v>
      </c>
      <c r="P908">
        <v>1.8968469422083394E-2</v>
      </c>
      <c r="Q908">
        <v>1.3114645440561342E-3</v>
      </c>
      <c r="R908">
        <v>1.6587540578625753E-3</v>
      </c>
      <c r="S908">
        <v>0.24224580961808695</v>
      </c>
      <c r="T908">
        <v>4.0125897965992543</v>
      </c>
      <c r="U908">
        <v>0</v>
      </c>
      <c r="V908">
        <v>9.4523053561131904E-3</v>
      </c>
      <c r="W908">
        <v>8.0240804521469977E-2</v>
      </c>
      <c r="X908">
        <v>1.0096617365741981E-2</v>
      </c>
      <c r="Y908">
        <v>4.6877656074011051E-3</v>
      </c>
    </row>
    <row r="909" spans="1:25" x14ac:dyDescent="0.25">
      <c r="A909" s="1090"/>
      <c r="B909" s="1448">
        <v>659</v>
      </c>
      <c r="C909" s="1094">
        <v>0.98531094617502424</v>
      </c>
      <c r="D909" s="1094">
        <v>1.0143008682480972</v>
      </c>
      <c r="E909" s="1094">
        <v>1.0095347074630758</v>
      </c>
      <c r="F909" s="1094">
        <v>0.96941411519483733</v>
      </c>
      <c r="G909" s="1094">
        <v>1.012658182374486</v>
      </c>
      <c r="H909" s="1094">
        <v>0.99919266395919282</v>
      </c>
      <c r="I909" s="1094">
        <v>0.99027090953272934</v>
      </c>
      <c r="K909">
        <v>4.3511760152722019</v>
      </c>
      <c r="L909">
        <v>0</v>
      </c>
      <c r="M909">
        <v>1.4017181835118901E-3</v>
      </c>
      <c r="N909">
        <v>0.12476508902604722</v>
      </c>
      <c r="O909">
        <v>3.7494134873930676E-2</v>
      </c>
      <c r="P909">
        <v>1.8693374193689955E-2</v>
      </c>
      <c r="Q909">
        <v>1.3262875740530933E-3</v>
      </c>
      <c r="R909">
        <v>1.3957831583428029E-3</v>
      </c>
      <c r="S909">
        <v>0.22663546959466768</v>
      </c>
      <c r="T909">
        <v>3.8443520062400576</v>
      </c>
      <c r="U909">
        <v>0</v>
      </c>
      <c r="V909">
        <v>9.4523053561131991E-3</v>
      </c>
      <c r="W909">
        <v>7.3841494487791759E-2</v>
      </c>
      <c r="X909">
        <v>1.0677199182535693E-2</v>
      </c>
      <c r="Y909">
        <v>3.9445897684798103E-3</v>
      </c>
    </row>
    <row r="910" spans="1:25" x14ac:dyDescent="0.25">
      <c r="A910" s="1090"/>
      <c r="B910" s="1448">
        <v>660</v>
      </c>
      <c r="C910" s="1094">
        <v>0.99013204429480373</v>
      </c>
      <c r="D910" s="1094">
        <v>0.9795422161438172</v>
      </c>
      <c r="E910" s="1094">
        <v>0.95620187221336961</v>
      </c>
      <c r="F910" s="1094">
        <v>0.97230750818370559</v>
      </c>
      <c r="G910" s="1094">
        <v>0.95440036563853892</v>
      </c>
      <c r="H910" s="1094">
        <v>0.99189163369184064</v>
      </c>
      <c r="I910" s="1094">
        <v>0.96389226681634521</v>
      </c>
      <c r="K910">
        <v>4.3536754701298088</v>
      </c>
      <c r="L910">
        <v>0</v>
      </c>
      <c r="M910">
        <v>1.5752452012015373E-3</v>
      </c>
      <c r="N910">
        <v>0.11968963894486179</v>
      </c>
      <c r="O910">
        <v>3.8310063464700943E-2</v>
      </c>
      <c r="P910">
        <v>1.7991744304355836E-2</v>
      </c>
      <c r="Q910">
        <v>1.2779251997944254E-3</v>
      </c>
      <c r="R910">
        <v>1.5685462594729315E-3</v>
      </c>
      <c r="S910">
        <v>0.22180884885110858</v>
      </c>
      <c r="T910">
        <v>3.857817372433312</v>
      </c>
      <c r="U910">
        <v>0</v>
      </c>
      <c r="V910">
        <v>9.452305356113206E-3</v>
      </c>
      <c r="W910">
        <v>7.3468855304278477E-2</v>
      </c>
      <c r="X910">
        <v>9.4325837308925718E-3</v>
      </c>
      <c r="Y910">
        <v>4.4328314821123656E-3</v>
      </c>
    </row>
    <row r="911" spans="1:25" x14ac:dyDescent="0.25">
      <c r="A911" s="1090"/>
      <c r="B911" s="1448">
        <v>661</v>
      </c>
      <c r="C911" s="1094">
        <v>1.0194543439058259</v>
      </c>
      <c r="D911" s="1094">
        <v>1.0099655507299687</v>
      </c>
      <c r="E911" s="1094">
        <v>1.0133795417657678</v>
      </c>
      <c r="F911" s="1094">
        <v>0.99951440288259519</v>
      </c>
      <c r="G911" s="1094">
        <v>0.97397595528005376</v>
      </c>
      <c r="H911" s="1094">
        <v>0.99152135729544366</v>
      </c>
      <c r="I911" s="1094">
        <v>1.0357463047581363</v>
      </c>
      <c r="K911">
        <v>4.4766611021029723</v>
      </c>
      <c r="L911">
        <v>0</v>
      </c>
      <c r="M911">
        <v>1.3770981503284179E-3</v>
      </c>
      <c r="N911">
        <v>0.12398870478550596</v>
      </c>
      <c r="O911">
        <v>3.7401835096120516E-2</v>
      </c>
      <c r="P911">
        <v>1.9326154322840915E-2</v>
      </c>
      <c r="Q911">
        <v>1.288273287155803E-3</v>
      </c>
      <c r="R911">
        <v>1.3713984826552788E-3</v>
      </c>
      <c r="S911">
        <v>0.23359178833039038</v>
      </c>
      <c r="T911">
        <v>3.9635735326973265</v>
      </c>
      <c r="U911">
        <v>0</v>
      </c>
      <c r="V911">
        <v>9.4523053561131939E-3</v>
      </c>
      <c r="W911">
        <v>7.3193021960390819E-2</v>
      </c>
      <c r="X911">
        <v>1.0975509121493822E-2</v>
      </c>
      <c r="Y911">
        <v>3.8756768133049496E-3</v>
      </c>
    </row>
    <row r="912" spans="1:25" x14ac:dyDescent="0.25">
      <c r="A912" s="1090"/>
      <c r="B912" s="1448">
        <v>662</v>
      </c>
      <c r="C912" s="1094">
        <v>1.0225869262610658</v>
      </c>
      <c r="D912" s="1094">
        <v>1.0101000804597615</v>
      </c>
      <c r="E912" s="1094">
        <v>0.97577538738209191</v>
      </c>
      <c r="F912" s="1094">
        <v>0.9603380606642774</v>
      </c>
      <c r="G912" s="1094">
        <v>0.99362453072403201</v>
      </c>
      <c r="H912" s="1094">
        <v>0.97728176388357502</v>
      </c>
      <c r="I912" s="1094">
        <v>0.99690624759587676</v>
      </c>
      <c r="K912">
        <v>4.2871573321865784</v>
      </c>
      <c r="L912">
        <v>0</v>
      </c>
      <c r="M912">
        <v>1.4073366382323746E-3</v>
      </c>
      <c r="N912">
        <v>0.11331987354286603</v>
      </c>
      <c r="O912">
        <v>3.6065143844239901E-2</v>
      </c>
      <c r="P912">
        <v>1.8028441121662343E-2</v>
      </c>
      <c r="Q912">
        <v>1.2433893717650067E-3</v>
      </c>
      <c r="R912">
        <v>1.401186892963173E-3</v>
      </c>
      <c r="S912">
        <v>0.21718584917333747</v>
      </c>
      <c r="T912">
        <v>3.809598617933136</v>
      </c>
      <c r="U912">
        <v>0</v>
      </c>
      <c r="V912">
        <v>9.4523053561131973E-3</v>
      </c>
      <c r="W912">
        <v>6.8623466342683362E-2</v>
      </c>
      <c r="X912">
        <v>9.6865341109672511E-3</v>
      </c>
      <c r="Y912">
        <v>3.9598611350726001E-3</v>
      </c>
    </row>
    <row r="913" spans="1:25" x14ac:dyDescent="0.25">
      <c r="A913" s="1090"/>
      <c r="B913" s="1448">
        <v>663</v>
      </c>
      <c r="C913" s="1094">
        <v>0.98888895918417474</v>
      </c>
      <c r="D913" s="1094">
        <v>1.026845418999931</v>
      </c>
      <c r="E913" s="1094">
        <v>1.0004370329754326</v>
      </c>
      <c r="F913" s="1094">
        <v>1.0010560647370961</v>
      </c>
      <c r="G913" s="1094">
        <v>0.97999465260352581</v>
      </c>
      <c r="H913" s="1094">
        <v>0.98753990849665818</v>
      </c>
      <c r="I913" s="1094">
        <v>0.96115065583406212</v>
      </c>
      <c r="K913">
        <v>4.4754910907953018</v>
      </c>
      <c r="L913">
        <v>0</v>
      </c>
      <c r="M913">
        <v>1.4456882623018143E-3</v>
      </c>
      <c r="N913">
        <v>0.12526839182795424</v>
      </c>
      <c r="O913">
        <v>3.845126885874834E-2</v>
      </c>
      <c r="P913">
        <v>1.912046344105189E-2</v>
      </c>
      <c r="Q913">
        <v>1.3048262835195718E-3</v>
      </c>
      <c r="R913">
        <v>1.4396897975318204E-3</v>
      </c>
      <c r="S913">
        <v>0.22230160585428554</v>
      </c>
      <c r="T913">
        <v>3.9701787037394682</v>
      </c>
      <c r="U913">
        <v>0</v>
      </c>
      <c r="V913">
        <v>9.4523053561131904E-3</v>
      </c>
      <c r="W913">
        <v>7.4595102999843427E-2</v>
      </c>
      <c r="X913">
        <v>1.0755747616144326E-2</v>
      </c>
      <c r="Y913">
        <v>4.0686732829413015E-3</v>
      </c>
    </row>
    <row r="914" spans="1:25" x14ac:dyDescent="0.25">
      <c r="A914" s="1090"/>
      <c r="B914" s="1448">
        <v>664</v>
      </c>
      <c r="C914" s="1094">
        <v>0.97550206425843589</v>
      </c>
      <c r="D914" s="1094">
        <v>1.0441678027607784</v>
      </c>
      <c r="E914" s="1094">
        <v>0.9796384061187432</v>
      </c>
      <c r="F914" s="1094">
        <v>1.0264086631482379</v>
      </c>
      <c r="G914" s="1094">
        <v>1.000887087397883</v>
      </c>
      <c r="H914" s="1094">
        <v>0.98668191171104591</v>
      </c>
      <c r="I914" s="1094">
        <v>0.99707889134214223</v>
      </c>
      <c r="K914">
        <v>4.5965201256320771</v>
      </c>
      <c r="L914">
        <v>0</v>
      </c>
      <c r="M914">
        <v>1.5578336777736014E-3</v>
      </c>
      <c r="N914">
        <v>0.12692509689935946</v>
      </c>
      <c r="O914">
        <v>3.984701483160883E-2</v>
      </c>
      <c r="P914">
        <v>1.9341737320362463E-2</v>
      </c>
      <c r="Q914">
        <v>1.2905512519587943E-3</v>
      </c>
      <c r="R914">
        <v>1.5515234347716971E-3</v>
      </c>
      <c r="S914">
        <v>0.23656220227843391</v>
      </c>
      <c r="T914">
        <v>4.0715437662484968</v>
      </c>
      <c r="U914">
        <v>0</v>
      </c>
      <c r="V914">
        <v>9.4523053561131991E-3</v>
      </c>
      <c r="W914">
        <v>7.6658944824462019E-2</v>
      </c>
      <c r="X914">
        <v>1.0520093184405589E-2</v>
      </c>
      <c r="Y914">
        <v>4.3847236798754919E-3</v>
      </c>
    </row>
    <row r="915" spans="1:25" x14ac:dyDescent="0.25">
      <c r="A915" s="1090"/>
      <c r="B915" s="1448">
        <v>665</v>
      </c>
      <c r="C915" s="1094">
        <v>1.001912999409224</v>
      </c>
      <c r="D915" s="1094">
        <v>1.0114673845999471</v>
      </c>
      <c r="E915" s="1094">
        <v>0.98716437646395661</v>
      </c>
      <c r="F915" s="1094">
        <v>0.9610219719492511</v>
      </c>
      <c r="G915" s="1094">
        <v>1.0058986507429517</v>
      </c>
      <c r="H915" s="1094">
        <v>1.0150585256749824</v>
      </c>
      <c r="I915" s="1094">
        <v>0.99204326603254367</v>
      </c>
      <c r="K915">
        <v>4.3092015158913188</v>
      </c>
      <c r="L915">
        <v>0</v>
      </c>
      <c r="M915">
        <v>1.4568884658171066E-3</v>
      </c>
      <c r="N915">
        <v>0.1213618261250162</v>
      </c>
      <c r="O915">
        <v>3.6741182096444232E-2</v>
      </c>
      <c r="P915">
        <v>1.82226395760277E-2</v>
      </c>
      <c r="Q915">
        <v>1.2809488719751601E-3</v>
      </c>
      <c r="R915">
        <v>1.450763462986313E-3</v>
      </c>
      <c r="S915">
        <v>0.22331178125951584</v>
      </c>
      <c r="T915">
        <v>3.8118910826829677</v>
      </c>
      <c r="U915">
        <v>0</v>
      </c>
      <c r="V915">
        <v>9.4523053561131817E-3</v>
      </c>
      <c r="W915">
        <v>7.2922789585310455E-2</v>
      </c>
      <c r="X915">
        <v>9.92311703383017E-3</v>
      </c>
      <c r="Y915">
        <v>4.0999683069500616E-3</v>
      </c>
    </row>
    <row r="916" spans="1:25" x14ac:dyDescent="0.25">
      <c r="A916" s="1090"/>
      <c r="B916" s="1448">
        <v>666</v>
      </c>
      <c r="C916" s="1094">
        <v>0.99720766831812813</v>
      </c>
      <c r="D916" s="1094">
        <v>0.97738024276249802</v>
      </c>
      <c r="E916" s="1094">
        <v>1.0145480798466902</v>
      </c>
      <c r="F916" s="1094">
        <v>0.99773450313814971</v>
      </c>
      <c r="G916" s="1094">
        <v>1.0047196290856124</v>
      </c>
      <c r="H916" s="1094">
        <v>0.98835017442463791</v>
      </c>
      <c r="I916" s="1094">
        <v>0.96599856860623956</v>
      </c>
      <c r="K916">
        <v>4.468122003399718</v>
      </c>
      <c r="L916">
        <v>0</v>
      </c>
      <c r="M916">
        <v>1.4158300474443517E-3</v>
      </c>
      <c r="N916">
        <v>0.12791499672297096</v>
      </c>
      <c r="O916">
        <v>3.8664022874855423E-2</v>
      </c>
      <c r="P916">
        <v>1.9268085959000276E-2</v>
      </c>
      <c r="Q916">
        <v>1.3357293446036467E-3</v>
      </c>
      <c r="R916">
        <v>1.4099408260589952E-3</v>
      </c>
      <c r="S916">
        <v>0.22444998953892997</v>
      </c>
      <c r="T916">
        <v>3.9564712475797879</v>
      </c>
      <c r="U916">
        <v>0</v>
      </c>
      <c r="V916">
        <v>9.4523053561132026E-3</v>
      </c>
      <c r="W916">
        <v>7.5451738151930209E-2</v>
      </c>
      <c r="X916">
        <v>1.1135176674576511E-2</v>
      </c>
      <c r="Y916">
        <v>3.9846004183325696E-3</v>
      </c>
    </row>
    <row r="917" spans="1:25" x14ac:dyDescent="0.25">
      <c r="A917" s="1090"/>
      <c r="B917" s="1448">
        <v>667</v>
      </c>
      <c r="C917" s="1094">
        <v>1.0207182931074565</v>
      </c>
      <c r="D917" s="1094">
        <v>0.97930627091237066</v>
      </c>
      <c r="E917" s="1094">
        <v>0.95945192941379731</v>
      </c>
      <c r="F917" s="1094">
        <v>0.99724879015220147</v>
      </c>
      <c r="G917" s="1094">
        <v>0.96372414320639599</v>
      </c>
      <c r="H917" s="1094">
        <v>1.0015624468728865</v>
      </c>
      <c r="I917" s="1094">
        <v>1.0200191476614862</v>
      </c>
      <c r="K917">
        <v>4.4647956458311029</v>
      </c>
      <c r="L917">
        <v>0</v>
      </c>
      <c r="M917">
        <v>1.5717828592960868E-3</v>
      </c>
      <c r="N917">
        <v>0.12060348858913778</v>
      </c>
      <c r="O917">
        <v>3.8097209770602262E-2</v>
      </c>
      <c r="P917">
        <v>1.8519469852865407E-2</v>
      </c>
      <c r="Q917">
        <v>1.2433037013182347E-3</v>
      </c>
      <c r="R917">
        <v>1.5653280603711015E-3</v>
      </c>
      <c r="S917">
        <v>0.2323337890003481</v>
      </c>
      <c r="T917">
        <v>3.9566507585924784</v>
      </c>
      <c r="U917">
        <v>0</v>
      </c>
      <c r="V917">
        <v>9.4523053561131783E-3</v>
      </c>
      <c r="W917">
        <v>7.386262921410966E-2</v>
      </c>
      <c r="X917">
        <v>9.6154099473061746E-3</v>
      </c>
      <c r="Y917">
        <v>4.4237366057527146E-3</v>
      </c>
    </row>
    <row r="918" spans="1:25" x14ac:dyDescent="0.25">
      <c r="A918" s="1090"/>
      <c r="B918" s="1448">
        <v>668</v>
      </c>
      <c r="C918" s="1094">
        <v>1.0205502556281694</v>
      </c>
      <c r="D918" s="1094">
        <v>1.03026110711316</v>
      </c>
      <c r="E918" s="1094">
        <v>0.96755342812585043</v>
      </c>
      <c r="F918" s="1094">
        <v>0.96474651520554289</v>
      </c>
      <c r="G918" s="1094">
        <v>0.99459255724573847</v>
      </c>
      <c r="H918" s="1094">
        <v>1.042061007892765</v>
      </c>
      <c r="I918" s="1094">
        <v>0.99008227950961381</v>
      </c>
      <c r="K918">
        <v>4.3185887352134884</v>
      </c>
      <c r="L918">
        <v>0</v>
      </c>
      <c r="M918">
        <v>1.5246522480620644E-3</v>
      </c>
      <c r="N918">
        <v>0.1198403957008965</v>
      </c>
      <c r="O918">
        <v>3.6069632673003296E-2</v>
      </c>
      <c r="P918">
        <v>1.8007072302955899E-2</v>
      </c>
      <c r="Q918">
        <v>1.2272237289254295E-3</v>
      </c>
      <c r="R918">
        <v>1.5184324543843408E-3</v>
      </c>
      <c r="S918">
        <v>0.22003106351737051</v>
      </c>
      <c r="T918">
        <v>3.8273929028619311</v>
      </c>
      <c r="U918">
        <v>0</v>
      </c>
      <c r="V918">
        <v>9.4523053561131973E-3</v>
      </c>
      <c r="W918">
        <v>7.2984427195031981E-2</v>
      </c>
      <c r="X918">
        <v>9.2987256280087933E-3</v>
      </c>
      <c r="Y918">
        <v>4.2912060429239817E-3</v>
      </c>
    </row>
    <row r="919" spans="1:25" x14ac:dyDescent="0.25">
      <c r="A919" s="1090"/>
      <c r="B919" s="1448">
        <v>669</v>
      </c>
      <c r="C919" s="1094">
        <v>0.99525093995122449</v>
      </c>
      <c r="D919" s="1094">
        <v>1.0060542357821924</v>
      </c>
      <c r="E919" s="1094">
        <v>0.98753632622175036</v>
      </c>
      <c r="F919" s="1094">
        <v>0.99729282099232197</v>
      </c>
      <c r="G919" s="1094">
        <v>0.98448771749816089</v>
      </c>
      <c r="H919" s="1094">
        <v>0.99725713916246672</v>
      </c>
      <c r="I919" s="1094">
        <v>1.0112572821052856</v>
      </c>
      <c r="K919">
        <v>4.4723129016710281</v>
      </c>
      <c r="L919">
        <v>0</v>
      </c>
      <c r="M919">
        <v>1.4971125133720078E-3</v>
      </c>
      <c r="N919">
        <v>0.12486024322192484</v>
      </c>
      <c r="O919">
        <v>3.8463016946283922E-2</v>
      </c>
      <c r="P919">
        <v>1.8924110354151456E-2</v>
      </c>
      <c r="Q919">
        <v>1.2927095813892826E-3</v>
      </c>
      <c r="R919">
        <v>1.4909380901778912E-3</v>
      </c>
      <c r="S919">
        <v>0.2339770030051585</v>
      </c>
      <c r="T919">
        <v>3.9557450953431492</v>
      </c>
      <c r="U919">
        <v>0</v>
      </c>
      <c r="V919">
        <v>9.4523053561131973E-3</v>
      </c>
      <c r="W919">
        <v>7.5005865586628639E-2</v>
      </c>
      <c r="X919">
        <v>1.0385221828839119E-2</v>
      </c>
      <c r="Y919">
        <v>4.2135048705811496E-3</v>
      </c>
    </row>
    <row r="920" spans="1:25" x14ac:dyDescent="0.25">
      <c r="A920" s="1090"/>
      <c r="B920" s="1448">
        <v>670</v>
      </c>
      <c r="C920" s="1094">
        <v>0.97942127440845106</v>
      </c>
      <c r="D920" s="1094">
        <v>1.0314845954308067</v>
      </c>
      <c r="E920" s="1094">
        <v>1.0249317101748623</v>
      </c>
      <c r="F920" s="1094">
        <v>1.0073308847407403</v>
      </c>
      <c r="G920" s="1094">
        <v>1.0002552832081752</v>
      </c>
      <c r="H920" s="1094">
        <v>1.0098144570800189</v>
      </c>
      <c r="I920" s="1094">
        <v>0.9982738341077354</v>
      </c>
      <c r="K920">
        <v>4.5247159991194881</v>
      </c>
      <c r="L920">
        <v>0</v>
      </c>
      <c r="M920">
        <v>1.4236819324658495E-3</v>
      </c>
      <c r="N920">
        <v>0.13265415074413398</v>
      </c>
      <c r="O920">
        <v>3.8824769835420783E-2</v>
      </c>
      <c r="P920">
        <v>1.9640878064117597E-2</v>
      </c>
      <c r="Q920">
        <v>1.3427388565546417E-3</v>
      </c>
      <c r="R920">
        <v>1.4179409153843483E-3</v>
      </c>
      <c r="S920">
        <v>0.2355098620277398</v>
      </c>
      <c r="T920">
        <v>3.9941308082141709</v>
      </c>
      <c r="U920">
        <v>0</v>
      </c>
      <c r="V920">
        <v>9.4523053561131887E-3</v>
      </c>
      <c r="W920">
        <v>7.7707185647548818E-2</v>
      </c>
      <c r="X920">
        <v>1.1451832109225488E-2</v>
      </c>
      <c r="Y920">
        <v>4.0072092815439438E-3</v>
      </c>
    </row>
    <row r="921" spans="1:25" x14ac:dyDescent="0.25">
      <c r="A921" s="1090"/>
      <c r="B921" s="1448">
        <v>671</v>
      </c>
      <c r="C921" s="1094">
        <v>1.0181283431242489</v>
      </c>
      <c r="D921" s="1094">
        <v>0.99827145249425175</v>
      </c>
      <c r="E921" s="1094">
        <v>1.0134249621721274</v>
      </c>
      <c r="F921" s="1094">
        <v>1.0392633071660875</v>
      </c>
      <c r="G921" s="1094">
        <v>0.99519232733305396</v>
      </c>
      <c r="H921" s="1094">
        <v>0.99182384038497995</v>
      </c>
      <c r="I921" s="1094">
        <v>1.0261585148311325</v>
      </c>
      <c r="K921">
        <v>4.6517333457907775</v>
      </c>
      <c r="L921">
        <v>0</v>
      </c>
      <c r="M921">
        <v>1.4404975381176446E-3</v>
      </c>
      <c r="N921">
        <v>0.12973508006419748</v>
      </c>
      <c r="O921">
        <v>3.9121394015570951E-2</v>
      </c>
      <c r="P921">
        <v>2.0074958911976644E-2</v>
      </c>
      <c r="Q921">
        <v>1.2960244073018138E-3</v>
      </c>
      <c r="R921">
        <v>1.4347643482567464E-3</v>
      </c>
      <c r="S921">
        <v>0.23881172788910382</v>
      </c>
      <c r="T921">
        <v>4.1211959937999687</v>
      </c>
      <c r="U921">
        <v>0</v>
      </c>
      <c r="V921">
        <v>9.4523053561131817E-3</v>
      </c>
      <c r="W921">
        <v>7.6582892899413849E-2</v>
      </c>
      <c r="X921">
        <v>1.1413948049744656E-2</v>
      </c>
      <c r="Y921">
        <v>4.0547535872496798E-3</v>
      </c>
    </row>
    <row r="922" spans="1:25" x14ac:dyDescent="0.25">
      <c r="A922" s="1090"/>
      <c r="B922" s="1448">
        <v>672</v>
      </c>
      <c r="C922" s="1094">
        <v>1.0096528541057839</v>
      </c>
      <c r="D922" s="1094">
        <v>0.97637686453712835</v>
      </c>
      <c r="E922" s="1094">
        <v>1.0022755514531652</v>
      </c>
      <c r="F922" s="1094">
        <v>1.0193435834296256</v>
      </c>
      <c r="G922" s="1094">
        <v>1.0317890939370677</v>
      </c>
      <c r="H922" s="1094">
        <v>1.0209552134356694</v>
      </c>
      <c r="I922" s="1094">
        <v>0.99515829628822094</v>
      </c>
      <c r="K922">
        <v>4.5720032048853554</v>
      </c>
      <c r="L922">
        <v>0</v>
      </c>
      <c r="M922">
        <v>1.514975436960602E-3</v>
      </c>
      <c r="N922">
        <v>0.13201658431380181</v>
      </c>
      <c r="O922">
        <v>3.9116545020279725E-2</v>
      </c>
      <c r="P922">
        <v>1.9531353876718522E-2</v>
      </c>
      <c r="Q922">
        <v>1.3060713306148307E-3</v>
      </c>
      <c r="R922">
        <v>1.509003863935237E-3</v>
      </c>
      <c r="S922">
        <v>0.234272274704661</v>
      </c>
      <c r="T922">
        <v>4.0426355073512168</v>
      </c>
      <c r="U922">
        <v>0</v>
      </c>
      <c r="V922">
        <v>9.4523053561132026E-3</v>
      </c>
      <c r="W922">
        <v>7.8515996442255181E-2</v>
      </c>
      <c r="X922">
        <v>1.089797793623499E-2</v>
      </c>
      <c r="Y922">
        <v>4.2645601264759882E-3</v>
      </c>
    </row>
    <row r="923" spans="1:25" x14ac:dyDescent="0.25">
      <c r="A923" s="1090"/>
      <c r="B923" s="1448">
        <v>673</v>
      </c>
      <c r="C923" s="1094">
        <v>0.99462944580564672</v>
      </c>
      <c r="D923" s="1094">
        <v>0.99256736341965113</v>
      </c>
      <c r="E923" s="1094">
        <v>1.0327757606151113</v>
      </c>
      <c r="F923" s="1094">
        <v>1.0415325770568955</v>
      </c>
      <c r="G923" s="1094">
        <v>0.9893945429126505</v>
      </c>
      <c r="H923" s="1094">
        <v>0.98757089972186363</v>
      </c>
      <c r="I923" s="1094">
        <v>1.0022049277236846</v>
      </c>
      <c r="K923">
        <v>4.6696570445972707</v>
      </c>
      <c r="L923">
        <v>0</v>
      </c>
      <c r="M923">
        <v>1.4156831818562931E-3</v>
      </c>
      <c r="N923">
        <v>0.13500981180210553</v>
      </c>
      <c r="O923">
        <v>4.0085194948808196E-2</v>
      </c>
      <c r="P923">
        <v>2.0400660637330779E-2</v>
      </c>
      <c r="Q923">
        <v>1.3515979022942735E-3</v>
      </c>
      <c r="R923">
        <v>1.4100367693056415E-3</v>
      </c>
      <c r="S923">
        <v>0.23917284694977181</v>
      </c>
      <c r="T923">
        <v>4.1294359807235566</v>
      </c>
      <c r="U923">
        <v>0</v>
      </c>
      <c r="V923">
        <v>9.4523053561131991E-3</v>
      </c>
      <c r="W923">
        <v>7.8676981768578458E-2</v>
      </c>
      <c r="X923">
        <v>1.20924393599859E-2</v>
      </c>
      <c r="Y923">
        <v>3.9848715612725112E-3</v>
      </c>
    </row>
    <row r="924" spans="1:25" x14ac:dyDescent="0.25">
      <c r="A924" s="1090"/>
      <c r="B924" s="1448">
        <v>674</v>
      </c>
      <c r="C924" s="1094">
        <v>1.0228050207169437</v>
      </c>
      <c r="D924" s="1094">
        <v>1.0189458327729133</v>
      </c>
      <c r="E924" s="1094">
        <v>1.0116300187927447</v>
      </c>
      <c r="F924" s="1094">
        <v>0.9964131584359639</v>
      </c>
      <c r="G924" s="1094">
        <v>1.0376796664217074</v>
      </c>
      <c r="H924" s="1094">
        <v>0.99317860110429435</v>
      </c>
      <c r="I924" s="1094">
        <v>0.97958918849498522</v>
      </c>
      <c r="K924">
        <v>4.4476210392430255</v>
      </c>
      <c r="L924">
        <v>0</v>
      </c>
      <c r="M924">
        <v>1.3708388690757902E-3</v>
      </c>
      <c r="N924">
        <v>0.12278685189303994</v>
      </c>
      <c r="O924">
        <v>3.7043914435073148E-2</v>
      </c>
      <c r="P924">
        <v>1.9179432667597199E-2</v>
      </c>
      <c r="Q924">
        <v>1.2776123216409168E-3</v>
      </c>
      <c r="R924">
        <v>1.36515701828916E-3</v>
      </c>
      <c r="S924">
        <v>0.21927468565836447</v>
      </c>
      <c r="T924">
        <v>3.951341527872108</v>
      </c>
      <c r="U924">
        <v>0</v>
      </c>
      <c r="V924">
        <v>9.4523053561131887E-3</v>
      </c>
      <c r="W924">
        <v>7.2568579614653392E-2</v>
      </c>
      <c r="X924">
        <v>1.0843773316724528E-2</v>
      </c>
      <c r="Y924">
        <v>3.8580379584930344E-3</v>
      </c>
    </row>
    <row r="925" spans="1:25" x14ac:dyDescent="0.25">
      <c r="A925" s="1090"/>
      <c r="B925" s="1448">
        <v>675</v>
      </c>
      <c r="C925" s="1094">
        <v>1.0197878849129021</v>
      </c>
      <c r="D925" s="1094">
        <v>0.99354596756475633</v>
      </c>
      <c r="E925" s="1094">
        <v>0.98791730374947584</v>
      </c>
      <c r="F925" s="1094">
        <v>0.98010174174961839</v>
      </c>
      <c r="G925" s="1094">
        <v>1.0101969592558757</v>
      </c>
      <c r="H925" s="1094">
        <v>1.0190204382669534</v>
      </c>
      <c r="I925" s="1094">
        <v>1.0035360786843768</v>
      </c>
      <c r="K925">
        <v>4.3914843813517672</v>
      </c>
      <c r="L925">
        <v>0</v>
      </c>
      <c r="M925">
        <v>1.4735277708556823E-3</v>
      </c>
      <c r="N925">
        <v>0.12303436062723837</v>
      </c>
      <c r="O925">
        <v>3.7073062806730922E-2</v>
      </c>
      <c r="P925">
        <v>1.8588015841797031E-2</v>
      </c>
      <c r="Q925">
        <v>1.2683525954144583E-3</v>
      </c>
      <c r="R925">
        <v>1.4674765258189516E-3</v>
      </c>
      <c r="S925">
        <v>0.22641801014286786</v>
      </c>
      <c r="T925">
        <v>3.8875426659626888</v>
      </c>
      <c r="U925">
        <v>0</v>
      </c>
      <c r="V925">
        <v>9.4523053561131973E-3</v>
      </c>
      <c r="W925">
        <v>7.3889836075078319E-2</v>
      </c>
      <c r="X925">
        <v>1.0076622490375319E-2</v>
      </c>
      <c r="Y925">
        <v>4.1472006984970824E-3</v>
      </c>
    </row>
    <row r="926" spans="1:25" x14ac:dyDescent="0.25">
      <c r="A926" s="1090"/>
      <c r="B926" s="1448">
        <v>676</v>
      </c>
      <c r="C926" s="1094">
        <v>1.0036441147828186</v>
      </c>
      <c r="D926" s="1094">
        <v>0.99174072048062711</v>
      </c>
      <c r="E926" s="1094">
        <v>1.0097240851280291</v>
      </c>
      <c r="F926" s="1094">
        <v>1.0240796817360083</v>
      </c>
      <c r="G926" s="1094">
        <v>0.97783720040605016</v>
      </c>
      <c r="H926" s="1094">
        <v>0.96623233425316912</v>
      </c>
      <c r="I926" s="1094">
        <v>0.99432389894887752</v>
      </c>
      <c r="K926">
        <v>4.5779812349388518</v>
      </c>
      <c r="L926">
        <v>0</v>
      </c>
      <c r="M926">
        <v>1.4175778655921504E-3</v>
      </c>
      <c r="N926">
        <v>0.12625871017643434</v>
      </c>
      <c r="O926">
        <v>3.9235032582206689E-2</v>
      </c>
      <c r="P926">
        <v>1.9708691428840422E-2</v>
      </c>
      <c r="Q926">
        <v>1.3140405992225126E-3</v>
      </c>
      <c r="R926">
        <v>1.4117009408314875E-3</v>
      </c>
      <c r="S926">
        <v>0.23088363232514716</v>
      </c>
      <c r="T926">
        <v>4.0611288732792081</v>
      </c>
      <c r="U926">
        <v>0</v>
      </c>
      <c r="V926">
        <v>9.4523053561131869E-3</v>
      </c>
      <c r="W926">
        <v>7.4715983797863886E-2</v>
      </c>
      <c r="X926">
        <v>1.1300267681517583E-2</v>
      </c>
      <c r="Y926">
        <v>3.9895746370580375E-3</v>
      </c>
    </row>
    <row r="927" spans="1:25" x14ac:dyDescent="0.25">
      <c r="A927" s="1090"/>
      <c r="B927" s="1448">
        <v>677</v>
      </c>
      <c r="C927" s="1094">
        <v>0.99076727944904674</v>
      </c>
      <c r="D927" s="1094">
        <v>0.99161098416318028</v>
      </c>
      <c r="E927" s="1094">
        <v>1.0352804177273778</v>
      </c>
      <c r="F927" s="1094">
        <v>1.0106909299700424</v>
      </c>
      <c r="G927" s="1094">
        <v>1.0150742814436071</v>
      </c>
      <c r="H927" s="1094">
        <v>0.99840873539688091</v>
      </c>
      <c r="I927" s="1094">
        <v>0.97470983192762639</v>
      </c>
      <c r="K927">
        <v>4.5329907857963105</v>
      </c>
      <c r="L927">
        <v>0</v>
      </c>
      <c r="M927">
        <v>1.3875813300750291E-3</v>
      </c>
      <c r="N927">
        <v>0.13330277455460834</v>
      </c>
      <c r="O927">
        <v>3.9047207003324383E-2</v>
      </c>
      <c r="P927">
        <v>1.9822081879658938E-2</v>
      </c>
      <c r="Q927">
        <v>1.3602444857594711E-3</v>
      </c>
      <c r="R927">
        <v>1.3819407056221633E-3</v>
      </c>
      <c r="S927">
        <v>0.22968537424123961</v>
      </c>
      <c r="T927">
        <v>4.00706118998525</v>
      </c>
      <c r="U927">
        <v>0</v>
      </c>
      <c r="V927">
        <v>9.4523053561131991E-3</v>
      </c>
      <c r="W927">
        <v>7.7553797575497907E-2</v>
      </c>
      <c r="X927">
        <v>1.1805981399037675E-2</v>
      </c>
      <c r="Y927">
        <v>3.9054699402700124E-3</v>
      </c>
    </row>
    <row r="928" spans="1:25" x14ac:dyDescent="0.25">
      <c r="A928" s="1090"/>
      <c r="B928" s="1448">
        <v>678</v>
      </c>
      <c r="C928" s="1094">
        <v>0.9735173265356114</v>
      </c>
      <c r="D928" s="1094">
        <v>1.0159713909913575</v>
      </c>
      <c r="E928" s="1094">
        <v>0.9714028811534261</v>
      </c>
      <c r="F928" s="1094">
        <v>1.0269664955533502</v>
      </c>
      <c r="G928" s="1094">
        <v>1.0268793555781237</v>
      </c>
      <c r="H928" s="1094">
        <v>0.97667827648704497</v>
      </c>
      <c r="I928" s="1094">
        <v>1.0056128969733373</v>
      </c>
      <c r="K928">
        <v>4.6029330220075906</v>
      </c>
      <c r="L928">
        <v>0</v>
      </c>
      <c r="M928">
        <v>1.5902803083387249E-3</v>
      </c>
      <c r="N928">
        <v>0.12643469280085884</v>
      </c>
      <c r="O928">
        <v>4.0448835219841509E-2</v>
      </c>
      <c r="P928">
        <v>1.9248686651137676E-2</v>
      </c>
      <c r="Q928">
        <v>1.2980808775060557E-3</v>
      </c>
      <c r="R928">
        <v>1.5837761771567715E-3</v>
      </c>
      <c r="S928">
        <v>0.24029793976405797</v>
      </c>
      <c r="T928">
        <v>4.0740824856040101</v>
      </c>
      <c r="U928">
        <v>0</v>
      </c>
      <c r="V928">
        <v>9.4523053561131852E-3</v>
      </c>
      <c r="W928">
        <v>7.6796171153392781E-2</v>
      </c>
      <c r="X928">
        <v>1.0404456319619285E-2</v>
      </c>
      <c r="Y928">
        <v>4.4758723922361078E-3</v>
      </c>
    </row>
    <row r="929" spans="1:25" x14ac:dyDescent="0.25">
      <c r="A929" s="1090"/>
      <c r="B929" s="1448">
        <v>679</v>
      </c>
      <c r="C929" s="1094">
        <v>1.0277787546097947</v>
      </c>
      <c r="D929" s="1094">
        <v>1.014942569971174</v>
      </c>
      <c r="E929" s="1094">
        <v>1.0316896353587295</v>
      </c>
      <c r="F929" s="1094">
        <v>0.98109201850725714</v>
      </c>
      <c r="G929" s="1094">
        <v>0.97625855508790504</v>
      </c>
      <c r="H929" s="1094">
        <v>1.0146652504494886</v>
      </c>
      <c r="I929" s="1094">
        <v>0.97671120055145533</v>
      </c>
      <c r="K929">
        <v>4.3861327263250631</v>
      </c>
      <c r="L929">
        <v>0</v>
      </c>
      <c r="M929">
        <v>1.3174985098873937E-3</v>
      </c>
      <c r="N929">
        <v>0.12522691741770989</v>
      </c>
      <c r="O929">
        <v>3.6223899664073196E-2</v>
      </c>
      <c r="P929">
        <v>1.9166156797871908E-2</v>
      </c>
      <c r="Q929">
        <v>1.295210971538168E-3</v>
      </c>
      <c r="R929">
        <v>1.3120702590607898E-3</v>
      </c>
      <c r="S929">
        <v>0.21707369891661027</v>
      </c>
      <c r="T929">
        <v>3.889843069175039</v>
      </c>
      <c r="U929">
        <v>0</v>
      </c>
      <c r="V929">
        <v>9.4523053561131765E-3</v>
      </c>
      <c r="W929">
        <v>7.3028434163048064E-2</v>
      </c>
      <c r="X929">
        <v>1.1120451389956921E-2</v>
      </c>
      <c r="Y929">
        <v>3.708010723931324E-3</v>
      </c>
    </row>
    <row r="930" spans="1:25" x14ac:dyDescent="0.25">
      <c r="A930" s="1090"/>
      <c r="B930" s="1448">
        <v>680</v>
      </c>
      <c r="C930" s="1094">
        <v>0.99477372561715594</v>
      </c>
      <c r="D930" s="1094">
        <v>1.0471987478371962</v>
      </c>
      <c r="E930" s="1094">
        <v>1.0019126637445233</v>
      </c>
      <c r="F930" s="1094">
        <v>1.0052466852032826</v>
      </c>
      <c r="G930" s="1094">
        <v>1.0027042759736469</v>
      </c>
      <c r="H930" s="1094">
        <v>1.0240655946374584</v>
      </c>
      <c r="I930" s="1094">
        <v>0.96296123646492593</v>
      </c>
      <c r="K930">
        <v>4.4984853965050604</v>
      </c>
      <c r="L930">
        <v>0</v>
      </c>
      <c r="M930">
        <v>1.4801930491969251E-3</v>
      </c>
      <c r="N930">
        <v>0.12884146667264132</v>
      </c>
      <c r="O930">
        <v>3.807359347494664E-2</v>
      </c>
      <c r="P930">
        <v>1.9221885170300542E-2</v>
      </c>
      <c r="Q930">
        <v>1.2885910948632698E-3</v>
      </c>
      <c r="R930">
        <v>1.4742950614250842E-3</v>
      </c>
      <c r="S930">
        <v>0.22338886486196194</v>
      </c>
      <c r="T930">
        <v>3.9867422085003406</v>
      </c>
      <c r="U930">
        <v>0</v>
      </c>
      <c r="V930">
        <v>9.4523053561131939E-3</v>
      </c>
      <c r="W930">
        <v>7.66463858826789E-2</v>
      </c>
      <c r="X930">
        <v>1.0669523078292911E-2</v>
      </c>
      <c r="Y930">
        <v>4.1664704006905808E-3</v>
      </c>
    </row>
    <row r="931" spans="1:25" x14ac:dyDescent="0.25">
      <c r="A931" s="1090"/>
      <c r="B931" s="1448">
        <v>681</v>
      </c>
      <c r="C931" s="1094">
        <v>0.98969600215085118</v>
      </c>
      <c r="D931" s="1094">
        <v>1.0260661493540109</v>
      </c>
      <c r="E931" s="1094">
        <v>1.0247288731637487</v>
      </c>
      <c r="F931" s="1094">
        <v>1.0188731606671353</v>
      </c>
      <c r="G931" s="1094">
        <v>0.98935161401350968</v>
      </c>
      <c r="H931" s="1094">
        <v>0.959356649672232</v>
      </c>
      <c r="I931" s="1094">
        <v>0.98827696388910846</v>
      </c>
      <c r="K931">
        <v>4.5543657763133929</v>
      </c>
      <c r="L931">
        <v>0</v>
      </c>
      <c r="M931">
        <v>1.3572139171047592E-3</v>
      </c>
      <c r="N931">
        <v>0.126364195604381</v>
      </c>
      <c r="O931">
        <v>3.8945332459919629E-2</v>
      </c>
      <c r="P931">
        <v>1.9820090665815582E-2</v>
      </c>
      <c r="Q931">
        <v>1.3313735125038428E-3</v>
      </c>
      <c r="R931">
        <v>1.3515180778303911E-3</v>
      </c>
      <c r="S931">
        <v>0.22904900998140473</v>
      </c>
      <c r="T931">
        <v>4.0399044379329601</v>
      </c>
      <c r="U931">
        <v>0</v>
      </c>
      <c r="V931">
        <v>9.4523053561131869E-3</v>
      </c>
      <c r="W931">
        <v>7.4032586133517125E-2</v>
      </c>
      <c r="X931">
        <v>1.1652647234580043E-2</v>
      </c>
      <c r="Y931">
        <v>3.8194932714727087E-3</v>
      </c>
    </row>
    <row r="932" spans="1:25" x14ac:dyDescent="0.25">
      <c r="A932" s="1090"/>
      <c r="B932" s="1448">
        <v>682</v>
      </c>
      <c r="C932" s="1094">
        <v>1.0032739486529816</v>
      </c>
      <c r="D932" s="1094">
        <v>0.99323298359920764</v>
      </c>
      <c r="E932" s="1094">
        <v>0.97238645567405724</v>
      </c>
      <c r="F932" s="1094">
        <v>1.0058362211395651</v>
      </c>
      <c r="G932" s="1094">
        <v>0.989648074257926</v>
      </c>
      <c r="H932" s="1094">
        <v>1.0108032921897321</v>
      </c>
      <c r="I932" s="1094">
        <v>0.98750521797170332</v>
      </c>
      <c r="K932">
        <v>4.5047479496320006</v>
      </c>
      <c r="L932">
        <v>0</v>
      </c>
      <c r="M932">
        <v>1.5752770292045812E-3</v>
      </c>
      <c r="N932">
        <v>0.12561513680987188</v>
      </c>
      <c r="O932">
        <v>3.8784451832928515E-2</v>
      </c>
      <c r="P932">
        <v>1.8843087766368314E-2</v>
      </c>
      <c r="Q932">
        <v>1.2721278353655773E-3</v>
      </c>
      <c r="R932">
        <v>1.5689215252598357E-3</v>
      </c>
      <c r="S932">
        <v>0.22987158633913019</v>
      </c>
      <c r="T932">
        <v>3.9902183078257476</v>
      </c>
      <c r="U932">
        <v>0</v>
      </c>
      <c r="V932">
        <v>9.4523053561131991E-3</v>
      </c>
      <c r="W932">
        <v>7.6246690995634817E-2</v>
      </c>
      <c r="X932">
        <v>1.001671836290245E-2</v>
      </c>
      <c r="Y932">
        <v>4.4338920118763437E-3</v>
      </c>
    </row>
    <row r="933" spans="1:25" x14ac:dyDescent="0.25">
      <c r="A933" s="1090"/>
      <c r="B933" s="1448">
        <v>683</v>
      </c>
      <c r="C933" s="1094">
        <v>0.99529382893543927</v>
      </c>
      <c r="D933" s="1094">
        <v>1.005823285157722</v>
      </c>
      <c r="E933" s="1094">
        <v>0.99693715720288278</v>
      </c>
      <c r="F933" s="1094">
        <v>0.97079243644780644</v>
      </c>
      <c r="G933" s="1094">
        <v>1.0273265344344775</v>
      </c>
      <c r="H933" s="1094">
        <v>1.010348783464327</v>
      </c>
      <c r="I933" s="1094">
        <v>0.99995140421657425</v>
      </c>
      <c r="K933">
        <v>4.3577907410025709</v>
      </c>
      <c r="L933">
        <v>0</v>
      </c>
      <c r="M933">
        <v>1.4477869707616047E-3</v>
      </c>
      <c r="N933">
        <v>0.12415190413006492</v>
      </c>
      <c r="O933">
        <v>3.7380056307564316E-2</v>
      </c>
      <c r="P933">
        <v>1.8553123329935348E-2</v>
      </c>
      <c r="Q933">
        <v>1.3032823394424767E-3</v>
      </c>
      <c r="R933">
        <v>1.4417331438541878E-3</v>
      </c>
      <c r="S933">
        <v>0.22817761310976803</v>
      </c>
      <c r="T933">
        <v>3.8502829142607085</v>
      </c>
      <c r="U933">
        <v>0</v>
      </c>
      <c r="V933">
        <v>9.4523053561131973E-3</v>
      </c>
      <c r="W933">
        <v>7.4105497944745302E-2</v>
      </c>
      <c r="X933">
        <v>1.0315650115483851E-2</v>
      </c>
      <c r="Y933">
        <v>4.0744479356504245E-3</v>
      </c>
    </row>
    <row r="934" spans="1:25" x14ac:dyDescent="0.25">
      <c r="A934" s="1090"/>
      <c r="B934" s="1448">
        <v>684</v>
      </c>
      <c r="C934" s="1094">
        <v>1.0001617155466012</v>
      </c>
      <c r="D934" s="1094">
        <v>0.98579488094390266</v>
      </c>
      <c r="E934" s="1094">
        <v>0.9980312525493823</v>
      </c>
      <c r="F934" s="1094">
        <v>1.0082293764250634</v>
      </c>
      <c r="G934" s="1094">
        <v>0.98284566403286078</v>
      </c>
      <c r="H934" s="1094">
        <v>0.9958050597965481</v>
      </c>
      <c r="I934" s="1094">
        <v>0.98970034519475947</v>
      </c>
      <c r="K934">
        <v>4.5171800648025648</v>
      </c>
      <c r="L934">
        <v>0</v>
      </c>
      <c r="M934">
        <v>1.4830212436204467E-3</v>
      </c>
      <c r="N934">
        <v>0.12759863313154474</v>
      </c>
      <c r="O934">
        <v>3.8937058663578619E-2</v>
      </c>
      <c r="P934">
        <v>1.925471495571035E-2</v>
      </c>
      <c r="Q934">
        <v>1.3086440200782837E-3</v>
      </c>
      <c r="R934">
        <v>1.476962188945612E-3</v>
      </c>
      <c r="S934">
        <v>0.23086081279611995</v>
      </c>
      <c r="T934">
        <v>3.9987203914490324</v>
      </c>
      <c r="U934">
        <v>0</v>
      </c>
      <c r="V934">
        <v>9.4523053561131939E-3</v>
      </c>
      <c r="W934">
        <v>7.6106433451051281E-2</v>
      </c>
      <c r="X934">
        <v>1.0773122127320676E-2</v>
      </c>
      <c r="Y934">
        <v>4.174007906689146E-3</v>
      </c>
    </row>
    <row r="935" spans="1:25" x14ac:dyDescent="0.25">
      <c r="A935" s="1090"/>
      <c r="B935" s="1448">
        <v>685</v>
      </c>
      <c r="C935" s="1094">
        <v>0.96535514024908986</v>
      </c>
      <c r="D935" s="1094">
        <v>0.98098227328887566</v>
      </c>
      <c r="E935" s="1094">
        <v>1.0265594661931245</v>
      </c>
      <c r="F935" s="1094">
        <v>0.98660765285359719</v>
      </c>
      <c r="G935" s="1094">
        <v>0.99145664338516126</v>
      </c>
      <c r="H935" s="1094">
        <v>0.99416060068357504</v>
      </c>
      <c r="I935" s="1094">
        <v>1.0041071345688894</v>
      </c>
      <c r="K935">
        <v>4.4464075710688231</v>
      </c>
      <c r="L935">
        <v>0</v>
      </c>
      <c r="M935">
        <v>1.416269484656049E-3</v>
      </c>
      <c r="N935">
        <v>0.13258039939271379</v>
      </c>
      <c r="O935">
        <v>3.9351092199467828E-2</v>
      </c>
      <c r="P935">
        <v>1.9300709575550801E-2</v>
      </c>
      <c r="Q935">
        <v>1.3918442815973315E-3</v>
      </c>
      <c r="R935">
        <v>1.4103470902699974E-3</v>
      </c>
      <c r="S935">
        <v>0.23938397978356543</v>
      </c>
      <c r="T935">
        <v>3.9119014970431878</v>
      </c>
      <c r="U935">
        <v>0</v>
      </c>
      <c r="V935">
        <v>9.4523053561131852E-3</v>
      </c>
      <c r="W935">
        <v>7.7580060573174042E-2</v>
      </c>
      <c r="X935">
        <v>1.1485856705828437E-2</v>
      </c>
      <c r="Y935">
        <v>3.9857485520096644E-3</v>
      </c>
    </row>
    <row r="936" spans="1:25" x14ac:dyDescent="0.25">
      <c r="A936" s="1090"/>
      <c r="B936" s="1448">
        <v>686</v>
      </c>
      <c r="C936" s="1094">
        <v>0.98650167147855927</v>
      </c>
      <c r="D936" s="1094">
        <v>0.96646631640322433</v>
      </c>
      <c r="E936" s="1094">
        <v>0.99956580589975075</v>
      </c>
      <c r="F936" s="1094">
        <v>0.96025576040450988</v>
      </c>
      <c r="G936" s="1094">
        <v>0.96487675613532109</v>
      </c>
      <c r="H936" s="1094">
        <v>1.0308452804655286</v>
      </c>
      <c r="I936" s="1094">
        <v>0.96536941735978998</v>
      </c>
      <c r="K936">
        <v>4.3202853152866556</v>
      </c>
      <c r="L936">
        <v>0</v>
      </c>
      <c r="M936">
        <v>1.4896748017907717E-3</v>
      </c>
      <c r="N936">
        <v>0.12874782531378259</v>
      </c>
      <c r="O936">
        <v>3.7886449475337126E-2</v>
      </c>
      <c r="P936">
        <v>1.8384051406995654E-2</v>
      </c>
      <c r="Q936">
        <v>1.3390767331062916E-3</v>
      </c>
      <c r="R936">
        <v>1.4835029715239065E-3</v>
      </c>
      <c r="S936">
        <v>0.22487155865127667</v>
      </c>
      <c r="T936">
        <v>3.8083969484694973</v>
      </c>
      <c r="U936">
        <v>0</v>
      </c>
      <c r="V936">
        <v>9.452305356113206E-3</v>
      </c>
      <c r="W936">
        <v>7.6712201726660961E-2</v>
      </c>
      <c r="X936">
        <v>1.0308577326526468E-2</v>
      </c>
      <c r="Y936">
        <v>4.1924926576205335E-3</v>
      </c>
    </row>
    <row r="937" spans="1:25" x14ac:dyDescent="0.25">
      <c r="A937" s="1090"/>
      <c r="B937" s="1448">
        <v>687</v>
      </c>
      <c r="C937" s="1094">
        <v>0.95703080137894969</v>
      </c>
      <c r="D937" s="1094">
        <v>1.0358735991595822</v>
      </c>
      <c r="E937" s="1094">
        <v>0.98676738081970683</v>
      </c>
      <c r="F937" s="1094">
        <v>1.0089984720537326</v>
      </c>
      <c r="G937" s="1094">
        <v>1.0169118540263824</v>
      </c>
      <c r="H937" s="1094">
        <v>1.0057681832498844</v>
      </c>
      <c r="I937" s="1094">
        <v>0.98614774740217137</v>
      </c>
      <c r="K937">
        <v>4.5343846149267177</v>
      </c>
      <c r="L937">
        <v>0</v>
      </c>
      <c r="M937">
        <v>1.5726304060010713E-3</v>
      </c>
      <c r="N937">
        <v>0.13087051367664412</v>
      </c>
      <c r="O937">
        <v>4.0003975990359444E-2</v>
      </c>
      <c r="P937">
        <v>1.9139377825306333E-2</v>
      </c>
      <c r="Q937">
        <v>1.3278375424145852E-3</v>
      </c>
      <c r="R937">
        <v>1.566273719569229E-3</v>
      </c>
      <c r="S937">
        <v>0.23774647522359618</v>
      </c>
      <c r="T937">
        <v>4.0022050931850037</v>
      </c>
      <c r="U937">
        <v>0</v>
      </c>
      <c r="V937">
        <v>9.45230535611318E-3</v>
      </c>
      <c r="W937">
        <v>7.8657573462132271E-2</v>
      </c>
      <c r="X937">
        <v>1.0561410240737649E-2</v>
      </c>
      <c r="Y937">
        <v>4.4264091108442887E-3</v>
      </c>
    </row>
    <row r="938" spans="1:25" x14ac:dyDescent="0.25">
      <c r="A938" s="1090"/>
      <c r="B938" s="1448">
        <v>688</v>
      </c>
      <c r="C938" s="1094">
        <v>0.99303355885008393</v>
      </c>
      <c r="D938" s="1094">
        <v>0.97772808992696825</v>
      </c>
      <c r="E938" s="1094">
        <v>1.0034347400725756</v>
      </c>
      <c r="F938" s="1094">
        <v>0.99263403577155773</v>
      </c>
      <c r="G938" s="1094">
        <v>0.98888453272655308</v>
      </c>
      <c r="H938" s="1094">
        <v>0.99608314282350541</v>
      </c>
      <c r="I938" s="1094">
        <v>1.0280701807703163</v>
      </c>
      <c r="K938">
        <v>4.4631626197629446</v>
      </c>
      <c r="L938">
        <v>0</v>
      </c>
      <c r="M938">
        <v>1.4592084510695361E-3</v>
      </c>
      <c r="N938">
        <v>0.1275679089474995</v>
      </c>
      <c r="O938">
        <v>3.8699632605360731E-2</v>
      </c>
      <c r="P938">
        <v>1.9089363396194162E-2</v>
      </c>
      <c r="Q938">
        <v>1.3285119794799879E-3</v>
      </c>
      <c r="R938">
        <v>1.4531550980851488E-3</v>
      </c>
      <c r="S938">
        <v>0.23963539273016604</v>
      </c>
      <c r="T938">
        <v>3.9366638110622585</v>
      </c>
      <c r="U938">
        <v>0</v>
      </c>
      <c r="V938">
        <v>9.4523053561131921E-3</v>
      </c>
      <c r="W938">
        <v>7.581087249408025E-2</v>
      </c>
      <c r="X938">
        <v>1.0814147294441422E-2</v>
      </c>
      <c r="Y938">
        <v>4.106727250332072E-3</v>
      </c>
    </row>
    <row r="939" spans="1:25" x14ac:dyDescent="0.25">
      <c r="A939" s="1090"/>
      <c r="B939" s="1448">
        <v>689</v>
      </c>
      <c r="C939" s="1094">
        <v>0.95669428855732652</v>
      </c>
      <c r="D939" s="1094">
        <v>0.97537280241548807</v>
      </c>
      <c r="E939" s="1094">
        <v>0.99247663237162398</v>
      </c>
      <c r="F939" s="1094">
        <v>1.0092141955090808</v>
      </c>
      <c r="G939" s="1094">
        <v>0.98511103299523184</v>
      </c>
      <c r="H939" s="1094">
        <v>1.0081155336969179</v>
      </c>
      <c r="I939" s="1094">
        <v>0.98718834168161829</v>
      </c>
      <c r="K939">
        <v>4.5478328265781149</v>
      </c>
      <c r="L939">
        <v>0</v>
      </c>
      <c r="M939">
        <v>1.5963404678860939E-3</v>
      </c>
      <c r="N939">
        <v>0.13511309699245141</v>
      </c>
      <c r="O939">
        <v>4.0960127782248681E-2</v>
      </c>
      <c r="P939">
        <v>1.9246846806887621E-2</v>
      </c>
      <c r="Q939">
        <v>1.3673863125482672E-3</v>
      </c>
      <c r="R939">
        <v>1.5899043385125965E-3</v>
      </c>
      <c r="S939">
        <v>0.24265919355167237</v>
      </c>
      <c r="T939">
        <v>4.0028402338332345</v>
      </c>
      <c r="U939">
        <v>0</v>
      </c>
      <c r="V939">
        <v>9.4523053561131852E-3</v>
      </c>
      <c r="W939">
        <v>8.0892545030886609E-2</v>
      </c>
      <c r="X939">
        <v>1.0814335997355925E-2</v>
      </c>
      <c r="Y939">
        <v>4.4931910440906553E-3</v>
      </c>
    </row>
    <row r="940" spans="1:25" x14ac:dyDescent="0.25">
      <c r="A940" s="1090"/>
      <c r="B940" s="1448">
        <v>690</v>
      </c>
      <c r="C940" s="1094">
        <v>1.0284619565299802</v>
      </c>
      <c r="D940" s="1094">
        <v>1.0298395686512234</v>
      </c>
      <c r="E940" s="1094">
        <v>0.9567457490016249</v>
      </c>
      <c r="F940" s="1094">
        <v>1.0289354946392208</v>
      </c>
      <c r="G940" s="1094">
        <v>1.0468139584490386</v>
      </c>
      <c r="H940" s="1094">
        <v>0.98840416096135797</v>
      </c>
      <c r="I940" s="1094">
        <v>1.0028335209629062</v>
      </c>
      <c r="K940">
        <v>4.5839568117753693</v>
      </c>
      <c r="L940">
        <v>0</v>
      </c>
      <c r="M940">
        <v>1.56536103035598E-3</v>
      </c>
      <c r="N940">
        <v>0.1191572602032389</v>
      </c>
      <c r="O940">
        <v>3.8252701459885581E-2</v>
      </c>
      <c r="P940">
        <v>1.9011547973671997E-2</v>
      </c>
      <c r="Q940">
        <v>1.2064793561097134E-3</v>
      </c>
      <c r="R940">
        <v>1.5590468273967836E-3</v>
      </c>
      <c r="S940">
        <v>0.22710329945846502</v>
      </c>
      <c r="T940">
        <v>4.0824780576536295</v>
      </c>
      <c r="U940">
        <v>0</v>
      </c>
      <c r="V940">
        <v>9.4523053561131904E-3</v>
      </c>
      <c r="W940">
        <v>7.3114374795662754E-2</v>
      </c>
      <c r="X940">
        <v>9.7811143597335802E-3</v>
      </c>
      <c r="Y940">
        <v>4.4059853618178407E-3</v>
      </c>
    </row>
    <row r="941" spans="1:25" x14ac:dyDescent="0.25">
      <c r="A941" s="1090"/>
      <c r="B941" s="1448">
        <v>691</v>
      </c>
      <c r="C941" s="1094">
        <v>0.98301918482290085</v>
      </c>
      <c r="D941" s="1094">
        <v>1.0217341534052191</v>
      </c>
      <c r="E941" s="1094">
        <v>1.0167500049610356</v>
      </c>
      <c r="F941" s="1094">
        <v>0.96397898743280097</v>
      </c>
      <c r="G941" s="1094">
        <v>1.0364978474563891</v>
      </c>
      <c r="H941" s="1094">
        <v>1.0348336632171478</v>
      </c>
      <c r="I941" s="1094">
        <v>1.0145460873919658</v>
      </c>
      <c r="K941">
        <v>4.3433123221280647</v>
      </c>
      <c r="L941">
        <v>0</v>
      </c>
      <c r="M941">
        <v>1.4209575347396684E-3</v>
      </c>
      <c r="N941">
        <v>0.12922384667001449</v>
      </c>
      <c r="O941">
        <v>3.7213591243641042E-2</v>
      </c>
      <c r="P941">
        <v>1.8726443038198343E-2</v>
      </c>
      <c r="Q941">
        <v>1.3336559230264795E-3</v>
      </c>
      <c r="R941">
        <v>1.4151156490020355E-3</v>
      </c>
      <c r="S941">
        <v>0.23400485949785152</v>
      </c>
      <c r="T941">
        <v>3.8225350594502334</v>
      </c>
      <c r="U941">
        <v>0</v>
      </c>
      <c r="V941">
        <v>9.4523053561131852E-3</v>
      </c>
      <c r="W941">
        <v>7.6111614613650888E-2</v>
      </c>
      <c r="X941">
        <v>1.0717563358026025E-2</v>
      </c>
      <c r="Y941">
        <v>3.9992248630486421E-3</v>
      </c>
    </row>
    <row r="942" spans="1:25" x14ac:dyDescent="0.25">
      <c r="A942" s="1090"/>
      <c r="B942" s="1448">
        <v>692</v>
      </c>
      <c r="C942" s="1094">
        <v>0.97797204181273789</v>
      </c>
      <c r="D942" s="1094">
        <v>0.98308096820219293</v>
      </c>
      <c r="E942" s="1094">
        <v>1.008285381197505</v>
      </c>
      <c r="F942" s="1094">
        <v>0.98736359591515344</v>
      </c>
      <c r="G942" s="1094">
        <v>1.0159629158306782</v>
      </c>
      <c r="H942" s="1094">
        <v>1.0255594943061586</v>
      </c>
      <c r="I942" s="1094">
        <v>0.99806976284182392</v>
      </c>
      <c r="K942">
        <v>4.4483973856603098</v>
      </c>
      <c r="L942">
        <v>0</v>
      </c>
      <c r="M942">
        <v>1.4987485072223492E-3</v>
      </c>
      <c r="N942">
        <v>0.1329335516970323</v>
      </c>
      <c r="O942">
        <v>3.8967837438099479E-2</v>
      </c>
      <c r="P942">
        <v>1.905073652444865E-2</v>
      </c>
      <c r="Q942">
        <v>1.3516155978729348E-3</v>
      </c>
      <c r="R942">
        <v>1.4926777253304994E-3</v>
      </c>
      <c r="S942">
        <v>0.23725555158072581</v>
      </c>
      <c r="T942">
        <v>3.9155800395599325</v>
      </c>
      <c r="U942">
        <v>0</v>
      </c>
      <c r="V942">
        <v>9.4523053561131973E-3</v>
      </c>
      <c r="W942">
        <v>7.8742012487454216E-2</v>
      </c>
      <c r="X942">
        <v>1.0851384988183927E-2</v>
      </c>
      <c r="Y942">
        <v>4.2184212123372814E-3</v>
      </c>
    </row>
    <row r="943" spans="1:25" x14ac:dyDescent="0.25">
      <c r="A943" s="1090"/>
      <c r="B943" s="1448">
        <v>693</v>
      </c>
      <c r="C943" s="1094">
        <v>1.0107515260503719</v>
      </c>
      <c r="D943" s="1094">
        <v>0.96963360776301433</v>
      </c>
      <c r="E943" s="1094">
        <v>0.98886626631467545</v>
      </c>
      <c r="F943" s="1094">
        <v>1.0059174253146457</v>
      </c>
      <c r="G943" s="1094">
        <v>1.0109936127599291</v>
      </c>
      <c r="H943" s="1094">
        <v>0.95459134345073482</v>
      </c>
      <c r="I943" s="1094">
        <v>1.0159897693054301</v>
      </c>
      <c r="K943">
        <v>4.4982710434388213</v>
      </c>
      <c r="L943">
        <v>0</v>
      </c>
      <c r="M943">
        <v>1.4403520924318733E-3</v>
      </c>
      <c r="N943">
        <v>0.12058323159546605</v>
      </c>
      <c r="O943">
        <v>3.8759109112513963E-2</v>
      </c>
      <c r="P943">
        <v>1.9088859790211958E-2</v>
      </c>
      <c r="Q943">
        <v>1.2932824846987035E-3</v>
      </c>
      <c r="R943">
        <v>1.4341992476556318E-3</v>
      </c>
      <c r="S943">
        <v>0.23213567104067331</v>
      </c>
      <c r="T943">
        <v>3.9899032038075801</v>
      </c>
      <c r="U943">
        <v>0</v>
      </c>
      <c r="V943">
        <v>9.4523053561131921E-3</v>
      </c>
      <c r="W943">
        <v>7.2370979681443084E-2</v>
      </c>
      <c r="X943">
        <v>1.0637396845088248E-2</v>
      </c>
      <c r="Y943">
        <v>4.0531565698075393E-3</v>
      </c>
    </row>
    <row r="944" spans="1:25" x14ac:dyDescent="0.25">
      <c r="A944" s="1090"/>
      <c r="B944" s="1448">
        <v>694</v>
      </c>
      <c r="C944" s="1094">
        <v>0.97332679407652478</v>
      </c>
      <c r="D944" s="1094">
        <v>1.0262069529288043</v>
      </c>
      <c r="E944" s="1094">
        <v>0.99682080789043703</v>
      </c>
      <c r="F944" s="1094">
        <v>0.9919032193691204</v>
      </c>
      <c r="G944" s="1094">
        <v>1.0014102069786066</v>
      </c>
      <c r="H944" s="1094">
        <v>1.0049567839399285</v>
      </c>
      <c r="I944" s="1094">
        <v>1.021439666142185</v>
      </c>
      <c r="K944">
        <v>4.4616317879065246</v>
      </c>
      <c r="L944">
        <v>0</v>
      </c>
      <c r="M944">
        <v>1.4927884911654587E-3</v>
      </c>
      <c r="N944">
        <v>0.12797534815184036</v>
      </c>
      <c r="O944">
        <v>3.8743532894107306E-2</v>
      </c>
      <c r="P944">
        <v>1.8984872206839701E-2</v>
      </c>
      <c r="Q944">
        <v>1.3219116922531782E-3</v>
      </c>
      <c r="R944">
        <v>1.4866460120895942E-3</v>
      </c>
      <c r="S944">
        <v>0.23993802792875596</v>
      </c>
      <c r="T944">
        <v>3.9340152927743519</v>
      </c>
      <c r="U944">
        <v>0</v>
      </c>
      <c r="V944">
        <v>9.4523053561131991E-3</v>
      </c>
      <c r="W944">
        <v>7.6393707769680727E-2</v>
      </c>
      <c r="X944">
        <v>1.0611556481436014E-2</v>
      </c>
      <c r="Y944">
        <v>4.2013751302189626E-3</v>
      </c>
    </row>
    <row r="945" spans="1:25" x14ac:dyDescent="0.25">
      <c r="A945" s="1090"/>
      <c r="B945" s="1448">
        <v>695</v>
      </c>
      <c r="C945" s="1094">
        <v>1.0260695125113279</v>
      </c>
      <c r="D945" s="1094">
        <v>0.96252792369450269</v>
      </c>
      <c r="E945" s="1094">
        <v>0.9902331947872085</v>
      </c>
      <c r="F945" s="1094">
        <v>0.99177632781729708</v>
      </c>
      <c r="G945" s="1094">
        <v>0.97884791698571538</v>
      </c>
      <c r="H945" s="1094">
        <v>1.0085919206783256</v>
      </c>
      <c r="I945" s="1094">
        <v>0.98083716722875569</v>
      </c>
      <c r="K945">
        <v>4.4374247887984017</v>
      </c>
      <c r="L945">
        <v>0</v>
      </c>
      <c r="M945">
        <v>1.4782249190685708E-3</v>
      </c>
      <c r="N945">
        <v>0.12427787050592146</v>
      </c>
      <c r="O945">
        <v>3.7745462373934925E-2</v>
      </c>
      <c r="P945">
        <v>1.8814271593179801E-2</v>
      </c>
      <c r="Q945">
        <v>1.2792367312710359E-3</v>
      </c>
      <c r="R945">
        <v>1.4721635160640943E-3</v>
      </c>
      <c r="S945">
        <v>0.22312249142989776</v>
      </c>
      <c r="T945">
        <v>3.9337616108703761</v>
      </c>
      <c r="U945">
        <v>0</v>
      </c>
      <c r="V945">
        <v>9.452305356113206E-3</v>
      </c>
      <c r="W945">
        <v>7.4519038859995751E-2</v>
      </c>
      <c r="X945">
        <v>1.0298115989944729E-2</v>
      </c>
      <c r="Y945">
        <v>4.1604464907646329E-3</v>
      </c>
    </row>
    <row r="946" spans="1:25" x14ac:dyDescent="0.25">
      <c r="A946" s="1090"/>
      <c r="B946" s="1448">
        <v>696</v>
      </c>
      <c r="C946" s="1094">
        <v>0.9832942913730871</v>
      </c>
      <c r="D946" s="1094">
        <v>1.0222629483754706</v>
      </c>
      <c r="E946" s="1094">
        <v>0.98662211022278434</v>
      </c>
      <c r="F946" s="1094">
        <v>1.0142308678197329</v>
      </c>
      <c r="G946" s="1094">
        <v>0.99897706767759276</v>
      </c>
      <c r="H946" s="1094">
        <v>1.0027805540219104</v>
      </c>
      <c r="I946" s="1094">
        <v>1.026226535097343</v>
      </c>
      <c r="K946">
        <v>4.5550012406017721</v>
      </c>
      <c r="L946">
        <v>0</v>
      </c>
      <c r="M946">
        <v>1.5425687493853199E-3</v>
      </c>
      <c r="N946">
        <v>0.12831469062030174</v>
      </c>
      <c r="O946">
        <v>3.9346015699132576E-2</v>
      </c>
      <c r="P946">
        <v>1.9251585940860721E-2</v>
      </c>
      <c r="Q946">
        <v>1.2990637623371197E-3</v>
      </c>
      <c r="R946">
        <v>1.5363471301040341E-3</v>
      </c>
      <c r="S946">
        <v>0.24236742052275523</v>
      </c>
      <c r="T946">
        <v>4.0229651038283318</v>
      </c>
      <c r="U946">
        <v>0</v>
      </c>
      <c r="V946">
        <v>9.4523053561131973E-3</v>
      </c>
      <c r="W946">
        <v>7.7129079283376825E-2</v>
      </c>
      <c r="X946">
        <v>1.0540362923612786E-2</v>
      </c>
      <c r="Y946">
        <v>4.3418342842286252E-3</v>
      </c>
    </row>
    <row r="947" spans="1:25" x14ac:dyDescent="0.25">
      <c r="A947" s="1090"/>
      <c r="B947" s="1448">
        <v>697</v>
      </c>
      <c r="C947" s="1094">
        <v>1.0043018744835646</v>
      </c>
      <c r="D947" s="1094">
        <v>1.0249691772986305</v>
      </c>
      <c r="E947" s="1094">
        <v>1.0097079277741317</v>
      </c>
      <c r="F947" s="1094">
        <v>0.98989574506258327</v>
      </c>
      <c r="G947" s="1094">
        <v>1.0223797521612081</v>
      </c>
      <c r="H947" s="1094">
        <v>1.0044424086586659</v>
      </c>
      <c r="I947" s="1094">
        <v>1.0005702913195034</v>
      </c>
      <c r="K947">
        <v>4.4342408094303867</v>
      </c>
      <c r="L947">
        <v>0</v>
      </c>
      <c r="M947">
        <v>1.4051134206065931E-3</v>
      </c>
      <c r="N947">
        <v>0.12514514248711223</v>
      </c>
      <c r="O947">
        <v>3.7404287765272999E-2</v>
      </c>
      <c r="P947">
        <v>1.9071928359811346E-2</v>
      </c>
      <c r="Q947">
        <v>1.2959648182042822E-3</v>
      </c>
      <c r="R947">
        <v>1.3993170608141545E-3</v>
      </c>
      <c r="S947">
        <v>0.22751850087625652</v>
      </c>
      <c r="T947">
        <v>3.9255683754612516</v>
      </c>
      <c r="U947">
        <v>0</v>
      </c>
      <c r="V947">
        <v>9.452305356113206E-3</v>
      </c>
      <c r="W947">
        <v>7.4057812444916188E-2</v>
      </c>
      <c r="X947">
        <v>1.0777711374573213E-2</v>
      </c>
      <c r="Y947">
        <v>3.954576846664541E-3</v>
      </c>
    </row>
    <row r="948" spans="1:25" x14ac:dyDescent="0.25">
      <c r="A948" s="1090"/>
      <c r="B948" s="1448">
        <v>698</v>
      </c>
      <c r="C948" s="1094">
        <v>0.99113151450201953</v>
      </c>
      <c r="D948" s="1094">
        <v>0.97906022945661186</v>
      </c>
      <c r="E948" s="1094">
        <v>1.019479172182886</v>
      </c>
      <c r="F948" s="1094">
        <v>1.0201822320955605</v>
      </c>
      <c r="G948" s="1094">
        <v>1.0234819591380924</v>
      </c>
      <c r="H948" s="1094">
        <v>0.96587286295350805</v>
      </c>
      <c r="I948" s="1094">
        <v>0.98840254324292942</v>
      </c>
      <c r="K948">
        <v>4.5687385383908152</v>
      </c>
      <c r="L948">
        <v>0</v>
      </c>
      <c r="M948">
        <v>1.4075959656285912E-3</v>
      </c>
      <c r="N948">
        <v>0.12903994006491543</v>
      </c>
      <c r="O948">
        <v>3.9713726851196493E-2</v>
      </c>
      <c r="P948">
        <v>1.9785854406980854E-2</v>
      </c>
      <c r="Q948">
        <v>1.3486215438790849E-3</v>
      </c>
      <c r="R948">
        <v>1.4017360390966773E-3</v>
      </c>
      <c r="S948">
        <v>0.23268109041772386</v>
      </c>
      <c r="T948">
        <v>4.0452967345432356</v>
      </c>
      <c r="U948">
        <v>0</v>
      </c>
      <c r="V948">
        <v>9.4523053561131973E-3</v>
      </c>
      <c r="W948">
        <v>7.5864936470573602E-2</v>
      </c>
      <c r="X948">
        <v>1.1599775598754197E-2</v>
      </c>
      <c r="Y948">
        <v>3.9614130639712055E-3</v>
      </c>
    </row>
    <row r="949" spans="1:25" x14ac:dyDescent="0.25">
      <c r="A949" s="1090"/>
      <c r="B949" s="1448">
        <v>699</v>
      </c>
      <c r="C949" s="1094">
        <v>1.0031554787511157</v>
      </c>
      <c r="D949" s="1094">
        <v>0.9743465663834322</v>
      </c>
      <c r="E949" s="1094">
        <v>0.99182708971234401</v>
      </c>
      <c r="F949" s="1094">
        <v>0.99446115270144231</v>
      </c>
      <c r="G949" s="1094">
        <v>0.97892041223103732</v>
      </c>
      <c r="H949" s="1094">
        <v>0.99765523098156006</v>
      </c>
      <c r="I949" s="1094">
        <v>0.97082173542431982</v>
      </c>
      <c r="K949">
        <v>4.4526803435047482</v>
      </c>
      <c r="L949">
        <v>0</v>
      </c>
      <c r="M949">
        <v>1.4873305786222135E-3</v>
      </c>
      <c r="N949">
        <v>0.12563146780884255</v>
      </c>
      <c r="O949">
        <v>3.8512693779648492E-2</v>
      </c>
      <c r="P949">
        <v>1.8891544904111032E-2</v>
      </c>
      <c r="Q949">
        <v>1.3038753034735101E-3</v>
      </c>
      <c r="R949">
        <v>1.4811815585150955E-3</v>
      </c>
      <c r="S949">
        <v>0.22463949471859587</v>
      </c>
      <c r="T949">
        <v>3.9443500207941558</v>
      </c>
      <c r="U949">
        <v>0</v>
      </c>
      <c r="V949">
        <v>9.4523053561131817E-3</v>
      </c>
      <c r="W949">
        <v>7.5249074472975089E-2</v>
      </c>
      <c r="X949">
        <v>1.0470083219715636E-2</v>
      </c>
      <c r="Y949">
        <v>4.1859321672261338E-3</v>
      </c>
    </row>
    <row r="950" spans="1:25" x14ac:dyDescent="0.25">
      <c r="A950" s="1090"/>
      <c r="B950" s="1448">
        <v>700</v>
      </c>
      <c r="C950" s="1094">
        <v>0.97708716240443727</v>
      </c>
      <c r="D950" s="1094">
        <v>0.98886427972317748</v>
      </c>
      <c r="E950" s="1094">
        <v>1.0262844396684547</v>
      </c>
      <c r="F950" s="1094">
        <v>0.99420275721450568</v>
      </c>
      <c r="G950" s="1094">
        <v>0.99030294275849107</v>
      </c>
      <c r="H950" s="1094">
        <v>1.0292277667727072</v>
      </c>
      <c r="I950" s="1094">
        <v>1.0158897606491641</v>
      </c>
      <c r="K950">
        <v>4.4854557948769083</v>
      </c>
      <c r="L950">
        <v>0</v>
      </c>
      <c r="M950">
        <v>1.4559071455300505E-3</v>
      </c>
      <c r="N950">
        <v>0.13620386193225084</v>
      </c>
      <c r="O950">
        <v>3.9054619654915593E-2</v>
      </c>
      <c r="P950">
        <v>1.9451891315438966E-2</v>
      </c>
      <c r="Q950">
        <v>1.3704196585262636E-3</v>
      </c>
      <c r="R950">
        <v>1.450071169928944E-3</v>
      </c>
      <c r="S950">
        <v>0.24268947326548321</v>
      </c>
      <c r="T950">
        <v>3.942026379859275</v>
      </c>
      <c r="U950">
        <v>0</v>
      </c>
      <c r="V950">
        <v>9.4523053561131904E-3</v>
      </c>
      <c r="W950">
        <v>7.971490109510955E-2</v>
      </c>
      <c r="X950">
        <v>1.1399766881480601E-2</v>
      </c>
      <c r="Y950">
        <v>4.0980118339158603E-3</v>
      </c>
    </row>
    <row r="951" spans="1:25" x14ac:dyDescent="0.25">
      <c r="A951" s="1090"/>
      <c r="B951" s="1448">
        <v>701</v>
      </c>
      <c r="C951" s="1094">
        <v>0.99078015238925388</v>
      </c>
      <c r="D951" s="1094">
        <v>0.9619720573206425</v>
      </c>
      <c r="E951" s="1094">
        <v>0.98862577136595398</v>
      </c>
      <c r="F951" s="1094">
        <v>1.0158994353874853</v>
      </c>
      <c r="G951" s="1094">
        <v>1.024565052141325</v>
      </c>
      <c r="H951" s="1094">
        <v>1.0322123865180226</v>
      </c>
      <c r="I951" s="1094">
        <v>0.98195446790402319</v>
      </c>
      <c r="K951">
        <v>4.567376016904408</v>
      </c>
      <c r="L951">
        <v>0</v>
      </c>
      <c r="M951">
        <v>1.6104824138309605E-3</v>
      </c>
      <c r="N951">
        <v>0.13477875859679128</v>
      </c>
      <c r="O951">
        <v>4.0061385994575226E-2</v>
      </c>
      <c r="P951">
        <v>1.9285838974049035E-2</v>
      </c>
      <c r="Q951">
        <v>1.32326988016383E-3</v>
      </c>
      <c r="R951">
        <v>1.6041824113991422E-3</v>
      </c>
      <c r="S951">
        <v>0.23697224077154611</v>
      </c>
      <c r="T951">
        <v>4.029505524383926</v>
      </c>
      <c r="U951">
        <v>0</v>
      </c>
      <c r="V951">
        <v>9.4523053561132026E-3</v>
      </c>
      <c r="W951">
        <v>8.0904023228634242E-2</v>
      </c>
      <c r="X951">
        <v>1.0565427752888303E-2</v>
      </c>
      <c r="Y951">
        <v>4.5335419681473317E-3</v>
      </c>
    </row>
    <row r="952" spans="1:25" x14ac:dyDescent="0.25">
      <c r="A952" s="1090"/>
      <c r="B952" s="1448">
        <v>702</v>
      </c>
      <c r="C952" s="1094">
        <v>0.95614481529649753</v>
      </c>
      <c r="D952" s="1094">
        <v>0.99468498952031703</v>
      </c>
      <c r="E952" s="1094">
        <v>0.97249801914409806</v>
      </c>
      <c r="F952" s="1094">
        <v>1.006086133394233</v>
      </c>
      <c r="G952" s="1094">
        <v>0.99927835189262426</v>
      </c>
      <c r="H952" s="1094">
        <v>0.98060263588491692</v>
      </c>
      <c r="I952" s="1094">
        <v>0.99634106989285554</v>
      </c>
      <c r="K952">
        <v>4.5226891813610415</v>
      </c>
      <c r="L952">
        <v>0</v>
      </c>
      <c r="M952">
        <v>1.6026227273165921E-3</v>
      </c>
      <c r="N952">
        <v>0.12782224745863635</v>
      </c>
      <c r="O952">
        <v>4.0681696599442332E-2</v>
      </c>
      <c r="P952">
        <v>1.8898182158923464E-2</v>
      </c>
      <c r="Q952">
        <v>1.3341820858845915E-3</v>
      </c>
      <c r="R952">
        <v>1.5959594101019698E-3</v>
      </c>
      <c r="S952">
        <v>0.24088851053148469</v>
      </c>
      <c r="T952">
        <v>3.9912053944424248</v>
      </c>
      <c r="U952">
        <v>0</v>
      </c>
      <c r="V952">
        <v>9.4523053561131852E-3</v>
      </c>
      <c r="W952">
        <v>7.7580416533006152E-2</v>
      </c>
      <c r="X952">
        <v>1.0322606373658599E-2</v>
      </c>
      <c r="Y952">
        <v>4.5103031386850723E-3</v>
      </c>
    </row>
    <row r="953" spans="1:25" x14ac:dyDescent="0.25">
      <c r="A953" s="1090"/>
      <c r="B953" s="1448">
        <v>703</v>
      </c>
      <c r="C953" s="1094">
        <v>0.99004467015520536</v>
      </c>
      <c r="D953" s="1094">
        <v>1.0308954240387522</v>
      </c>
      <c r="E953" s="1094">
        <v>0.99711497665409843</v>
      </c>
      <c r="F953" s="1094">
        <v>0.98071841943712135</v>
      </c>
      <c r="G953" s="1094">
        <v>1.0024271717665909</v>
      </c>
      <c r="H953" s="1094">
        <v>0.97752369598115207</v>
      </c>
      <c r="I953" s="1094">
        <v>0.99470845730078106</v>
      </c>
      <c r="K953">
        <v>4.3896658016550498</v>
      </c>
      <c r="L953">
        <v>0</v>
      </c>
      <c r="M953">
        <v>1.4080458781354087E-3</v>
      </c>
      <c r="N953">
        <v>0.12079588870890895</v>
      </c>
      <c r="O953">
        <v>3.7589231972246659E-2</v>
      </c>
      <c r="P953">
        <v>1.8722635654149982E-2</v>
      </c>
      <c r="Q953">
        <v>1.2975502073193426E-3</v>
      </c>
      <c r="R953">
        <v>1.4020218527644637E-3</v>
      </c>
      <c r="S953">
        <v>0.22561852751457079</v>
      </c>
      <c r="T953">
        <v>3.8896439402776553</v>
      </c>
      <c r="U953">
        <v>0</v>
      </c>
      <c r="V953">
        <v>9.4523053561132043E-3</v>
      </c>
      <c r="W953">
        <v>7.2093630750359294E-2</v>
      </c>
      <c r="X953">
        <v>1.0495894443875801E-2</v>
      </c>
      <c r="Y953">
        <v>3.9622207952172122E-3</v>
      </c>
    </row>
    <row r="954" spans="1:25" x14ac:dyDescent="0.25">
      <c r="A954" s="1090"/>
      <c r="B954" s="1448">
        <v>704</v>
      </c>
      <c r="C954" s="1094">
        <v>1.0022625483988763</v>
      </c>
      <c r="D954" s="1094">
        <v>0.98012683777837128</v>
      </c>
      <c r="E954" s="1094">
        <v>0.96299744894322203</v>
      </c>
      <c r="F954" s="1094">
        <v>0.98276226771888864</v>
      </c>
      <c r="G954" s="1094">
        <v>1.0092148682807023</v>
      </c>
      <c r="H954" s="1094">
        <v>0.96602192226934613</v>
      </c>
      <c r="I954" s="1094">
        <v>0.96354806403889537</v>
      </c>
      <c r="K954">
        <v>4.3874684733523663</v>
      </c>
      <c r="L954">
        <v>0</v>
      </c>
      <c r="M954">
        <v>1.509833025785822E-3</v>
      </c>
      <c r="N954">
        <v>0.11705193616934371</v>
      </c>
      <c r="O954">
        <v>3.8198421728520497E-2</v>
      </c>
      <c r="P954">
        <v>1.8255124285798507E-2</v>
      </c>
      <c r="Q954">
        <v>1.269722672517901E-3</v>
      </c>
      <c r="R954">
        <v>1.5033101538075092E-3</v>
      </c>
      <c r="S954">
        <v>0.21870607465185976</v>
      </c>
      <c r="T954">
        <v>3.8990393271851245</v>
      </c>
      <c r="U954">
        <v>0</v>
      </c>
      <c r="V954">
        <v>9.4523053561131835E-3</v>
      </c>
      <c r="W954">
        <v>7.1511337933688385E-2</v>
      </c>
      <c r="X954">
        <v>9.7422769744189078E-3</v>
      </c>
      <c r="Y954">
        <v>4.2484692669608254E-3</v>
      </c>
    </row>
    <row r="955" spans="1:25" x14ac:dyDescent="0.25">
      <c r="A955" s="1090"/>
      <c r="B955" s="1448">
        <v>705</v>
      </c>
      <c r="C955" s="1094">
        <v>1.0221795103431726</v>
      </c>
      <c r="D955" s="1094">
        <v>1.0249962595659956</v>
      </c>
      <c r="E955" s="1094">
        <v>0.99255614163120498</v>
      </c>
      <c r="F955" s="1094">
        <v>0.98182850597701388</v>
      </c>
      <c r="G955" s="1094">
        <v>1.0063237227941886</v>
      </c>
      <c r="H955" s="1094">
        <v>0.98290328500902957</v>
      </c>
      <c r="I955" s="1094">
        <v>0.97173468640760818</v>
      </c>
      <c r="K955">
        <v>4.376635021346698</v>
      </c>
      <c r="L955">
        <v>0</v>
      </c>
      <c r="M955">
        <v>1.3892494801872914E-3</v>
      </c>
      <c r="N955">
        <v>0.11758700966190175</v>
      </c>
      <c r="O955">
        <v>3.6562239035237025E-2</v>
      </c>
      <c r="P955">
        <v>1.8628721033869405E-2</v>
      </c>
      <c r="Q955">
        <v>1.2547185469955124E-3</v>
      </c>
      <c r="R955">
        <v>1.3833450568848922E-3</v>
      </c>
      <c r="S955">
        <v>0.21438734396648834</v>
      </c>
      <c r="T955">
        <v>3.8942175534284802</v>
      </c>
      <c r="U955">
        <v>0</v>
      </c>
      <c r="V955">
        <v>9.4523053561131869E-3</v>
      </c>
      <c r="W955">
        <v>7.0395830911392232E-2</v>
      </c>
      <c r="X955">
        <v>1.0245765085367156E-2</v>
      </c>
      <c r="Y955">
        <v>3.9094387441556307E-3</v>
      </c>
    </row>
    <row r="956" spans="1:25" x14ac:dyDescent="0.25">
      <c r="A956" s="1090"/>
      <c r="B956" s="1448">
        <v>706</v>
      </c>
      <c r="C956" s="1094">
        <v>1.0058476074713563</v>
      </c>
      <c r="D956" s="1094">
        <v>0.98765122449759868</v>
      </c>
      <c r="E956" s="1094">
        <v>1.0185062832770226</v>
      </c>
      <c r="F956" s="1094">
        <v>0.99161495952105705</v>
      </c>
      <c r="G956" s="1094">
        <v>1.0204544160587006</v>
      </c>
      <c r="H956" s="1094">
        <v>1.0190173546125709</v>
      </c>
      <c r="I956" s="1094">
        <v>0.99095055015669697</v>
      </c>
      <c r="K956">
        <v>4.4501469217290408</v>
      </c>
      <c r="L956">
        <v>0</v>
      </c>
      <c r="M956">
        <v>1.4204601389665936E-3</v>
      </c>
      <c r="N956">
        <v>0.12985849035538172</v>
      </c>
      <c r="O956">
        <v>3.7910840514002488E-2</v>
      </c>
      <c r="P956">
        <v>1.9232033494927126E-2</v>
      </c>
      <c r="Q956">
        <v>1.3231641975079999E-3</v>
      </c>
      <c r="R956">
        <v>1.4146942540184026E-3</v>
      </c>
      <c r="S956">
        <v>0.22888477534590729</v>
      </c>
      <c r="T956">
        <v>3.9320562165340891</v>
      </c>
      <c r="U956">
        <v>0</v>
      </c>
      <c r="V956">
        <v>9.4523053561131939E-3</v>
      </c>
      <c r="W956">
        <v>7.6395753420239715E-2</v>
      </c>
      <c r="X956">
        <v>1.1041074427165327E-2</v>
      </c>
      <c r="Y956">
        <v>3.9980339686529103E-3</v>
      </c>
    </row>
    <row r="957" spans="1:25" x14ac:dyDescent="0.25">
      <c r="A957" s="1090"/>
      <c r="B957" s="1448">
        <v>707</v>
      </c>
      <c r="C957" s="1094">
        <v>0.97919597802635772</v>
      </c>
      <c r="D957" s="1094">
        <v>1.0092322078762728</v>
      </c>
      <c r="E957" s="1094">
        <v>1.0136607314089705</v>
      </c>
      <c r="F957" s="1094">
        <v>0.9874289578249037</v>
      </c>
      <c r="G957" s="1094">
        <v>1.0046822458431544</v>
      </c>
      <c r="H957" s="1094">
        <v>1.008477254202885</v>
      </c>
      <c r="I957" s="1094">
        <v>1.0115974876030909</v>
      </c>
      <c r="K957">
        <v>4.4424008105695849</v>
      </c>
      <c r="L957">
        <v>0</v>
      </c>
      <c r="M957">
        <v>1.4402377175593405E-3</v>
      </c>
      <c r="N957">
        <v>0.12978413249727414</v>
      </c>
      <c r="O957">
        <v>3.8477967135392782E-2</v>
      </c>
      <c r="P957">
        <v>1.9125277432144629E-2</v>
      </c>
      <c r="Q957">
        <v>1.3419493039926215E-3</v>
      </c>
      <c r="R957">
        <v>1.4343055122984785E-3</v>
      </c>
      <c r="S957">
        <v>0.23694105862600193</v>
      </c>
      <c r="T957">
        <v>3.9156382071306481</v>
      </c>
      <c r="U957">
        <v>0</v>
      </c>
      <c r="V957">
        <v>9.4523053561131991E-3</v>
      </c>
      <c r="W957">
        <v>7.6599752963636691E-2</v>
      </c>
      <c r="X957">
        <v>1.0992635447835047E-2</v>
      </c>
      <c r="Y957">
        <v>4.0534568818011473E-3</v>
      </c>
    </row>
    <row r="958" spans="1:25" x14ac:dyDescent="0.25">
      <c r="A958" s="1090"/>
      <c r="B958" s="1448">
        <v>708</v>
      </c>
      <c r="C958" s="1094">
        <v>0.98612772929225412</v>
      </c>
      <c r="D958" s="1094">
        <v>0.99627396369647325</v>
      </c>
      <c r="E958" s="1094">
        <v>0.95625591021052847</v>
      </c>
      <c r="F958" s="1094">
        <v>1.0239194878545281</v>
      </c>
      <c r="G958" s="1094">
        <v>1.0071875720966958</v>
      </c>
      <c r="H958" s="1094">
        <v>1.0404473144592694</v>
      </c>
      <c r="I958" s="1094">
        <v>0.99938207292551795</v>
      </c>
      <c r="K958">
        <v>4.6016474821693194</v>
      </c>
      <c r="L958">
        <v>0</v>
      </c>
      <c r="M958">
        <v>1.7347722579967024E-3</v>
      </c>
      <c r="N958">
        <v>0.13188515636046846</v>
      </c>
      <c r="O958">
        <v>4.0233573245629636E-2</v>
      </c>
      <c r="P958">
        <v>1.8980980266856989E-2</v>
      </c>
      <c r="Q958">
        <v>1.2745116623621958E-3</v>
      </c>
      <c r="R958">
        <v>1.7280922832990709E-3</v>
      </c>
      <c r="S958">
        <v>0.24167791345771678</v>
      </c>
      <c r="T958">
        <v>4.0625956939480963</v>
      </c>
      <c r="U958">
        <v>0</v>
      </c>
      <c r="V958">
        <v>9.4523053561131973E-3</v>
      </c>
      <c r="W958">
        <v>8.0951759470231921E-2</v>
      </c>
      <c r="X958">
        <v>9.7185476503310487E-3</v>
      </c>
      <c r="Y958">
        <v>4.8837207262077296E-3</v>
      </c>
    </row>
    <row r="959" spans="1:25" x14ac:dyDescent="0.25">
      <c r="A959" s="1090"/>
      <c r="B959" s="1448">
        <v>709</v>
      </c>
      <c r="C959" s="1094">
        <v>0.98305710226157117</v>
      </c>
      <c r="D959" s="1094">
        <v>1.0027253669572236</v>
      </c>
      <c r="E959" s="1094">
        <v>1.0142585861315432</v>
      </c>
      <c r="F959" s="1094">
        <v>1.0122249818322724</v>
      </c>
      <c r="G959" s="1094">
        <v>0.99963330871799849</v>
      </c>
      <c r="H959" s="1094">
        <v>1.0168402564137873</v>
      </c>
      <c r="I959" s="1094">
        <v>1.0002589369419228</v>
      </c>
      <c r="K959">
        <v>4.5506787179681378</v>
      </c>
      <c r="L959">
        <v>0</v>
      </c>
      <c r="M959">
        <v>1.484616741155245E-3</v>
      </c>
      <c r="N959">
        <v>0.13403818151944971</v>
      </c>
      <c r="O959">
        <v>3.9386843504630793E-2</v>
      </c>
      <c r="P959">
        <v>1.9592500590856793E-2</v>
      </c>
      <c r="Q959">
        <v>1.3408221750601497E-3</v>
      </c>
      <c r="R959">
        <v>1.4786999979555251E-3</v>
      </c>
      <c r="S959">
        <v>0.23843713494639771</v>
      </c>
      <c r="T959">
        <v>4.0139436685183485</v>
      </c>
      <c r="U959">
        <v>0</v>
      </c>
      <c r="V959">
        <v>9.4523053561131973E-3</v>
      </c>
      <c r="W959">
        <v>7.9078871262243403E-2</v>
      </c>
      <c r="X959">
        <v>1.1235387750608198E-2</v>
      </c>
      <c r="Y959">
        <v>4.1789190876266018E-3</v>
      </c>
    </row>
    <row r="960" spans="1:25" x14ac:dyDescent="0.25">
      <c r="A960" s="1090"/>
      <c r="B960" s="1448">
        <v>710</v>
      </c>
      <c r="C960" s="1094">
        <v>0.98481395724816256</v>
      </c>
      <c r="D960" s="1094">
        <v>0.99029448326541281</v>
      </c>
      <c r="E960" s="1094">
        <v>0.99162138373908248</v>
      </c>
      <c r="F960" s="1094">
        <v>0.98166390576137863</v>
      </c>
      <c r="G960" s="1094">
        <v>1.0136807746610714</v>
      </c>
      <c r="H960" s="1094">
        <v>0.96928041166386814</v>
      </c>
      <c r="I960" s="1094">
        <v>1.0164419527915602</v>
      </c>
      <c r="K960">
        <v>4.4051599441558844</v>
      </c>
      <c r="L960">
        <v>0</v>
      </c>
      <c r="M960">
        <v>1.4442966360586602E-3</v>
      </c>
      <c r="N960">
        <v>0.12190052758225133</v>
      </c>
      <c r="O960">
        <v>3.8475876640478794E-2</v>
      </c>
      <c r="P960">
        <v>1.870213414432733E-2</v>
      </c>
      <c r="Q960">
        <v>1.3193280150219301E-3</v>
      </c>
      <c r="R960">
        <v>1.4380709459024365E-3</v>
      </c>
      <c r="S960">
        <v>0.23413358591077049</v>
      </c>
      <c r="T960">
        <v>3.8935997798910975</v>
      </c>
      <c r="U960">
        <v>0</v>
      </c>
      <c r="V960">
        <v>9.4523053561131973E-3</v>
      </c>
      <c r="W960">
        <v>7.3024574479479049E-2</v>
      </c>
      <c r="X960">
        <v>1.0493959541857934E-2</v>
      </c>
      <c r="Y960">
        <v>4.064098284643187E-3</v>
      </c>
    </row>
    <row r="961" spans="1:25" x14ac:dyDescent="0.25">
      <c r="A961" s="1090"/>
      <c r="B961" s="1448">
        <v>711</v>
      </c>
      <c r="C961" s="1094">
        <v>0.96955883865977865</v>
      </c>
      <c r="D961" s="1094">
        <v>0.9923870050219441</v>
      </c>
      <c r="E961" s="1094">
        <v>0.97696452261129885</v>
      </c>
      <c r="F961" s="1094">
        <v>1.0363865292337742</v>
      </c>
      <c r="G961" s="1094">
        <v>1.0297649193122822</v>
      </c>
      <c r="H961" s="1094">
        <v>0.99332527038908036</v>
      </c>
      <c r="I961" s="1094">
        <v>1.0203965570471778</v>
      </c>
      <c r="K961">
        <v>4.6597262136489368</v>
      </c>
      <c r="L961">
        <v>0</v>
      </c>
      <c r="M961">
        <v>1.6351102874216255E-3</v>
      </c>
      <c r="N961">
        <v>0.13217697699597658</v>
      </c>
      <c r="O961">
        <v>4.1332634019809238E-2</v>
      </c>
      <c r="P961">
        <v>1.9537563081785399E-2</v>
      </c>
      <c r="Q961">
        <v>1.3220743331605813E-3</v>
      </c>
      <c r="R961">
        <v>1.6285944087387958E-3</v>
      </c>
      <c r="S961">
        <v>0.24945928360706968</v>
      </c>
      <c r="T961">
        <v>4.1112304740519763</v>
      </c>
      <c r="U961">
        <v>0</v>
      </c>
      <c r="V961">
        <v>9.452305356113206E-3</v>
      </c>
      <c r="W961">
        <v>7.9977473768712087E-2</v>
      </c>
      <c r="X961">
        <v>1.0641412176613569E-2</v>
      </c>
      <c r="Y961">
        <v>4.6025321363970216E-3</v>
      </c>
    </row>
    <row r="962" spans="1:25" x14ac:dyDescent="0.25">
      <c r="A962" s="1090"/>
      <c r="B962" s="1448">
        <v>712</v>
      </c>
      <c r="C962" s="1094">
        <v>0.99592625022122916</v>
      </c>
      <c r="D962" s="1094">
        <v>0.98891748194189733</v>
      </c>
      <c r="E962" s="1094">
        <v>0.99966334546087143</v>
      </c>
      <c r="F962" s="1094">
        <v>1.0407087075362942</v>
      </c>
      <c r="G962" s="1094">
        <v>0.98827817114022465</v>
      </c>
      <c r="H962" s="1094">
        <v>0.97378776986703586</v>
      </c>
      <c r="I962" s="1094">
        <v>1.0272601117971387</v>
      </c>
      <c r="K962">
        <v>4.6641673251790667</v>
      </c>
      <c r="L962">
        <v>0</v>
      </c>
      <c r="M962">
        <v>1.4960746538353899E-3</v>
      </c>
      <c r="N962">
        <v>0.12935065200215207</v>
      </c>
      <c r="O962">
        <v>4.0299523639666268E-2</v>
      </c>
      <c r="P962">
        <v>1.9922748356643455E-2</v>
      </c>
      <c r="Q962">
        <v>1.3143865029334903E-3</v>
      </c>
      <c r="R962">
        <v>1.49001837191688E-3</v>
      </c>
      <c r="S962">
        <v>0.24384379207941467</v>
      </c>
      <c r="T962">
        <v>4.127471364186583</v>
      </c>
      <c r="U962">
        <v>0</v>
      </c>
      <c r="V962">
        <v>9.4523053561131817E-3</v>
      </c>
      <c r="W962">
        <v>7.7066303702714084E-2</v>
      </c>
      <c r="X962">
        <v>1.1241399958205353E-2</v>
      </c>
      <c r="Y962">
        <v>4.210905676558364E-3</v>
      </c>
    </row>
    <row r="963" spans="1:25" x14ac:dyDescent="0.25">
      <c r="A963" s="1090"/>
      <c r="B963" s="1448">
        <v>713</v>
      </c>
      <c r="C963" s="1094">
        <v>1.0045443468004684</v>
      </c>
      <c r="D963" s="1094">
        <v>1.0283126852189082</v>
      </c>
      <c r="E963" s="1094">
        <v>0.99192178904159123</v>
      </c>
      <c r="F963" s="1094">
        <v>1.0076620714879079</v>
      </c>
      <c r="G963" s="1094">
        <v>0.99935051205247083</v>
      </c>
      <c r="H963" s="1094">
        <v>1.0300304559996774</v>
      </c>
      <c r="I963" s="1094">
        <v>1.0117597627613744</v>
      </c>
      <c r="K963">
        <v>4.5193893441668918</v>
      </c>
      <c r="L963">
        <v>0</v>
      </c>
      <c r="M963">
        <v>1.5202977427272067E-3</v>
      </c>
      <c r="N963">
        <v>0.1284756890615413</v>
      </c>
      <c r="O963">
        <v>3.8138015630207162E-2</v>
      </c>
      <c r="P963">
        <v>1.9174316147817404E-2</v>
      </c>
      <c r="Q963">
        <v>1.2744004952650464E-3</v>
      </c>
      <c r="R963">
        <v>1.5142894116870703E-3</v>
      </c>
      <c r="S963">
        <v>0.23452552167113763</v>
      </c>
      <c r="T963">
        <v>3.9967054255881274</v>
      </c>
      <c r="U963">
        <v>0</v>
      </c>
      <c r="V963">
        <v>9.4523053561131817E-3</v>
      </c>
      <c r="W963">
        <v>7.6947716048032605E-2</v>
      </c>
      <c r="X963">
        <v>1.0422465011736602E-2</v>
      </c>
      <c r="Y963">
        <v>4.2794974879551495E-3</v>
      </c>
    </row>
    <row r="964" spans="1:25" x14ac:dyDescent="0.25">
      <c r="A964" s="1090"/>
      <c r="B964" s="1448">
        <v>714</v>
      </c>
      <c r="C964" s="1094">
        <v>0.97297944824828742</v>
      </c>
      <c r="D964" s="1094">
        <v>1.0260962903016089</v>
      </c>
      <c r="E964" s="1094">
        <v>0.99965097082335175</v>
      </c>
      <c r="F964" s="1094">
        <v>1.0070125234970884</v>
      </c>
      <c r="G964" s="1094">
        <v>0.97530887882475914</v>
      </c>
      <c r="H964" s="1094">
        <v>1.0057296395040869</v>
      </c>
      <c r="I964" s="1094">
        <v>1.0137931410814913</v>
      </c>
      <c r="K964">
        <v>4.5271531260156301</v>
      </c>
      <c r="L964">
        <v>0</v>
      </c>
      <c r="M964">
        <v>1.5081924713797141E-3</v>
      </c>
      <c r="N964">
        <v>0.13039330897361431</v>
      </c>
      <c r="O964">
        <v>3.9329537943344352E-2</v>
      </c>
      <c r="P964">
        <v>1.9300773797075156E-2</v>
      </c>
      <c r="Q964">
        <v>1.3256557843463169E-3</v>
      </c>
      <c r="R964">
        <v>1.5020840401661969E-3</v>
      </c>
      <c r="S964">
        <v>0.24075720660267896</v>
      </c>
      <c r="T964">
        <v>3.9938321049443206</v>
      </c>
      <c r="U964">
        <v>0</v>
      </c>
      <c r="V964">
        <v>9.4523053561131921E-3</v>
      </c>
      <c r="W964">
        <v>7.7688162067610839E-2</v>
      </c>
      <c r="X964">
        <v>1.0835174801539277E-2</v>
      </c>
      <c r="Y964">
        <v>4.2450041762011276E-3</v>
      </c>
    </row>
    <row r="965" spans="1:25" x14ac:dyDescent="0.25">
      <c r="A965" s="1090"/>
      <c r="B965" s="1448">
        <v>715</v>
      </c>
      <c r="C965" s="1094">
        <v>0.97915682602614285</v>
      </c>
      <c r="D965" s="1094">
        <v>1.0284042350942491</v>
      </c>
      <c r="E965" s="1094">
        <v>0.97843826357326458</v>
      </c>
      <c r="F965" s="1094">
        <v>0.96970659082205779</v>
      </c>
      <c r="G965" s="1094">
        <v>1.037031382908566</v>
      </c>
      <c r="H965" s="1094">
        <v>0.98393230062148851</v>
      </c>
      <c r="I965" s="1094">
        <v>0.98486646541880996</v>
      </c>
      <c r="K965">
        <v>4.3444170805462843</v>
      </c>
      <c r="L965">
        <v>0</v>
      </c>
      <c r="M965">
        <v>1.4751738638792359E-3</v>
      </c>
      <c r="N965">
        <v>0.11973325739238341</v>
      </c>
      <c r="O965">
        <v>3.7742171619572336E-2</v>
      </c>
      <c r="P965">
        <v>1.8264948688395E-2</v>
      </c>
      <c r="Q965">
        <v>1.2922336952624061E-3</v>
      </c>
      <c r="R965">
        <v>1.4688328510506423E-3</v>
      </c>
      <c r="S965">
        <v>0.22479411767668545</v>
      </c>
      <c r="T965">
        <v>3.8466635369308384</v>
      </c>
      <c r="U965">
        <v>0</v>
      </c>
      <c r="V965">
        <v>9.4523053561131956E-3</v>
      </c>
      <c r="W965">
        <v>7.2374815020611438E-2</v>
      </c>
      <c r="X965">
        <v>9.9550014020969406E-3</v>
      </c>
      <c r="Y965">
        <v>4.1510337771523721E-3</v>
      </c>
    </row>
    <row r="966" spans="1:25" x14ac:dyDescent="0.25">
      <c r="A966" s="1090"/>
      <c r="B966" s="1448">
        <v>716</v>
      </c>
      <c r="C966" s="1094">
        <v>1.0329999312903986</v>
      </c>
      <c r="D966" s="1094">
        <v>1.0018194466194477</v>
      </c>
      <c r="E966" s="1094">
        <v>0.99445334794946605</v>
      </c>
      <c r="F966" s="1094">
        <v>0.98347608120824459</v>
      </c>
      <c r="G966" s="1094">
        <v>0.99150806993322349</v>
      </c>
      <c r="H966" s="1094">
        <v>1.0282699557981581</v>
      </c>
      <c r="I966" s="1094">
        <v>1.0043008708684715</v>
      </c>
      <c r="K966">
        <v>4.4022207637520632</v>
      </c>
      <c r="L966">
        <v>0</v>
      </c>
      <c r="M966">
        <v>1.4479991714084991E-3</v>
      </c>
      <c r="N966">
        <v>0.12327489579477563</v>
      </c>
      <c r="O966">
        <v>3.6560651061738843E-2</v>
      </c>
      <c r="P966">
        <v>1.8729471464359371E-2</v>
      </c>
      <c r="Q966">
        <v>1.2550337347082274E-3</v>
      </c>
      <c r="R966">
        <v>1.4421263868369949E-3</v>
      </c>
      <c r="S966">
        <v>0.22431109146172371</v>
      </c>
      <c r="T966">
        <v>3.9006810371499259</v>
      </c>
      <c r="U966">
        <v>0</v>
      </c>
      <c r="V966">
        <v>9.4523053561131921E-3</v>
      </c>
      <c r="W966">
        <v>7.3706008300591611E-2</v>
      </c>
      <c r="X966">
        <v>1.0180582942352235E-2</v>
      </c>
      <c r="Y966">
        <v>4.0755592703425195E-3</v>
      </c>
    </row>
    <row r="967" spans="1:25" x14ac:dyDescent="0.25">
      <c r="A967" s="1090"/>
      <c r="B967" s="1448">
        <v>717</v>
      </c>
      <c r="C967" s="1094">
        <v>1.013365505945685</v>
      </c>
      <c r="D967" s="1094">
        <v>1.0463630398731785</v>
      </c>
      <c r="E967" s="1094">
        <v>1.0276909504884764</v>
      </c>
      <c r="F967" s="1094">
        <v>1.0112181932225459</v>
      </c>
      <c r="G967" s="1094">
        <v>1.0226040936917287</v>
      </c>
      <c r="H967" s="1094">
        <v>1.0377217397174301</v>
      </c>
      <c r="I967" s="1094">
        <v>1.0288322309260034</v>
      </c>
      <c r="K967">
        <v>4.5378880052427437</v>
      </c>
      <c r="L967">
        <v>0</v>
      </c>
      <c r="M967">
        <v>1.4031370865257944E-3</v>
      </c>
      <c r="N967">
        <v>0.1318273400495481</v>
      </c>
      <c r="O967">
        <v>3.7435275631247912E-2</v>
      </c>
      <c r="P967">
        <v>1.975531843975354E-2</v>
      </c>
      <c r="Q967">
        <v>1.2933531018939309E-3</v>
      </c>
      <c r="R967">
        <v>1.3976521612970734E-3</v>
      </c>
      <c r="S967">
        <v>0.23634483206674584</v>
      </c>
      <c r="T967">
        <v>4.009439352408803</v>
      </c>
      <c r="U967">
        <v>0</v>
      </c>
      <c r="V967">
        <v>9.4523053561131973E-3</v>
      </c>
      <c r="W967">
        <v>7.7081506502869379E-2</v>
      </c>
      <c r="X967">
        <v>1.1314334897473443E-2</v>
      </c>
      <c r="Y967">
        <v>3.9498717135202062E-3</v>
      </c>
    </row>
    <row r="968" spans="1:25" x14ac:dyDescent="0.25">
      <c r="A968" s="1090"/>
      <c r="B968" s="1448">
        <v>718</v>
      </c>
      <c r="C968" s="1094">
        <v>0.99341524426218919</v>
      </c>
      <c r="D968" s="1094">
        <v>0.9856604039969068</v>
      </c>
      <c r="E968" s="1094">
        <v>0.99661403873270371</v>
      </c>
      <c r="F968" s="1094">
        <v>0.98946056161824103</v>
      </c>
      <c r="G968" s="1094">
        <v>0.96479631680436095</v>
      </c>
      <c r="H968" s="1094">
        <v>0.97583441165420337</v>
      </c>
      <c r="I968" s="1094">
        <v>0.98880497695772762</v>
      </c>
      <c r="K968">
        <v>4.4320232312060943</v>
      </c>
      <c r="L968">
        <v>0</v>
      </c>
      <c r="M968">
        <v>1.4403915752563082E-3</v>
      </c>
      <c r="N968">
        <v>0.12339125480549464</v>
      </c>
      <c r="O968">
        <v>3.8483571209481822E-2</v>
      </c>
      <c r="P968">
        <v>1.8882979332989797E-2</v>
      </c>
      <c r="Q968">
        <v>1.3160010581860146E-3</v>
      </c>
      <c r="R968">
        <v>1.4342728124900504E-3</v>
      </c>
      <c r="S968">
        <v>0.22780961710546202</v>
      </c>
      <c r="T968">
        <v>3.9243352025451195</v>
      </c>
      <c r="U968">
        <v>0</v>
      </c>
      <c r="V968">
        <v>9.4523053561131765E-3</v>
      </c>
      <c r="W968">
        <v>7.3667592666926476E-2</v>
      </c>
      <c r="X968">
        <v>1.0637461419443984E-2</v>
      </c>
      <c r="Y968">
        <v>4.0533644696460159E-3</v>
      </c>
    </row>
    <row r="969" spans="1:25" x14ac:dyDescent="0.25">
      <c r="A969" s="1090"/>
      <c r="B969" s="1448">
        <v>719</v>
      </c>
      <c r="C969" s="1094">
        <v>1.0216735870651323</v>
      </c>
      <c r="D969" s="1094">
        <v>1.0068684079456989</v>
      </c>
      <c r="E969" s="1094">
        <v>0.97048422099596143</v>
      </c>
      <c r="F969" s="1094">
        <v>0.97896756150703379</v>
      </c>
      <c r="G969" s="1094">
        <v>1.0111145047292887</v>
      </c>
      <c r="H969" s="1094">
        <v>1.0467601911486193</v>
      </c>
      <c r="I969" s="1094">
        <v>1.0431510176966454</v>
      </c>
      <c r="K969">
        <v>4.3979299890920922</v>
      </c>
      <c r="L969">
        <v>0</v>
      </c>
      <c r="M969">
        <v>1.5570329535446062E-3</v>
      </c>
      <c r="N969">
        <v>0.12346499918367389</v>
      </c>
      <c r="O969">
        <v>3.6879387614240963E-2</v>
      </c>
      <c r="P969">
        <v>1.8368558885966908E-2</v>
      </c>
      <c r="Q969">
        <v>1.2403619899994571E-3</v>
      </c>
      <c r="R969">
        <v>1.550801050770072E-3</v>
      </c>
      <c r="S969">
        <v>0.23587735670875534</v>
      </c>
      <c r="T969">
        <v>3.8837004738565861</v>
      </c>
      <c r="U969">
        <v>0</v>
      </c>
      <c r="V969">
        <v>9.4523053561132026E-3</v>
      </c>
      <c r="W969">
        <v>7.5039893598239968E-2</v>
      </c>
      <c r="X969">
        <v>9.5302016337489893E-3</v>
      </c>
      <c r="Y969">
        <v>4.3826821675354904E-3</v>
      </c>
    </row>
    <row r="970" spans="1:25" x14ac:dyDescent="0.25">
      <c r="A970" s="1090"/>
      <c r="B970" s="1448">
        <v>720</v>
      </c>
      <c r="C970" s="1094">
        <v>1.0039634184360575</v>
      </c>
      <c r="D970" s="1094">
        <v>0.99719190467780461</v>
      </c>
      <c r="E970" s="1094">
        <v>0.97483157547993471</v>
      </c>
      <c r="F970" s="1094">
        <v>1.0225931143466376</v>
      </c>
      <c r="G970" s="1094">
        <v>1.0286627082036219</v>
      </c>
      <c r="H970" s="1094">
        <v>0.99457598680602322</v>
      </c>
      <c r="I970" s="1094">
        <v>0.98339542204936881</v>
      </c>
      <c r="K970">
        <v>4.5720876202369176</v>
      </c>
      <c r="L970">
        <v>0</v>
      </c>
      <c r="M970">
        <v>1.5640780848692865E-3</v>
      </c>
      <c r="N970">
        <v>0.12563090354520828</v>
      </c>
      <c r="O970">
        <v>3.932381840170792E-2</v>
      </c>
      <c r="P970">
        <v>1.9174373525765741E-2</v>
      </c>
      <c r="Q970">
        <v>1.2719407879953249E-3</v>
      </c>
      <c r="R970">
        <v>1.5577694761461434E-3</v>
      </c>
      <c r="S970">
        <v>0.22982896298230976</v>
      </c>
      <c r="T970">
        <v>4.056597562075023</v>
      </c>
      <c r="U970">
        <v>0</v>
      </c>
      <c r="V970">
        <v>9.4523053561131991E-3</v>
      </c>
      <c r="W970">
        <v>7.6128063955434547E-2</v>
      </c>
      <c r="X970">
        <v>1.0283622746419308E-2</v>
      </c>
      <c r="Y970">
        <v>4.4023754696623759E-3</v>
      </c>
    </row>
    <row r="971" spans="1:25" x14ac:dyDescent="0.25">
      <c r="A971" s="1090"/>
      <c r="B971" s="1448">
        <v>721</v>
      </c>
      <c r="C971" s="1094">
        <v>1.0093857225306389</v>
      </c>
      <c r="D971" s="1094">
        <v>0.99027516561808038</v>
      </c>
      <c r="E971" s="1094">
        <v>1.0449899989605809</v>
      </c>
      <c r="F971" s="1094">
        <v>1.0068265576262301</v>
      </c>
      <c r="G971" s="1094">
        <v>0.96672090345621109</v>
      </c>
      <c r="H971" s="1094">
        <v>0.99061233136709759</v>
      </c>
      <c r="I971" s="1094">
        <v>1.0291292661005629</v>
      </c>
      <c r="K971">
        <v>4.5186624289502006</v>
      </c>
      <c r="L971">
        <v>0</v>
      </c>
      <c r="M971">
        <v>1.3195063774627854E-3</v>
      </c>
      <c r="N971">
        <v>0.13044537731447176</v>
      </c>
      <c r="O971">
        <v>3.8133897720662953E-2</v>
      </c>
      <c r="P971">
        <v>1.9921213300307536E-2</v>
      </c>
      <c r="Q971">
        <v>1.346755761620703E-3</v>
      </c>
      <c r="R971">
        <v>1.314079602479106E-3</v>
      </c>
      <c r="S971">
        <v>0.23690806221393215</v>
      </c>
      <c r="T971">
        <v>3.991375282932164</v>
      </c>
      <c r="U971">
        <v>0</v>
      </c>
      <c r="V971">
        <v>9.4523053561131852E-3</v>
      </c>
      <c r="W971">
        <v>7.5408223900937238E-2</v>
      </c>
      <c r="X971">
        <v>1.1963047943140934E-2</v>
      </c>
      <c r="Y971">
        <v>3.7136892818375998E-3</v>
      </c>
    </row>
    <row r="972" spans="1:25" x14ac:dyDescent="0.25">
      <c r="A972" s="1090"/>
      <c r="B972" s="1448">
        <v>722</v>
      </c>
      <c r="C972" s="1094">
        <v>0.97790446594206182</v>
      </c>
      <c r="D972" s="1094">
        <v>1.005664653102641</v>
      </c>
      <c r="E972" s="1094">
        <v>1.0274457119062104</v>
      </c>
      <c r="F972" s="1094">
        <v>1.0160457741952191</v>
      </c>
      <c r="G972" s="1094">
        <v>0.97981926642427974</v>
      </c>
      <c r="H972" s="1094">
        <v>1.0129041305934245</v>
      </c>
      <c r="I972" s="1094">
        <v>1.0376314640357047</v>
      </c>
      <c r="K972">
        <v>4.5790669402019004</v>
      </c>
      <c r="L972">
        <v>0</v>
      </c>
      <c r="M972">
        <v>1.4495532130015033E-3</v>
      </c>
      <c r="N972">
        <v>0.13607900392385927</v>
      </c>
      <c r="O972">
        <v>3.9603176541607124E-2</v>
      </c>
      <c r="P972">
        <v>1.9898263366854536E-2</v>
      </c>
      <c r="Q972">
        <v>1.3614095188970784E-3</v>
      </c>
      <c r="R972">
        <v>1.443775482043086E-3</v>
      </c>
      <c r="S972">
        <v>0.24874772883107057</v>
      </c>
      <c r="T972">
        <v>4.0285898765523189</v>
      </c>
      <c r="U972">
        <v>0</v>
      </c>
      <c r="V972">
        <v>9.4523053561131904E-3</v>
      </c>
      <c r="W972">
        <v>7.9580466674376169E-2</v>
      </c>
      <c r="X972">
        <v>1.1680267428464706E-2</v>
      </c>
      <c r="Y972">
        <v>4.0802197392973945E-3</v>
      </c>
    </row>
    <row r="973" spans="1:25" x14ac:dyDescent="0.25">
      <c r="A973" s="1090"/>
      <c r="B973" s="1448">
        <v>723</v>
      </c>
      <c r="C973" s="1094">
        <v>1.0071409966860074</v>
      </c>
      <c r="D973" s="1094">
        <v>1.0062660598823925</v>
      </c>
      <c r="E973" s="1094">
        <v>1.024027305804053</v>
      </c>
      <c r="F973" s="1094">
        <v>0.96462959047646069</v>
      </c>
      <c r="G973" s="1094">
        <v>1.0024991717494791</v>
      </c>
      <c r="H973" s="1094">
        <v>1.0279340308395133</v>
      </c>
      <c r="I973" s="1094">
        <v>0.97320566000710806</v>
      </c>
      <c r="K973">
        <v>4.3266229701190033</v>
      </c>
      <c r="L973">
        <v>0</v>
      </c>
      <c r="M973">
        <v>1.3658808520508007E-3</v>
      </c>
      <c r="N973">
        <v>0.12691526436015602</v>
      </c>
      <c r="O973">
        <v>3.6521394464195167E-2</v>
      </c>
      <c r="P973">
        <v>1.8771089238196353E-2</v>
      </c>
      <c r="Q973">
        <v>1.3177691960835573E-3</v>
      </c>
      <c r="R973">
        <v>1.360231504244224E-3</v>
      </c>
      <c r="S973">
        <v>0.21973681683798288</v>
      </c>
      <c r="T973">
        <v>3.8248502929081925</v>
      </c>
      <c r="U973">
        <v>0</v>
      </c>
      <c r="V973">
        <v>9.4523053561131973E-3</v>
      </c>
      <c r="W973">
        <v>7.4390127687867111E-2</v>
      </c>
      <c r="X973">
        <v>1.0829441338263133E-2</v>
      </c>
      <c r="Y973">
        <v>3.8441180797568375E-3</v>
      </c>
    </row>
    <row r="974" spans="1:25" x14ac:dyDescent="0.25">
      <c r="A974" s="1090"/>
      <c r="B974" s="1448">
        <v>724</v>
      </c>
      <c r="C974" s="1094">
        <v>1.0239040200523104</v>
      </c>
      <c r="D974" s="1094">
        <v>0.97118232563684626</v>
      </c>
      <c r="E974" s="1094">
        <v>0.96052125721637027</v>
      </c>
      <c r="F974" s="1094">
        <v>0.98806023094593509</v>
      </c>
      <c r="G974" s="1094">
        <v>0.97410171297503667</v>
      </c>
      <c r="H974" s="1094">
        <v>0.98245363207508352</v>
      </c>
      <c r="I974" s="1094">
        <v>1.0169568422083466</v>
      </c>
      <c r="K974">
        <v>4.4186511318616741</v>
      </c>
      <c r="L974">
        <v>0</v>
      </c>
      <c r="M974">
        <v>1.5245618944266356E-3</v>
      </c>
      <c r="N974">
        <v>0.11733855601413921</v>
      </c>
      <c r="O974">
        <v>3.7747218036412705E-2</v>
      </c>
      <c r="P974">
        <v>1.8357340919455168E-2</v>
      </c>
      <c r="Q974">
        <v>1.2447418627702489E-3</v>
      </c>
      <c r="R974">
        <v>1.5181201322454394E-3</v>
      </c>
      <c r="S974">
        <v>0.22863792221278401</v>
      </c>
      <c r="T974">
        <v>3.9201535223010184</v>
      </c>
      <c r="U974">
        <v>0</v>
      </c>
      <c r="V974">
        <v>9.4523053561131973E-3</v>
      </c>
      <c r="W974">
        <v>7.1809693269858046E-2</v>
      </c>
      <c r="X974">
        <v>9.6259502545854494E-3</v>
      </c>
      <c r="Y974">
        <v>4.2903233967147804E-3</v>
      </c>
    </row>
    <row r="975" spans="1:25" x14ac:dyDescent="0.25">
      <c r="A975" s="1090"/>
      <c r="B975" s="1448">
        <v>725</v>
      </c>
      <c r="C975" s="1094">
        <v>0.99944213385892644</v>
      </c>
      <c r="D975" s="1094">
        <v>1.0314759768341888</v>
      </c>
      <c r="E975" s="1094">
        <v>1.0043882891743343</v>
      </c>
      <c r="F975" s="1094">
        <v>1.0273061129573027</v>
      </c>
      <c r="G975" s="1094">
        <v>0.95690336818369592</v>
      </c>
      <c r="H975" s="1094">
        <v>1.0148548720687334</v>
      </c>
      <c r="I975" s="1094">
        <v>0.96104949214348179</v>
      </c>
      <c r="K975">
        <v>4.5929405806221215</v>
      </c>
      <c r="L975">
        <v>0</v>
      </c>
      <c r="M975">
        <v>1.4931830421243417E-3</v>
      </c>
      <c r="N975">
        <v>0.13093536496946059</v>
      </c>
      <c r="O975">
        <v>3.894513848977222E-2</v>
      </c>
      <c r="P975">
        <v>1.9666053647488066E-2</v>
      </c>
      <c r="Q975">
        <v>1.2930918329805432E-3</v>
      </c>
      <c r="R975">
        <v>1.4873076991584154E-3</v>
      </c>
      <c r="S975">
        <v>0.2255686072734471</v>
      </c>
      <c r="T975">
        <v>4.0741317486824897</v>
      </c>
      <c r="U975">
        <v>0</v>
      </c>
      <c r="V975">
        <v>9.452305356113206E-3</v>
      </c>
      <c r="W975">
        <v>7.7762080041978918E-2</v>
      </c>
      <c r="X975">
        <v>1.0988820562957141E-2</v>
      </c>
      <c r="Y975">
        <v>4.203245108392868E-3</v>
      </c>
    </row>
    <row r="976" spans="1:25" x14ac:dyDescent="0.25">
      <c r="A976" s="1090"/>
      <c r="B976" s="1448">
        <v>726</v>
      </c>
      <c r="C976" s="1094">
        <v>0.9644897792817887</v>
      </c>
      <c r="D976" s="1094">
        <v>1.0053308329113717</v>
      </c>
      <c r="E976" s="1094">
        <v>1.0281047788939399</v>
      </c>
      <c r="F976" s="1094">
        <v>1.02562555351368</v>
      </c>
      <c r="G976" s="1094">
        <v>1.0097018135368847</v>
      </c>
      <c r="H976" s="1094">
        <v>0.96515051520369799</v>
      </c>
      <c r="I976" s="1094">
        <v>1.0149542837273697</v>
      </c>
      <c r="K976">
        <v>4.6087280879071644</v>
      </c>
      <c r="L976">
        <v>0</v>
      </c>
      <c r="M976">
        <v>1.4117935671623645E-3</v>
      </c>
      <c r="N976">
        <v>0.13277168730471672</v>
      </c>
      <c r="O976">
        <v>4.0533154510506812E-2</v>
      </c>
      <c r="P976">
        <v>2.0063920074991547E-2</v>
      </c>
      <c r="Q976">
        <v>1.3812944849784254E-3</v>
      </c>
      <c r="R976">
        <v>1.405942858607813E-3</v>
      </c>
      <c r="S976">
        <v>0.24440769761444109</v>
      </c>
      <c r="T976">
        <v>4.0665480135545504</v>
      </c>
      <c r="U976">
        <v>0</v>
      </c>
      <c r="V976">
        <v>9.4523053561131991E-3</v>
      </c>
      <c r="W976">
        <v>7.7612375947556822E-2</v>
      </c>
      <c r="X976">
        <v>1.1990187910773007E-2</v>
      </c>
      <c r="Y976">
        <v>3.9733018570851522E-3</v>
      </c>
    </row>
    <row r="977" spans="1:25" x14ac:dyDescent="0.25">
      <c r="A977" s="1090"/>
      <c r="B977" s="1448">
        <v>727</v>
      </c>
      <c r="C977" s="1094">
        <v>0.99452616462233612</v>
      </c>
      <c r="D977" s="1094">
        <v>1.0054133630951489</v>
      </c>
      <c r="E977" s="1094">
        <v>0.99993782206527859</v>
      </c>
      <c r="F977" s="1094">
        <v>0.96232352086749195</v>
      </c>
      <c r="G977" s="1094">
        <v>1.0037390651374254</v>
      </c>
      <c r="H977" s="1094">
        <v>0.98050938235778817</v>
      </c>
      <c r="I977" s="1094">
        <v>1.0004584538009642</v>
      </c>
      <c r="K977">
        <v>4.3133263247577069</v>
      </c>
      <c r="L977">
        <v>0</v>
      </c>
      <c r="M977">
        <v>1.3853456380332134E-3</v>
      </c>
      <c r="N977">
        <v>0.11983856256776387</v>
      </c>
      <c r="O977">
        <v>3.7068723770745687E-2</v>
      </c>
      <c r="P977">
        <v>1.842686108725557E-2</v>
      </c>
      <c r="Q977">
        <v>1.3078634158228066E-3</v>
      </c>
      <c r="R977">
        <v>1.379324311452353E-3</v>
      </c>
      <c r="S977">
        <v>0.22497497452284868</v>
      </c>
      <c r="T977">
        <v>3.8165841005414829</v>
      </c>
      <c r="U977">
        <v>0</v>
      </c>
      <c r="V977">
        <v>9.4523053561131973E-3</v>
      </c>
      <c r="W977">
        <v>7.1385814810646514E-2</v>
      </c>
      <c r="X977">
        <v>1.0395064201011005E-2</v>
      </c>
      <c r="Y977">
        <v>3.8980758105938837E-3</v>
      </c>
    </row>
    <row r="978" spans="1:25" x14ac:dyDescent="0.25">
      <c r="A978" s="1090"/>
      <c r="B978" s="1448">
        <v>728</v>
      </c>
      <c r="C978" s="1094">
        <v>0.97000991883753351</v>
      </c>
      <c r="D978" s="1094">
        <v>0.97209757211012626</v>
      </c>
      <c r="E978" s="1094">
        <v>0.97524349075012784</v>
      </c>
      <c r="F978" s="1094">
        <v>1.0194544902622449</v>
      </c>
      <c r="G978" s="1094">
        <v>1.0008118654514628</v>
      </c>
      <c r="H978" s="1094">
        <v>0.99551536019302356</v>
      </c>
      <c r="I978" s="1094">
        <v>0.99636351396135658</v>
      </c>
      <c r="K978">
        <v>4.5831236529569575</v>
      </c>
      <c r="L978">
        <v>0</v>
      </c>
      <c r="M978">
        <v>1.6305449697040664E-3</v>
      </c>
      <c r="N978">
        <v>0.13112881566690762</v>
      </c>
      <c r="O978">
        <v>4.098814010494034E-2</v>
      </c>
      <c r="P978">
        <v>1.9181067816118794E-2</v>
      </c>
      <c r="Q978">
        <v>1.3304297248799581E-3</v>
      </c>
      <c r="R978">
        <v>1.6239543294978747E-3</v>
      </c>
      <c r="S978">
        <v>0.2424455233234096</v>
      </c>
      <c r="T978">
        <v>4.0441305444378317</v>
      </c>
      <c r="U978">
        <v>0</v>
      </c>
      <c r="V978">
        <v>9.4523053561132008E-3</v>
      </c>
      <c r="W978">
        <v>7.9437114450038801E-2</v>
      </c>
      <c r="X978">
        <v>1.0446883798710227E-2</v>
      </c>
      <c r="Y978">
        <v>4.5894189182088862E-3</v>
      </c>
    </row>
    <row r="979" spans="1:25" x14ac:dyDescent="0.25">
      <c r="A979" s="1090"/>
      <c r="B979" s="1448">
        <v>729</v>
      </c>
      <c r="C979" s="1094">
        <v>0.99406616058367958</v>
      </c>
      <c r="D979" s="1094">
        <v>0.9835531701750031</v>
      </c>
      <c r="E979" s="1094">
        <v>0.97781911177739345</v>
      </c>
      <c r="F979" s="1094">
        <v>1.0054080222603945</v>
      </c>
      <c r="G979" s="1094">
        <v>0.97866671775315439</v>
      </c>
      <c r="H979" s="1094">
        <v>1.0029261866130286</v>
      </c>
      <c r="I979" s="1094">
        <v>0.97370155049820717</v>
      </c>
      <c r="K979">
        <v>4.504133348031707</v>
      </c>
      <c r="L979">
        <v>0</v>
      </c>
      <c r="M979">
        <v>1.5650615879472824E-3</v>
      </c>
      <c r="N979">
        <v>0.12682519775952827</v>
      </c>
      <c r="O979">
        <v>3.9242799540833789E-2</v>
      </c>
      <c r="P979">
        <v>1.8907863967345874E-2</v>
      </c>
      <c r="Q979">
        <v>1.2950625506896127E-3</v>
      </c>
      <c r="R979">
        <v>1.5586950060190766E-3</v>
      </c>
      <c r="S979">
        <v>0.22878317442115748</v>
      </c>
      <c r="T979">
        <v>3.9883090906670691</v>
      </c>
      <c r="U979">
        <v>0</v>
      </c>
      <c r="V979">
        <v>9.4523053561132008E-3</v>
      </c>
      <c r="W979">
        <v>7.669422802695397E-2</v>
      </c>
      <c r="X979">
        <v>1.0225001236193569E-2</v>
      </c>
      <c r="Y979">
        <v>4.4049910877441501E-3</v>
      </c>
    </row>
    <row r="980" spans="1:25" x14ac:dyDescent="0.25">
      <c r="A980" s="1090"/>
      <c r="B980" s="1448">
        <v>730</v>
      </c>
      <c r="C980" s="1094">
        <v>1.0097940561833316</v>
      </c>
      <c r="D980" s="1094">
        <v>1.0125579918492342</v>
      </c>
      <c r="E980" s="1094">
        <v>0.97984957613356005</v>
      </c>
      <c r="F980" s="1094">
        <v>0.98313673162767445</v>
      </c>
      <c r="G980" s="1094">
        <v>0.98202892408282549</v>
      </c>
      <c r="H980" s="1094">
        <v>1.0082588389833598</v>
      </c>
      <c r="I980" s="1094">
        <v>1.0255677212580538</v>
      </c>
      <c r="K980">
        <v>4.4075517587798387</v>
      </c>
      <c r="L980">
        <v>0</v>
      </c>
      <c r="M980">
        <v>1.4908329460107373E-3</v>
      </c>
      <c r="N980">
        <v>0.12153170038706841</v>
      </c>
      <c r="O980">
        <v>3.7325759807159735E-2</v>
      </c>
      <c r="P980">
        <v>1.8555290566227893E-2</v>
      </c>
      <c r="Q980">
        <v>1.2623809025785579E-3</v>
      </c>
      <c r="R980">
        <v>1.4846643106127687E-3</v>
      </c>
      <c r="S980">
        <v>0.23200184291328083</v>
      </c>
      <c r="T980">
        <v>3.8998852794476941</v>
      </c>
      <c r="U980">
        <v>0</v>
      </c>
      <c r="V980">
        <v>9.4523053561132026E-3</v>
      </c>
      <c r="W980">
        <v>7.3390874623503993E-2</v>
      </c>
      <c r="X980">
        <v>9.9567187210574289E-3</v>
      </c>
      <c r="Y980">
        <v>4.1957746905497018E-3</v>
      </c>
    </row>
    <row r="981" spans="1:25" x14ac:dyDescent="0.25">
      <c r="A981" s="1090"/>
      <c r="B981" s="1448">
        <v>731</v>
      </c>
      <c r="C981" s="1094">
        <v>0.97650108925869694</v>
      </c>
      <c r="D981" s="1094">
        <v>1.0053858537238203</v>
      </c>
      <c r="E981" s="1094">
        <v>0.99379622983295779</v>
      </c>
      <c r="F981" s="1094">
        <v>0.99207667383071563</v>
      </c>
      <c r="G981" s="1094">
        <v>1.0137470927621883</v>
      </c>
      <c r="H981" s="1094">
        <v>1.033687143921465</v>
      </c>
      <c r="I981" s="1094">
        <v>1.0110491018832413</v>
      </c>
      <c r="K981">
        <v>4.4697180596299351</v>
      </c>
      <c r="L981">
        <v>0</v>
      </c>
      <c r="M981">
        <v>1.5531975598997213E-3</v>
      </c>
      <c r="N981">
        <v>0.13198103820492793</v>
      </c>
      <c r="O981">
        <v>3.8963371649823469E-2</v>
      </c>
      <c r="P981">
        <v>1.8947926980295939E-2</v>
      </c>
      <c r="Q981">
        <v>1.325012991916056E-3</v>
      </c>
      <c r="R981">
        <v>1.5469852265181455E-3</v>
      </c>
      <c r="S981">
        <v>0.24045577802806062</v>
      </c>
      <c r="T981">
        <v>3.9348177634685904</v>
      </c>
      <c r="U981">
        <v>0</v>
      </c>
      <c r="V981">
        <v>9.4523053561131939E-3</v>
      </c>
      <c r="W981">
        <v>7.894660198459437E-2</v>
      </c>
      <c r="X981">
        <v>1.0462574942117124E-2</v>
      </c>
      <c r="Y981">
        <v>4.3718983568751448E-3</v>
      </c>
    </row>
    <row r="982" spans="1:25" x14ac:dyDescent="0.25">
      <c r="A982" s="1090"/>
      <c r="B982" s="1448">
        <v>732</v>
      </c>
      <c r="C982" s="1094">
        <v>1.0159433897461077</v>
      </c>
      <c r="D982" s="1094">
        <v>1.0296239250629748</v>
      </c>
      <c r="E982" s="1094">
        <v>0.99382223415961235</v>
      </c>
      <c r="F982" s="1094">
        <v>0.99723678686082273</v>
      </c>
      <c r="G982" s="1094">
        <v>0.97586709905500157</v>
      </c>
      <c r="H982" s="1094">
        <v>0.97031635799934823</v>
      </c>
      <c r="I982" s="1094">
        <v>1.0225551059991307</v>
      </c>
      <c r="K982">
        <v>4.4542609824491093</v>
      </c>
      <c r="L982">
        <v>0</v>
      </c>
      <c r="M982">
        <v>1.3951979172188936E-3</v>
      </c>
      <c r="N982">
        <v>0.11853587175505352</v>
      </c>
      <c r="O982">
        <v>3.7288288383052648E-2</v>
      </c>
      <c r="P982">
        <v>1.8985142083704123E-2</v>
      </c>
      <c r="Q982">
        <v>1.2615217270647214E-3</v>
      </c>
      <c r="R982">
        <v>1.3892837190250199E-3</v>
      </c>
      <c r="S982">
        <v>0.22812906722957163</v>
      </c>
      <c r="T982">
        <v>3.9552830382566762</v>
      </c>
      <c r="U982">
        <v>0</v>
      </c>
      <c r="V982">
        <v>9.4523053561131973E-3</v>
      </c>
      <c r="W982">
        <v>7.0902905835230415E-2</v>
      </c>
      <c r="X982">
        <v>1.0502534164074722E-2</v>
      </c>
      <c r="Y982">
        <v>3.9262218567590384E-3</v>
      </c>
    </row>
    <row r="983" spans="1:25" x14ac:dyDescent="0.25">
      <c r="A983" s="1090"/>
      <c r="B983" s="1448">
        <v>733</v>
      </c>
      <c r="C983" s="1094">
        <v>0.97468158020111439</v>
      </c>
      <c r="D983" s="1094">
        <v>0.99654520731406526</v>
      </c>
      <c r="E983" s="1094">
        <v>1.0107485857946275</v>
      </c>
      <c r="F983" s="1094">
        <v>1.0035668169517518</v>
      </c>
      <c r="G983" s="1094">
        <v>0.99954532372131477</v>
      </c>
      <c r="H983" s="1094">
        <v>0.99089139318797326</v>
      </c>
      <c r="I983" s="1094">
        <v>0.96949356012894017</v>
      </c>
      <c r="K983">
        <v>4.5025991869222786</v>
      </c>
      <c r="L983">
        <v>0</v>
      </c>
      <c r="M983">
        <v>1.4610950734674389E-3</v>
      </c>
      <c r="N983">
        <v>0.13053270355029203</v>
      </c>
      <c r="O983">
        <v>3.9507919151730526E-2</v>
      </c>
      <c r="P983">
        <v>1.9347299744060829E-2</v>
      </c>
      <c r="Q983">
        <v>1.3516525664981854E-3</v>
      </c>
      <c r="R983">
        <v>1.4550682413575738E-3</v>
      </c>
      <c r="S983">
        <v>0.23020104207125189</v>
      </c>
      <c r="T983">
        <v>3.9797433291559572</v>
      </c>
      <c r="U983">
        <v>0</v>
      </c>
      <c r="V983">
        <v>9.4523053561131887E-3</v>
      </c>
      <c r="W983">
        <v>7.7192101173700095E-2</v>
      </c>
      <c r="X983">
        <v>1.1164727045499104E-2</v>
      </c>
      <c r="Y983">
        <v>4.1121339392815245E-3</v>
      </c>
    </row>
    <row r="984" spans="1:25" x14ac:dyDescent="0.25">
      <c r="A984" s="1090"/>
      <c r="B984" s="1448">
        <v>734</v>
      </c>
      <c r="C984" s="1094">
        <v>0.98761361176342521</v>
      </c>
      <c r="D984" s="1094">
        <v>1.0133635588450254</v>
      </c>
      <c r="E984" s="1094">
        <v>0.97589039343059969</v>
      </c>
      <c r="F984" s="1094">
        <v>1.004646501051766</v>
      </c>
      <c r="G984" s="1094">
        <v>1.0313295360380927</v>
      </c>
      <c r="H984" s="1094">
        <v>0.96581773290976347</v>
      </c>
      <c r="I984" s="1094">
        <v>1.0392438742190127</v>
      </c>
      <c r="K984">
        <v>4.5035630114592067</v>
      </c>
      <c r="L984">
        <v>0</v>
      </c>
      <c r="M984">
        <v>1.5039338632538957E-3</v>
      </c>
      <c r="N984">
        <v>0.12115662505428816</v>
      </c>
      <c r="O984">
        <v>3.9014025523178432E-2</v>
      </c>
      <c r="P984">
        <v>1.8919243694686592E-2</v>
      </c>
      <c r="Q984">
        <v>1.2858888770112273E-3</v>
      </c>
      <c r="R984">
        <v>1.4975760881561658E-3</v>
      </c>
      <c r="S984">
        <v>0.24048377041722627</v>
      </c>
      <c r="T984">
        <v>3.9853628670120367</v>
      </c>
      <c r="U984">
        <v>0</v>
      </c>
      <c r="V984">
        <v>9.4523053561131887E-3</v>
      </c>
      <c r="W984">
        <v>7.3363394892062103E-2</v>
      </c>
      <c r="X984">
        <v>1.0298984048048195E-2</v>
      </c>
      <c r="Y984">
        <v>4.232264359654926E-3</v>
      </c>
    </row>
    <row r="985" spans="1:25" x14ac:dyDescent="0.25">
      <c r="A985" s="1090"/>
      <c r="B985" s="1448">
        <v>735</v>
      </c>
      <c r="C985" s="1094">
        <v>1.0305667355348418</v>
      </c>
      <c r="D985" s="1094">
        <v>0.98951273570244191</v>
      </c>
      <c r="E985" s="1094">
        <v>1.0333950239785545</v>
      </c>
      <c r="F985" s="1094">
        <v>0.9651591655327072</v>
      </c>
      <c r="G985" s="1094">
        <v>1.001757508877327</v>
      </c>
      <c r="H985" s="1094">
        <v>1.0067479294754835</v>
      </c>
      <c r="I985" s="1094">
        <v>0.97791112491231869</v>
      </c>
      <c r="K985">
        <v>4.3174790312308877</v>
      </c>
      <c r="L985">
        <v>0</v>
      </c>
      <c r="M985">
        <v>1.291015265876798E-3</v>
      </c>
      <c r="N985">
        <v>0.12331736893148709</v>
      </c>
      <c r="O985">
        <v>3.5890714605568357E-2</v>
      </c>
      <c r="P985">
        <v>1.8887756276743158E-2</v>
      </c>
      <c r="Q985">
        <v>1.3067540316454454E-3</v>
      </c>
      <c r="R985">
        <v>1.2855661752999351E-3</v>
      </c>
      <c r="S985">
        <v>0.21550732203717393</v>
      </c>
      <c r="T985">
        <v>3.8266106626808036</v>
      </c>
      <c r="U985">
        <v>0</v>
      </c>
      <c r="V985">
        <v>9.4523053561131869E-3</v>
      </c>
      <c r="W985">
        <v>7.183380251782473E-2</v>
      </c>
      <c r="X985">
        <v>1.1044685724373142E-2</v>
      </c>
      <c r="Y985">
        <v>3.6331081597320773E-3</v>
      </c>
    </row>
    <row r="986" spans="1:25" x14ac:dyDescent="0.25">
      <c r="A986" s="1090"/>
      <c r="B986" s="1448">
        <v>736</v>
      </c>
      <c r="C986" s="1094">
        <v>0.97922738949194721</v>
      </c>
      <c r="D986" s="1094">
        <v>1.0382479407011094</v>
      </c>
      <c r="E986" s="1094">
        <v>1.0202543888350919</v>
      </c>
      <c r="F986" s="1094">
        <v>1.0132973504304847</v>
      </c>
      <c r="G986" s="1094">
        <v>0.98620971266033808</v>
      </c>
      <c r="H986" s="1094">
        <v>0.99131707067159391</v>
      </c>
      <c r="I986" s="1094">
        <v>1.0198096469628946</v>
      </c>
      <c r="K986">
        <v>4.5491873912377097</v>
      </c>
      <c r="L986">
        <v>0</v>
      </c>
      <c r="M986">
        <v>1.4163857721779327E-3</v>
      </c>
      <c r="N986">
        <v>0.13015426519885606</v>
      </c>
      <c r="O986">
        <v>3.8993324026641366E-2</v>
      </c>
      <c r="P986">
        <v>1.9703244106571361E-2</v>
      </c>
      <c r="Q986">
        <v>1.3342158012380867E-3</v>
      </c>
      <c r="R986">
        <v>1.4106017216792644E-3</v>
      </c>
      <c r="S986">
        <v>0.23968686428414435</v>
      </c>
      <c r="T986">
        <v>4.0179667064658737</v>
      </c>
      <c r="U986">
        <v>0</v>
      </c>
      <c r="V986">
        <v>9.4523053561131887E-3</v>
      </c>
      <c r="W986">
        <v>7.6480521663622042E-2</v>
      </c>
      <c r="X986">
        <v>1.1435260225335439E-2</v>
      </c>
      <c r="Y986">
        <v>3.9864681598124436E-3</v>
      </c>
    </row>
    <row r="987" spans="1:25" x14ac:dyDescent="0.25">
      <c r="A987" s="1090"/>
      <c r="B987" s="1448">
        <v>737</v>
      </c>
      <c r="C987" s="1094">
        <v>0.97783489957823977</v>
      </c>
      <c r="D987" s="1094">
        <v>0.96072283196925023</v>
      </c>
      <c r="E987" s="1094">
        <v>0.97754764842182196</v>
      </c>
      <c r="F987" s="1094">
        <v>0.97935597920664663</v>
      </c>
      <c r="G987" s="1094">
        <v>1.0326727061595184</v>
      </c>
      <c r="H987" s="1094">
        <v>1.0066845454707338</v>
      </c>
      <c r="I987" s="1094">
        <v>1.002680969118861</v>
      </c>
      <c r="K987">
        <v>4.4094471735093332</v>
      </c>
      <c r="L987">
        <v>0</v>
      </c>
      <c r="M987">
        <v>1.5713693743325795E-3</v>
      </c>
      <c r="N987">
        <v>0.12722202653673267</v>
      </c>
      <c r="O987">
        <v>3.9229139852972175E-2</v>
      </c>
      <c r="P987">
        <v>1.8480003285596503E-2</v>
      </c>
      <c r="Q987">
        <v>1.3286723760542395E-3</v>
      </c>
      <c r="R987">
        <v>1.5648323005020997E-3</v>
      </c>
      <c r="S987">
        <v>0.23732787431453725</v>
      </c>
      <c r="T987">
        <v>3.8849746153763118</v>
      </c>
      <c r="U987">
        <v>0</v>
      </c>
      <c r="V987">
        <v>9.4523053561131991E-3</v>
      </c>
      <c r="W987">
        <v>7.6948532686745827E-2</v>
      </c>
      <c r="X987">
        <v>1.0068205247582097E-2</v>
      </c>
      <c r="Y987">
        <v>4.4223355505134416E-3</v>
      </c>
    </row>
    <row r="988" spans="1:25" x14ac:dyDescent="0.25">
      <c r="A988" s="1090"/>
      <c r="B988" s="1448">
        <v>738</v>
      </c>
      <c r="C988" s="1094">
        <v>0.99672405032935907</v>
      </c>
      <c r="D988" s="1094">
        <v>0.95646699021922632</v>
      </c>
      <c r="E988" s="1094">
        <v>1.00545224418004</v>
      </c>
      <c r="F988" s="1094">
        <v>1.0213609104969226</v>
      </c>
      <c r="G988" s="1094">
        <v>1.0177962797892266</v>
      </c>
      <c r="H988" s="1094">
        <v>1.0097805246224649</v>
      </c>
      <c r="I988" s="1094">
        <v>0.99861510135885234</v>
      </c>
      <c r="K988">
        <v>4.5889395042490309</v>
      </c>
      <c r="L988">
        <v>0</v>
      </c>
      <c r="M988">
        <v>1.5231760287623417E-3</v>
      </c>
      <c r="N988">
        <v>0.13398123893109903</v>
      </c>
      <c r="O988">
        <v>4.0008125777945221E-2</v>
      </c>
      <c r="P988">
        <v>1.9635432363681239E-2</v>
      </c>
      <c r="Q988">
        <v>1.3375884462328905E-3</v>
      </c>
      <c r="R988">
        <v>1.5171176312394892E-3</v>
      </c>
      <c r="S988">
        <v>0.23908177500945044</v>
      </c>
      <c r="T988">
        <v>4.0505127444643776</v>
      </c>
      <c r="U988">
        <v>0</v>
      </c>
      <c r="V988">
        <v>9.4523053561131869E-3</v>
      </c>
      <c r="W988">
        <v>7.9514006033126416E-2</v>
      </c>
      <c r="X988">
        <v>1.1134856012193228E-2</v>
      </c>
      <c r="Y988">
        <v>4.2874902523346347E-3</v>
      </c>
    </row>
    <row r="989" spans="1:25" x14ac:dyDescent="0.25">
      <c r="A989" s="1090"/>
      <c r="B989" s="1448">
        <v>739</v>
      </c>
      <c r="C989" s="1094">
        <v>1.0143485286612075</v>
      </c>
      <c r="D989" s="1094">
        <v>1.0039952968021826</v>
      </c>
      <c r="E989" s="1094">
        <v>1.0014214328294695</v>
      </c>
      <c r="F989" s="1094">
        <v>0.97423104726043053</v>
      </c>
      <c r="G989" s="1094">
        <v>1.0180861744145253</v>
      </c>
      <c r="H989" s="1094">
        <v>0.95803975664907581</v>
      </c>
      <c r="I989" s="1094">
        <v>0.99990986311610375</v>
      </c>
      <c r="K989">
        <v>4.3506835292089185</v>
      </c>
      <c r="L989">
        <v>0</v>
      </c>
      <c r="M989">
        <v>1.3400633100167059E-3</v>
      </c>
      <c r="N989">
        <v>0.11642652312558076</v>
      </c>
      <c r="O989">
        <v>3.680505215208571E-2</v>
      </c>
      <c r="P989">
        <v>1.8642735210010308E-2</v>
      </c>
      <c r="Q989">
        <v>1.2846610541893981E-3</v>
      </c>
      <c r="R989">
        <v>1.3341747468585553E-3</v>
      </c>
      <c r="S989">
        <v>0.22073756376375683</v>
      </c>
      <c r="T989">
        <v>3.8637544388130673</v>
      </c>
      <c r="U989">
        <v>0</v>
      </c>
      <c r="V989">
        <v>9.4523053561131921E-3</v>
      </c>
      <c r="W989">
        <v>6.9283844265371125E-2</v>
      </c>
      <c r="X989">
        <v>1.0531814337857028E-2</v>
      </c>
      <c r="Y989">
        <v>3.7704796940456189E-3</v>
      </c>
    </row>
    <row r="990" spans="1:25" x14ac:dyDescent="0.25">
      <c r="A990" s="1090"/>
      <c r="B990" s="1448">
        <v>740</v>
      </c>
      <c r="C990" s="1094">
        <v>0.9927743811023727</v>
      </c>
      <c r="D990" s="1094">
        <v>0.98681981731898527</v>
      </c>
      <c r="E990" s="1094">
        <v>1.0094440929946205</v>
      </c>
      <c r="F990" s="1094">
        <v>1.0070899300978222</v>
      </c>
      <c r="G990" s="1094">
        <v>1.0102456372623323</v>
      </c>
      <c r="H990" s="1094">
        <v>0.9869787353099414</v>
      </c>
      <c r="I990" s="1094">
        <v>1.0440253977112739</v>
      </c>
      <c r="K990">
        <v>4.5271366734705945</v>
      </c>
      <c r="L990">
        <v>0</v>
      </c>
      <c r="M990">
        <v>1.4434001787747702E-3</v>
      </c>
      <c r="N990">
        <v>0.12845452500983356</v>
      </c>
      <c r="O990">
        <v>3.9086216391922078E-2</v>
      </c>
      <c r="P990">
        <v>1.9457801564908585E-2</v>
      </c>
      <c r="Q990">
        <v>1.330756194768271E-3</v>
      </c>
      <c r="R990">
        <v>1.437443558965304E-3</v>
      </c>
      <c r="S990">
        <v>0.24436804735299478</v>
      </c>
      <c r="T990">
        <v>3.9937643631731854</v>
      </c>
      <c r="U990">
        <v>0</v>
      </c>
      <c r="V990">
        <v>9.4523053561131921E-3</v>
      </c>
      <c r="W990">
        <v>7.6029692152621994E-2</v>
      </c>
      <c r="X990">
        <v>1.1136597652793772E-2</v>
      </c>
      <c r="Y990">
        <v>4.0623252412601242E-3</v>
      </c>
    </row>
    <row r="991" spans="1:25" x14ac:dyDescent="0.25">
      <c r="A991" s="1090"/>
      <c r="B991" s="1448">
        <v>741</v>
      </c>
      <c r="C991" s="1094">
        <v>1.0191507449790491</v>
      </c>
      <c r="D991" s="1094">
        <v>0.99284222867837557</v>
      </c>
      <c r="E991" s="1094">
        <v>0.97850789614759159</v>
      </c>
      <c r="F991" s="1094">
        <v>0.98847704399770542</v>
      </c>
      <c r="G991" s="1094">
        <v>1.0210519315559095</v>
      </c>
      <c r="H991" s="1094">
        <v>0.986769782852702</v>
      </c>
      <c r="I991" s="1094">
        <v>1.0155416722707877</v>
      </c>
      <c r="K991">
        <v>4.4216888847514344</v>
      </c>
      <c r="L991">
        <v>0</v>
      </c>
      <c r="M991">
        <v>1.4690920145852793E-3</v>
      </c>
      <c r="N991">
        <v>0.11927545305599248</v>
      </c>
      <c r="O991">
        <v>3.7486512056061162E-2</v>
      </c>
      <c r="P991">
        <v>1.8614525496467593E-2</v>
      </c>
      <c r="Q991">
        <v>1.2591997036082E-3</v>
      </c>
      <c r="R991">
        <v>1.4629143768483117E-3</v>
      </c>
      <c r="S991">
        <v>0.22822298931992616</v>
      </c>
      <c r="T991">
        <v>3.9211201303807179</v>
      </c>
      <c r="U991">
        <v>0</v>
      </c>
      <c r="V991">
        <v>9.4523053561131973E-3</v>
      </c>
      <c r="W991">
        <v>7.2094644239905886E-2</v>
      </c>
      <c r="X991">
        <v>1.0034995063171929E-2</v>
      </c>
      <c r="Y991">
        <v>4.1343077172024574E-3</v>
      </c>
    </row>
    <row r="992" spans="1:25" x14ac:dyDescent="0.25">
      <c r="A992" s="1090"/>
      <c r="B992" s="1448">
        <v>742</v>
      </c>
      <c r="C992" s="1094">
        <v>0.99198941317984235</v>
      </c>
      <c r="D992" s="1094">
        <v>0.99899473964765484</v>
      </c>
      <c r="E992" s="1094">
        <v>0.97079111691038233</v>
      </c>
      <c r="F992" s="1094">
        <v>1.0241593702628349</v>
      </c>
      <c r="G992" s="1094">
        <v>1.0458441042147493</v>
      </c>
      <c r="H992" s="1094">
        <v>1.0186174483737154</v>
      </c>
      <c r="I992" s="1094">
        <v>1.0246308223303999</v>
      </c>
      <c r="K992">
        <v>4.6007483988611062</v>
      </c>
      <c r="L992">
        <v>0</v>
      </c>
      <c r="M992">
        <v>1.6363274371609029E-3</v>
      </c>
      <c r="N992">
        <v>0.12988010803518266</v>
      </c>
      <c r="O992">
        <v>3.985917299861598E-2</v>
      </c>
      <c r="P992">
        <v>1.9208516304409111E-2</v>
      </c>
      <c r="Q992">
        <v>1.2818398576867169E-3</v>
      </c>
      <c r="R992">
        <v>1.629893005131707E-3</v>
      </c>
      <c r="S992">
        <v>0.24440580703648251</v>
      </c>
      <c r="T992">
        <v>4.0629705241310621</v>
      </c>
      <c r="U992">
        <v>0</v>
      </c>
      <c r="V992">
        <v>9.4523053561131939E-3</v>
      </c>
      <c r="W992">
        <v>7.8922183259576603E-2</v>
      </c>
      <c r="X992">
        <v>1.0168174245058271E-2</v>
      </c>
      <c r="Y992">
        <v>4.6062020689465319E-3</v>
      </c>
    </row>
    <row r="993" spans="1:25" x14ac:dyDescent="0.25">
      <c r="A993" s="1090"/>
      <c r="B993" s="1448">
        <v>743</v>
      </c>
      <c r="C993" s="1094">
        <v>1.0002492313594431</v>
      </c>
      <c r="D993" s="1094">
        <v>1.0281681357350472</v>
      </c>
      <c r="E993" s="1094">
        <v>1.0250451458755314</v>
      </c>
      <c r="F993" s="1094">
        <v>0.97104271373492601</v>
      </c>
      <c r="G993" s="1094">
        <v>1.0167147326721195</v>
      </c>
      <c r="H993" s="1094">
        <v>0.98763678318094128</v>
      </c>
      <c r="I993" s="1094">
        <v>1.0235129515851276</v>
      </c>
      <c r="K993">
        <v>4.3550159498026195</v>
      </c>
      <c r="L993">
        <v>0</v>
      </c>
      <c r="M993">
        <v>1.3158837413645556E-3</v>
      </c>
      <c r="N993">
        <v>0.12262095343293246</v>
      </c>
      <c r="O993">
        <v>3.6693314337233357E-2</v>
      </c>
      <c r="P993">
        <v>1.8946497008337043E-2</v>
      </c>
      <c r="Q993">
        <v>1.3166000372854744E-3</v>
      </c>
      <c r="R993">
        <v>1.310256371687445E-3</v>
      </c>
      <c r="S993">
        <v>0.22919228494744931</v>
      </c>
      <c r="T993">
        <v>3.8502417668461728</v>
      </c>
      <c r="U993">
        <v>0</v>
      </c>
      <c r="V993">
        <v>9.4523053561131973E-3</v>
      </c>
      <c r="W993">
        <v>7.1824446307638054E-2</v>
      </c>
      <c r="X993">
        <v>1.1030524359400076E-2</v>
      </c>
      <c r="Y993">
        <v>3.7028845397305025E-3</v>
      </c>
    </row>
    <row r="994" spans="1:25" x14ac:dyDescent="0.25">
      <c r="A994" s="1090"/>
      <c r="B994" s="1448">
        <v>744</v>
      </c>
      <c r="C994" s="1094">
        <v>1.0355567074648335</v>
      </c>
      <c r="D994" s="1094">
        <v>0.9937045679618095</v>
      </c>
      <c r="E994" s="1094">
        <v>0.95456304306926709</v>
      </c>
      <c r="F994" s="1094">
        <v>1.0287576571967831</v>
      </c>
      <c r="G994" s="1094">
        <v>0.9974260111212544</v>
      </c>
      <c r="H994" s="1094">
        <v>0.98734304234899883</v>
      </c>
      <c r="I994" s="1094">
        <v>0.96194894477084825</v>
      </c>
      <c r="K994">
        <v>4.5759532070084887</v>
      </c>
      <c r="L994">
        <v>0</v>
      </c>
      <c r="M994">
        <v>1.5822485549495304E-3</v>
      </c>
      <c r="N994">
        <v>0.11966318168128996</v>
      </c>
      <c r="O994">
        <v>3.8545452972084802E-2</v>
      </c>
      <c r="P994">
        <v>1.8939094359272147E-2</v>
      </c>
      <c r="Q994">
        <v>1.2131189579661277E-3</v>
      </c>
      <c r="R994">
        <v>1.5758582734286674E-3</v>
      </c>
      <c r="S994">
        <v>0.21855583762197642</v>
      </c>
      <c r="T994">
        <v>4.0818598098860113</v>
      </c>
      <c r="U994">
        <v>0</v>
      </c>
      <c r="V994">
        <v>9.4523053561131904E-3</v>
      </c>
      <c r="W994">
        <v>7.3536536975869496E-2</v>
      </c>
      <c r="X994">
        <v>9.7407636876280686E-3</v>
      </c>
      <c r="Y994">
        <v>4.4534957917971314E-3</v>
      </c>
    </row>
    <row r="995" spans="1:25" x14ac:dyDescent="0.25">
      <c r="A995" s="1090"/>
      <c r="B995" s="1448">
        <v>745</v>
      </c>
      <c r="C995" s="1094">
        <v>0.95984606113967486</v>
      </c>
      <c r="D995" s="1094">
        <v>0.99053564264719118</v>
      </c>
      <c r="E995" s="1094">
        <v>1.0100528170391516</v>
      </c>
      <c r="F995" s="1094">
        <v>0.96483363746843154</v>
      </c>
      <c r="G995" s="1094">
        <v>0.99899809022713615</v>
      </c>
      <c r="H995" s="1094">
        <v>0.99427196412176788</v>
      </c>
      <c r="I995" s="1094">
        <v>0.98705382899737026</v>
      </c>
      <c r="K995">
        <v>4.345541657829342</v>
      </c>
      <c r="L995">
        <v>0</v>
      </c>
      <c r="M995">
        <v>1.4370911218166097E-3</v>
      </c>
      <c r="N995">
        <v>0.128104677308255</v>
      </c>
      <c r="O995">
        <v>3.8668422734403046E-2</v>
      </c>
      <c r="P995">
        <v>1.864398238556135E-2</v>
      </c>
      <c r="Q995">
        <v>1.3750539648850297E-3</v>
      </c>
      <c r="R995">
        <v>1.4309473031704526E-3</v>
      </c>
      <c r="S995">
        <v>0.2324796929229776</v>
      </c>
      <c r="T995">
        <v>3.8261685138829216</v>
      </c>
      <c r="U995">
        <v>0</v>
      </c>
      <c r="V995">
        <v>9.4523053561131869E-3</v>
      </c>
      <c r="W995">
        <v>7.5791640947774699E-2</v>
      </c>
      <c r="X995">
        <v>1.0819545818681818E-2</v>
      </c>
      <c r="Y995">
        <v>4.0439663264182054E-3</v>
      </c>
    </row>
    <row r="996" spans="1:25" x14ac:dyDescent="0.25">
      <c r="A996" s="1090"/>
      <c r="B996" s="1448">
        <v>746</v>
      </c>
      <c r="C996" s="1094">
        <v>1.013692634444787</v>
      </c>
      <c r="D996" s="1094">
        <v>0.99030159712453125</v>
      </c>
      <c r="E996" s="1094">
        <v>0.9969533519104804</v>
      </c>
      <c r="F996" s="1094">
        <v>0.97921813350375109</v>
      </c>
      <c r="G996" s="1094">
        <v>0.95635374436296439</v>
      </c>
      <c r="H996" s="1094">
        <v>0.99094720545586779</v>
      </c>
      <c r="I996" s="1094">
        <v>0.97430379882807605</v>
      </c>
      <c r="K996">
        <v>4.3777155019092593</v>
      </c>
      <c r="L996">
        <v>0</v>
      </c>
      <c r="M996">
        <v>1.4149888975427589E-3</v>
      </c>
      <c r="N996">
        <v>0.12133967410138394</v>
      </c>
      <c r="O996">
        <v>3.725104502551374E-2</v>
      </c>
      <c r="P996">
        <v>1.8664364851776416E-2</v>
      </c>
      <c r="Q996">
        <v>1.287630492086604E-3</v>
      </c>
      <c r="R996">
        <v>1.4090080614905535E-3</v>
      </c>
      <c r="S996">
        <v>0.21922249615209641</v>
      </c>
      <c r="T996">
        <v>3.8836996664598344</v>
      </c>
      <c r="U996">
        <v>0</v>
      </c>
      <c r="V996">
        <v>9.4523053561131904E-3</v>
      </c>
      <c r="W996">
        <v>7.2426100968619414E-2</v>
      </c>
      <c r="X996">
        <v>1.0396234983436843E-2</v>
      </c>
      <c r="Y996">
        <v>3.9819643544489461E-3</v>
      </c>
    </row>
    <row r="997" spans="1:25" x14ac:dyDescent="0.25">
      <c r="A997" s="1090"/>
      <c r="B997" s="1448">
        <v>747</v>
      </c>
      <c r="C997" s="1094">
        <v>0.98069920235282859</v>
      </c>
      <c r="D997" s="1094">
        <v>1.0168930216967658</v>
      </c>
      <c r="E997" s="1094">
        <v>1.0018376541635281</v>
      </c>
      <c r="F997" s="1094">
        <v>0.96537606096918405</v>
      </c>
      <c r="G997" s="1094">
        <v>0.99754526730410498</v>
      </c>
      <c r="H997" s="1094">
        <v>0.98890730052919251</v>
      </c>
      <c r="I997" s="1094">
        <v>1.0196415645455597</v>
      </c>
      <c r="K997">
        <v>4.3383076871444572</v>
      </c>
      <c r="L997">
        <v>0</v>
      </c>
      <c r="M997">
        <v>1.4092948788681423E-3</v>
      </c>
      <c r="N997">
        <v>0.12260463300642607</v>
      </c>
      <c r="O997">
        <v>3.7526978335464346E-2</v>
      </c>
      <c r="P997">
        <v>1.8543602349368558E-2</v>
      </c>
      <c r="Q997">
        <v>1.3224439159772938E-3</v>
      </c>
      <c r="R997">
        <v>1.4032405987095178E-3</v>
      </c>
      <c r="S997">
        <v>0.23283949228131245</v>
      </c>
      <c r="T997">
        <v>3.8286206912629135</v>
      </c>
      <c r="U997">
        <v>0</v>
      </c>
      <c r="V997">
        <v>9.452305356113206E-3</v>
      </c>
      <c r="W997">
        <v>7.2939854473015667E-2</v>
      </c>
      <c r="X997">
        <v>1.0498075379714955E-2</v>
      </c>
      <c r="Y997">
        <v>3.9656650643047847E-3</v>
      </c>
    </row>
    <row r="998" spans="1:25" x14ac:dyDescent="0.25">
      <c r="A998" s="1090"/>
      <c r="B998" s="1448">
        <v>748</v>
      </c>
      <c r="C998" s="1094">
        <v>0.97568261163062486</v>
      </c>
      <c r="D998" s="1094">
        <v>0.98944003143949988</v>
      </c>
      <c r="E998" s="1094">
        <v>0.96944036827938806</v>
      </c>
      <c r="F998" s="1094">
        <v>1.0041199122025841</v>
      </c>
      <c r="G998" s="1094">
        <v>1.027187267007877</v>
      </c>
      <c r="H998" s="1094">
        <v>1.0351009827391779</v>
      </c>
      <c r="I998" s="1094">
        <v>0.9906801568012884</v>
      </c>
      <c r="K998">
        <v>4.5188103042955152</v>
      </c>
      <c r="L998">
        <v>0</v>
      </c>
      <c r="M998">
        <v>1.6687531493388005E-3</v>
      </c>
      <c r="N998">
        <v>0.13192171787149246</v>
      </c>
      <c r="O998">
        <v>3.9894966048009961E-2</v>
      </c>
      <c r="P998">
        <v>1.8811570508585614E-2</v>
      </c>
      <c r="Q998">
        <v>1.3067403402165782E-3</v>
      </c>
      <c r="R998">
        <v>1.662167361408236E-3</v>
      </c>
      <c r="S998">
        <v>0.2390195345906353</v>
      </c>
      <c r="T998">
        <v>3.9835238460407187</v>
      </c>
      <c r="U998">
        <v>0</v>
      </c>
      <c r="V998">
        <v>9.4523053561132026E-3</v>
      </c>
      <c r="W998">
        <v>8.0237498921596789E-2</v>
      </c>
      <c r="X998">
        <v>9.9512985422575938E-3</v>
      </c>
      <c r="Y998">
        <v>4.6974118638145402E-3</v>
      </c>
    </row>
    <row r="999" spans="1:25" x14ac:dyDescent="0.25">
      <c r="A999" s="1090"/>
      <c r="B999" s="1448">
        <v>749</v>
      </c>
      <c r="C999" s="1094">
        <v>0.99891029538469944</v>
      </c>
      <c r="D999" s="1094">
        <v>0.98155222874878556</v>
      </c>
      <c r="E999" s="1094">
        <v>0.97343175513353886</v>
      </c>
      <c r="F999" s="1094">
        <v>1.0051182785397856</v>
      </c>
      <c r="G999" s="1094">
        <v>0.98725341262061039</v>
      </c>
      <c r="H999" s="1094">
        <v>1.017543815057899</v>
      </c>
      <c r="I999" s="1094">
        <v>1.0043156933327848</v>
      </c>
      <c r="K999">
        <v>4.511696300720077</v>
      </c>
      <c r="L999">
        <v>0</v>
      </c>
      <c r="M999">
        <v>1.5956247494459128E-3</v>
      </c>
      <c r="N999">
        <v>0.12763624075707494</v>
      </c>
      <c r="O999">
        <v>3.910346731453402E-2</v>
      </c>
      <c r="P999">
        <v>1.8872853092583703E-2</v>
      </c>
      <c r="Q999">
        <v>1.2849160014666515E-3</v>
      </c>
      <c r="R999">
        <v>1.5892252474291051E-3</v>
      </c>
      <c r="S999">
        <v>0.23606030475340503</v>
      </c>
      <c r="T999">
        <v>3.9873296444355684</v>
      </c>
      <c r="U999">
        <v>0</v>
      </c>
      <c r="V999">
        <v>9.4523053561131869E-3</v>
      </c>
      <c r="W999">
        <v>7.7417740664465176E-2</v>
      </c>
      <c r="X999">
        <v>1.0053955966040371E-2</v>
      </c>
      <c r="Y999">
        <v>4.4912718808425576E-3</v>
      </c>
    </row>
    <row r="1000" spans="1:25" x14ac:dyDescent="0.25">
      <c r="A1000" s="1090"/>
      <c r="B1000" s="1448">
        <v>750</v>
      </c>
      <c r="C1000" s="1094">
        <v>1.0012346302982933</v>
      </c>
      <c r="D1000" s="1094">
        <v>1.0289479582610019</v>
      </c>
      <c r="E1000" s="1094">
        <v>1.0375987148052457</v>
      </c>
      <c r="F1000" s="1094">
        <v>1.002872726442831</v>
      </c>
      <c r="G1000" s="1094">
        <v>0.99342171566398796</v>
      </c>
      <c r="H1000" s="1094">
        <v>1.0156145000977019</v>
      </c>
      <c r="I1000" s="1094">
        <v>0.98721358899435796</v>
      </c>
      <c r="K1000">
        <v>4.495207799023718</v>
      </c>
      <c r="L1000">
        <v>0</v>
      </c>
      <c r="M1000">
        <v>1.3589489618067614E-3</v>
      </c>
      <c r="N1000">
        <v>0.13145452456931761</v>
      </c>
      <c r="O1000">
        <v>3.7761586445592653E-2</v>
      </c>
      <c r="P1000">
        <v>1.9700798772811504E-2</v>
      </c>
      <c r="Q1000">
        <v>1.3288473941906699E-3</v>
      </c>
      <c r="R1000">
        <v>1.3534761543345824E-3</v>
      </c>
      <c r="S1000">
        <v>0.22773456911179396</v>
      </c>
      <c r="T1000">
        <v>3.9759776023892104</v>
      </c>
      <c r="U1000">
        <v>0</v>
      </c>
      <c r="V1000">
        <v>9.4523053561131817E-3</v>
      </c>
      <c r="W1000">
        <v>7.6361680205185606E-2</v>
      </c>
      <c r="X1000">
        <v>1.161633064180966E-2</v>
      </c>
      <c r="Y1000">
        <v>3.8250269451656229E-3</v>
      </c>
    </row>
    <row r="1001" spans="1:25" x14ac:dyDescent="0.25">
      <c r="A1001" s="1090"/>
      <c r="B1001" s="1448">
        <v>751</v>
      </c>
      <c r="C1001" s="1094">
        <v>1.025913539774445</v>
      </c>
      <c r="D1001" s="1094">
        <v>0.97085511119689949</v>
      </c>
      <c r="E1001" s="1094">
        <v>1.0034512092914016</v>
      </c>
      <c r="F1001" s="1094">
        <v>0.98901500181112956</v>
      </c>
      <c r="G1001" s="1094">
        <v>0.98690878150364192</v>
      </c>
      <c r="H1001" s="1094">
        <v>1.0065343352904295</v>
      </c>
      <c r="I1001" s="1094">
        <v>1.015570709856543</v>
      </c>
      <c r="K1001">
        <v>4.4327066485784883</v>
      </c>
      <c r="L1001">
        <v>0</v>
      </c>
      <c r="M1001">
        <v>1.4260481360583235E-3</v>
      </c>
      <c r="N1001">
        <v>0.12467854732357943</v>
      </c>
      <c r="O1001">
        <v>3.7428111154388786E-2</v>
      </c>
      <c r="P1001">
        <v>1.8979542843149295E-2</v>
      </c>
      <c r="Q1001">
        <v>1.2895857446440021E-3</v>
      </c>
      <c r="R1001">
        <v>1.4201724367701627E-3</v>
      </c>
      <c r="S1001">
        <v>0.22985797382209566</v>
      </c>
      <c r="T1001">
        <v>3.9223105507717215</v>
      </c>
      <c r="U1001">
        <v>0</v>
      </c>
      <c r="V1001">
        <v>9.4523053561131852E-3</v>
      </c>
      <c r="W1001">
        <v>7.4092964026924973E-2</v>
      </c>
      <c r="X1001">
        <v>1.060942750380971E-2</v>
      </c>
      <c r="Y1001">
        <v>4.0135157313488526E-3</v>
      </c>
    </row>
    <row r="1002" spans="1:25" x14ac:dyDescent="0.25">
      <c r="A1002" s="1090"/>
      <c r="B1002" s="1448">
        <v>752</v>
      </c>
      <c r="C1002" s="1094">
        <v>0.99878705378264243</v>
      </c>
      <c r="D1002" s="1094">
        <v>1.0050341347820266</v>
      </c>
      <c r="E1002" s="1094">
        <v>0.96861160573147975</v>
      </c>
      <c r="F1002" s="1094">
        <v>0.98953674468062547</v>
      </c>
      <c r="G1002" s="1094">
        <v>1.0466548757216985</v>
      </c>
      <c r="H1002" s="1094">
        <v>0.99620599746699612</v>
      </c>
      <c r="I1002" s="1094">
        <v>1.0134058561131598</v>
      </c>
      <c r="K1002">
        <v>4.4348807839141546</v>
      </c>
      <c r="L1002">
        <v>0</v>
      </c>
      <c r="M1002">
        <v>1.539233200781289E-3</v>
      </c>
      <c r="N1002">
        <v>0.12135740621068875</v>
      </c>
      <c r="O1002">
        <v>3.8172204813586331E-2</v>
      </c>
      <c r="P1002">
        <v>1.8513390035788769E-2</v>
      </c>
      <c r="Q1002">
        <v>1.2676337610774168E-3</v>
      </c>
      <c r="R1002">
        <v>1.5328287610421138E-3</v>
      </c>
      <c r="S1002">
        <v>0.23240759529188124</v>
      </c>
      <c r="T1002">
        <v>3.9257015050276736</v>
      </c>
      <c r="U1002">
        <v>0</v>
      </c>
      <c r="V1002">
        <v>9.4523053561131956E-3</v>
      </c>
      <c r="W1002">
        <v>7.3854306198383485E-2</v>
      </c>
      <c r="X1002">
        <v>9.8289505540514379E-3</v>
      </c>
      <c r="Y1002">
        <v>4.3318911046448675E-3</v>
      </c>
    </row>
    <row r="1003" spans="1:25" x14ac:dyDescent="0.25">
      <c r="A1003" s="1090"/>
      <c r="B1003" s="1448">
        <v>753</v>
      </c>
      <c r="C1003" s="1094">
        <v>1.0179020761679398</v>
      </c>
      <c r="D1003" s="1094">
        <v>1.0083524628990814</v>
      </c>
      <c r="E1003" s="1094">
        <v>1.0389594297183393</v>
      </c>
      <c r="F1003" s="1094">
        <v>0.97144856928859047</v>
      </c>
      <c r="G1003" s="1094">
        <v>1.0192217010977922</v>
      </c>
      <c r="H1003" s="1094">
        <v>1.0036089198798157</v>
      </c>
      <c r="I1003" s="1094">
        <v>0.99359032937562086</v>
      </c>
      <c r="K1003">
        <v>4.350933714046767</v>
      </c>
      <c r="L1003">
        <v>0</v>
      </c>
      <c r="M1003">
        <v>1.2863548946318057E-3</v>
      </c>
      <c r="N1003">
        <v>0.12491107761814585</v>
      </c>
      <c r="O1003">
        <v>3.626264935536893E-2</v>
      </c>
      <c r="P1003">
        <v>1.9105883987379054E-2</v>
      </c>
      <c r="Q1003">
        <v>1.3192032517560497E-3</v>
      </c>
      <c r="R1003">
        <v>1.2809436052519153E-3</v>
      </c>
      <c r="S1003">
        <v>0.22113738290845189</v>
      </c>
      <c r="T1003">
        <v>3.8513443622704493</v>
      </c>
      <c r="U1003">
        <v>0</v>
      </c>
      <c r="V1003">
        <v>9.4523053561131991E-3</v>
      </c>
      <c r="W1003">
        <v>7.2495604397547722E-2</v>
      </c>
      <c r="X1003">
        <v>1.1290611767070934E-2</v>
      </c>
      <c r="Y1003">
        <v>3.620044423859845E-3</v>
      </c>
    </row>
    <row r="1004" spans="1:25" x14ac:dyDescent="0.25">
      <c r="A1004" s="1090"/>
      <c r="B1004" s="1448">
        <v>754</v>
      </c>
      <c r="C1004" s="1094">
        <v>0.97748362088814911</v>
      </c>
      <c r="D1004" s="1094">
        <v>0.97833981357878752</v>
      </c>
      <c r="E1004" s="1094">
        <v>0.97900912314703081</v>
      </c>
      <c r="F1004" s="1094">
        <v>0.99662306939419143</v>
      </c>
      <c r="G1004" s="1094">
        <v>1.0034283250126552</v>
      </c>
      <c r="H1004" s="1094">
        <v>0.9798349678363476</v>
      </c>
      <c r="I1004" s="1094">
        <v>1.0146111750659093</v>
      </c>
      <c r="K1004">
        <v>4.4778825127789155</v>
      </c>
      <c r="L1004">
        <v>0</v>
      </c>
      <c r="M1004">
        <v>1.5408627612631199E-3</v>
      </c>
      <c r="N1004">
        <v>0.12528932947377627</v>
      </c>
      <c r="O1004">
        <v>3.9635640307817396E-2</v>
      </c>
      <c r="P1004">
        <v>1.8817059311523304E-2</v>
      </c>
      <c r="Q1004">
        <v>1.3212008921081263E-3</v>
      </c>
      <c r="R1004">
        <v>1.5343905797570593E-3</v>
      </c>
      <c r="S1004">
        <v>0.23957648003476206</v>
      </c>
      <c r="T1004">
        <v>3.9534148063089201</v>
      </c>
      <c r="U1004">
        <v>0</v>
      </c>
      <c r="V1004">
        <v>9.4523053561131869E-3</v>
      </c>
      <c r="W1004">
        <v>7.5703637464355322E-2</v>
      </c>
      <c r="X1004">
        <v>1.0342220887472357E-2</v>
      </c>
      <c r="Y1004">
        <v>4.3363049235725214E-3</v>
      </c>
    </row>
    <row r="1005" spans="1:25" x14ac:dyDescent="0.25">
      <c r="A1005" s="1090"/>
      <c r="B1005" s="1448">
        <v>755</v>
      </c>
      <c r="C1005" s="1094">
        <v>1.0200327139766461</v>
      </c>
      <c r="D1005" s="1094">
        <v>0.98005213608519803</v>
      </c>
      <c r="E1005" s="1094">
        <v>0.97622749664375108</v>
      </c>
      <c r="F1005" s="1094">
        <v>0.99099754575188548</v>
      </c>
      <c r="G1005" s="1094">
        <v>0.98865840903004298</v>
      </c>
      <c r="H1005" s="1094">
        <v>0.99675749461804208</v>
      </c>
      <c r="I1005" s="1094">
        <v>1.0076786413593757</v>
      </c>
      <c r="K1005">
        <v>4.4351833835017516</v>
      </c>
      <c r="L1005">
        <v>0</v>
      </c>
      <c r="M1005">
        <v>1.501339988930853E-3</v>
      </c>
      <c r="N1005">
        <v>0.12107786698875726</v>
      </c>
      <c r="O1005">
        <v>3.7760132413005139E-2</v>
      </c>
      <c r="P1005">
        <v>1.8627655641565304E-2</v>
      </c>
      <c r="Q1005">
        <v>1.2621479007706102E-3</v>
      </c>
      <c r="R1005">
        <v>1.4951058365133502E-3</v>
      </c>
      <c r="S1005">
        <v>0.22829602807923821</v>
      </c>
      <c r="T1005">
        <v>3.9312055395190661</v>
      </c>
      <c r="U1005">
        <v>0</v>
      </c>
      <c r="V1005">
        <v>9.4523053561131835E-3</v>
      </c>
      <c r="W1005">
        <v>7.329872826739732E-2</v>
      </c>
      <c r="X1005">
        <v>9.9839302483410684E-3</v>
      </c>
      <c r="Y1005">
        <v>4.2252832399175362E-3</v>
      </c>
    </row>
    <row r="1006" spans="1:25" x14ac:dyDescent="0.25">
      <c r="A1006" s="1090"/>
      <c r="B1006" s="1448">
        <v>756</v>
      </c>
      <c r="C1006" s="1094">
        <v>0.97590483908885295</v>
      </c>
      <c r="D1006" s="1094">
        <v>1.0274940494402827</v>
      </c>
      <c r="E1006" s="1094">
        <v>1.0103576852110758</v>
      </c>
      <c r="F1006" s="1094">
        <v>0.98777279459593847</v>
      </c>
      <c r="G1006" s="1094">
        <v>0.9885188728807679</v>
      </c>
      <c r="H1006" s="1094">
        <v>1.0129136728464363</v>
      </c>
      <c r="I1006" s="1094">
        <v>1.0221184766843883</v>
      </c>
      <c r="K1006">
        <v>4.4458227568485835</v>
      </c>
      <c r="L1006">
        <v>0</v>
      </c>
      <c r="M1006">
        <v>1.4516585013289974E-3</v>
      </c>
      <c r="N1006">
        <v>0.12954295215746747</v>
      </c>
      <c r="O1006">
        <v>3.836787575053114E-2</v>
      </c>
      <c r="P1006">
        <v>1.909645423978228E-2</v>
      </c>
      <c r="Q1006">
        <v>1.3331005709126098E-3</v>
      </c>
      <c r="R1006">
        <v>1.4457075067883466E-3</v>
      </c>
      <c r="S1006">
        <v>0.23931390477844766</v>
      </c>
      <c r="T1006">
        <v>3.917125201390447</v>
      </c>
      <c r="U1006">
        <v>0</v>
      </c>
      <c r="V1006">
        <v>9.4523053561131852E-3</v>
      </c>
      <c r="W1006">
        <v>7.6626897561719795E-2</v>
      </c>
      <c r="X1006">
        <v>1.0884336248973557E-2</v>
      </c>
      <c r="Y1006">
        <v>4.085679788730613E-3</v>
      </c>
    </row>
    <row r="1007" spans="1:25" x14ac:dyDescent="0.25">
      <c r="A1007" s="1090"/>
      <c r="B1007" s="1448">
        <v>757</v>
      </c>
      <c r="C1007" s="1094">
        <v>1.0141384188800608</v>
      </c>
      <c r="D1007" s="1094">
        <v>1.0213725492250592</v>
      </c>
      <c r="E1007" s="1094">
        <v>1.0363727105376805</v>
      </c>
      <c r="F1007" s="1094">
        <v>1.0233299567687466</v>
      </c>
      <c r="G1007" s="1094">
        <v>0.95207581010041831</v>
      </c>
      <c r="H1007" s="1094">
        <v>0.97624616811944342</v>
      </c>
      <c r="I1007" s="1094">
        <v>1.0178639138895944</v>
      </c>
      <c r="K1007">
        <v>4.575897569340805</v>
      </c>
      <c r="L1007">
        <v>0</v>
      </c>
      <c r="M1007">
        <v>1.3231766563017795E-3</v>
      </c>
      <c r="N1007">
        <v>0.12752122332788185</v>
      </c>
      <c r="O1007">
        <v>3.8162671040697892E-2</v>
      </c>
      <c r="P1007">
        <v>2.008487628520431E-2</v>
      </c>
      <c r="Q1007">
        <v>1.3144730250234835E-3</v>
      </c>
      <c r="R1007">
        <v>1.3177434017882165E-3</v>
      </c>
      <c r="S1007">
        <v>0.23252070165694833</v>
      </c>
      <c r="T1007">
        <v>4.0571290088214402</v>
      </c>
      <c r="U1007">
        <v>0</v>
      </c>
      <c r="V1007">
        <v>9.4523053561131783E-3</v>
      </c>
      <c r="W1007">
        <v>7.4136724945325874E-2</v>
      </c>
      <c r="X1007">
        <v>1.1856974678283854E-2</v>
      </c>
      <c r="Y1007">
        <v>3.7240434584029903E-3</v>
      </c>
    </row>
    <row r="1008" spans="1:25" x14ac:dyDescent="0.25">
      <c r="A1008" s="1090"/>
      <c r="B1008" s="1448">
        <v>758</v>
      </c>
      <c r="C1008" s="1094">
        <v>0.99331549966613497</v>
      </c>
      <c r="D1008" s="1094">
        <v>0.99150228875305957</v>
      </c>
      <c r="E1008" s="1094">
        <v>1.0168251559226915</v>
      </c>
      <c r="F1008" s="1094">
        <v>0.97001123507298104</v>
      </c>
      <c r="G1008" s="1094">
        <v>0.99690811540713442</v>
      </c>
      <c r="H1008" s="1094">
        <v>0.9629842377178629</v>
      </c>
      <c r="I1008" s="1094">
        <v>1.0165420762785347</v>
      </c>
      <c r="K1008">
        <v>4.3505663626365862</v>
      </c>
      <c r="L1008">
        <v>0</v>
      </c>
      <c r="M1008">
        <v>1.3324501949332698E-3</v>
      </c>
      <c r="N1008">
        <v>0.12116781614144184</v>
      </c>
      <c r="O1008">
        <v>3.7505708009411783E-2</v>
      </c>
      <c r="P1008">
        <v>1.8818047237157475E-2</v>
      </c>
      <c r="Q1008">
        <v>1.3358691796606318E-3</v>
      </c>
      <c r="R1008">
        <v>1.3265999155526182E-3</v>
      </c>
      <c r="S1008">
        <v>0.22975219129383759</v>
      </c>
      <c r="T1008">
        <v>3.8464524107910774</v>
      </c>
      <c r="U1008">
        <v>0</v>
      </c>
      <c r="V1008">
        <v>9.4523053561131939E-3</v>
      </c>
      <c r="W1008">
        <v>7.1363105539908406E-2</v>
      </c>
      <c r="X1008">
        <v>1.0975686724890592E-2</v>
      </c>
      <c r="Y1008">
        <v>3.7490726424640277E-3</v>
      </c>
    </row>
    <row r="1009" spans="1:25" x14ac:dyDescent="0.25">
      <c r="A1009" s="1090"/>
      <c r="B1009" s="1448">
        <v>759</v>
      </c>
      <c r="C1009" s="1094">
        <v>1.0022105114156887</v>
      </c>
      <c r="D1009" s="1094">
        <v>1.038898357970605</v>
      </c>
      <c r="E1009" s="1094">
        <v>1.0143972438730773</v>
      </c>
      <c r="F1009" s="1094">
        <v>0.99747107539519542</v>
      </c>
      <c r="G1009" s="1094">
        <v>0.98558975529635839</v>
      </c>
      <c r="H1009" s="1094">
        <v>0.98014192966696456</v>
      </c>
      <c r="I1009" s="1094">
        <v>0.96503219631355353</v>
      </c>
      <c r="K1009">
        <v>4.4519511744798361</v>
      </c>
      <c r="L1009">
        <v>0</v>
      </c>
      <c r="M1009">
        <v>1.3634403913538741E-3</v>
      </c>
      <c r="N1009">
        <v>0.12312236078414401</v>
      </c>
      <c r="O1009">
        <v>3.7534184533561138E-2</v>
      </c>
      <c r="P1009">
        <v>1.9233371598274887E-2</v>
      </c>
      <c r="Q1009">
        <v>1.296837898296564E-3</v>
      </c>
      <c r="R1009">
        <v>1.3577200888667963E-3</v>
      </c>
      <c r="S1009">
        <v>0.21840398284534596</v>
      </c>
      <c r="T1009">
        <v>3.9554323255069308</v>
      </c>
      <c r="U1009">
        <v>0</v>
      </c>
      <c r="V1009">
        <v>9.4523053561131973E-3</v>
      </c>
      <c r="W1009">
        <v>7.2632093444348025E-2</v>
      </c>
      <c r="X1009">
        <v>1.1012412187143116E-2</v>
      </c>
      <c r="Y1009">
        <v>3.8370206281627323E-3</v>
      </c>
    </row>
    <row r="1010" spans="1:25" x14ac:dyDescent="0.25">
      <c r="A1010" s="1090"/>
      <c r="B1010" s="1448">
        <v>760</v>
      </c>
      <c r="C1010" s="1094">
        <v>1.0305062231159021</v>
      </c>
      <c r="D1010" s="1094">
        <v>1.0078696308846855</v>
      </c>
      <c r="E1010" s="1094">
        <v>1.0119561231854304</v>
      </c>
      <c r="F1010" s="1094">
        <v>0.98699926392934212</v>
      </c>
      <c r="G1010" s="1094">
        <v>0.98793941220331427</v>
      </c>
      <c r="H1010" s="1094">
        <v>0.95687795356197436</v>
      </c>
      <c r="I1010" s="1094">
        <v>0.97958539460009775</v>
      </c>
      <c r="K1010">
        <v>4.3950357806946352</v>
      </c>
      <c r="L1010">
        <v>0</v>
      </c>
      <c r="M1010">
        <v>1.3033233174674088E-3</v>
      </c>
      <c r="N1010">
        <v>0.11682895264952066</v>
      </c>
      <c r="O1010">
        <v>3.6577140207775929E-2</v>
      </c>
      <c r="P1010">
        <v>1.8990223823427143E-2</v>
      </c>
      <c r="Q1010">
        <v>1.2739737815509289E-3</v>
      </c>
      <c r="R1010">
        <v>1.2976631150999948E-3</v>
      </c>
      <c r="S1010">
        <v>0.21438617069461027</v>
      </c>
      <c r="T1010">
        <v>3.9139979276631851</v>
      </c>
      <c r="U1010">
        <v>0</v>
      </c>
      <c r="V1010">
        <v>9.4523053561131852E-3</v>
      </c>
      <c r="W1010">
        <v>6.9032290278927669E-2</v>
      </c>
      <c r="X1010">
        <v>1.0835161406729073E-2</v>
      </c>
      <c r="Y1010">
        <v>3.6672950351647111E-3</v>
      </c>
    </row>
    <row r="1011" spans="1:25" x14ac:dyDescent="0.25">
      <c r="A1011" s="1090"/>
      <c r="B1011" s="1448">
        <v>761</v>
      </c>
      <c r="C1011" s="1094">
        <v>0.95494925843023892</v>
      </c>
      <c r="D1011" s="1094">
        <v>0.98053216742924731</v>
      </c>
      <c r="E1011" s="1094">
        <v>1.0101652811552826</v>
      </c>
      <c r="F1011" s="1094">
        <v>0.98439222216997113</v>
      </c>
      <c r="G1011" s="1094">
        <v>0.97934164358400455</v>
      </c>
      <c r="H1011" s="1094">
        <v>0.99696466691108765</v>
      </c>
      <c r="I1011" s="1094">
        <v>1.0189106334581712</v>
      </c>
      <c r="K1011">
        <v>4.4446710493446879</v>
      </c>
      <c r="L1011">
        <v>0</v>
      </c>
      <c r="M1011">
        <v>1.4832676129692181E-3</v>
      </c>
      <c r="N1011">
        <v>0.13227769952835344</v>
      </c>
      <c r="O1011">
        <v>3.981511979131349E-2</v>
      </c>
      <c r="P1011">
        <v>1.9060459308982518E-2</v>
      </c>
      <c r="Q1011">
        <v>1.3878608661825938E-3</v>
      </c>
      <c r="R1011">
        <v>1.4770686368302866E-3</v>
      </c>
      <c r="S1011">
        <v>0.24545068537037379</v>
      </c>
      <c r="T1011">
        <v>3.9037263337777537</v>
      </c>
      <c r="U1011">
        <v>0</v>
      </c>
      <c r="V1011">
        <v>9.4523053561131973E-3</v>
      </c>
      <c r="W1011">
        <v>7.8254653087517514E-2</v>
      </c>
      <c r="X1011">
        <v>1.1077822497694048E-2</v>
      </c>
      <c r="Y1011">
        <v>4.1743087365381489E-3</v>
      </c>
    </row>
    <row r="1012" spans="1:25" x14ac:dyDescent="0.25">
      <c r="A1012" s="1090"/>
      <c r="B1012" s="1448">
        <v>762</v>
      </c>
      <c r="C1012" s="1094">
        <v>0.98392290627102674</v>
      </c>
      <c r="D1012" s="1094">
        <v>0.99801944148318378</v>
      </c>
      <c r="E1012" s="1094">
        <v>1.0199897184857685</v>
      </c>
      <c r="F1012" s="1094">
        <v>1.000508546518033</v>
      </c>
      <c r="G1012" s="1094">
        <v>0.99040991316074523</v>
      </c>
      <c r="H1012" s="1094">
        <v>1.0343365648784915</v>
      </c>
      <c r="I1012" s="1094">
        <v>1.0067524175132296</v>
      </c>
      <c r="K1012">
        <v>4.5066649272644419</v>
      </c>
      <c r="L1012">
        <v>0</v>
      </c>
      <c r="M1012">
        <v>1.4762752478758355E-3</v>
      </c>
      <c r="N1012">
        <v>0.1355677701129252</v>
      </c>
      <c r="O1012">
        <v>3.8929798751688144E-2</v>
      </c>
      <c r="P1012">
        <v>1.9464886358871589E-2</v>
      </c>
      <c r="Q1012">
        <v>1.3487024022938463E-3</v>
      </c>
      <c r="R1012">
        <v>1.4704238153987312E-3</v>
      </c>
      <c r="S1012">
        <v>0.23958323603489845</v>
      </c>
      <c r="T1012">
        <v>3.9672660201332648</v>
      </c>
      <c r="U1012">
        <v>0</v>
      </c>
      <c r="V1012">
        <v>9.4523053561131939E-3</v>
      </c>
      <c r="W1012">
        <v>7.9675633813646632E-2</v>
      </c>
      <c r="X1012">
        <v>1.1226895769348221E-2</v>
      </c>
      <c r="Y1012">
        <v>4.1555299638644551E-3</v>
      </c>
    </row>
    <row r="1013" spans="1:25" x14ac:dyDescent="0.25">
      <c r="A1013" s="1090"/>
      <c r="B1013" s="1448">
        <v>763</v>
      </c>
      <c r="C1013" s="1094">
        <v>1.0437321851611687</v>
      </c>
      <c r="D1013" s="1094">
        <v>0.99026810818971978</v>
      </c>
      <c r="E1013" s="1094">
        <v>0.97187536918114226</v>
      </c>
      <c r="F1013" s="1094">
        <v>1.0113279658236796</v>
      </c>
      <c r="G1013" s="1094">
        <v>0.97479249441436566</v>
      </c>
      <c r="H1013" s="1094">
        <v>0.99588868016158572</v>
      </c>
      <c r="I1013" s="1094">
        <v>0.98515689591480127</v>
      </c>
      <c r="K1013">
        <v>4.5060531518333491</v>
      </c>
      <c r="L1013">
        <v>0</v>
      </c>
      <c r="M1013">
        <v>1.5033890981934659E-3</v>
      </c>
      <c r="N1013">
        <v>0.11969629724069707</v>
      </c>
      <c r="O1013">
        <v>3.7532847147301956E-2</v>
      </c>
      <c r="P1013">
        <v>1.8890513039000176E-2</v>
      </c>
      <c r="Q1013">
        <v>1.2237336709022798E-3</v>
      </c>
      <c r="R1013">
        <v>1.4972660853179078E-3</v>
      </c>
      <c r="S1013">
        <v>0.22036820540564739</v>
      </c>
      <c r="T1013">
        <v>4.0120243698784588</v>
      </c>
      <c r="U1013">
        <v>0</v>
      </c>
      <c r="V1013">
        <v>9.4523053561131939E-3</v>
      </c>
      <c r="W1013">
        <v>7.2679617507490454E-2</v>
      </c>
      <c r="X1013">
        <v>9.959997332645203E-3</v>
      </c>
      <c r="Y1013">
        <v>4.2313882679664112E-3</v>
      </c>
    </row>
    <row r="1014" spans="1:25" x14ac:dyDescent="0.25">
      <c r="A1014" s="1090"/>
      <c r="B1014" s="1448">
        <v>764</v>
      </c>
      <c r="C1014" s="1094">
        <v>0.99781336528162123</v>
      </c>
      <c r="D1014" s="1094">
        <v>1.0202757531921027</v>
      </c>
      <c r="E1014" s="1094">
        <v>1.0053821451225173</v>
      </c>
      <c r="F1014" s="1094">
        <v>0.96047749636266955</v>
      </c>
      <c r="G1014" s="1094">
        <v>1.0032958869003283</v>
      </c>
      <c r="H1014" s="1094">
        <v>0.99955129521223107</v>
      </c>
      <c r="I1014" s="1094">
        <v>1.0012045500392626</v>
      </c>
      <c r="K1014">
        <v>4.3071325188014171</v>
      </c>
      <c r="L1014">
        <v>0</v>
      </c>
      <c r="M1014">
        <v>1.3807576646153927E-3</v>
      </c>
      <c r="N1014">
        <v>0.12139277397103886</v>
      </c>
      <c r="O1014">
        <v>3.6624205469893395E-2</v>
      </c>
      <c r="P1014">
        <v>1.8465028689211925E-2</v>
      </c>
      <c r="Q1014">
        <v>1.3019763525815332E-3</v>
      </c>
      <c r="R1014">
        <v>1.3748593420286653E-3</v>
      </c>
      <c r="S1014">
        <v>0.22448872560863325</v>
      </c>
      <c r="T1014">
        <v>3.8090638789425424</v>
      </c>
      <c r="U1014">
        <v>0</v>
      </c>
      <c r="V1014">
        <v>9.4523053561131904E-3</v>
      </c>
      <c r="W1014">
        <v>7.2046515519654769E-2</v>
      </c>
      <c r="X1014">
        <v>1.0417549748215517E-2</v>
      </c>
      <c r="Y1014">
        <v>3.885457466118254E-3</v>
      </c>
    </row>
    <row r="1015" spans="1:25" x14ac:dyDescent="0.25">
      <c r="A1015" s="1090"/>
      <c r="B1015" s="1448">
        <v>765</v>
      </c>
      <c r="C1015" s="1094">
        <v>1.0154484394987624</v>
      </c>
      <c r="D1015" s="1094">
        <v>0.98242023534756018</v>
      </c>
      <c r="E1015" s="1094">
        <v>1.0242165999822137</v>
      </c>
      <c r="F1015" s="1094">
        <v>0.98257092977612337</v>
      </c>
      <c r="G1015" s="1094">
        <v>0.96978083676334892</v>
      </c>
      <c r="H1015" s="1094">
        <v>0.99795602786005955</v>
      </c>
      <c r="I1015" s="1094">
        <v>1.0059209144936658</v>
      </c>
      <c r="K1015">
        <v>4.4049417122124419</v>
      </c>
      <c r="L1015">
        <v>0</v>
      </c>
      <c r="M1015">
        <v>1.3519276105756521E-3</v>
      </c>
      <c r="N1015">
        <v>0.12568319964433425</v>
      </c>
      <c r="O1015">
        <v>3.7250702984184203E-2</v>
      </c>
      <c r="P1015">
        <v>1.9139224200685697E-2</v>
      </c>
      <c r="Q1015">
        <v>1.3197976330811361E-3</v>
      </c>
      <c r="R1015">
        <v>1.3462727336394596E-3</v>
      </c>
      <c r="S1015">
        <v>0.22754071791165265</v>
      </c>
      <c r="T1015">
        <v>3.8959824519547093</v>
      </c>
      <c r="U1015">
        <v>0</v>
      </c>
      <c r="V1015">
        <v>9.4523053561131991E-3</v>
      </c>
      <c r="W1015">
        <v>7.3658693252298874E-2</v>
      </c>
      <c r="X1015">
        <v>1.1115604623990598E-2</v>
      </c>
      <c r="Y1015">
        <v>3.8046695283260514E-3</v>
      </c>
    </row>
    <row r="1016" spans="1:25" x14ac:dyDescent="0.25">
      <c r="A1016" s="1090"/>
      <c r="B1016" s="1448">
        <v>766</v>
      </c>
      <c r="C1016" s="1094">
        <v>0.96325118802253062</v>
      </c>
      <c r="D1016" s="1094">
        <v>0.97336882436682359</v>
      </c>
      <c r="E1016" s="1094">
        <v>0.9621476350359085</v>
      </c>
      <c r="F1016" s="1094">
        <v>0.98006857665806535</v>
      </c>
      <c r="G1016" s="1094">
        <v>1.00631819689327</v>
      </c>
      <c r="H1016" s="1094">
        <v>1.0454020951346801</v>
      </c>
      <c r="I1016" s="1094">
        <v>0.99844886135631605</v>
      </c>
      <c r="K1016">
        <v>4.4259173133321585</v>
      </c>
      <c r="L1016">
        <v>0</v>
      </c>
      <c r="M1016">
        <v>1.7031574139121683E-3</v>
      </c>
      <c r="N1016">
        <v>0.13174865523313595</v>
      </c>
      <c r="O1016">
        <v>3.9752315611457631E-2</v>
      </c>
      <c r="P1016">
        <v>1.8299303045618758E-2</v>
      </c>
      <c r="Q1016">
        <v>1.3238196004463883E-3</v>
      </c>
      <c r="R1016">
        <v>1.6963394395046038E-3</v>
      </c>
      <c r="S1016">
        <v>0.24205842483736048</v>
      </c>
      <c r="T1016">
        <v>3.8883845939834276</v>
      </c>
      <c r="U1016">
        <v>0</v>
      </c>
      <c r="V1016">
        <v>9.4523053561131921E-3</v>
      </c>
      <c r="W1016">
        <v>8.0537544308693976E-2</v>
      </c>
      <c r="X1016">
        <v>9.5731845648780057E-3</v>
      </c>
      <c r="Y1016">
        <v>4.7939847654296219E-3</v>
      </c>
    </row>
    <row r="1017" spans="1:25" x14ac:dyDescent="0.25">
      <c r="A1017" s="1090"/>
      <c r="B1017" s="1448">
        <v>767</v>
      </c>
      <c r="C1017" s="1094">
        <v>0.99188188445990488</v>
      </c>
      <c r="D1017" s="1094">
        <v>1.0246381020971091</v>
      </c>
      <c r="E1017" s="1094">
        <v>1.0045981275430576</v>
      </c>
      <c r="F1017" s="1094">
        <v>0.96244680301737795</v>
      </c>
      <c r="G1017" s="1094">
        <v>1.0105734071654542</v>
      </c>
      <c r="H1017" s="1094">
        <v>1.0105086168540918</v>
      </c>
      <c r="I1017" s="1094">
        <v>0.97941111715099471</v>
      </c>
      <c r="K1017">
        <v>4.3157777449504566</v>
      </c>
      <c r="L1017">
        <v>0</v>
      </c>
      <c r="M1017">
        <v>1.4070318805352532E-3</v>
      </c>
      <c r="N1017">
        <v>0.1234226220028861</v>
      </c>
      <c r="O1017">
        <v>3.6860984777560543E-2</v>
      </c>
      <c r="P1017">
        <v>1.8477398230746265E-2</v>
      </c>
      <c r="Q1017">
        <v>1.3066533635592418E-3</v>
      </c>
      <c r="R1017">
        <v>1.401098607756587E-3</v>
      </c>
      <c r="S1017">
        <v>0.22171272056000993</v>
      </c>
      <c r="T1017">
        <v>3.8169024244781684</v>
      </c>
      <c r="U1017">
        <v>0</v>
      </c>
      <c r="V1017">
        <v>9.4523053561131991E-3</v>
      </c>
      <c r="W1017">
        <v>7.3289923446080429E-2</v>
      </c>
      <c r="X1017">
        <v>1.0399034373768242E-2</v>
      </c>
      <c r="Y1017">
        <v>3.9596116343385314E-3</v>
      </c>
    </row>
    <row r="1018" spans="1:25" x14ac:dyDescent="0.25">
      <c r="A1018" s="1090"/>
      <c r="B1018" s="1448">
        <v>768</v>
      </c>
      <c r="C1018" s="1094">
        <v>1.0262792241985064</v>
      </c>
      <c r="D1018" s="1094">
        <v>0.99126181078209996</v>
      </c>
      <c r="E1018" s="1094">
        <v>1.0024776595646365</v>
      </c>
      <c r="F1018" s="1094">
        <v>1.0005315800386037</v>
      </c>
      <c r="G1018" s="1094">
        <v>0.99654847792568779</v>
      </c>
      <c r="H1018" s="1094">
        <v>0.97971143823927176</v>
      </c>
      <c r="I1018" s="1094">
        <v>1.0145611676288544</v>
      </c>
      <c r="K1018">
        <v>4.4718700781759368</v>
      </c>
      <c r="L1018">
        <v>0</v>
      </c>
      <c r="M1018">
        <v>1.3948689700439148E-3</v>
      </c>
      <c r="N1018">
        <v>0.12159352270656083</v>
      </c>
      <c r="O1018">
        <v>3.7543362574737067E-2</v>
      </c>
      <c r="P1018">
        <v>1.9164983151653322E-2</v>
      </c>
      <c r="Q1018">
        <v>1.2773802301438999E-3</v>
      </c>
      <c r="R1018">
        <v>1.3890320732425029E-3</v>
      </c>
      <c r="S1018">
        <v>0.22785106641636829</v>
      </c>
      <c r="T1018">
        <v>3.9680209078457063</v>
      </c>
      <c r="U1018">
        <v>0</v>
      </c>
      <c r="V1018">
        <v>9.4523053561131921E-3</v>
      </c>
      <c r="W1018">
        <v>7.230708712315978E-2</v>
      </c>
      <c r="X1018">
        <v>1.0739788981727208E-2</v>
      </c>
      <c r="Y1018">
        <v>3.9255106865653993E-3</v>
      </c>
    </row>
    <row r="1019" spans="1:25" x14ac:dyDescent="0.25">
      <c r="A1019" s="1090"/>
      <c r="B1019" s="1448">
        <v>769</v>
      </c>
      <c r="C1019" s="1094">
        <v>1.0037021196434692</v>
      </c>
      <c r="D1019" s="1094">
        <v>0.98708179115945394</v>
      </c>
      <c r="E1019" s="1094">
        <v>1.0021331479358613</v>
      </c>
      <c r="F1019" s="1094">
        <v>1.0076702180157984</v>
      </c>
      <c r="G1019" s="1094">
        <v>0.98571627611798274</v>
      </c>
      <c r="H1019" s="1094">
        <v>0.99431878515626282</v>
      </c>
      <c r="I1019" s="1094">
        <v>0.98829451812636648</v>
      </c>
      <c r="K1019">
        <v>4.5124950157641068</v>
      </c>
      <c r="L1019">
        <v>0</v>
      </c>
      <c r="M1019">
        <v>1.4613218503076678E-3</v>
      </c>
      <c r="N1019">
        <v>0.12726798246386903</v>
      </c>
      <c r="O1019">
        <v>3.8729541800334298E-2</v>
      </c>
      <c r="P1019">
        <v>1.9296318830624624E-2</v>
      </c>
      <c r="Q1019">
        <v>1.3079373426767593E-3</v>
      </c>
      <c r="R1019">
        <v>1.4553392222242858E-3</v>
      </c>
      <c r="S1019">
        <v>0.2294302618860426</v>
      </c>
      <c r="T1019">
        <v>3.9963453279190917</v>
      </c>
      <c r="U1019">
        <v>0</v>
      </c>
      <c r="V1019">
        <v>9.4523053561131904E-3</v>
      </c>
      <c r="W1019">
        <v>7.5699071243391786E-2</v>
      </c>
      <c r="X1019">
        <v>1.0859351798146925E-2</v>
      </c>
      <c r="Y1019">
        <v>4.1128997518992631E-3</v>
      </c>
    </row>
    <row r="1020" spans="1:25" x14ac:dyDescent="0.25">
      <c r="A1020" s="1090"/>
      <c r="B1020" s="1448">
        <v>770</v>
      </c>
      <c r="C1020" s="1094">
        <v>1.0046589344734036</v>
      </c>
      <c r="D1020" s="1094">
        <v>0.98157706173170667</v>
      </c>
      <c r="E1020" s="1094">
        <v>1.047877291856631</v>
      </c>
      <c r="F1020" s="1094">
        <v>0.96672316871064434</v>
      </c>
      <c r="G1020" s="1094">
        <v>1.0094595658789955</v>
      </c>
      <c r="H1020" s="1094">
        <v>1.0105894977851537</v>
      </c>
      <c r="I1020" s="1094">
        <v>1.0082156366254424</v>
      </c>
      <c r="K1020">
        <v>4.3470850673287362</v>
      </c>
      <c r="L1020">
        <v>0</v>
      </c>
      <c r="M1020">
        <v>1.2954343134931232E-3</v>
      </c>
      <c r="N1020">
        <v>0.12915108397858213</v>
      </c>
      <c r="O1020">
        <v>3.6897949662993923E-2</v>
      </c>
      <c r="P1020">
        <v>1.9175835454721027E-2</v>
      </c>
      <c r="Q1020">
        <v>1.3611420928098402E-3</v>
      </c>
      <c r="R1020">
        <v>1.2899961306181349E-3</v>
      </c>
      <c r="S1020">
        <v>0.22901769983868175</v>
      </c>
      <c r="T1020">
        <v>3.8322890466742816</v>
      </c>
      <c r="U1020">
        <v>0</v>
      </c>
      <c r="V1020">
        <v>9.4523053561131973E-3</v>
      </c>
      <c r="W1020">
        <v>7.4518946218238957E-2</v>
      </c>
      <c r="X1020">
        <v>1.1580868683515306E-2</v>
      </c>
      <c r="Y1020">
        <v>3.6456275516723998E-3</v>
      </c>
    </row>
    <row r="1021" spans="1:25" x14ac:dyDescent="0.25">
      <c r="A1021" s="1090"/>
      <c r="B1021" s="1448">
        <v>771</v>
      </c>
      <c r="C1021" s="1094">
        <v>1.0253614867733341</v>
      </c>
      <c r="D1021" s="1094">
        <v>1.0066766570666865</v>
      </c>
      <c r="E1021" s="1094">
        <v>0.98019393296713797</v>
      </c>
      <c r="F1021" s="1094">
        <v>1.0190071289587128</v>
      </c>
      <c r="G1021" s="1094">
        <v>0.99230484672259955</v>
      </c>
      <c r="H1021" s="1094">
        <v>0.97568026936615182</v>
      </c>
      <c r="I1021" s="1094">
        <v>1.0176593253681183</v>
      </c>
      <c r="K1021">
        <v>4.5479586680813409</v>
      </c>
      <c r="L1021">
        <v>0</v>
      </c>
      <c r="M1021">
        <v>1.4747479271061674E-3</v>
      </c>
      <c r="N1021">
        <v>0.12034478782394559</v>
      </c>
      <c r="O1021">
        <v>3.8186791205567339E-2</v>
      </c>
      <c r="P1021">
        <v>1.9189763656634232E-2</v>
      </c>
      <c r="Q1021">
        <v>1.2464877131018752E-3</v>
      </c>
      <c r="R1021">
        <v>1.4686631746710531E-3</v>
      </c>
      <c r="S1021">
        <v>0.23021490247451246</v>
      </c>
      <c r="T1021">
        <v>4.0421616939404981</v>
      </c>
      <c r="U1021">
        <v>0</v>
      </c>
      <c r="V1021">
        <v>9.4523053561131869E-3</v>
      </c>
      <c r="W1021">
        <v>7.2656975108551278E-2</v>
      </c>
      <c r="X1021">
        <v>1.0360491296105669E-2</v>
      </c>
      <c r="Y1021">
        <v>4.1505542587494757E-3</v>
      </c>
    </row>
    <row r="1022" spans="1:25" x14ac:dyDescent="0.25">
      <c r="A1022" s="1090"/>
      <c r="B1022" s="1448">
        <v>772</v>
      </c>
      <c r="C1022" s="1094">
        <v>0.96013423291956246</v>
      </c>
      <c r="D1022" s="1094">
        <v>0.99262430840786542</v>
      </c>
      <c r="E1022" s="1094">
        <v>0.98015801046290651</v>
      </c>
      <c r="F1022" s="1094">
        <v>1.0220442458832872</v>
      </c>
      <c r="G1022" s="1094">
        <v>0.99209919808103442</v>
      </c>
      <c r="H1022" s="1094">
        <v>0.96943787346478505</v>
      </c>
      <c r="I1022" s="1094">
        <v>0.99540182815512757</v>
      </c>
      <c r="K1022">
        <v>4.5885985286609641</v>
      </c>
      <c r="L1022">
        <v>0</v>
      </c>
      <c r="M1022">
        <v>1.5784737715932515E-3</v>
      </c>
      <c r="N1022">
        <v>0.12879361749428728</v>
      </c>
      <c r="O1022">
        <v>4.1133484040489783E-2</v>
      </c>
      <c r="P1022">
        <v>1.9293714432960973E-2</v>
      </c>
      <c r="Q1022">
        <v>1.3386330544102095E-3</v>
      </c>
      <c r="R1022">
        <v>1.5719385134197403E-3</v>
      </c>
      <c r="S1022">
        <v>0.24147699330836972</v>
      </c>
      <c r="T1022">
        <v>4.0542106343407518</v>
      </c>
      <c r="U1022">
        <v>0</v>
      </c>
      <c r="V1022">
        <v>9.4523053561131904E-3</v>
      </c>
      <c r="W1022">
        <v>7.7759785983412322E-2</v>
      </c>
      <c r="X1022">
        <v>1.070347765758814E-2</v>
      </c>
      <c r="Y1022">
        <v>4.4424182507523825E-3</v>
      </c>
    </row>
    <row r="1023" spans="1:25" x14ac:dyDescent="0.25">
      <c r="A1023" s="1090"/>
      <c r="B1023" s="1448">
        <v>773</v>
      </c>
      <c r="C1023" s="1094">
        <v>1.0106088726235638</v>
      </c>
      <c r="D1023" s="1094">
        <v>0.97298137967607856</v>
      </c>
      <c r="E1023" s="1094">
        <v>0.99541681174468943</v>
      </c>
      <c r="F1023" s="1094">
        <v>1.0099584711510758</v>
      </c>
      <c r="G1023" s="1094">
        <v>1.0217326753486848</v>
      </c>
      <c r="H1023" s="1094">
        <v>1.0163472878045017</v>
      </c>
      <c r="I1023" s="1094">
        <v>1.0007537217671409</v>
      </c>
      <c r="K1023">
        <v>4.5300910032692006</v>
      </c>
      <c r="L1023">
        <v>0</v>
      </c>
      <c r="M1023">
        <v>1.5167227121513213E-3</v>
      </c>
      <c r="N1023">
        <v>0.1295026782044103</v>
      </c>
      <c r="O1023">
        <v>3.8821301070246193E-2</v>
      </c>
      <c r="P1023">
        <v>1.9261962071577203E-2</v>
      </c>
      <c r="Q1023">
        <v>1.2989915322585987E-3</v>
      </c>
      <c r="R1023">
        <v>1.5106615662049453E-3</v>
      </c>
      <c r="S1023">
        <v>0.23379217652468698</v>
      </c>
      <c r="T1023">
        <v>4.0056788356504844</v>
      </c>
      <c r="U1023">
        <v>0</v>
      </c>
      <c r="V1023">
        <v>9.4523053561131852E-3</v>
      </c>
      <c r="W1023">
        <v>7.7379018987146317E-2</v>
      </c>
      <c r="X1023">
        <v>1.0640550098576092E-2</v>
      </c>
      <c r="Y1023">
        <v>4.2692449196497645E-3</v>
      </c>
    </row>
    <row r="1024" spans="1:25" x14ac:dyDescent="0.25">
      <c r="A1024" s="1090"/>
      <c r="B1024" s="1448">
        <v>774</v>
      </c>
      <c r="C1024" s="1094">
        <v>0.99808351623882841</v>
      </c>
      <c r="D1024" s="1094">
        <v>0.99458649532807097</v>
      </c>
      <c r="E1024" s="1094">
        <v>0.95693227416015858</v>
      </c>
      <c r="F1024" s="1094">
        <v>1.0387582356051941</v>
      </c>
      <c r="G1024" s="1094">
        <v>1.0037822500493847</v>
      </c>
      <c r="H1024" s="1094">
        <v>1.0067232374720341</v>
      </c>
      <c r="I1024" s="1094">
        <v>0.97667358197753151</v>
      </c>
      <c r="K1024">
        <v>4.6462061813231399</v>
      </c>
      <c r="L1024">
        <v>0</v>
      </c>
      <c r="M1024">
        <v>1.6811355611922546E-3</v>
      </c>
      <c r="N1024">
        <v>0.12805536704750101</v>
      </c>
      <c r="O1024">
        <v>4.0350259498665435E-2</v>
      </c>
      <c r="P1024">
        <v>1.9212635628076642E-2</v>
      </c>
      <c r="Q1024">
        <v>1.2608499831829364E-3</v>
      </c>
      <c r="R1024">
        <v>1.674540462952383E-3</v>
      </c>
      <c r="S1024">
        <v>0.23318906348289492</v>
      </c>
      <c r="T1024">
        <v>4.1214439340672291</v>
      </c>
      <c r="U1024">
        <v>0</v>
      </c>
      <c r="V1024">
        <v>9.4523053561131991E-3</v>
      </c>
      <c r="W1024">
        <v>7.8564013344201544E-2</v>
      </c>
      <c r="X1024">
        <v>9.9519688200909867E-3</v>
      </c>
      <c r="Y1024">
        <v>4.7323791934199147E-3</v>
      </c>
    </row>
    <row r="1025" spans="1:25" x14ac:dyDescent="0.25">
      <c r="A1025" s="1090"/>
      <c r="B1025" s="1448">
        <v>775</v>
      </c>
      <c r="C1025" s="1094">
        <v>1.0165045660924219</v>
      </c>
      <c r="D1025" s="1094">
        <v>0.98875966961778372</v>
      </c>
      <c r="E1025" s="1094">
        <v>1.0352906720489043</v>
      </c>
      <c r="F1025" s="1094">
        <v>0.99398848835705644</v>
      </c>
      <c r="G1025" s="1094">
        <v>0.9924624134799247</v>
      </c>
      <c r="H1025" s="1094">
        <v>1.0166279407161845</v>
      </c>
      <c r="I1025" s="1094">
        <v>0.97698417677053506</v>
      </c>
      <c r="K1025">
        <v>4.4533091052171931</v>
      </c>
      <c r="L1025">
        <v>0</v>
      </c>
      <c r="M1025">
        <v>1.3559942499548599E-3</v>
      </c>
      <c r="N1025">
        <v>0.13027299140525467</v>
      </c>
      <c r="O1025">
        <v>3.7472676288228431E-2</v>
      </c>
      <c r="P1025">
        <v>1.9483768595069544E-2</v>
      </c>
      <c r="Q1025">
        <v>1.3273432996791527E-3</v>
      </c>
      <c r="R1025">
        <v>1.3504902260325715E-3</v>
      </c>
      <c r="S1025">
        <v>0.22340280564201684</v>
      </c>
      <c r="T1025">
        <v>3.9408410537664222</v>
      </c>
      <c r="U1025">
        <v>0</v>
      </c>
      <c r="V1025">
        <v>9.45230535611318E-3</v>
      </c>
      <c r="W1025">
        <v>7.579059675932831E-2</v>
      </c>
      <c r="X1025">
        <v>1.145447964518435E-2</v>
      </c>
      <c r="Y1025">
        <v>3.8165884838192972E-3</v>
      </c>
    </row>
    <row r="1026" spans="1:25" x14ac:dyDescent="0.25">
      <c r="A1026" s="1090"/>
      <c r="B1026" s="1448">
        <v>776</v>
      </c>
      <c r="C1026" s="1094">
        <v>0.99012130141185972</v>
      </c>
      <c r="D1026" s="1094">
        <v>1.0346563294393993</v>
      </c>
      <c r="E1026" s="1094">
        <v>0.96078018353395223</v>
      </c>
      <c r="F1026" s="1094">
        <v>1.003974078718024</v>
      </c>
      <c r="G1026" s="1094">
        <v>1.0298030005816499</v>
      </c>
      <c r="H1026" s="1094">
        <v>1.0409017428283769</v>
      </c>
      <c r="I1026" s="1094">
        <v>1.0012897182007683</v>
      </c>
      <c r="K1026">
        <v>4.5062441445742101</v>
      </c>
      <c r="L1026">
        <v>0</v>
      </c>
      <c r="M1026">
        <v>1.6538290195256718E-3</v>
      </c>
      <c r="N1026">
        <v>0.12742403743359876</v>
      </c>
      <c r="O1026">
        <v>3.8670243280900428E-2</v>
      </c>
      <c r="P1026">
        <v>1.866910604059174E-2</v>
      </c>
      <c r="Q1026">
        <v>1.2553095333923082E-3</v>
      </c>
      <c r="R1026">
        <v>1.6473375644094545E-3</v>
      </c>
      <c r="S1026">
        <v>0.23528351545654294</v>
      </c>
      <c r="T1026">
        <v>3.9832820200199177</v>
      </c>
      <c r="U1026">
        <v>0</v>
      </c>
      <c r="V1026">
        <v>9.4523053561131835E-3</v>
      </c>
      <c r="W1026">
        <v>7.7967861919627554E-2</v>
      </c>
      <c r="X1026">
        <v>9.5907352633473122E-3</v>
      </c>
      <c r="Y1026">
        <v>4.6555017252945443E-3</v>
      </c>
    </row>
    <row r="1027" spans="1:25" x14ac:dyDescent="0.25">
      <c r="A1027" s="1090"/>
      <c r="B1027" s="1448">
        <v>777</v>
      </c>
      <c r="C1027" s="1094">
        <v>1.0090749247807136</v>
      </c>
      <c r="D1027" s="1094">
        <v>1.0021495812543797</v>
      </c>
      <c r="E1027" s="1094">
        <v>1.0162723768665138</v>
      </c>
      <c r="F1027" s="1094">
        <v>1.0169123259327895</v>
      </c>
      <c r="G1027" s="1094">
        <v>1.0026810317684542</v>
      </c>
      <c r="H1027" s="1094">
        <v>0.97985723324459229</v>
      </c>
      <c r="I1027" s="1094">
        <v>1.0365805512888355</v>
      </c>
      <c r="K1027">
        <v>4.5565674406173287</v>
      </c>
      <c r="L1027">
        <v>0</v>
      </c>
      <c r="M1027">
        <v>1.3945425651462325E-3</v>
      </c>
      <c r="N1027">
        <v>0.12664179304970358</v>
      </c>
      <c r="O1027">
        <v>3.8543890618660807E-2</v>
      </c>
      <c r="P1027">
        <v>1.9707494003433881E-2</v>
      </c>
      <c r="Q1027">
        <v>1.3087858834334933E-3</v>
      </c>
      <c r="R1027">
        <v>1.3888015099468762E-3</v>
      </c>
      <c r="S1027">
        <v>0.23859931042342533</v>
      </c>
      <c r="T1027">
        <v>4.0324537717232465</v>
      </c>
      <c r="U1027">
        <v>0</v>
      </c>
      <c r="V1027">
        <v>9.4523053561131817E-3</v>
      </c>
      <c r="W1027">
        <v>7.4614624871757212E-2</v>
      </c>
      <c r="X1027">
        <v>1.132634664566482E-2</v>
      </c>
      <c r="Y1027">
        <v>3.9248590970892821E-3</v>
      </c>
    </row>
    <row r="1028" spans="1:25" x14ac:dyDescent="0.25">
      <c r="A1028" s="1090"/>
      <c r="B1028" s="1448">
        <v>778</v>
      </c>
      <c r="C1028" s="1094">
        <v>0.96246317672116988</v>
      </c>
      <c r="D1028" s="1094">
        <v>0.9833224812198591</v>
      </c>
      <c r="E1028" s="1094">
        <v>1.0239081358723525</v>
      </c>
      <c r="F1028" s="1094">
        <v>1.0072507024010127</v>
      </c>
      <c r="G1028" s="1094">
        <v>0.99296911830788404</v>
      </c>
      <c r="H1028" s="1094">
        <v>0.97199230434459771</v>
      </c>
      <c r="I1028" s="1094">
        <v>0.99876367319752968</v>
      </c>
      <c r="K1028">
        <v>4.5304071262405738</v>
      </c>
      <c r="L1028">
        <v>0</v>
      </c>
      <c r="M1028">
        <v>1.4243986226336067E-3</v>
      </c>
      <c r="N1028">
        <v>0.13229885538571312</v>
      </c>
      <c r="O1028">
        <v>4.0276022344329032E-2</v>
      </c>
      <c r="P1028">
        <v>1.964677459037124E-2</v>
      </c>
      <c r="Q1028">
        <v>1.3915812234220918E-3</v>
      </c>
      <c r="R1028">
        <v>1.4184307355417647E-3</v>
      </c>
      <c r="S1028">
        <v>0.24022745865286294</v>
      </c>
      <c r="T1028">
        <v>3.9938516707251246</v>
      </c>
      <c r="U1028">
        <v>0</v>
      </c>
      <c r="V1028">
        <v>9.4523053561131956E-3</v>
      </c>
      <c r="W1028">
        <v>7.7551811974522836E-2</v>
      </c>
      <c r="X1028">
        <v>1.1708020324501026E-2</v>
      </c>
      <c r="Y1028">
        <v>4.0085935507048016E-3</v>
      </c>
    </row>
    <row r="1029" spans="1:25" x14ac:dyDescent="0.25">
      <c r="A1029" s="1090"/>
      <c r="B1029" s="1448">
        <v>779</v>
      </c>
      <c r="C1029" s="1094">
        <v>0.97389068286328617</v>
      </c>
      <c r="D1029" s="1094">
        <v>0.95945343502207925</v>
      </c>
      <c r="E1029" s="1094">
        <v>0.9934020898363769</v>
      </c>
      <c r="F1029" s="1094">
        <v>1.0312016209829145</v>
      </c>
      <c r="G1029" s="1094">
        <v>0.97702816585784746</v>
      </c>
      <c r="H1029" s="1094">
        <v>0.96794074756276838</v>
      </c>
      <c r="I1029" s="1094">
        <v>0.99867630122021711</v>
      </c>
      <c r="K1029">
        <v>4.6296241234657947</v>
      </c>
      <c r="L1029">
        <v>0</v>
      </c>
      <c r="M1029">
        <v>1.5454777715459462E-3</v>
      </c>
      <c r="N1029">
        <v>0.13115719025625244</v>
      </c>
      <c r="O1029">
        <v>4.1378190546086338E-2</v>
      </c>
      <c r="P1029">
        <v>1.9654756175801365E-2</v>
      </c>
      <c r="Q1029">
        <v>1.3531903915674488E-3</v>
      </c>
      <c r="R1029">
        <v>1.5391259111855358E-3</v>
      </c>
      <c r="S1029">
        <v>0.24265043435907455</v>
      </c>
      <c r="T1029">
        <v>4.09001236085121</v>
      </c>
      <c r="U1029">
        <v>0</v>
      </c>
      <c r="V1029">
        <v>9.4523053561131869E-3</v>
      </c>
      <c r="W1029">
        <v>7.8474797033183774E-2</v>
      </c>
      <c r="X1029">
        <v>1.114756302515138E-2</v>
      </c>
      <c r="Y1029">
        <v>4.3496873317148488E-3</v>
      </c>
    </row>
    <row r="1030" spans="1:25" x14ac:dyDescent="0.25">
      <c r="A1030" s="1090"/>
      <c r="B1030" s="1448">
        <v>780</v>
      </c>
      <c r="C1030" s="1094">
        <v>0.96274836282363896</v>
      </c>
      <c r="D1030" s="1094">
        <v>1.0427304126787011</v>
      </c>
      <c r="E1030" s="1094">
        <v>0.99883861237540361</v>
      </c>
      <c r="F1030" s="1094">
        <v>0.98833818717282829</v>
      </c>
      <c r="G1030" s="1094">
        <v>0.96275387777434496</v>
      </c>
      <c r="H1030" s="1094">
        <v>1.0403453141087553</v>
      </c>
      <c r="I1030" s="1094">
        <v>1.0018978193383365</v>
      </c>
      <c r="K1030">
        <v>4.4541425641359487</v>
      </c>
      <c r="L1030">
        <v>0</v>
      </c>
      <c r="M1030">
        <v>1.5402717989117249E-3</v>
      </c>
      <c r="N1030">
        <v>0.13285476619981024</v>
      </c>
      <c r="O1030">
        <v>3.8765906050869908E-2</v>
      </c>
      <c r="P1030">
        <v>1.8944319423415894E-2</v>
      </c>
      <c r="Q1030">
        <v>1.3302264280270575E-3</v>
      </c>
      <c r="R1030">
        <v>1.5341275346180564E-3</v>
      </c>
      <c r="S1030">
        <v>0.23893281009236145</v>
      </c>
      <c r="T1030">
        <v>3.919799893932189</v>
      </c>
      <c r="U1030">
        <v>0</v>
      </c>
      <c r="V1030">
        <v>9.45230535611318E-3</v>
      </c>
      <c r="W1030">
        <v>7.9198189326336141E-2</v>
      </c>
      <c r="X1030">
        <v>1.0534730053194493E-2</v>
      </c>
      <c r="Y1030">
        <v>4.3355615379271541E-3</v>
      </c>
    </row>
    <row r="1031" spans="1:25" x14ac:dyDescent="0.25">
      <c r="A1031" s="1090"/>
      <c r="B1031" s="1448">
        <v>781</v>
      </c>
      <c r="C1031" s="1094">
        <v>0.99095898785331371</v>
      </c>
      <c r="D1031" s="1094">
        <v>1.00982582581072</v>
      </c>
      <c r="E1031" s="1094">
        <v>1.0201194892912384</v>
      </c>
      <c r="F1031" s="1094">
        <v>0.9836496239455822</v>
      </c>
      <c r="G1031" s="1094">
        <v>1.0038111504558991</v>
      </c>
      <c r="H1031" s="1094">
        <v>0.97828672136539296</v>
      </c>
      <c r="I1031" s="1094">
        <v>1.0032711221637112</v>
      </c>
      <c r="K1031">
        <v>4.4101329498336579</v>
      </c>
      <c r="L1031">
        <v>0</v>
      </c>
      <c r="M1031">
        <v>1.3563292013388827E-3</v>
      </c>
      <c r="N1031">
        <v>0.12456348306774218</v>
      </c>
      <c r="O1031">
        <v>3.782283186347643E-2</v>
      </c>
      <c r="P1031">
        <v>1.9110538509419871E-2</v>
      </c>
      <c r="Q1031">
        <v>1.3329879471796113E-3</v>
      </c>
      <c r="R1031">
        <v>1.3505481670120453E-3</v>
      </c>
      <c r="S1031">
        <v>0.22928964748883621</v>
      </c>
      <c r="T1031">
        <v>3.9004113725722247</v>
      </c>
      <c r="U1031">
        <v>0</v>
      </c>
      <c r="V1031">
        <v>9.4523053561131869E-3</v>
      </c>
      <c r="W1031">
        <v>7.3201880852547835E-2</v>
      </c>
      <c r="X1031">
        <v>1.1136930980993014E-2</v>
      </c>
      <c r="Y1031">
        <v>3.816752229450875E-3</v>
      </c>
    </row>
    <row r="1032" spans="1:25" x14ac:dyDescent="0.25">
      <c r="A1032" s="1090"/>
      <c r="B1032" s="1448">
        <v>782</v>
      </c>
      <c r="C1032" s="1094">
        <v>0.98497086004504797</v>
      </c>
      <c r="D1032" s="1094">
        <v>1.0126556316679667</v>
      </c>
      <c r="E1032" s="1094">
        <v>0.97194237306654852</v>
      </c>
      <c r="F1032" s="1094">
        <v>1.0123647126167694</v>
      </c>
      <c r="G1032" s="1094">
        <v>1.0091414808770878</v>
      </c>
      <c r="H1032" s="1094">
        <v>0.99408247723644783</v>
      </c>
      <c r="I1032" s="1094">
        <v>1.0093914715410641</v>
      </c>
      <c r="K1032">
        <v>4.5394891043555727</v>
      </c>
      <c r="L1032">
        <v>0</v>
      </c>
      <c r="M1032">
        <v>1.5774197894210514E-3</v>
      </c>
      <c r="N1032">
        <v>0.1256150258961049</v>
      </c>
      <c r="O1032">
        <v>3.9457851741738603E-2</v>
      </c>
      <c r="P1032">
        <v>1.8986883253096627E-2</v>
      </c>
      <c r="Q1032">
        <v>1.2852700801254165E-3</v>
      </c>
      <c r="R1032">
        <v>1.5709901552960904E-3</v>
      </c>
      <c r="S1032">
        <v>0.2376778980914723</v>
      </c>
      <c r="T1032">
        <v>4.0161346144265853</v>
      </c>
      <c r="U1032">
        <v>0</v>
      </c>
      <c r="V1032">
        <v>9.4523053561132026E-3</v>
      </c>
      <c r="W1032">
        <v>7.6269950066566783E-2</v>
      </c>
      <c r="X1032">
        <v>1.0175996959598296E-2</v>
      </c>
      <c r="Y1032">
        <v>4.4397381182912322E-3</v>
      </c>
    </row>
    <row r="1033" spans="1:25" x14ac:dyDescent="0.25">
      <c r="A1033" s="1090"/>
      <c r="B1033" s="1448">
        <v>783</v>
      </c>
      <c r="C1033" s="1094">
        <v>0.96065137460460992</v>
      </c>
      <c r="D1033" s="1094">
        <v>0.98241720118997056</v>
      </c>
      <c r="E1033" s="1094">
        <v>0.99912809472273223</v>
      </c>
      <c r="F1033" s="1094">
        <v>1.0133224184211052</v>
      </c>
      <c r="G1033" s="1094">
        <v>1.0176406464136136</v>
      </c>
      <c r="H1033" s="1094">
        <v>1.0125724247671117</v>
      </c>
      <c r="I1033" s="1094">
        <v>1.00095720832813</v>
      </c>
      <c r="K1033">
        <v>4.5680671638853312</v>
      </c>
      <c r="L1033">
        <v>0</v>
      </c>
      <c r="M1033">
        <v>1.5764357519043699E-3</v>
      </c>
      <c r="N1033">
        <v>0.13608954451049277</v>
      </c>
      <c r="O1033">
        <v>4.0791244020596397E-2</v>
      </c>
      <c r="P1033">
        <v>1.9428778542889213E-2</v>
      </c>
      <c r="Q1033">
        <v>1.3656229329902958E-3</v>
      </c>
      <c r="R1033">
        <v>1.5701334009401117E-3</v>
      </c>
      <c r="S1033">
        <v>0.24552441983796533</v>
      </c>
      <c r="T1033">
        <v>4.0188774591312972</v>
      </c>
      <c r="U1033">
        <v>0</v>
      </c>
      <c r="V1033">
        <v>9.4523053561131869E-3</v>
      </c>
      <c r="W1033">
        <v>8.1110642898710311E-2</v>
      </c>
      <c r="X1033">
        <v>1.0996132140170929E-2</v>
      </c>
      <c r="Y1033">
        <v>4.4373168650711347E-3</v>
      </c>
    </row>
    <row r="1034" spans="1:25" x14ac:dyDescent="0.25">
      <c r="A1034" s="1090"/>
      <c r="B1034" s="1448">
        <v>784</v>
      </c>
      <c r="C1034" s="1094">
        <v>0.98463278808255261</v>
      </c>
      <c r="D1034" s="1094">
        <v>1.0013625510168171</v>
      </c>
      <c r="E1034" s="1094">
        <v>1.0264696589912483</v>
      </c>
      <c r="F1034" s="1094">
        <v>0.9975548719262497</v>
      </c>
      <c r="G1034" s="1094">
        <v>0.98465708064075708</v>
      </c>
      <c r="H1034" s="1094">
        <v>1.0205778997261592</v>
      </c>
      <c r="I1034" s="1094">
        <v>1.0302558118426612</v>
      </c>
      <c r="K1034">
        <v>4.4950463824284448</v>
      </c>
      <c r="L1034">
        <v>0</v>
      </c>
      <c r="M1034">
        <v>1.4296549219814368E-3</v>
      </c>
      <c r="N1034">
        <v>0.13381842927496801</v>
      </c>
      <c r="O1034">
        <v>3.8689835716742359E-2</v>
      </c>
      <c r="P1034">
        <v>1.9518368450877684E-2</v>
      </c>
      <c r="Q1034">
        <v>1.3533138486895142E-3</v>
      </c>
      <c r="R1034">
        <v>1.4238949477765517E-3</v>
      </c>
      <c r="S1034">
        <v>0.24317150510776508</v>
      </c>
      <c r="T1034">
        <v>3.9553106117196779</v>
      </c>
      <c r="U1034">
        <v>0</v>
      </c>
      <c r="V1034">
        <v>9.4523053561131939E-3</v>
      </c>
      <c r="W1034">
        <v>7.8309168364675288E-2</v>
      </c>
      <c r="X1034">
        <v>1.1404568731486119E-2</v>
      </c>
      <c r="Y1034">
        <v>4.0240358316531791E-3</v>
      </c>
    </row>
    <row r="1035" spans="1:25" x14ac:dyDescent="0.25">
      <c r="A1035" s="1090"/>
      <c r="B1035" s="1448">
        <v>785</v>
      </c>
      <c r="C1035" s="1094">
        <v>1.0145942524865164</v>
      </c>
      <c r="D1035" s="1094">
        <v>0.96266927996262019</v>
      </c>
      <c r="E1035" s="1094">
        <v>1.0175110788855106</v>
      </c>
      <c r="F1035" s="1094">
        <v>1.0069768059331807</v>
      </c>
      <c r="G1035" s="1094">
        <v>1.0114873783802147</v>
      </c>
      <c r="H1035" s="1094">
        <v>0.99983433220036633</v>
      </c>
      <c r="I1035" s="1094">
        <v>1.0201276251063556</v>
      </c>
      <c r="K1035">
        <v>4.5192163208911413</v>
      </c>
      <c r="L1035">
        <v>0</v>
      </c>
      <c r="M1035">
        <v>1.4204554259639737E-3</v>
      </c>
      <c r="N1035">
        <v>0.12947425941603807</v>
      </c>
      <c r="O1035">
        <v>3.8566297961596087E-2</v>
      </c>
      <c r="P1035">
        <v>1.9533515716350241E-2</v>
      </c>
      <c r="Q1035">
        <v>1.3241522472249739E-3</v>
      </c>
      <c r="R1035">
        <v>1.4146682181941875E-3</v>
      </c>
      <c r="S1035">
        <v>0.23640003196997003</v>
      </c>
      <c r="T1035">
        <v>3.9930084555718266</v>
      </c>
      <c r="U1035">
        <v>0</v>
      </c>
      <c r="V1035">
        <v>9.4523053561132043E-3</v>
      </c>
      <c r="W1035">
        <v>7.6220340592970823E-2</v>
      </c>
      <c r="X1035">
        <v>1.1244788877388596E-2</v>
      </c>
      <c r="Y1035">
        <v>3.9979603894259377E-3</v>
      </c>
    </row>
    <row r="1036" spans="1:25" x14ac:dyDescent="0.25">
      <c r="A1036" s="1090"/>
      <c r="B1036" s="1448">
        <v>786</v>
      </c>
      <c r="C1036" s="1094">
        <v>1.0074959668530989</v>
      </c>
      <c r="D1036" s="1094">
        <v>1.0005566554646059</v>
      </c>
      <c r="E1036" s="1094">
        <v>1.0100755733100022</v>
      </c>
      <c r="F1036" s="1094">
        <v>0.95802116584403219</v>
      </c>
      <c r="G1036" s="1094">
        <v>0.99831819374878472</v>
      </c>
      <c r="H1036" s="1094">
        <v>0.98641207749175175</v>
      </c>
      <c r="I1036" s="1094">
        <v>0.96514032344950051</v>
      </c>
      <c r="K1036">
        <v>4.2839881651721834</v>
      </c>
      <c r="L1036">
        <v>0</v>
      </c>
      <c r="M1036">
        <v>1.343266189959471E-3</v>
      </c>
      <c r="N1036">
        <v>0.11974126951113474</v>
      </c>
      <c r="O1036">
        <v>3.6432333782267783E-2</v>
      </c>
      <c r="P1036">
        <v>1.8437293689557037E-2</v>
      </c>
      <c r="Q1036">
        <v>1.3047815238660758E-3</v>
      </c>
      <c r="R1036">
        <v>1.3374367453185189E-3</v>
      </c>
      <c r="S1036">
        <v>0.21433069316179587</v>
      </c>
      <c r="T1036">
        <v>3.7991519791421542</v>
      </c>
      <c r="U1036">
        <v>0</v>
      </c>
      <c r="V1036">
        <v>9.4523053561131869E-3</v>
      </c>
      <c r="W1036">
        <v>7.0842445904598511E-2</v>
      </c>
      <c r="X1036">
        <v>1.0521194194600743E-2</v>
      </c>
      <c r="Y1036">
        <v>3.7796983507352791E-3</v>
      </c>
    </row>
    <row r="1037" spans="1:25" x14ac:dyDescent="0.25">
      <c r="A1037" s="1090"/>
      <c r="B1037" s="1448">
        <v>787</v>
      </c>
      <c r="C1037" s="1094">
        <v>0.99557825526277954</v>
      </c>
      <c r="D1037" s="1094">
        <v>0.97229280247527416</v>
      </c>
      <c r="E1037" s="1094">
        <v>1.0328979753440104</v>
      </c>
      <c r="F1037" s="1094">
        <v>1.0085906159206168</v>
      </c>
      <c r="G1037" s="1094">
        <v>0.98955683771935898</v>
      </c>
      <c r="H1037" s="1094">
        <v>0.96716826888057772</v>
      </c>
      <c r="I1037" s="1094">
        <v>1.0277848275610555</v>
      </c>
      <c r="K1037">
        <v>4.5279353471839858</v>
      </c>
      <c r="L1037">
        <v>0</v>
      </c>
      <c r="M1037">
        <v>1.3522484932736204E-3</v>
      </c>
      <c r="N1037">
        <v>0.12897875733059411</v>
      </c>
      <c r="O1037">
        <v>3.9100971706236574E-2</v>
      </c>
      <c r="P1037">
        <v>1.9795959231633679E-2</v>
      </c>
      <c r="Q1037">
        <v>1.3616426253601336E-3</v>
      </c>
      <c r="R1037">
        <v>1.3465621725498389E-3</v>
      </c>
      <c r="S1037">
        <v>0.23963698240953582</v>
      </c>
      <c r="T1037">
        <v>3.9988240990735031</v>
      </c>
      <c r="U1037">
        <v>0</v>
      </c>
      <c r="V1037">
        <v>9.4523053561131973E-3</v>
      </c>
      <c r="W1037">
        <v>7.5156312090669281E-2</v>
      </c>
      <c r="X1037">
        <v>1.1828516176277441E-2</v>
      </c>
      <c r="Y1037">
        <v>3.8054875047843989E-3</v>
      </c>
    </row>
    <row r="1038" spans="1:25" x14ac:dyDescent="0.25">
      <c r="A1038" s="1090"/>
      <c r="B1038" s="1448">
        <v>788</v>
      </c>
      <c r="C1038" s="1094">
        <v>0.99490476762518609</v>
      </c>
      <c r="D1038" s="1094">
        <v>0.98127984726856099</v>
      </c>
      <c r="E1038" s="1094">
        <v>1.0041376739276773</v>
      </c>
      <c r="F1038" s="1094">
        <v>1.0189156236038255</v>
      </c>
      <c r="G1038" s="1094">
        <v>1.0152455538137484</v>
      </c>
      <c r="H1038" s="1094">
        <v>1.0114015722493077</v>
      </c>
      <c r="I1038" s="1094">
        <v>1.0033172857818751</v>
      </c>
      <c r="K1038">
        <v>4.5759695857543585</v>
      </c>
      <c r="L1038">
        <v>0</v>
      </c>
      <c r="M1038">
        <v>1.5134126574804134E-3</v>
      </c>
      <c r="N1038">
        <v>0.13260469762832233</v>
      </c>
      <c r="O1038">
        <v>3.9587104045403228E-2</v>
      </c>
      <c r="P1038">
        <v>1.9569667566462935E-2</v>
      </c>
      <c r="Q1038">
        <v>1.3248874270609171E-3</v>
      </c>
      <c r="R1038">
        <v>1.5073883764605413E-3</v>
      </c>
      <c r="S1038">
        <v>0.23851108992644426</v>
      </c>
      <c r="T1038">
        <v>4.0408661136499378</v>
      </c>
      <c r="U1038">
        <v>0</v>
      </c>
      <c r="V1038">
        <v>9.4523053561131869E-3</v>
      </c>
      <c r="W1038">
        <v>7.8766793411326794E-2</v>
      </c>
      <c r="X1038">
        <v>1.103295638877287E-2</v>
      </c>
      <c r="Y1038">
        <v>4.259994635535864E-3</v>
      </c>
    </row>
    <row r="1039" spans="1:25" x14ac:dyDescent="0.25">
      <c r="A1039" s="1090"/>
      <c r="B1039" s="1448">
        <v>789</v>
      </c>
      <c r="C1039" s="1094">
        <v>0.96748406400634124</v>
      </c>
      <c r="D1039" s="1094">
        <v>1.0034796710536791</v>
      </c>
      <c r="E1039" s="1094">
        <v>0.98786114482601106</v>
      </c>
      <c r="F1039" s="1094">
        <v>0.98710226887717234</v>
      </c>
      <c r="G1039" s="1094">
        <v>1.0110491581729606</v>
      </c>
      <c r="H1039" s="1094">
        <v>0.99599178455598469</v>
      </c>
      <c r="I1039" s="1094">
        <v>1.013218960325827</v>
      </c>
      <c r="K1039">
        <v>4.4418417018139911</v>
      </c>
      <c r="L1039">
        <v>0</v>
      </c>
      <c r="M1039">
        <v>1.5229944992077413E-3</v>
      </c>
      <c r="N1039">
        <v>0.12713514679406621</v>
      </c>
      <c r="O1039">
        <v>3.9200497842003308E-2</v>
      </c>
      <c r="P1039">
        <v>1.8771747468746405E-2</v>
      </c>
      <c r="Q1039">
        <v>1.331547673034036E-3</v>
      </c>
      <c r="R1039">
        <v>1.5166406955902005E-3</v>
      </c>
      <c r="S1039">
        <v>0.23958122701717832</v>
      </c>
      <c r="T1039">
        <v>3.9153121596451821</v>
      </c>
      <c r="U1039">
        <v>0</v>
      </c>
      <c r="V1039">
        <v>9.4523053561131921E-3</v>
      </c>
      <c r="W1039">
        <v>7.6355536969429594E-2</v>
      </c>
      <c r="X1039">
        <v>1.0421744456076661E-2</v>
      </c>
      <c r="Y1039">
        <v>4.2861423957774305E-3</v>
      </c>
    </row>
    <row r="1040" spans="1:25" x14ac:dyDescent="0.25">
      <c r="A1040" s="1090"/>
      <c r="B1040" s="1448">
        <v>790</v>
      </c>
      <c r="C1040" s="1094">
        <v>1.0337741965505178</v>
      </c>
      <c r="D1040" s="1094">
        <v>1.014690859106677</v>
      </c>
      <c r="E1040" s="1094">
        <v>0.95599137031634085</v>
      </c>
      <c r="F1040" s="1094">
        <v>0.96481546808874608</v>
      </c>
      <c r="G1040" s="1094">
        <v>1.038226368993248</v>
      </c>
      <c r="H1040" s="1094">
        <v>1.0468813367383549</v>
      </c>
      <c r="I1040" s="1094">
        <v>0.98989614126245362</v>
      </c>
      <c r="K1040">
        <v>4.3154642802402758</v>
      </c>
      <c r="L1040">
        <v>0</v>
      </c>
      <c r="M1040">
        <v>1.558728977922505E-3</v>
      </c>
      <c r="N1040">
        <v>0.11838347220681275</v>
      </c>
      <c r="O1040">
        <v>3.5901515006568366E-2</v>
      </c>
      <c r="P1040">
        <v>1.7843674374385922E-2</v>
      </c>
      <c r="Q1040">
        <v>1.2066131314298152E-3</v>
      </c>
      <c r="R1040">
        <v>1.5523998981366053E-3</v>
      </c>
      <c r="S1040">
        <v>0.21853677157265877</v>
      </c>
      <c r="T1040">
        <v>3.8280991589789508</v>
      </c>
      <c r="U1040">
        <v>0</v>
      </c>
      <c r="V1040">
        <v>9.4523053561131887E-3</v>
      </c>
      <c r="W1040">
        <v>7.2677747216455924E-2</v>
      </c>
      <c r="X1040">
        <v>8.982150844423489E-3</v>
      </c>
      <c r="Y1040">
        <v>4.3872006322595346E-3</v>
      </c>
    </row>
    <row r="1041" spans="1:25" x14ac:dyDescent="0.25">
      <c r="A1041" s="1090"/>
      <c r="B1041" s="1448">
        <v>791</v>
      </c>
      <c r="C1041" s="1094">
        <v>0.99477832710132641</v>
      </c>
      <c r="D1041" s="1094">
        <v>0.98994589960734947</v>
      </c>
      <c r="E1041" s="1094">
        <v>0.97185877332815562</v>
      </c>
      <c r="F1041" s="1094">
        <v>1.0024122117118894</v>
      </c>
      <c r="G1041" s="1094">
        <v>1.000931879829291</v>
      </c>
      <c r="H1041" s="1094">
        <v>0.97669450863522644</v>
      </c>
      <c r="I1041" s="1094">
        <v>1.0399349205392685</v>
      </c>
      <c r="K1041">
        <v>4.4970336346230937</v>
      </c>
      <c r="L1041">
        <v>0</v>
      </c>
      <c r="M1041">
        <v>1.5336411422689094E-3</v>
      </c>
      <c r="N1041">
        <v>0.12208455452262301</v>
      </c>
      <c r="O1041">
        <v>3.9037896841027868E-2</v>
      </c>
      <c r="P1041">
        <v>1.8825127809249543E-2</v>
      </c>
      <c r="Q1041">
        <v>1.2841031592097409E-3</v>
      </c>
      <c r="R1041">
        <v>1.5272157510198762E-3</v>
      </c>
      <c r="S1041">
        <v>0.24110653372072888</v>
      </c>
      <c r="T1041">
        <v>3.9766554544409707</v>
      </c>
      <c r="U1041">
        <v>0</v>
      </c>
      <c r="V1041">
        <v>9.4523053561132026E-3</v>
      </c>
      <c r="W1041">
        <v>7.4130615422418028E-2</v>
      </c>
      <c r="X1041">
        <v>1.0147440432208287E-2</v>
      </c>
      <c r="Y1041">
        <v>4.3160283097889813E-3</v>
      </c>
    </row>
    <row r="1042" spans="1:25" x14ac:dyDescent="0.25">
      <c r="A1042" s="1090"/>
      <c r="B1042" s="1448">
        <v>792</v>
      </c>
      <c r="C1042" s="1094">
        <v>1.0023113691383454</v>
      </c>
      <c r="D1042" s="1094">
        <v>0.99514673571061429</v>
      </c>
      <c r="E1042" s="1094">
        <v>1.0415609788886291</v>
      </c>
      <c r="F1042" s="1094">
        <v>1.0163942350893314</v>
      </c>
      <c r="G1042" s="1094">
        <v>1.0147062890400074</v>
      </c>
      <c r="H1042" s="1094">
        <v>0.99372614403367321</v>
      </c>
      <c r="I1042" s="1094">
        <v>0.9813965998149019</v>
      </c>
      <c r="K1042">
        <v>4.5527197022442571</v>
      </c>
      <c r="L1042">
        <v>0</v>
      </c>
      <c r="M1042">
        <v>1.3527699222080725E-3</v>
      </c>
      <c r="N1042">
        <v>0.1323930420477108</v>
      </c>
      <c r="O1042">
        <v>3.8716020134347225E-2</v>
      </c>
      <c r="P1042">
        <v>2.001305397434841E-2</v>
      </c>
      <c r="Q1042">
        <v>1.3497367357407771E-3</v>
      </c>
      <c r="R1042">
        <v>1.3472757736433627E-3</v>
      </c>
      <c r="S1042">
        <v>0.22887041764667898</v>
      </c>
      <c r="T1042">
        <v>4.0294344435714704</v>
      </c>
      <c r="U1042">
        <v>0</v>
      </c>
      <c r="V1042">
        <v>9.4523053561131852E-3</v>
      </c>
      <c r="W1042">
        <v>7.6706598924005234E-2</v>
      </c>
      <c r="X1042">
        <v>1.1982073806450966E-2</v>
      </c>
      <c r="Y1042">
        <v>3.8075041959555623E-3</v>
      </c>
    </row>
    <row r="1043" spans="1:25" x14ac:dyDescent="0.25">
      <c r="A1043" s="1090"/>
      <c r="B1043" s="1448">
        <v>793</v>
      </c>
      <c r="C1043" s="1094">
        <v>1.0102574635639949</v>
      </c>
      <c r="D1043" s="1094">
        <v>0.98893450783843717</v>
      </c>
      <c r="E1043" s="1094">
        <v>1.0236773704923705</v>
      </c>
      <c r="F1043" s="1094">
        <v>1.0347976285927403</v>
      </c>
      <c r="G1043" s="1094">
        <v>0.99174568713015865</v>
      </c>
      <c r="H1043" s="1094">
        <v>1.0205711597650082</v>
      </c>
      <c r="I1043" s="1094">
        <v>1.0165915483774906</v>
      </c>
      <c r="K1043">
        <v>4.6449254005298215</v>
      </c>
      <c r="L1043">
        <v>0</v>
      </c>
      <c r="M1043">
        <v>1.4610262643589243E-3</v>
      </c>
      <c r="N1043">
        <v>0.13564982505810461</v>
      </c>
      <c r="O1043">
        <v>3.933198919092902E-2</v>
      </c>
      <c r="P1043">
        <v>2.0151195855151672E-2</v>
      </c>
      <c r="Q1043">
        <v>1.3224747406767616E-3</v>
      </c>
      <c r="R1043">
        <v>1.455350872541989E-3</v>
      </c>
      <c r="S1043">
        <v>0.24067608899257947</v>
      </c>
      <c r="T1043">
        <v>4.1030870273570326</v>
      </c>
      <c r="U1043">
        <v>0</v>
      </c>
      <c r="V1043">
        <v>9.452305356113206E-3</v>
      </c>
      <c r="W1043">
        <v>7.9528310300720731E-2</v>
      </c>
      <c r="X1043">
        <v>1.1618926393738557E-2</v>
      </c>
      <c r="Y1043">
        <v>4.1129326765865521E-3</v>
      </c>
    </row>
    <row r="1044" spans="1:25" x14ac:dyDescent="0.25">
      <c r="A1044" s="1090"/>
      <c r="B1044" s="1448">
        <v>794</v>
      </c>
      <c r="C1044" s="1094">
        <v>0.97290968923158283</v>
      </c>
      <c r="D1044" s="1094">
        <v>1.0161190984947728</v>
      </c>
      <c r="E1044" s="1094">
        <v>1.0179258519182026</v>
      </c>
      <c r="F1044" s="1094">
        <v>0.9608011069914012</v>
      </c>
      <c r="G1044" s="1094">
        <v>0.97898936910454837</v>
      </c>
      <c r="H1044" s="1094">
        <v>0.9869039770529946</v>
      </c>
      <c r="I1044" s="1094">
        <v>0.99806395853900998</v>
      </c>
      <c r="K1044">
        <v>4.3182852776397649</v>
      </c>
      <c r="L1044">
        <v>0</v>
      </c>
      <c r="M1044">
        <v>1.3643506330433353E-3</v>
      </c>
      <c r="N1044">
        <v>0.12448167597000422</v>
      </c>
      <c r="O1044">
        <v>3.7551081141913092E-2</v>
      </c>
      <c r="P1044">
        <v>1.8660848798102821E-2</v>
      </c>
      <c r="Q1044">
        <v>1.3518342424205841E-3</v>
      </c>
      <c r="R1044">
        <v>1.3584496880548998E-3</v>
      </c>
      <c r="S1044">
        <v>0.22891272365612292</v>
      </c>
      <c r="T1044">
        <v>3.8098909258864539</v>
      </c>
      <c r="U1044">
        <v>0</v>
      </c>
      <c r="V1044">
        <v>9.4523053561131939E-3</v>
      </c>
      <c r="W1044">
        <v>7.3260955802749161E-2</v>
      </c>
      <c r="X1044">
        <v>1.0889745199699801E-2</v>
      </c>
      <c r="Y1044">
        <v>3.8390825311705751E-3</v>
      </c>
    </row>
    <row r="1045" spans="1:25" x14ac:dyDescent="0.25">
      <c r="A1045" s="1090"/>
      <c r="B1045" s="1448">
        <v>795</v>
      </c>
      <c r="C1045" s="1094">
        <v>0.99988823003488947</v>
      </c>
      <c r="D1045" s="1094">
        <v>1.0069522123186068</v>
      </c>
      <c r="E1045" s="1094">
        <v>0.99670489645956728</v>
      </c>
      <c r="F1045" s="1094">
        <v>0.97879357960285118</v>
      </c>
      <c r="G1045" s="1094">
        <v>0.99852822537143704</v>
      </c>
      <c r="H1045" s="1094">
        <v>0.99207249048552992</v>
      </c>
      <c r="I1045" s="1094">
        <v>0.95708823463827664</v>
      </c>
      <c r="K1045">
        <v>4.3758041637700007</v>
      </c>
      <c r="L1045">
        <v>0</v>
      </c>
      <c r="M1045">
        <v>1.4267365344100033E-3</v>
      </c>
      <c r="N1045">
        <v>0.12225737948115439</v>
      </c>
      <c r="O1045">
        <v>3.7499690653678489E-2</v>
      </c>
      <c r="P1045">
        <v>1.8644244047052158E-2</v>
      </c>
      <c r="Q1045">
        <v>1.2964532834160443E-3</v>
      </c>
      <c r="R1045">
        <v>1.4207102821937371E-3</v>
      </c>
      <c r="S1045">
        <v>0.21722677445458774</v>
      </c>
      <c r="T1045">
        <v>3.882025108539239</v>
      </c>
      <c r="U1045">
        <v>0</v>
      </c>
      <c r="V1045">
        <v>9.4523053561131991E-3</v>
      </c>
      <c r="W1045">
        <v>7.2986149130626815E-2</v>
      </c>
      <c r="X1045">
        <v>1.0407049352765782E-2</v>
      </c>
      <c r="Y1045">
        <v>4.0150357235784291E-3</v>
      </c>
    </row>
    <row r="1046" spans="1:25" x14ac:dyDescent="0.25">
      <c r="A1046" s="1090"/>
      <c r="B1046" s="1448">
        <v>796</v>
      </c>
      <c r="C1046" s="1094">
        <v>0.99899454263834819</v>
      </c>
      <c r="D1046" s="1094">
        <v>0.9775292902026923</v>
      </c>
      <c r="E1046" s="1094">
        <v>0.96641435824555455</v>
      </c>
      <c r="F1046" s="1094">
        <v>0.98984023663740761</v>
      </c>
      <c r="G1046" s="1094">
        <v>0.98455376345784107</v>
      </c>
      <c r="H1046" s="1094">
        <v>0.97615473137984043</v>
      </c>
      <c r="I1046" s="1094">
        <v>1.0004257407846122</v>
      </c>
      <c r="K1046">
        <v>4.432030295985208</v>
      </c>
      <c r="L1046">
        <v>0</v>
      </c>
      <c r="M1046">
        <v>1.5322725982565993E-3</v>
      </c>
      <c r="N1046">
        <v>0.12001263026009747</v>
      </c>
      <c r="O1046">
        <v>3.8617072023121993E-2</v>
      </c>
      <c r="P1046">
        <v>1.8476635968567797E-2</v>
      </c>
      <c r="Q1046">
        <v>1.2790544619367351E-3</v>
      </c>
      <c r="R1046">
        <v>1.5257681476735789E-3</v>
      </c>
      <c r="S1046">
        <v>0.22986621038015376</v>
      </c>
      <c r="T1046">
        <v>3.9269896551876564</v>
      </c>
      <c r="U1046">
        <v>0</v>
      </c>
      <c r="V1046">
        <v>9.4523053561131904E-3</v>
      </c>
      <c r="W1046">
        <v>7.3146892226553115E-2</v>
      </c>
      <c r="X1046">
        <v>9.8844072993766671E-3</v>
      </c>
      <c r="Y1046">
        <v>4.3119372722130586E-3</v>
      </c>
    </row>
    <row r="1047" spans="1:25" x14ac:dyDescent="0.25">
      <c r="A1047" s="1090"/>
      <c r="B1047" s="1448">
        <v>797</v>
      </c>
      <c r="C1047" s="1094">
        <v>1.0417641425472148</v>
      </c>
      <c r="D1047" s="1094">
        <v>1.0370261975760955</v>
      </c>
      <c r="E1047" s="1094">
        <v>1.0002313035779715</v>
      </c>
      <c r="F1047" s="1094">
        <v>1.0377305613060317</v>
      </c>
      <c r="G1047" s="1094">
        <v>1.0347975410686534</v>
      </c>
      <c r="H1047" s="1094">
        <v>1.011808408486728</v>
      </c>
      <c r="I1047" s="1094">
        <v>0.98425685544757979</v>
      </c>
      <c r="K1047">
        <v>4.6219926318429234</v>
      </c>
      <c r="L1047">
        <v>0</v>
      </c>
      <c r="M1047">
        <v>1.4522253833461247E-3</v>
      </c>
      <c r="N1047">
        <v>0.12578872111537368</v>
      </c>
      <c r="O1047">
        <v>3.7689217674625949E-2</v>
      </c>
      <c r="P1047">
        <v>1.9780696642093247E-2</v>
      </c>
      <c r="Q1047">
        <v>1.2335035372796474E-3</v>
      </c>
      <c r="R1047">
        <v>1.4465513414108379E-3</v>
      </c>
      <c r="S1047">
        <v>0.22260330155682745</v>
      </c>
      <c r="T1047">
        <v>4.1156375322473169</v>
      </c>
      <c r="U1047">
        <v>0</v>
      </c>
      <c r="V1047">
        <v>9.4523053561131852E-3</v>
      </c>
      <c r="W1047">
        <v>7.4915363537403787E-2</v>
      </c>
      <c r="X1047">
        <v>1.0809599688029458E-2</v>
      </c>
      <c r="Y1047">
        <v>4.0880645297974982E-3</v>
      </c>
    </row>
    <row r="1048" spans="1:25" x14ac:dyDescent="0.25">
      <c r="A1048" s="1090"/>
      <c r="B1048" s="1448">
        <v>798</v>
      </c>
      <c r="C1048" s="1094">
        <v>1.0113547237892058</v>
      </c>
      <c r="D1048" s="1094">
        <v>1.0188874372374821</v>
      </c>
      <c r="E1048" s="1094">
        <v>1.0069986800960675</v>
      </c>
      <c r="F1048" s="1094">
        <v>0.97092983617323259</v>
      </c>
      <c r="G1048" s="1094">
        <v>1.0181106101110697</v>
      </c>
      <c r="H1048" s="1094">
        <v>0.96912603990855306</v>
      </c>
      <c r="I1048" s="1094">
        <v>1.0014085866107487</v>
      </c>
      <c r="K1048">
        <v>4.3390705436776589</v>
      </c>
      <c r="L1048">
        <v>0</v>
      </c>
      <c r="M1048">
        <v>1.3312995864397433E-3</v>
      </c>
      <c r="N1048">
        <v>0.11759598010836166</v>
      </c>
      <c r="O1048">
        <v>3.6536370252650607E-2</v>
      </c>
      <c r="P1048">
        <v>1.8660639559762066E-2</v>
      </c>
      <c r="Q1048">
        <v>1.2870184294239229E-3</v>
      </c>
      <c r="R1048">
        <v>1.3254968748013316E-3</v>
      </c>
      <c r="S1048">
        <v>0.22103489058933837</v>
      </c>
      <c r="T1048">
        <v>3.8504562040912687</v>
      </c>
      <c r="U1048">
        <v>0</v>
      </c>
      <c r="V1048">
        <v>9.4523053561131852E-3</v>
      </c>
      <c r="W1048">
        <v>6.9717227847768057E-2</v>
      </c>
      <c r="X1048">
        <v>1.0589754789522265E-2</v>
      </c>
      <c r="Y1048">
        <v>3.7459553650877149E-3</v>
      </c>
    </row>
    <row r="1049" spans="1:25" x14ac:dyDescent="0.25">
      <c r="A1049" s="1090"/>
      <c r="B1049" s="1448">
        <v>799</v>
      </c>
      <c r="C1049" s="1094">
        <v>0.97026689415301381</v>
      </c>
      <c r="D1049" s="1094">
        <v>0.97394723894759694</v>
      </c>
      <c r="E1049" s="1094">
        <v>1.0175624418188169</v>
      </c>
      <c r="F1049" s="1094">
        <v>0.97805720529591722</v>
      </c>
      <c r="G1049" s="1094">
        <v>1.0023675135089873</v>
      </c>
      <c r="H1049" s="1094">
        <v>0.99335575955184141</v>
      </c>
      <c r="I1049" s="1094">
        <v>1.0113344861056706</v>
      </c>
      <c r="K1049">
        <v>4.4078837995038471</v>
      </c>
      <c r="L1049">
        <v>0</v>
      </c>
      <c r="M1049">
        <v>1.4266985829230723E-3</v>
      </c>
      <c r="N1049">
        <v>0.13004384995491441</v>
      </c>
      <c r="O1049">
        <v>3.8987607634448501E-2</v>
      </c>
      <c r="P1049">
        <v>1.9017591880065351E-2</v>
      </c>
      <c r="Q1049">
        <v>1.3782712116001039E-3</v>
      </c>
      <c r="R1049">
        <v>1.4206757636762663E-3</v>
      </c>
      <c r="S1049">
        <v>0.23896396909101883</v>
      </c>
      <c r="T1049">
        <v>3.8783304222760067</v>
      </c>
      <c r="U1049">
        <v>0</v>
      </c>
      <c r="V1049">
        <v>9.4523053561131939E-3</v>
      </c>
      <c r="W1049">
        <v>7.6553027249455549E-2</v>
      </c>
      <c r="X1049">
        <v>1.1147839497855914E-2</v>
      </c>
      <c r="Y1049">
        <v>4.0149381716126937E-3</v>
      </c>
    </row>
    <row r="1050" spans="1:25" x14ac:dyDescent="0.25">
      <c r="A1050" s="1090"/>
      <c r="B1050" s="1448">
        <v>800</v>
      </c>
      <c r="C1050" s="1094">
        <v>0.97924850460818413</v>
      </c>
      <c r="D1050" s="1094">
        <v>1.0105381418221309</v>
      </c>
      <c r="E1050" s="1094">
        <v>1.0397028279197231</v>
      </c>
      <c r="F1050" s="1094">
        <v>1.0130390997895651</v>
      </c>
      <c r="G1050" s="1094">
        <v>0.96282929978030063</v>
      </c>
      <c r="H1050" s="1094">
        <v>1.025259081984506</v>
      </c>
      <c r="I1050" s="1094">
        <v>0.99755270656228445</v>
      </c>
      <c r="K1050">
        <v>4.5596555240895666</v>
      </c>
      <c r="L1050">
        <v>0</v>
      </c>
      <c r="M1050">
        <v>1.4207381151729323E-3</v>
      </c>
      <c r="N1050">
        <v>0.13829935954756742</v>
      </c>
      <c r="O1050">
        <v>3.9268508720383101E-2</v>
      </c>
      <c r="P1050">
        <v>1.997156493470283E-2</v>
      </c>
      <c r="Q1050">
        <v>1.3709402950179612E-3</v>
      </c>
      <c r="R1050">
        <v>1.4151269408273894E-3</v>
      </c>
      <c r="S1050">
        <v>0.23894624967158223</v>
      </c>
      <c r="T1050">
        <v>4.0162034597420346</v>
      </c>
      <c r="U1050">
        <v>0</v>
      </c>
      <c r="V1050">
        <v>9.4523053561131904E-3</v>
      </c>
      <c r="W1050">
        <v>8.022660207357514E-2</v>
      </c>
      <c r="X1050">
        <v>1.1922888148326913E-2</v>
      </c>
      <c r="Y1050">
        <v>3.9992567746091837E-3</v>
      </c>
    </row>
    <row r="1051" spans="1:25" x14ac:dyDescent="0.25">
      <c r="A1051" s="1090"/>
      <c r="B1051" s="1448">
        <v>801</v>
      </c>
      <c r="C1051" s="1094">
        <v>0.9910790029837695</v>
      </c>
      <c r="D1051" s="1094">
        <v>1.0245755683037665</v>
      </c>
      <c r="E1051" s="1094">
        <v>0.99641441082254856</v>
      </c>
      <c r="F1051" s="1094">
        <v>0.99233551055825542</v>
      </c>
      <c r="G1051" s="1094">
        <v>0.9581770308225539</v>
      </c>
      <c r="H1051" s="1094">
        <v>0.9621391670317726</v>
      </c>
      <c r="I1051" s="1094">
        <v>0.97284331892100817</v>
      </c>
      <c r="K1051">
        <v>4.4318364558547847</v>
      </c>
      <c r="L1051">
        <v>0</v>
      </c>
      <c r="M1051">
        <v>1.4062920353473138E-3</v>
      </c>
      <c r="N1051">
        <v>0.12039305276336061</v>
      </c>
      <c r="O1051">
        <v>3.8093139684534018E-2</v>
      </c>
      <c r="P1051">
        <v>1.8903172524379789E-2</v>
      </c>
      <c r="Q1051">
        <v>1.2986067079875725E-3</v>
      </c>
      <c r="R1051">
        <v>1.4002505744916862E-3</v>
      </c>
      <c r="S1051">
        <v>0.22147232821071472</v>
      </c>
      <c r="T1051">
        <v>3.9357451977723197</v>
      </c>
      <c r="U1051">
        <v>0</v>
      </c>
      <c r="V1051">
        <v>9.4523053561132026E-3</v>
      </c>
      <c r="W1051">
        <v>7.1887314421980777E-2</v>
      </c>
      <c r="X1051">
        <v>1.0640164846658416E-2</v>
      </c>
      <c r="Y1051">
        <v>3.957215027587644E-3</v>
      </c>
    </row>
    <row r="1052" spans="1:25" x14ac:dyDescent="0.25">
      <c r="A1052" s="1090"/>
      <c r="B1052" s="1448">
        <v>802</v>
      </c>
      <c r="C1052" s="1094">
        <v>1.0013304232638875</v>
      </c>
      <c r="D1052" s="1094">
        <v>0.990312975978071</v>
      </c>
      <c r="E1052" s="1094">
        <v>0.95628723915018898</v>
      </c>
      <c r="F1052" s="1094">
        <v>0.95813668409790531</v>
      </c>
      <c r="G1052" s="1094">
        <v>0.99867394117137087</v>
      </c>
      <c r="H1052" s="1094">
        <v>1.0429917596356588</v>
      </c>
      <c r="I1052" s="1094">
        <v>0.98284565329045526</v>
      </c>
      <c r="K1052">
        <v>4.3022857679861977</v>
      </c>
      <c r="L1052">
        <v>0</v>
      </c>
      <c r="M1052">
        <v>1.6067717412959503E-3</v>
      </c>
      <c r="N1052">
        <v>0.12213430781817551</v>
      </c>
      <c r="O1052">
        <v>3.716602829261987E-2</v>
      </c>
      <c r="P1052">
        <v>1.7756808627329378E-2</v>
      </c>
      <c r="Q1052">
        <v>1.2582127712190375E-3</v>
      </c>
      <c r="R1052">
        <v>1.6001778065094405E-3</v>
      </c>
      <c r="S1052">
        <v>0.22437471657003685</v>
      </c>
      <c r="T1052">
        <v>3.8015887165847757</v>
      </c>
      <c r="U1052">
        <v>0</v>
      </c>
      <c r="V1052">
        <v>9.4523053561131869E-3</v>
      </c>
      <c r="W1052">
        <v>7.4965005116732292E-2</v>
      </c>
      <c r="X1052">
        <v>9.0740361349915047E-3</v>
      </c>
      <c r="Y1052">
        <v>4.5222246489919149E-3</v>
      </c>
    </row>
    <row r="1053" spans="1:25" x14ac:dyDescent="0.25">
      <c r="A1053" s="1090"/>
      <c r="B1053" s="1448">
        <v>803</v>
      </c>
      <c r="C1053" s="1094">
        <v>0.98626228178196829</v>
      </c>
      <c r="D1053" s="1094">
        <v>0.98863778914629197</v>
      </c>
      <c r="E1053" s="1094">
        <v>0.95771250478406289</v>
      </c>
      <c r="F1053" s="1094">
        <v>0.99127505063997567</v>
      </c>
      <c r="G1053" s="1094">
        <v>1.0153562664694027</v>
      </c>
      <c r="H1053" s="1094">
        <v>1.0045327946334266</v>
      </c>
      <c r="I1053" s="1094">
        <v>0.97762382766398481</v>
      </c>
      <c r="K1053">
        <v>4.4440984530839645</v>
      </c>
      <c r="L1053">
        <v>0</v>
      </c>
      <c r="M1053">
        <v>1.6215354880182945E-3</v>
      </c>
      <c r="N1053">
        <v>0.12377792056011451</v>
      </c>
      <c r="O1053">
        <v>3.9055566915178738E-2</v>
      </c>
      <c r="P1053">
        <v>1.8376126980049111E-2</v>
      </c>
      <c r="Q1053">
        <v>1.279907104401321E-3</v>
      </c>
      <c r="R1053">
        <v>1.6148562161923071E-3</v>
      </c>
      <c r="S1053">
        <v>0.22908325224039106</v>
      </c>
      <c r="T1053">
        <v>3.9330165340070513</v>
      </c>
      <c r="U1053">
        <v>0</v>
      </c>
      <c r="V1053">
        <v>9.4523053561131869E-3</v>
      </c>
      <c r="W1053">
        <v>7.589851399858448E-2</v>
      </c>
      <c r="X1053">
        <v>9.6012982385062732E-3</v>
      </c>
      <c r="Y1053">
        <v>4.5637069553992613E-3</v>
      </c>
    </row>
    <row r="1054" spans="1:25" x14ac:dyDescent="0.25">
      <c r="A1054" s="1090"/>
      <c r="B1054" s="1448">
        <v>804</v>
      </c>
      <c r="C1054" s="1094">
        <v>0.95606776977906061</v>
      </c>
      <c r="D1054" s="1094">
        <v>0.96857121977191163</v>
      </c>
      <c r="E1054" s="1094">
        <v>0.97773375190100753</v>
      </c>
      <c r="F1054" s="1094">
        <v>0.99672848185201501</v>
      </c>
      <c r="G1054" s="1094">
        <v>1.0218443842759866</v>
      </c>
      <c r="H1054" s="1094">
        <v>0.99713605581803011</v>
      </c>
      <c r="I1054" s="1094">
        <v>1.0018078073920182</v>
      </c>
      <c r="K1054">
        <v>4.4929424885381311</v>
      </c>
      <c r="L1054">
        <v>0</v>
      </c>
      <c r="M1054">
        <v>1.6141271991760822E-3</v>
      </c>
      <c r="N1054">
        <v>0.1307603502049994</v>
      </c>
      <c r="O1054">
        <v>4.0699981186171304E-2</v>
      </c>
      <c r="P1054">
        <v>1.8820724186325646E-2</v>
      </c>
      <c r="Q1054">
        <v>1.3547265600345523E-3</v>
      </c>
      <c r="R1054">
        <v>1.6074656190714575E-3</v>
      </c>
      <c r="S1054">
        <v>0.24400324685666336</v>
      </c>
      <c r="T1054">
        <v>3.9538818766714008</v>
      </c>
      <c r="U1054">
        <v>0</v>
      </c>
      <c r="V1054">
        <v>9.4523053561131869E-3</v>
      </c>
      <c r="W1054">
        <v>7.9078540370867048E-2</v>
      </c>
      <c r="X1054">
        <v>1.0354578161971143E-2</v>
      </c>
      <c r="Y1054">
        <v>4.5428205636903422E-3</v>
      </c>
    </row>
    <row r="1055" spans="1:25" x14ac:dyDescent="0.25">
      <c r="A1055" s="1090"/>
      <c r="B1055" s="1448">
        <v>805</v>
      </c>
      <c r="C1055" s="1094">
        <v>0.97221607011119338</v>
      </c>
      <c r="D1055" s="1094">
        <v>1.0352563013048377</v>
      </c>
      <c r="E1055" s="1094">
        <v>0.98874329248238391</v>
      </c>
      <c r="F1055" s="1094">
        <v>1.0134974321122827</v>
      </c>
      <c r="G1055" s="1094">
        <v>1.0129431942485656</v>
      </c>
      <c r="H1055" s="1094">
        <v>1.0049895600372241</v>
      </c>
      <c r="I1055" s="1094">
        <v>0.97178656544930986</v>
      </c>
      <c r="K1055">
        <v>4.5430650196957139</v>
      </c>
      <c r="L1055">
        <v>0</v>
      </c>
      <c r="M1055">
        <v>1.5476672708002721E-3</v>
      </c>
      <c r="N1055">
        <v>0.12955198704934012</v>
      </c>
      <c r="O1055">
        <v>3.9550241866151116E-2</v>
      </c>
      <c r="P1055">
        <v>1.92190047322135E-2</v>
      </c>
      <c r="Q1055">
        <v>1.3096426746396204E-3</v>
      </c>
      <c r="R1055">
        <v>1.5414343191935906E-3</v>
      </c>
      <c r="S1055">
        <v>0.23130960807603507</v>
      </c>
      <c r="T1055">
        <v>4.0199735584927847</v>
      </c>
      <c r="U1055">
        <v>0</v>
      </c>
      <c r="V1055">
        <v>9.4523053561131835E-3</v>
      </c>
      <c r="W1055">
        <v>7.7760310037538069E-2</v>
      </c>
      <c r="X1055">
        <v>1.058838329352267E-2</v>
      </c>
      <c r="Y1055">
        <v>4.356211068984225E-3</v>
      </c>
    </row>
    <row r="1056" spans="1:25" x14ac:dyDescent="0.25">
      <c r="A1056" s="1090"/>
      <c r="B1056" s="1448">
        <v>806</v>
      </c>
      <c r="C1056" s="1094">
        <v>0.99357569811914115</v>
      </c>
      <c r="D1056" s="1094">
        <v>1.01189705040948</v>
      </c>
      <c r="E1056" s="1094">
        <v>1.0251276147628676</v>
      </c>
      <c r="F1056" s="1094">
        <v>1.0314321070868826</v>
      </c>
      <c r="G1056" s="1094">
        <v>1.0158494718371023</v>
      </c>
      <c r="H1056" s="1094">
        <v>0.97201620818392154</v>
      </c>
      <c r="I1056" s="1094">
        <v>0.97407119866587688</v>
      </c>
      <c r="K1056">
        <v>4.6102979111195079</v>
      </c>
      <c r="L1056">
        <v>0</v>
      </c>
      <c r="M1056">
        <v>1.393129056973034E-3</v>
      </c>
      <c r="N1056">
        <v>0.12987482678563683</v>
      </c>
      <c r="O1056">
        <v>3.9487640680651109E-2</v>
      </c>
      <c r="P1056">
        <v>2.0054706094342394E-2</v>
      </c>
      <c r="Q1056">
        <v>1.3340203767834217E-3</v>
      </c>
      <c r="R1056">
        <v>1.3874286203397804E-3</v>
      </c>
      <c r="S1056">
        <v>0.22865421076111703</v>
      </c>
      <c r="T1056">
        <v>4.0896860823297851</v>
      </c>
      <c r="U1056">
        <v>0</v>
      </c>
      <c r="V1056">
        <v>9.4523053561131956E-3</v>
      </c>
      <c r="W1056">
        <v>7.6069187882202252E-2</v>
      </c>
      <c r="X1056">
        <v>1.176965208326123E-2</v>
      </c>
      <c r="Y1056">
        <v>3.9209792062444666E-3</v>
      </c>
    </row>
    <row r="1057" spans="1:25" x14ac:dyDescent="0.25">
      <c r="A1057" s="1090"/>
      <c r="B1057" s="1448">
        <v>807</v>
      </c>
      <c r="C1057" s="1094">
        <v>0.99237630754806738</v>
      </c>
      <c r="D1057" s="1094">
        <v>0.99367434830350032</v>
      </c>
      <c r="E1057" s="1094">
        <v>1.0213488659080714</v>
      </c>
      <c r="F1057" s="1094">
        <v>1.0339210043626081</v>
      </c>
      <c r="G1057" s="1094">
        <v>0.97552032299198665</v>
      </c>
      <c r="H1057" s="1094">
        <v>1.0159751897970948</v>
      </c>
      <c r="I1057" s="1094">
        <v>1.0148079136358525</v>
      </c>
      <c r="K1057">
        <v>4.647248502261526</v>
      </c>
      <c r="L1057">
        <v>0</v>
      </c>
      <c r="M1057">
        <v>1.4838610578671028E-3</v>
      </c>
      <c r="N1057">
        <v>0.13682139888900829</v>
      </c>
      <c r="O1057">
        <v>3.9947084542560345E-2</v>
      </c>
      <c r="P1057">
        <v>2.0115379958621733E-2</v>
      </c>
      <c r="Q1057">
        <v>1.3410904443127043E-3</v>
      </c>
      <c r="R1057">
        <v>1.4780659988974374E-3</v>
      </c>
      <c r="S1057">
        <v>0.24372104593046182</v>
      </c>
      <c r="T1057">
        <v>4.0997017816623016</v>
      </c>
      <c r="U1057">
        <v>0</v>
      </c>
      <c r="V1057">
        <v>9.4523053561131887E-3</v>
      </c>
      <c r="W1057">
        <v>8.0339605341771952E-2</v>
      </c>
      <c r="X1057">
        <v>1.1637477837462322E-2</v>
      </c>
      <c r="Y1057">
        <v>4.1771273578849067E-3</v>
      </c>
    </row>
    <row r="1058" spans="1:25" x14ac:dyDescent="0.25">
      <c r="A1058" s="1090"/>
      <c r="B1058" s="1448">
        <v>808</v>
      </c>
      <c r="C1058" s="1094">
        <v>1.0166384001677014</v>
      </c>
      <c r="D1058" s="1094">
        <v>0.98947606064041105</v>
      </c>
      <c r="E1058" s="1094">
        <v>0.97997781407258522</v>
      </c>
      <c r="F1058" s="1094">
        <v>0.99238505906936469</v>
      </c>
      <c r="G1058" s="1094">
        <v>1.0133644306893455</v>
      </c>
      <c r="H1058" s="1094">
        <v>1.0092616891214574</v>
      </c>
      <c r="I1058" s="1094">
        <v>0.96671271559550698</v>
      </c>
      <c r="K1058">
        <v>4.4356589984317365</v>
      </c>
      <c r="L1058">
        <v>0</v>
      </c>
      <c r="M1058">
        <v>1.5096121095345121E-3</v>
      </c>
      <c r="N1058">
        <v>0.12311465387535911</v>
      </c>
      <c r="O1058">
        <v>3.7769149595693913E-2</v>
      </c>
      <c r="P1058">
        <v>1.8668601815161331E-2</v>
      </c>
      <c r="Q1058">
        <v>1.2656420859498019E-3</v>
      </c>
      <c r="R1058">
        <v>1.5034298913051947E-3</v>
      </c>
      <c r="S1058">
        <v>0.22020629219387164</v>
      </c>
      <c r="T1058">
        <v>3.9365664486989393</v>
      </c>
      <c r="U1058">
        <v>0</v>
      </c>
      <c r="V1058">
        <v>9.4523053561131852E-3</v>
      </c>
      <c r="W1058">
        <v>7.434026043333157E-2</v>
      </c>
      <c r="X1058">
        <v>1.00330189412769E-2</v>
      </c>
      <c r="Y1058">
        <v>4.2488076542708097E-3</v>
      </c>
    </row>
    <row r="1059" spans="1:25" x14ac:dyDescent="0.25">
      <c r="A1059" s="1090"/>
      <c r="B1059" s="1448">
        <v>809</v>
      </c>
      <c r="C1059" s="1094">
        <v>1.0211354151713248</v>
      </c>
      <c r="D1059" s="1094">
        <v>1.0221664675476567</v>
      </c>
      <c r="E1059" s="1094">
        <v>1.0321301812835515</v>
      </c>
      <c r="F1059" s="1094">
        <v>1.0075399778283096</v>
      </c>
      <c r="G1059" s="1094">
        <v>0.99748523080327023</v>
      </c>
      <c r="H1059" s="1094">
        <v>0.9836754675385263</v>
      </c>
      <c r="I1059" s="1094">
        <v>1.002567858469144</v>
      </c>
      <c r="K1059">
        <v>4.5013794063556549</v>
      </c>
      <c r="L1059">
        <v>0</v>
      </c>
      <c r="M1059">
        <v>1.315114094751955E-3</v>
      </c>
      <c r="N1059">
        <v>0.12516081843335497</v>
      </c>
      <c r="O1059">
        <v>3.7333388683525065E-2</v>
      </c>
      <c r="P1059">
        <v>1.9700146075186682E-2</v>
      </c>
      <c r="Q1059">
        <v>1.3004253747289712E-3</v>
      </c>
      <c r="R1059">
        <v>1.3096710830164241E-3</v>
      </c>
      <c r="S1059">
        <v>0.22556529127410638</v>
      </c>
      <c r="T1059">
        <v>3.9946875547453478</v>
      </c>
      <c r="U1059">
        <v>0</v>
      </c>
      <c r="V1059">
        <v>9.4523053561131991E-3</v>
      </c>
      <c r="W1059">
        <v>7.2968621034054992E-2</v>
      </c>
      <c r="X1059">
        <v>1.1515067921709501E-2</v>
      </c>
      <c r="Y1059">
        <v>3.7012304692615218E-3</v>
      </c>
    </row>
    <row r="1060" spans="1:25" x14ac:dyDescent="0.25">
      <c r="A1060" s="1090"/>
      <c r="B1060" s="1448">
        <v>810</v>
      </c>
      <c r="C1060" s="1094">
        <v>1.0077391321137892</v>
      </c>
      <c r="D1060" s="1094">
        <v>1.0389186948217362</v>
      </c>
      <c r="E1060" s="1094">
        <v>1.0054737896247701</v>
      </c>
      <c r="F1060" s="1094">
        <v>0.9957889480439891</v>
      </c>
      <c r="G1060" s="1094">
        <v>0.99810589692974361</v>
      </c>
      <c r="H1060" s="1094">
        <v>1.0207205714806171</v>
      </c>
      <c r="I1060" s="1094">
        <v>0.96775798552615044</v>
      </c>
      <c r="K1060">
        <v>4.452726654371296</v>
      </c>
      <c r="L1060">
        <v>0</v>
      </c>
      <c r="M1060">
        <v>1.4364988961552353E-3</v>
      </c>
      <c r="N1060">
        <v>0.12635767100124021</v>
      </c>
      <c r="O1060">
        <v>3.7324739390543052E-2</v>
      </c>
      <c r="P1060">
        <v>1.9087506022997747E-2</v>
      </c>
      <c r="Q1060">
        <v>1.2799490567457611E-3</v>
      </c>
      <c r="R1060">
        <v>1.4307019371564275E-3</v>
      </c>
      <c r="S1060">
        <v>0.22046532569083746</v>
      </c>
      <c r="T1060">
        <v>3.9490986498134015</v>
      </c>
      <c r="U1060">
        <v>0</v>
      </c>
      <c r="V1060">
        <v>9.4523053561131904E-3</v>
      </c>
      <c r="W1060">
        <v>7.4988550105883275E-2</v>
      </c>
      <c r="X1060">
        <v>1.0634481989202782E-2</v>
      </c>
      <c r="Y1060">
        <v>4.0432729033297614E-3</v>
      </c>
    </row>
    <row r="1061" spans="1:25" x14ac:dyDescent="0.25">
      <c r="A1061" s="1090"/>
      <c r="B1061" s="1448">
        <v>811</v>
      </c>
      <c r="C1061" s="1094">
        <v>1.0289913637066823</v>
      </c>
      <c r="D1061" s="1094">
        <v>0.95466033267259776</v>
      </c>
      <c r="E1061" s="1094">
        <v>1.016648827527695</v>
      </c>
      <c r="F1061" s="1094">
        <v>0.99921949459297876</v>
      </c>
      <c r="G1061" s="1094">
        <v>1.0128810758188558</v>
      </c>
      <c r="H1061" s="1094">
        <v>1.0174349769098814</v>
      </c>
      <c r="I1061" s="1094">
        <v>0.99430636228320424</v>
      </c>
      <c r="K1061">
        <v>4.4785827105945657</v>
      </c>
      <c r="L1061">
        <v>0</v>
      </c>
      <c r="M1061">
        <v>1.4216216447234913E-3</v>
      </c>
      <c r="N1061">
        <v>0.12925547447721172</v>
      </c>
      <c r="O1061">
        <v>3.7865935693041634E-2</v>
      </c>
      <c r="P1061">
        <v>1.9340566347763009E-2</v>
      </c>
      <c r="Q1061">
        <v>1.3090384830387626E-3</v>
      </c>
      <c r="R1061">
        <v>1.4158858749839377E-3</v>
      </c>
      <c r="S1061">
        <v>0.22791447897604664</v>
      </c>
      <c r="T1061">
        <v>3.9622805899356268</v>
      </c>
      <c r="U1061">
        <v>0</v>
      </c>
      <c r="V1061">
        <v>9.4523053561131904E-3</v>
      </c>
      <c r="W1061">
        <v>7.6135390762151839E-2</v>
      </c>
      <c r="X1061">
        <v>1.1033264752831199E-2</v>
      </c>
      <c r="Y1061">
        <v>4.0014015804774698E-3</v>
      </c>
    </row>
    <row r="1062" spans="1:25" x14ac:dyDescent="0.25">
      <c r="A1062" s="1090"/>
      <c r="B1062" s="1448">
        <v>812</v>
      </c>
      <c r="C1062" s="1094">
        <v>1.0112830447942953</v>
      </c>
      <c r="D1062" s="1094">
        <v>0.99542688590427841</v>
      </c>
      <c r="E1062" s="1094">
        <v>1.0052935228804061</v>
      </c>
      <c r="F1062" s="1094">
        <v>0.99788463634545332</v>
      </c>
      <c r="G1062" s="1094">
        <v>0.99813812612629538</v>
      </c>
      <c r="H1062" s="1094">
        <v>1.0150829674537314</v>
      </c>
      <c r="I1062" s="1094">
        <v>1.0133320561660597</v>
      </c>
      <c r="K1062">
        <v>4.4763907905321885</v>
      </c>
      <c r="L1062">
        <v>0</v>
      </c>
      <c r="M1062">
        <v>1.4517055262057302E-3</v>
      </c>
      <c r="N1062">
        <v>0.12762533621641053</v>
      </c>
      <c r="O1062">
        <v>3.7916489412428124E-2</v>
      </c>
      <c r="P1062">
        <v>1.917987378865741E-2</v>
      </c>
      <c r="Q1062">
        <v>1.2972691583953595E-3</v>
      </c>
      <c r="R1062">
        <v>1.4458269857447607E-3</v>
      </c>
      <c r="S1062">
        <v>0.23293083238002424</v>
      </c>
      <c r="T1062">
        <v>3.9574165601657145</v>
      </c>
      <c r="U1062">
        <v>0</v>
      </c>
      <c r="V1062">
        <v>9.4523053561131887E-3</v>
      </c>
      <c r="W1062">
        <v>7.5750057002992977E-2</v>
      </c>
      <c r="X1062">
        <v>1.074192814653065E-2</v>
      </c>
      <c r="Y1062">
        <v>4.0860174453832259E-3</v>
      </c>
    </row>
    <row r="1063" spans="1:25" x14ac:dyDescent="0.25">
      <c r="A1063" s="1090"/>
      <c r="B1063" s="1448">
        <v>813</v>
      </c>
      <c r="C1063" s="1094">
        <v>1.008428057670584</v>
      </c>
      <c r="D1063" s="1094">
        <v>1.0112140099392428</v>
      </c>
      <c r="E1063" s="1094">
        <v>1.0125975314701143</v>
      </c>
      <c r="F1063" s="1094">
        <v>1.0236168477824004</v>
      </c>
      <c r="G1063" s="1094">
        <v>0.99564852629910716</v>
      </c>
      <c r="H1063" s="1094">
        <v>1.0032786652552963</v>
      </c>
      <c r="I1063" s="1094">
        <v>1.0142430894146797</v>
      </c>
      <c r="K1063">
        <v>4.5859005239312607</v>
      </c>
      <c r="L1063">
        <v>0</v>
      </c>
      <c r="M1063">
        <v>1.4441612928231295E-3</v>
      </c>
      <c r="N1063">
        <v>0.12974498743173163</v>
      </c>
      <c r="O1063">
        <v>3.8708873538129906E-2</v>
      </c>
      <c r="P1063">
        <v>1.9764347890385142E-2</v>
      </c>
      <c r="Q1063">
        <v>1.3008510748810642E-3</v>
      </c>
      <c r="R1063">
        <v>1.4383926395647112E-3</v>
      </c>
      <c r="S1063">
        <v>0.23584162119372215</v>
      </c>
      <c r="T1063">
        <v>4.0591820467166349</v>
      </c>
      <c r="U1063">
        <v>0</v>
      </c>
      <c r="V1063">
        <v>9.4523053561131869E-3</v>
      </c>
      <c r="W1063">
        <v>7.6631208570518569E-2</v>
      </c>
      <c r="X1063">
        <v>1.1215043396910594E-2</v>
      </c>
      <c r="Y1063">
        <v>4.0650074154929255E-3</v>
      </c>
    </row>
    <row r="1064" spans="1:25" x14ac:dyDescent="0.25">
      <c r="A1064" s="1090"/>
      <c r="B1064" s="1448">
        <v>814</v>
      </c>
      <c r="C1064" s="1094">
        <v>0.96941476982437114</v>
      </c>
      <c r="D1064" s="1094">
        <v>0.99332573229663967</v>
      </c>
      <c r="E1064" s="1094">
        <v>0.99943900345802417</v>
      </c>
      <c r="F1064" s="1094">
        <v>1.014925727447499</v>
      </c>
      <c r="G1064" s="1094">
        <v>1.0214273779025009</v>
      </c>
      <c r="H1064" s="1094">
        <v>0.99599373154503212</v>
      </c>
      <c r="I1064" s="1094">
        <v>0.99559256069498903</v>
      </c>
      <c r="K1064">
        <v>4.5623555383970276</v>
      </c>
      <c r="L1064">
        <v>0</v>
      </c>
      <c r="M1064">
        <v>1.5312432212298364E-3</v>
      </c>
      <c r="N1064">
        <v>0.13230203769633361</v>
      </c>
      <c r="O1064">
        <v>4.0305777478496008E-2</v>
      </c>
      <c r="P1064">
        <v>1.9437643339351132E-2</v>
      </c>
      <c r="Q1064">
        <v>1.3476727918928957E-3</v>
      </c>
      <c r="R1064">
        <v>1.5250294373295699E-3</v>
      </c>
      <c r="S1064">
        <v>0.24013698392330746</v>
      </c>
      <c r="T1064">
        <v>4.0252242266056459</v>
      </c>
      <c r="U1064">
        <v>0</v>
      </c>
      <c r="V1064">
        <v>9.4523053561131817E-3</v>
      </c>
      <c r="W1064">
        <v>7.8836677210674444E-2</v>
      </c>
      <c r="X1064">
        <v>1.1008578158732733E-2</v>
      </c>
      <c r="Y1064">
        <v>4.3098496203830229E-3</v>
      </c>
    </row>
    <row r="1065" spans="1:25" x14ac:dyDescent="0.25">
      <c r="A1065" s="1090"/>
      <c r="B1065" s="1448">
        <v>815</v>
      </c>
      <c r="C1065" s="1094">
        <v>0.99244440994044814</v>
      </c>
      <c r="D1065" s="1094">
        <v>0.99646613188797162</v>
      </c>
      <c r="E1065" s="1094">
        <v>1.0101238860630604</v>
      </c>
      <c r="F1065" s="1094">
        <v>0.98905719382293622</v>
      </c>
      <c r="G1065" s="1094">
        <v>1.0005190123803474</v>
      </c>
      <c r="H1065" s="1094">
        <v>1.0013385820907339</v>
      </c>
      <c r="I1065" s="1094">
        <v>1.0310260294216316</v>
      </c>
      <c r="K1065">
        <v>4.4473122019223048</v>
      </c>
      <c r="L1065">
        <v>0</v>
      </c>
      <c r="M1065">
        <v>1.4311235913202552E-3</v>
      </c>
      <c r="N1065">
        <v>0.12761670227713504</v>
      </c>
      <c r="O1065">
        <v>3.8245321187377071E-2</v>
      </c>
      <c r="P1065">
        <v>1.9114659721725529E-2</v>
      </c>
      <c r="Q1065">
        <v>1.3267969024732674E-3</v>
      </c>
      <c r="R1065">
        <v>1.4251966352172363E-3</v>
      </c>
      <c r="S1065">
        <v>0.2389032592305303</v>
      </c>
      <c r="T1065">
        <v>3.9222273940507026</v>
      </c>
      <c r="U1065">
        <v>0</v>
      </c>
      <c r="V1065">
        <v>9.4523053561131869E-3</v>
      </c>
      <c r="W1065">
        <v>7.5499334309733185E-2</v>
      </c>
      <c r="X1065">
        <v>1.0904641342876359E-2</v>
      </c>
      <c r="Y1065">
        <v>4.0277144997396879E-3</v>
      </c>
    </row>
    <row r="1066" spans="1:25" x14ac:dyDescent="0.25">
      <c r="A1066" s="1090"/>
      <c r="B1066" s="1448">
        <v>816</v>
      </c>
      <c r="C1066" s="1094">
        <v>0.99732440564102232</v>
      </c>
      <c r="D1066" s="1094">
        <v>1.0185450881913045</v>
      </c>
      <c r="E1066" s="1094">
        <v>1.0129569159405178</v>
      </c>
      <c r="F1066" s="1094">
        <v>1.0168972561200886</v>
      </c>
      <c r="G1066" s="1094">
        <v>0.99330828031200513</v>
      </c>
      <c r="H1066" s="1094">
        <v>0.987707907581725</v>
      </c>
      <c r="I1066" s="1094">
        <v>1.0298007735658428</v>
      </c>
      <c r="K1066">
        <v>4.5597776088278792</v>
      </c>
      <c r="L1066">
        <v>0</v>
      </c>
      <c r="M1066">
        <v>1.4229776241447552E-3</v>
      </c>
      <c r="N1066">
        <v>0.12796637687604831</v>
      </c>
      <c r="O1066">
        <v>3.8768210339728791E-2</v>
      </c>
      <c r="P1066">
        <v>1.9662976596273762E-2</v>
      </c>
      <c r="Q1066">
        <v>1.3119396693646822E-3</v>
      </c>
      <c r="R1066">
        <v>1.4171659841870803E-3</v>
      </c>
      <c r="S1066">
        <v>0.23929037162573161</v>
      </c>
      <c r="T1066">
        <v>4.0325214829897078</v>
      </c>
      <c r="U1066">
        <v>0</v>
      </c>
      <c r="V1066">
        <v>9.4523053561131852E-3</v>
      </c>
      <c r="W1066">
        <v>7.5562510778524952E-2</v>
      </c>
      <c r="X1066">
        <v>1.1242226969527751E-2</v>
      </c>
      <c r="Y1066">
        <v>4.0050192668172648E-3</v>
      </c>
    </row>
    <row r="1067" spans="1:25" x14ac:dyDescent="0.25">
      <c r="A1067" s="1090"/>
      <c r="B1067" s="1448">
        <v>817</v>
      </c>
      <c r="C1067" s="1094">
        <v>0.97652008361259923</v>
      </c>
      <c r="D1067" s="1094">
        <v>0.99824250181147733</v>
      </c>
      <c r="E1067" s="1094">
        <v>1.035822113511242</v>
      </c>
      <c r="F1067" s="1094">
        <v>0.99334481063444291</v>
      </c>
      <c r="G1067" s="1094">
        <v>0.99031072326067116</v>
      </c>
      <c r="H1067" s="1094">
        <v>1.0081734079030831</v>
      </c>
      <c r="I1067" s="1094">
        <v>0.97950830349505069</v>
      </c>
      <c r="K1067">
        <v>4.4665885587469898</v>
      </c>
      <c r="L1067">
        <v>0</v>
      </c>
      <c r="M1067">
        <v>1.3919775820075977E-3</v>
      </c>
      <c r="N1067">
        <v>0.13393523535551582</v>
      </c>
      <c r="O1067">
        <v>3.8829488251642709E-2</v>
      </c>
      <c r="P1067">
        <v>1.951813431221746E-2</v>
      </c>
      <c r="Q1067">
        <v>1.3770404136079595E-3</v>
      </c>
      <c r="R1067">
        <v>1.3862764424066273E-3</v>
      </c>
      <c r="S1067">
        <v>0.23173123662140316</v>
      </c>
      <c r="T1067">
        <v>3.9382693292105269</v>
      </c>
      <c r="U1067">
        <v>0</v>
      </c>
      <c r="V1067">
        <v>9.4523053561131869E-3</v>
      </c>
      <c r="W1067">
        <v>7.7893908265579459E-2</v>
      </c>
      <c r="X1067">
        <v>1.166985903654349E-2</v>
      </c>
      <c r="Y1067">
        <v>3.9177230634407532E-3</v>
      </c>
    </row>
    <row r="1068" spans="1:25" x14ac:dyDescent="0.25">
      <c r="A1068" s="1090"/>
      <c r="B1068" s="1448">
        <v>818</v>
      </c>
      <c r="C1068" s="1094">
        <v>0.98734726411759732</v>
      </c>
      <c r="D1068" s="1094">
        <v>0.98705077637865324</v>
      </c>
      <c r="E1068" s="1094">
        <v>1.0241467876820549</v>
      </c>
      <c r="F1068" s="1094">
        <v>0.96936168475690132</v>
      </c>
      <c r="G1068" s="1094">
        <v>1.0070748184663854</v>
      </c>
      <c r="H1068" s="1094">
        <v>1.0322922237419503</v>
      </c>
      <c r="I1068" s="1094">
        <v>1.0076514560370917</v>
      </c>
      <c r="K1068">
        <v>4.3694725204095457</v>
      </c>
      <c r="L1068">
        <v>0</v>
      </c>
      <c r="M1068">
        <v>1.4165323128417918E-3</v>
      </c>
      <c r="N1068">
        <v>0.13167318739378941</v>
      </c>
      <c r="O1068">
        <v>3.772532136560669E-2</v>
      </c>
      <c r="P1068">
        <v>1.8928237330595822E-2</v>
      </c>
      <c r="Q1068">
        <v>1.3547302486192133E-3</v>
      </c>
      <c r="R1068">
        <v>1.4107265630598194E-3</v>
      </c>
      <c r="S1068">
        <v>0.2345602486582376</v>
      </c>
      <c r="T1068">
        <v>3.8436091492733002</v>
      </c>
      <c r="U1068">
        <v>0</v>
      </c>
      <c r="V1068">
        <v>9.4523053561131921E-3</v>
      </c>
      <c r="W1068">
        <v>7.7172805654250304E-2</v>
      </c>
      <c r="X1068">
        <v>1.1015519907727889E-2</v>
      </c>
      <c r="Y1068">
        <v>3.9868209710850807E-3</v>
      </c>
    </row>
    <row r="1069" spans="1:25" x14ac:dyDescent="0.25">
      <c r="A1069" s="1090"/>
      <c r="B1069" s="1448">
        <v>819</v>
      </c>
      <c r="C1069" s="1094">
        <v>0.96821576937356291</v>
      </c>
      <c r="D1069" s="1094">
        <v>0.9889832714718273</v>
      </c>
      <c r="E1069" s="1094">
        <v>1.0280906486440122</v>
      </c>
      <c r="F1069" s="1094">
        <v>1.0071087388643607</v>
      </c>
      <c r="G1069" s="1094">
        <v>0.9986705649831078</v>
      </c>
      <c r="H1069" s="1094">
        <v>1.0202116984387128</v>
      </c>
      <c r="I1069" s="1094">
        <v>0.9860720559916184</v>
      </c>
      <c r="K1069">
        <v>4.5374613306748719</v>
      </c>
      <c r="L1069">
        <v>0</v>
      </c>
      <c r="M1069">
        <v>1.4695095024071013E-3</v>
      </c>
      <c r="N1069">
        <v>0.13821486581142814</v>
      </c>
      <c r="O1069">
        <v>3.9909156059394074E-2</v>
      </c>
      <c r="P1069">
        <v>1.9698109835444368E-2</v>
      </c>
      <c r="Q1069">
        <v>1.3850154312432176E-3</v>
      </c>
      <c r="R1069">
        <v>1.4636427880407035E-3</v>
      </c>
      <c r="S1069">
        <v>0.23909819882221822</v>
      </c>
      <c r="T1069">
        <v>3.9931304125239113</v>
      </c>
      <c r="U1069">
        <v>0</v>
      </c>
      <c r="V1069">
        <v>9.4523053561131973E-3</v>
      </c>
      <c r="W1069">
        <v>8.0794971162803694E-2</v>
      </c>
      <c r="X1069">
        <v>1.1647796123837345E-2</v>
      </c>
      <c r="Y1069">
        <v>4.1363662628437197E-3</v>
      </c>
    </row>
    <row r="1070" spans="1:25" x14ac:dyDescent="0.25">
      <c r="A1070" s="1090"/>
      <c r="B1070" s="1448">
        <v>820</v>
      </c>
      <c r="C1070" s="1094">
        <v>0.97017029431402269</v>
      </c>
      <c r="D1070" s="1094">
        <v>0.99728462582288058</v>
      </c>
      <c r="E1070" s="1094">
        <v>1.0049644059934182</v>
      </c>
      <c r="F1070" s="1094">
        <v>1.0002476461509937</v>
      </c>
      <c r="G1070" s="1094">
        <v>0.97997363530739978</v>
      </c>
      <c r="H1070" s="1094">
        <v>0.98551457997848235</v>
      </c>
      <c r="I1070" s="1094">
        <v>1.0002896704106499</v>
      </c>
      <c r="K1070">
        <v>4.4952931025474889</v>
      </c>
      <c r="L1070">
        <v>0</v>
      </c>
      <c r="M1070">
        <v>1.4725332991667578E-3</v>
      </c>
      <c r="N1070">
        <v>0.12931575653884375</v>
      </c>
      <c r="O1070">
        <v>3.9589660654621904E-2</v>
      </c>
      <c r="P1070">
        <v>1.9239403889768365E-2</v>
      </c>
      <c r="Q1070">
        <v>1.3508553393186712E-3</v>
      </c>
      <c r="R1070">
        <v>1.4664059644021764E-3</v>
      </c>
      <c r="S1070">
        <v>0.23761063876244154</v>
      </c>
      <c r="T1070">
        <v>3.9668003025441947</v>
      </c>
      <c r="U1070">
        <v>0</v>
      </c>
      <c r="V1070">
        <v>9.4523053561131835E-3</v>
      </c>
      <c r="W1070">
        <v>7.6770395764783214E-2</v>
      </c>
      <c r="X1070">
        <v>1.1025735821967213E-2</v>
      </c>
      <c r="Y1070">
        <v>4.1441752101997794E-3</v>
      </c>
    </row>
    <row r="1071" spans="1:25" x14ac:dyDescent="0.25">
      <c r="A1071" s="1090"/>
      <c r="B1071" s="1448">
        <v>821</v>
      </c>
      <c r="C1071" s="1094">
        <v>0.97775980755900371</v>
      </c>
      <c r="D1071" s="1094">
        <v>0.9805969957259415</v>
      </c>
      <c r="E1071" s="1094">
        <v>0.97187036061019549</v>
      </c>
      <c r="F1071" s="1094">
        <v>0.96370367804701629</v>
      </c>
      <c r="G1071" s="1094">
        <v>1.0325799707527783</v>
      </c>
      <c r="H1071" s="1094">
        <v>0.97431592912534826</v>
      </c>
      <c r="I1071" s="1094">
        <v>0.99701254498897596</v>
      </c>
      <c r="K1071">
        <v>4.3260997069418048</v>
      </c>
      <c r="L1071">
        <v>0</v>
      </c>
      <c r="M1071">
        <v>1.5023298445542882E-3</v>
      </c>
      <c r="N1071">
        <v>0.11957475047413536</v>
      </c>
      <c r="O1071">
        <v>3.8328796578078292E-2</v>
      </c>
      <c r="P1071">
        <v>1.8090047217605258E-2</v>
      </c>
      <c r="Q1071">
        <v>1.3114350918333483E-3</v>
      </c>
      <c r="R1071">
        <v>1.4957679156319362E-3</v>
      </c>
      <c r="S1071">
        <v>0.22956763959944723</v>
      </c>
      <c r="T1071">
        <v>3.8230949412689808</v>
      </c>
      <c r="U1071">
        <v>0</v>
      </c>
      <c r="V1071">
        <v>9.4523053561131869E-3</v>
      </c>
      <c r="W1071">
        <v>7.260606482012133E-2</v>
      </c>
      <c r="X1071">
        <v>9.8531341383588829E-3</v>
      </c>
      <c r="Y1071">
        <v>4.2271543260540114E-3</v>
      </c>
    </row>
    <row r="1072" spans="1:25" x14ac:dyDescent="0.25">
      <c r="A1072" s="1090"/>
      <c r="B1072" s="1448">
        <v>822</v>
      </c>
      <c r="C1072" s="1094">
        <v>0.99505257421254067</v>
      </c>
      <c r="D1072" s="1094">
        <v>1.0424007223063905</v>
      </c>
      <c r="E1072" s="1094">
        <v>1.0268411150429633</v>
      </c>
      <c r="F1072" s="1094">
        <v>1.0209498344480963</v>
      </c>
      <c r="G1072" s="1094">
        <v>0.98068567391801353</v>
      </c>
      <c r="H1072" s="1094">
        <v>1.002767870922894</v>
      </c>
      <c r="I1072" s="1094">
        <v>1.0012194639405099</v>
      </c>
      <c r="K1072">
        <v>4.5739123671860691</v>
      </c>
      <c r="L1072">
        <v>0</v>
      </c>
      <c r="M1072">
        <v>1.3986916289424108E-3</v>
      </c>
      <c r="N1072">
        <v>0.13106699185281465</v>
      </c>
      <c r="O1072">
        <v>3.8555498030078454E-2</v>
      </c>
      <c r="P1072">
        <v>1.9908502843453673E-2</v>
      </c>
      <c r="Q1072">
        <v>1.3182123837233166E-3</v>
      </c>
      <c r="R1072">
        <v>1.3930872130938528E-3</v>
      </c>
      <c r="S1072">
        <v>0.23337419194238879</v>
      </c>
      <c r="T1072">
        <v>4.0480575154567688</v>
      </c>
      <c r="U1072">
        <v>0</v>
      </c>
      <c r="V1072">
        <v>9.4523053561131904E-3</v>
      </c>
      <c r="W1072">
        <v>7.66801459274324E-2</v>
      </c>
      <c r="X1072">
        <v>1.1567636987762255E-2</v>
      </c>
      <c r="Y1072">
        <v>3.9369708213805961E-3</v>
      </c>
    </row>
    <row r="1073" spans="1:25" x14ac:dyDescent="0.25">
      <c r="A1073" s="1090"/>
      <c r="B1073" s="1448">
        <v>823</v>
      </c>
      <c r="C1073" s="1094">
        <v>0.99210092267302064</v>
      </c>
      <c r="D1073" s="1094">
        <v>1.0095283331514437</v>
      </c>
      <c r="E1073" s="1094">
        <v>1.0422322654001648</v>
      </c>
      <c r="F1073" s="1094">
        <v>1.0101165574008881</v>
      </c>
      <c r="G1073" s="1094">
        <v>0.99548399850181413</v>
      </c>
      <c r="H1073" s="1094">
        <v>0.98180876543120388</v>
      </c>
      <c r="I1073" s="1094">
        <v>1.0274894059341702</v>
      </c>
      <c r="K1073">
        <v>4.5350773644185578</v>
      </c>
      <c r="L1073">
        <v>0</v>
      </c>
      <c r="M1073">
        <v>1.3324187550212078E-3</v>
      </c>
      <c r="N1073">
        <v>0.13065032800801993</v>
      </c>
      <c r="O1073">
        <v>3.8645721595738508E-2</v>
      </c>
      <c r="P1073">
        <v>1.9953778250100373E-2</v>
      </c>
      <c r="Q1073">
        <v>1.3565837975082335E-3</v>
      </c>
      <c r="R1073">
        <v>1.3269076737146529E-3</v>
      </c>
      <c r="S1073">
        <v>0.23909099431406058</v>
      </c>
      <c r="T1073">
        <v>4.0045216743493119</v>
      </c>
      <c r="U1073">
        <v>0</v>
      </c>
      <c r="V1073">
        <v>9.4523053561131991E-3</v>
      </c>
      <c r="W1073">
        <v>7.5663516647026613E-2</v>
      </c>
      <c r="X1073">
        <v>1.1998030791454667E-2</v>
      </c>
      <c r="Y1073">
        <v>3.7499423905261627E-3</v>
      </c>
    </row>
    <row r="1074" spans="1:25" x14ac:dyDescent="0.25">
      <c r="A1074" s="1090"/>
      <c r="B1074" s="1448">
        <v>824</v>
      </c>
      <c r="C1074" s="1094">
        <v>0.9656329830730821</v>
      </c>
      <c r="D1074" s="1094">
        <v>0.99709421316442493</v>
      </c>
      <c r="E1074" s="1094">
        <v>1.0149222010626597</v>
      </c>
      <c r="F1074" s="1094">
        <v>0.96409681687246107</v>
      </c>
      <c r="G1074" s="1094">
        <v>1.0402448753911262</v>
      </c>
      <c r="H1074" s="1094">
        <v>0.99041717845977595</v>
      </c>
      <c r="I1074" s="1094">
        <v>1.0110331219347299</v>
      </c>
      <c r="K1074">
        <v>4.3433256328361907</v>
      </c>
      <c r="L1074">
        <v>0</v>
      </c>
      <c r="M1074">
        <v>1.4036147187301402E-3</v>
      </c>
      <c r="N1074">
        <v>0.12693460545834825</v>
      </c>
      <c r="O1074">
        <v>3.8272599389368507E-2</v>
      </c>
      <c r="P1074">
        <v>1.871203349982346E-2</v>
      </c>
      <c r="Q1074">
        <v>1.3688658240885582E-3</v>
      </c>
      <c r="R1074">
        <v>1.3975860780405702E-3</v>
      </c>
      <c r="S1074">
        <v>0.23580231788182682</v>
      </c>
      <c r="T1074">
        <v>3.8230688811734748</v>
      </c>
      <c r="U1074">
        <v>0</v>
      </c>
      <c r="V1074">
        <v>9.4523053561131956E-3</v>
      </c>
      <c r="W1074">
        <v>7.4854704035583655E-2</v>
      </c>
      <c r="X1074">
        <v>1.0915663901059358E-2</v>
      </c>
      <c r="Y1074">
        <v>3.9496849571921096E-3</v>
      </c>
    </row>
    <row r="1075" spans="1:25" x14ac:dyDescent="0.25">
      <c r="A1075" s="1090"/>
      <c r="B1075" s="1448">
        <v>825</v>
      </c>
      <c r="C1075" s="1094">
        <v>1.0417297512315775</v>
      </c>
      <c r="D1075" s="1094">
        <v>0.98786526779913997</v>
      </c>
      <c r="E1075" s="1094">
        <v>1.0086749505064492</v>
      </c>
      <c r="F1075" s="1094">
        <v>0.99547639691658441</v>
      </c>
      <c r="G1075" s="1094">
        <v>1.0055433907727134</v>
      </c>
      <c r="H1075" s="1094">
        <v>0.97716410709044077</v>
      </c>
      <c r="I1075" s="1094">
        <v>1.0148732904643503</v>
      </c>
      <c r="K1075">
        <v>4.4433423672510299</v>
      </c>
      <c r="L1075">
        <v>0</v>
      </c>
      <c r="M1075">
        <v>1.3478631539987833E-3</v>
      </c>
      <c r="N1075">
        <v>0.11966859437155195</v>
      </c>
      <c r="O1075">
        <v>3.6809322012002467E-2</v>
      </c>
      <c r="P1075">
        <v>1.9141955290194721E-2</v>
      </c>
      <c r="Q1075">
        <v>1.2668506400507946E-3</v>
      </c>
      <c r="R1075">
        <v>1.3421796539539992E-3</v>
      </c>
      <c r="S1075">
        <v>0.22382374689024701</v>
      </c>
      <c r="T1075">
        <v>3.9477382039598647</v>
      </c>
      <c r="U1075">
        <v>0</v>
      </c>
      <c r="V1075">
        <v>9.4523053561131904E-3</v>
      </c>
      <c r="W1075">
        <v>7.0866077935185859E-2</v>
      </c>
      <c r="X1075">
        <v>1.0787892123220243E-2</v>
      </c>
      <c r="Y1075">
        <v>3.7931021726430886E-3</v>
      </c>
    </row>
    <row r="1076" spans="1:25" x14ac:dyDescent="0.25">
      <c r="A1076" s="1090"/>
      <c r="B1076" s="1448">
        <v>826</v>
      </c>
      <c r="C1076" s="1094">
        <v>1.0099708042120565</v>
      </c>
      <c r="D1076" s="1094">
        <v>0.99514579996996355</v>
      </c>
      <c r="E1076" s="1094">
        <v>1.0182690961447953</v>
      </c>
      <c r="F1076" s="1094">
        <v>1.0063060355036337</v>
      </c>
      <c r="G1076" s="1094">
        <v>1.0112820262726083</v>
      </c>
      <c r="H1076" s="1094">
        <v>1.0052690845710215</v>
      </c>
      <c r="I1076" s="1094">
        <v>1.0139956566955548</v>
      </c>
      <c r="K1076">
        <v>4.5129453216222055</v>
      </c>
      <c r="L1076">
        <v>0</v>
      </c>
      <c r="M1076">
        <v>1.4125968806664819E-3</v>
      </c>
      <c r="N1076">
        <v>0.12904958871811714</v>
      </c>
      <c r="O1076">
        <v>3.8201382371943406E-2</v>
      </c>
      <c r="P1076">
        <v>1.9520848438381675E-2</v>
      </c>
      <c r="Q1076">
        <v>1.3135197545336081E-3</v>
      </c>
      <c r="R1076">
        <v>1.4068690042818412E-3</v>
      </c>
      <c r="S1076">
        <v>0.23398557185703286</v>
      </c>
      <c r="T1076">
        <v>3.9903198276536722</v>
      </c>
      <c r="U1076">
        <v>0</v>
      </c>
      <c r="V1076">
        <v>9.4523053561131939E-3</v>
      </c>
      <c r="W1076">
        <v>7.5931897574854995E-2</v>
      </c>
      <c r="X1076">
        <v>1.1200188558472095E-2</v>
      </c>
      <c r="Y1076">
        <v>3.9759192154678333E-3</v>
      </c>
    </row>
    <row r="1077" spans="1:25" x14ac:dyDescent="0.25">
      <c r="A1077" s="1090"/>
      <c r="B1077" s="1448">
        <v>827</v>
      </c>
      <c r="C1077" s="1094">
        <v>0.98711748187690895</v>
      </c>
      <c r="D1077" s="1094">
        <v>0.99595306795912042</v>
      </c>
      <c r="E1077" s="1094">
        <v>1.0058954152651804</v>
      </c>
      <c r="F1077" s="1094">
        <v>0.99185312299699047</v>
      </c>
      <c r="G1077" s="1094">
        <v>1.0451702296612797</v>
      </c>
      <c r="H1077" s="1094">
        <v>0.9635385446006004</v>
      </c>
      <c r="I1077" s="1094">
        <v>0.98881972329728407</v>
      </c>
      <c r="K1077">
        <v>4.4413382943472373</v>
      </c>
      <c r="L1077">
        <v>0</v>
      </c>
      <c r="M1077">
        <v>1.4011514601943215E-3</v>
      </c>
      <c r="N1077">
        <v>0.12337066549314053</v>
      </c>
      <c r="O1077">
        <v>3.859760805778982E-2</v>
      </c>
      <c r="P1077">
        <v>1.905643849755357E-2</v>
      </c>
      <c r="Q1077">
        <v>1.3294297827689896E-3</v>
      </c>
      <c r="R1077">
        <v>1.3951379143098441E-3</v>
      </c>
      <c r="S1077">
        <v>0.22798320905306718</v>
      </c>
      <c r="T1077">
        <v>3.9334740787072349</v>
      </c>
      <c r="U1077">
        <v>0</v>
      </c>
      <c r="V1077">
        <v>9.4523053561131956E-3</v>
      </c>
      <c r="W1077">
        <v>7.3195093279351864E-2</v>
      </c>
      <c r="X1077">
        <v>1.0942713406519415E-2</v>
      </c>
      <c r="Y1077">
        <v>3.9427662595806177E-3</v>
      </c>
    </row>
    <row r="1078" spans="1:25" x14ac:dyDescent="0.25">
      <c r="A1078" s="1090"/>
      <c r="B1078" s="1448">
        <v>828</v>
      </c>
      <c r="C1078" s="1094">
        <v>1.0027442284351085</v>
      </c>
      <c r="D1078" s="1094">
        <v>1.0140469382373498</v>
      </c>
      <c r="E1078" s="1094">
        <v>1.0110011375782448</v>
      </c>
      <c r="F1078" s="1094">
        <v>1.0075515114422393</v>
      </c>
      <c r="G1078" s="1094">
        <v>0.99452385987407743</v>
      </c>
      <c r="H1078" s="1094">
        <v>0.95609235938358672</v>
      </c>
      <c r="I1078" s="1094">
        <v>1.0124970664420818</v>
      </c>
      <c r="K1078">
        <v>4.5036506243862435</v>
      </c>
      <c r="L1078">
        <v>0</v>
      </c>
      <c r="M1078">
        <v>1.3654726679514803E-3</v>
      </c>
      <c r="N1078">
        <v>0.12206480358826073</v>
      </c>
      <c r="O1078">
        <v>3.8285436426258146E-2</v>
      </c>
      <c r="P1078">
        <v>1.9424323516061232E-2</v>
      </c>
      <c r="Q1078">
        <v>1.3049882250958916E-3</v>
      </c>
      <c r="R1078">
        <v>1.359658254753087E-3</v>
      </c>
      <c r="S1078">
        <v>0.23041744263713862</v>
      </c>
      <c r="T1078">
        <v>3.9955353903342234</v>
      </c>
      <c r="U1078">
        <v>0</v>
      </c>
      <c r="V1078">
        <v>9.4523053561131904E-3</v>
      </c>
      <c r="W1078">
        <v>7.2172275672693506E-2</v>
      </c>
      <c r="X1078">
        <v>1.1156975010665052E-2</v>
      </c>
      <c r="Y1078">
        <v>3.8424980329293543E-3</v>
      </c>
    </row>
    <row r="1079" spans="1:25" x14ac:dyDescent="0.25">
      <c r="A1079" s="1090"/>
      <c r="B1079" s="1448">
        <v>829</v>
      </c>
      <c r="C1079" s="1094">
        <v>1.0281556413766253</v>
      </c>
      <c r="D1079" s="1094">
        <v>0.99906561699798613</v>
      </c>
      <c r="E1079" s="1094">
        <v>0.99368518784464699</v>
      </c>
      <c r="F1079" s="1094">
        <v>1.0098299763895864</v>
      </c>
      <c r="G1079" s="1094">
        <v>0.97275443604908818</v>
      </c>
      <c r="H1079" s="1094">
        <v>1.0028480197232403</v>
      </c>
      <c r="I1079" s="1094">
        <v>0.99587660337293693</v>
      </c>
      <c r="K1079">
        <v>4.5116548530175944</v>
      </c>
      <c r="L1079">
        <v>0</v>
      </c>
      <c r="M1079">
        <v>1.460679686560979E-3</v>
      </c>
      <c r="N1079">
        <v>0.12407226733008175</v>
      </c>
      <c r="O1079">
        <v>3.776396006895591E-2</v>
      </c>
      <c r="P1079">
        <v>1.9198929027762573E-2</v>
      </c>
      <c r="Q1079">
        <v>1.2615022036248449E-3</v>
      </c>
      <c r="R1079">
        <v>1.4547631767952722E-3</v>
      </c>
      <c r="S1079">
        <v>0.22582688493590869</v>
      </c>
      <c r="T1079">
        <v>4.0052359694229454</v>
      </c>
      <c r="U1079">
        <v>0</v>
      </c>
      <c r="V1079">
        <v>9.4523053561131991E-3</v>
      </c>
      <c r="W1079">
        <v>7.4221436076430267E-2</v>
      </c>
      <c r="X1079">
        <v>1.0516243301994218E-2</v>
      </c>
      <c r="Y1079">
        <v>4.1112718035378835E-3</v>
      </c>
    </row>
    <row r="1080" spans="1:25" x14ac:dyDescent="0.25">
      <c r="A1080" s="1090"/>
      <c r="B1080" s="1448">
        <v>830</v>
      </c>
      <c r="C1080" s="1094">
        <v>0.96106871056050347</v>
      </c>
      <c r="D1080" s="1094">
        <v>1.0164208954767193</v>
      </c>
      <c r="E1080" s="1094">
        <v>0.99789743864943337</v>
      </c>
      <c r="F1080" s="1094">
        <v>0.99372659331496194</v>
      </c>
      <c r="G1080" s="1094">
        <v>0.95842308767465145</v>
      </c>
      <c r="H1080" s="1094">
        <v>0.99976666580125495</v>
      </c>
      <c r="I1080" s="1094">
        <v>1.0273195176183665</v>
      </c>
      <c r="K1080">
        <v>4.47770481125443</v>
      </c>
      <c r="L1080">
        <v>0</v>
      </c>
      <c r="M1080">
        <v>1.5091359747928994E-3</v>
      </c>
      <c r="N1080">
        <v>0.12978845777841738</v>
      </c>
      <c r="O1080">
        <v>3.9453185174921572E-2</v>
      </c>
      <c r="P1080">
        <v>1.9055768650952772E-2</v>
      </c>
      <c r="Q1080">
        <v>1.3451559353307874E-3</v>
      </c>
      <c r="R1080">
        <v>1.5029053988169956E-3</v>
      </c>
      <c r="S1080">
        <v>0.24499346149898427</v>
      </c>
      <c r="T1080">
        <v>3.9412062330882778</v>
      </c>
      <c r="U1080">
        <v>0</v>
      </c>
      <c r="V1080">
        <v>9.4523053561132043E-3</v>
      </c>
      <c r="W1080">
        <v>7.7419569581667264E-2</v>
      </c>
      <c r="X1080">
        <v>1.0749579367277459E-2</v>
      </c>
      <c r="Y1080">
        <v>4.2473253984560517E-3</v>
      </c>
    </row>
    <row r="1081" spans="1:25" x14ac:dyDescent="0.25">
      <c r="A1081" s="1090"/>
      <c r="B1081" s="1448">
        <v>831</v>
      </c>
      <c r="C1081" s="1094">
        <v>1.0217876350614776</v>
      </c>
      <c r="D1081" s="1094">
        <v>1.000951519753289</v>
      </c>
      <c r="E1081" s="1094">
        <v>0.99372898816609934</v>
      </c>
      <c r="F1081" s="1094">
        <v>0.99275737755462801</v>
      </c>
      <c r="G1081" s="1094">
        <v>1.0103068823794532</v>
      </c>
      <c r="H1081" s="1094">
        <v>0.98758743323590037</v>
      </c>
      <c r="I1081" s="1094">
        <v>0.99559639762693797</v>
      </c>
      <c r="K1081">
        <v>4.4352004149755553</v>
      </c>
      <c r="L1081">
        <v>0</v>
      </c>
      <c r="M1081">
        <v>1.4218415865194982E-3</v>
      </c>
      <c r="N1081">
        <v>0.12077285037034756</v>
      </c>
      <c r="O1081">
        <v>3.732841995939537E-2</v>
      </c>
      <c r="P1081">
        <v>1.8881608101530011E-2</v>
      </c>
      <c r="Q1081">
        <v>1.2684547799737566E-3</v>
      </c>
      <c r="R1081">
        <v>1.4158932411944742E-3</v>
      </c>
      <c r="S1081">
        <v>0.2233182213449677</v>
      </c>
      <c r="T1081">
        <v>3.9375201500875785</v>
      </c>
      <c r="U1081">
        <v>0</v>
      </c>
      <c r="V1081">
        <v>9.4523053561131973E-3</v>
      </c>
      <c r="W1081">
        <v>7.2245539555948882E-2</v>
      </c>
      <c r="X1081">
        <v>1.0417391367069621E-2</v>
      </c>
      <c r="Y1081">
        <v>4.0014223979508304E-3</v>
      </c>
    </row>
    <row r="1082" spans="1:25" x14ac:dyDescent="0.25">
      <c r="A1082" s="1090"/>
      <c r="B1082" s="1448">
        <v>832</v>
      </c>
      <c r="C1082" s="1094">
        <v>1.0033063206309736</v>
      </c>
      <c r="D1082" s="1094">
        <v>1.0053516092439436</v>
      </c>
      <c r="E1082" s="1094">
        <v>1.0151620841935087</v>
      </c>
      <c r="F1082" s="1094">
        <v>0.99323442380625726</v>
      </c>
      <c r="G1082" s="1094">
        <v>1.0006253253544337</v>
      </c>
      <c r="H1082" s="1094">
        <v>0.99484146409840624</v>
      </c>
      <c r="I1082" s="1094">
        <v>0.97641130648864849</v>
      </c>
      <c r="K1082">
        <v>4.4450038078461906</v>
      </c>
      <c r="L1082">
        <v>0</v>
      </c>
      <c r="M1082">
        <v>1.3924719963831751E-3</v>
      </c>
      <c r="N1082">
        <v>0.12603458780591584</v>
      </c>
      <c r="O1082">
        <v>3.7822147152387867E-2</v>
      </c>
      <c r="P1082">
        <v>1.9189554512338027E-2</v>
      </c>
      <c r="Q1082">
        <v>1.3133943617216987E-3</v>
      </c>
      <c r="R1082">
        <v>1.3866917635900952E-3</v>
      </c>
      <c r="S1082">
        <v>0.22335510466885392</v>
      </c>
      <c r="T1082">
        <v>3.9386033311511786</v>
      </c>
      <c r="U1082">
        <v>0</v>
      </c>
      <c r="V1082">
        <v>9.4523053561131852E-3</v>
      </c>
      <c r="W1082">
        <v>7.4312026818947163E-2</v>
      </c>
      <c r="X1082">
        <v>1.1008239458717609E-2</v>
      </c>
      <c r="Y1082">
        <v>3.9188967928135057E-3</v>
      </c>
    </row>
    <row r="1083" spans="1:25" x14ac:dyDescent="0.25">
      <c r="A1083" s="1090"/>
      <c r="B1083" s="1448">
        <v>833</v>
      </c>
      <c r="C1083" s="1094">
        <v>1.0075546988033113</v>
      </c>
      <c r="D1083" s="1094">
        <v>1.0372951063115534</v>
      </c>
      <c r="E1083" s="1094">
        <v>1.0379722179419564</v>
      </c>
      <c r="F1083" s="1094">
        <v>0.99128104025463759</v>
      </c>
      <c r="G1083" s="1094">
        <v>1.0147455215430856</v>
      </c>
      <c r="H1083" s="1094">
        <v>1.0331731670425686</v>
      </c>
      <c r="I1083" s="1094">
        <v>1.0001840939186446</v>
      </c>
      <c r="K1083">
        <v>4.4477142304402681</v>
      </c>
      <c r="L1083">
        <v>0</v>
      </c>
      <c r="M1083">
        <v>1.3525060967864214E-3</v>
      </c>
      <c r="N1083">
        <v>0.13097869157745651</v>
      </c>
      <c r="O1083">
        <v>3.6968813611976237E-2</v>
      </c>
      <c r="P1083">
        <v>1.9493319934135125E-2</v>
      </c>
      <c r="Q1083">
        <v>1.316662602417548E-3</v>
      </c>
      <c r="R1083">
        <v>1.3470894529538889E-3</v>
      </c>
      <c r="S1083">
        <v>0.22821145541749943</v>
      </c>
      <c r="T1083">
        <v>3.9300075001039776</v>
      </c>
      <c r="U1083">
        <v>0</v>
      </c>
      <c r="V1083">
        <v>9.4523053561131991E-3</v>
      </c>
      <c r="W1083">
        <v>7.6066548874550013E-2</v>
      </c>
      <c r="X1083">
        <v>1.1417371966508025E-2</v>
      </c>
      <c r="Y1083">
        <v>3.8069776394621994E-3</v>
      </c>
    </row>
    <row r="1084" spans="1:25" x14ac:dyDescent="0.25">
      <c r="A1084" s="1090"/>
      <c r="B1084" s="1448">
        <v>834</v>
      </c>
      <c r="C1084" s="1094">
        <v>0.99652341890301432</v>
      </c>
      <c r="D1084" s="1094">
        <v>0.97759898796847133</v>
      </c>
      <c r="E1084" s="1094">
        <v>1.0018403015623647</v>
      </c>
      <c r="F1084" s="1094">
        <v>0.99635256456099652</v>
      </c>
      <c r="G1084" s="1094">
        <v>1.0035463855003566</v>
      </c>
      <c r="H1084" s="1094">
        <v>0.99955571460806314</v>
      </c>
      <c r="I1084" s="1094">
        <v>1.0166974002018174</v>
      </c>
      <c r="K1084">
        <v>4.4759804588321277</v>
      </c>
      <c r="L1084">
        <v>0</v>
      </c>
      <c r="M1084">
        <v>1.4696169423225212E-3</v>
      </c>
      <c r="N1084">
        <v>0.12787625706257147</v>
      </c>
      <c r="O1084">
        <v>3.8721665667846683E-2</v>
      </c>
      <c r="P1084">
        <v>1.9122318482767665E-2</v>
      </c>
      <c r="Q1084">
        <v>1.3221245495187537E-3</v>
      </c>
      <c r="R1084">
        <v>1.4635641717279273E-3</v>
      </c>
      <c r="S1084">
        <v>0.23702742311900218</v>
      </c>
      <c r="T1084">
        <v>3.9514714543046479</v>
      </c>
      <c r="U1084">
        <v>0</v>
      </c>
      <c r="V1084">
        <v>9.4523053561131817E-3</v>
      </c>
      <c r="W1084">
        <v>7.6075909069894906E-2</v>
      </c>
      <c r="X1084">
        <v>1.0780909903218953E-2</v>
      </c>
      <c r="Y1084">
        <v>4.1361440871417431E-3</v>
      </c>
    </row>
    <row r="1085" spans="1:25" x14ac:dyDescent="0.25">
      <c r="A1085" s="1090"/>
      <c r="B1085" s="1448">
        <v>835</v>
      </c>
      <c r="C1085" s="1094">
        <v>0.95605444532493766</v>
      </c>
      <c r="D1085" s="1094">
        <v>0.99191068493369206</v>
      </c>
      <c r="E1085" s="1094">
        <v>0.9990711727527386</v>
      </c>
      <c r="F1085" s="1094">
        <v>1.0125559541292146</v>
      </c>
      <c r="G1085" s="1094">
        <v>1.0026451703421684</v>
      </c>
      <c r="H1085" s="1094">
        <v>1.00561945268685</v>
      </c>
      <c r="I1085" s="1094">
        <v>1.0276243878341202</v>
      </c>
      <c r="K1085">
        <v>4.5698978040685043</v>
      </c>
      <c r="L1085">
        <v>0</v>
      </c>
      <c r="M1085">
        <v>1.566105985108293E-3</v>
      </c>
      <c r="N1085">
        <v>0.13517083789039297</v>
      </c>
      <c r="O1085">
        <v>4.0799542214758504E-2</v>
      </c>
      <c r="P1085">
        <v>1.9442829102472154E-2</v>
      </c>
      <c r="Q1085">
        <v>1.3668540430437277E-3</v>
      </c>
      <c r="R1085">
        <v>1.5597968885112368E-3</v>
      </c>
      <c r="S1085">
        <v>0.25183385312267953</v>
      </c>
      <c r="T1085">
        <v>4.0158398267492261</v>
      </c>
      <c r="U1085">
        <v>0</v>
      </c>
      <c r="V1085">
        <v>9.4523053561131973E-3</v>
      </c>
      <c r="W1085">
        <v>8.0566186534674705E-2</v>
      </c>
      <c r="X1085">
        <v>1.1023773059944994E-2</v>
      </c>
      <c r="Y1085">
        <v>4.4081050917917433E-3</v>
      </c>
    </row>
    <row r="1086" spans="1:25" x14ac:dyDescent="0.25">
      <c r="A1086" s="1090"/>
      <c r="B1086" s="1448">
        <v>836</v>
      </c>
      <c r="C1086" s="1094">
        <v>0.97385878268404324</v>
      </c>
      <c r="D1086" s="1094">
        <v>1.0099742106910568</v>
      </c>
      <c r="E1086" s="1094">
        <v>0.98900015701365152</v>
      </c>
      <c r="F1086" s="1094">
        <v>0.99097764178643244</v>
      </c>
      <c r="G1086" s="1094">
        <v>1.0073290891595554</v>
      </c>
      <c r="H1086" s="1094">
        <v>1.018068974322589</v>
      </c>
      <c r="I1086" s="1094">
        <v>1.0321223142083251</v>
      </c>
      <c r="K1086">
        <v>4.4654570774796056</v>
      </c>
      <c r="L1086">
        <v>0</v>
      </c>
      <c r="M1086">
        <v>1.5449048172271134E-3</v>
      </c>
      <c r="N1086">
        <v>0.12941432226858482</v>
      </c>
      <c r="O1086">
        <v>3.8988122431143184E-2</v>
      </c>
      <c r="P1086">
        <v>1.8878614789270914E-2</v>
      </c>
      <c r="Q1086">
        <v>1.3207206056392298E-3</v>
      </c>
      <c r="R1086">
        <v>1.5386239287091999E-3</v>
      </c>
      <c r="S1086">
        <v>0.24436959329652813</v>
      </c>
      <c r="T1086">
        <v>3.9306404862968574</v>
      </c>
      <c r="U1086">
        <v>0</v>
      </c>
      <c r="V1086">
        <v>9.4523053561131939E-3</v>
      </c>
      <c r="W1086">
        <v>7.7664093586488056E-2</v>
      </c>
      <c r="X1086">
        <v>1.0386831046586054E-2</v>
      </c>
      <c r="Y1086">
        <v>4.3482686909121753E-3</v>
      </c>
    </row>
    <row r="1087" spans="1:25" x14ac:dyDescent="0.25">
      <c r="A1087" s="1090"/>
      <c r="B1087" s="1448">
        <v>837</v>
      </c>
      <c r="C1087" s="1094">
        <v>1.0330884960342233</v>
      </c>
      <c r="D1087" s="1094">
        <v>1.0114912652840062</v>
      </c>
      <c r="E1087" s="1094">
        <v>1.0049688574088691</v>
      </c>
      <c r="F1087" s="1094">
        <v>0.98470752378019977</v>
      </c>
      <c r="G1087" s="1094">
        <v>1.0249871865192093</v>
      </c>
      <c r="H1087" s="1094">
        <v>0.99543816791727591</v>
      </c>
      <c r="I1087" s="1094">
        <v>1.0145876976312416</v>
      </c>
      <c r="K1087">
        <v>4.400639726079131</v>
      </c>
      <c r="L1087">
        <v>0</v>
      </c>
      <c r="M1087">
        <v>1.3673929952725957E-3</v>
      </c>
      <c r="N1087">
        <v>0.12008126462786801</v>
      </c>
      <c r="O1087">
        <v>3.6394385693045053E-2</v>
      </c>
      <c r="P1087">
        <v>1.889466195870811E-2</v>
      </c>
      <c r="Q1087">
        <v>1.2614316907794423E-3</v>
      </c>
      <c r="R1087">
        <v>1.361671352013162E-3</v>
      </c>
      <c r="S1087">
        <v>0.22372102684823633</v>
      </c>
      <c r="T1087">
        <v>3.905170836165651</v>
      </c>
      <c r="U1087">
        <v>0</v>
      </c>
      <c r="V1087">
        <v>9.4523053561131939E-3</v>
      </c>
      <c r="W1087">
        <v>7.1287976145655671E-2</v>
      </c>
      <c r="X1087">
        <v>1.0533372036852701E-2</v>
      </c>
      <c r="Y1087">
        <v>3.848187199479033E-3</v>
      </c>
    </row>
    <row r="1088" spans="1:25" x14ac:dyDescent="0.25">
      <c r="A1088" s="1090"/>
      <c r="B1088" s="1448">
        <v>838</v>
      </c>
      <c r="C1088" s="1094">
        <v>1.0102762670229168</v>
      </c>
      <c r="D1088" s="1094">
        <v>0.99818148074604374</v>
      </c>
      <c r="E1088" s="1094">
        <v>0.99847895186898938</v>
      </c>
      <c r="F1088" s="1094">
        <v>0.98972511853333944</v>
      </c>
      <c r="G1088" s="1094">
        <v>1.0013669918478065</v>
      </c>
      <c r="H1088" s="1094">
        <v>0.99748753657523881</v>
      </c>
      <c r="I1088" s="1094">
        <v>1.0135661846871908</v>
      </c>
      <c r="K1088">
        <v>4.4349704841345883</v>
      </c>
      <c r="L1088">
        <v>0</v>
      </c>
      <c r="M1088">
        <v>1.4352261662338031E-3</v>
      </c>
      <c r="N1088">
        <v>0.12364172477334044</v>
      </c>
      <c r="O1088">
        <v>3.7648227081659533E-2</v>
      </c>
      <c r="P1088">
        <v>1.8925544198357114E-2</v>
      </c>
      <c r="Q1088">
        <v>1.2895828277468757E-3</v>
      </c>
      <c r="R1088">
        <v>1.4292632814955817E-3</v>
      </c>
      <c r="S1088">
        <v>0.23040593655693811</v>
      </c>
      <c r="T1088">
        <v>3.9253140991219468</v>
      </c>
      <c r="U1088">
        <v>0</v>
      </c>
      <c r="V1088">
        <v>9.4523053561131939E-3</v>
      </c>
      <c r="W1088">
        <v>7.372399052443758E-2</v>
      </c>
      <c r="X1088">
        <v>1.0535829426185889E-2</v>
      </c>
      <c r="Y1088">
        <v>4.039207152596049E-3</v>
      </c>
    </row>
    <row r="1089" spans="1:25" x14ac:dyDescent="0.25">
      <c r="A1089" s="1090"/>
      <c r="B1089" s="1448">
        <v>839</v>
      </c>
      <c r="C1089" s="1094">
        <v>1.0120277083579468</v>
      </c>
      <c r="D1089" s="1094">
        <v>1.0187019518059559</v>
      </c>
      <c r="E1089" s="1094">
        <v>0.9880575383871758</v>
      </c>
      <c r="F1089" s="1094">
        <v>1.0088517229061733</v>
      </c>
      <c r="G1089" s="1094">
        <v>1.0436303052582363</v>
      </c>
      <c r="H1089" s="1094">
        <v>0.98882255597569835</v>
      </c>
      <c r="I1089" s="1094">
        <v>1.0172047339877179</v>
      </c>
      <c r="K1089">
        <v>4.5120343601846953</v>
      </c>
      <c r="L1089">
        <v>0</v>
      </c>
      <c r="M1089">
        <v>1.4677224495991969E-3</v>
      </c>
      <c r="N1089">
        <v>0.12259996090112459</v>
      </c>
      <c r="O1089">
        <v>3.8069535166319377E-2</v>
      </c>
      <c r="P1089">
        <v>1.9128107451783047E-2</v>
      </c>
      <c r="Q1089">
        <v>1.2655123114755401E-3</v>
      </c>
      <c r="R1089">
        <v>1.4616872658459268E-3</v>
      </c>
      <c r="S1089">
        <v>0.23174892786693374</v>
      </c>
      <c r="T1089">
        <v>4.0015731408813515</v>
      </c>
      <c r="U1089">
        <v>0</v>
      </c>
      <c r="V1089">
        <v>9.4523053561131835E-3</v>
      </c>
      <c r="W1089">
        <v>7.3621916356387179E-2</v>
      </c>
      <c r="X1089">
        <v>1.0450149269137754E-2</v>
      </c>
      <c r="Y1089">
        <v>4.130839807824224E-3</v>
      </c>
    </row>
    <row r="1090" spans="1:25" x14ac:dyDescent="0.25">
      <c r="A1090" s="1090"/>
      <c r="B1090" s="1448">
        <v>840</v>
      </c>
      <c r="C1090" s="1094">
        <v>1.0139658706772008</v>
      </c>
      <c r="D1090" s="1094">
        <v>0.98375669911315189</v>
      </c>
      <c r="E1090" s="1094">
        <v>0.97346912354444881</v>
      </c>
      <c r="F1090" s="1094">
        <v>1.0292154227339276</v>
      </c>
      <c r="G1090" s="1094">
        <v>1.0153320750859942</v>
      </c>
      <c r="H1090" s="1094">
        <v>1.0011622058687968</v>
      </c>
      <c r="I1090" s="1094">
        <v>1.0162716432873766</v>
      </c>
      <c r="K1090">
        <v>4.6081038252343491</v>
      </c>
      <c r="L1090">
        <v>0</v>
      </c>
      <c r="M1090">
        <v>1.582009582820873E-3</v>
      </c>
      <c r="N1090">
        <v>0.12656492461925886</v>
      </c>
      <c r="O1090">
        <v>3.941077210996944E-2</v>
      </c>
      <c r="P1090">
        <v>1.9306872513606788E-2</v>
      </c>
      <c r="Q1090">
        <v>1.2647431041516199E-3</v>
      </c>
      <c r="R1090">
        <v>1.5757112503436831E-3</v>
      </c>
      <c r="S1090">
        <v>0.2376874345257512</v>
      </c>
      <c r="T1090">
        <v>4.0829221416560229</v>
      </c>
      <c r="U1090">
        <v>0</v>
      </c>
      <c r="V1090">
        <v>9.4523053561132008E-3</v>
      </c>
      <c r="W1090">
        <v>7.6765959824932256E-2</v>
      </c>
      <c r="X1090">
        <v>1.0281889563681852E-2</v>
      </c>
      <c r="Y1090">
        <v>4.4530802933342847E-3</v>
      </c>
    </row>
    <row r="1091" spans="1:25" x14ac:dyDescent="0.25">
      <c r="A1091" s="1090"/>
      <c r="B1091" s="1448">
        <v>841</v>
      </c>
      <c r="C1091" s="1094">
        <v>0.99680070771778306</v>
      </c>
      <c r="D1091" s="1094">
        <v>0.97835140093985762</v>
      </c>
      <c r="E1091" s="1094">
        <v>1.0017134485692289</v>
      </c>
      <c r="F1091" s="1094">
        <v>1.0125043970320249</v>
      </c>
      <c r="G1091" s="1094">
        <v>1.0067933296945875</v>
      </c>
      <c r="H1091" s="1094">
        <v>1.0383220035373637</v>
      </c>
      <c r="I1091" s="1094">
        <v>0.99766953042162565</v>
      </c>
      <c r="K1091">
        <v>4.5534213634058194</v>
      </c>
      <c r="L1091">
        <v>0</v>
      </c>
      <c r="M1091">
        <v>1.5507654811296181E-3</v>
      </c>
      <c r="N1091">
        <v>0.13491591911054215</v>
      </c>
      <c r="O1091">
        <v>3.9327223384838024E-2</v>
      </c>
      <c r="P1091">
        <v>1.9416761577765944E-2</v>
      </c>
      <c r="Q1091">
        <v>1.3212065803966872E-3</v>
      </c>
      <c r="R1091">
        <v>1.5447146395091197E-3</v>
      </c>
      <c r="S1091">
        <v>0.2380075059860306</v>
      </c>
      <c r="T1091">
        <v>4.0155334903849473</v>
      </c>
      <c r="U1091">
        <v>0</v>
      </c>
      <c r="V1091">
        <v>9.4523053561131869E-3</v>
      </c>
      <c r="W1091">
        <v>8.0270805512304921E-2</v>
      </c>
      <c r="X1091">
        <v>1.0816714849861764E-2</v>
      </c>
      <c r="Y1091">
        <v>4.3654815046365219E-3</v>
      </c>
    </row>
    <row r="1092" spans="1:25" x14ac:dyDescent="0.25">
      <c r="A1092" s="1090"/>
      <c r="B1092" s="1448">
        <v>842</v>
      </c>
      <c r="C1092" s="1094">
        <v>0.97878713050819455</v>
      </c>
      <c r="D1092" s="1094">
        <v>0.9883149359271387</v>
      </c>
      <c r="E1092" s="1094">
        <v>0.9919020524764004</v>
      </c>
      <c r="F1092" s="1094">
        <v>0.97842546471830572</v>
      </c>
      <c r="G1092" s="1094">
        <v>1.0438036726131268</v>
      </c>
      <c r="H1092" s="1094">
        <v>1.0093228589909582</v>
      </c>
      <c r="I1092" s="1094">
        <v>0.99608477302882947</v>
      </c>
      <c r="K1092">
        <v>4.4007042967419032</v>
      </c>
      <c r="L1092">
        <v>0</v>
      </c>
      <c r="M1092">
        <v>1.5085689988766128E-3</v>
      </c>
      <c r="N1092">
        <v>0.12745133315816531</v>
      </c>
      <c r="O1092">
        <v>3.8614041033865149E-2</v>
      </c>
      <c r="P1092">
        <v>1.8645209439913258E-2</v>
      </c>
      <c r="Q1092">
        <v>1.3288358767414071E-3</v>
      </c>
      <c r="R1092">
        <v>1.502303658375133E-3</v>
      </c>
      <c r="S1092">
        <v>0.23352718899108996</v>
      </c>
      <c r="T1092">
        <v>3.880744565023925</v>
      </c>
      <c r="U1092">
        <v>0</v>
      </c>
      <c r="V1092">
        <v>9.4523053561131852E-3</v>
      </c>
      <c r="W1092">
        <v>7.6335224259109158E-2</v>
      </c>
      <c r="X1092">
        <v>1.0366234109456727E-2</v>
      </c>
      <c r="Y1092">
        <v>4.2456248340266385E-3</v>
      </c>
    </row>
    <row r="1093" spans="1:25" x14ac:dyDescent="0.25">
      <c r="A1093" s="1090"/>
      <c r="B1093" s="1448">
        <v>843</v>
      </c>
      <c r="C1093" s="1094">
        <v>1.0102534845456148</v>
      </c>
      <c r="D1093" s="1094">
        <v>1.0143630624775772</v>
      </c>
      <c r="E1093" s="1094">
        <v>0.98198020880330184</v>
      </c>
      <c r="F1093" s="1094">
        <v>1.0120673442825265</v>
      </c>
      <c r="G1093" s="1094">
        <v>1.0155289335720394</v>
      </c>
      <c r="H1093" s="1094">
        <v>0.9949950602685953</v>
      </c>
      <c r="I1093" s="1094">
        <v>1.022697139089471</v>
      </c>
      <c r="K1093">
        <v>4.5300368969907758</v>
      </c>
      <c r="L1093">
        <v>0</v>
      </c>
      <c r="M1093">
        <v>1.5058155206757187E-3</v>
      </c>
      <c r="N1093">
        <v>0.12353952868424758</v>
      </c>
      <c r="O1093">
        <v>3.8364786887013141E-2</v>
      </c>
      <c r="P1093">
        <v>1.9111997370698883E-2</v>
      </c>
      <c r="Q1093">
        <v>1.2632409589895736E-3</v>
      </c>
      <c r="R1093">
        <v>1.4996815837174957E-3</v>
      </c>
      <c r="S1093">
        <v>0.23468969586972788</v>
      </c>
      <c r="T1093">
        <v>4.0145637205674447</v>
      </c>
      <c r="U1093">
        <v>0</v>
      </c>
      <c r="V1093">
        <v>9.4523053561131869E-3</v>
      </c>
      <c r="W1093">
        <v>7.449461104124383E-2</v>
      </c>
      <c r="X1093">
        <v>1.032492954139958E-2</v>
      </c>
      <c r="Y1093">
        <v>4.2382146508582255E-3</v>
      </c>
    </row>
    <row r="1094" spans="1:25" x14ac:dyDescent="0.25">
      <c r="A1094" s="1090"/>
      <c r="B1094" s="1448">
        <v>844</v>
      </c>
      <c r="C1094" s="1094">
        <v>0.99892280727235072</v>
      </c>
      <c r="D1094" s="1094">
        <v>1.0293957506000719</v>
      </c>
      <c r="E1094" s="1094">
        <v>1.0199907547031133</v>
      </c>
      <c r="F1094" s="1094">
        <v>1.0185502932510226</v>
      </c>
      <c r="G1094" s="1094">
        <v>1.0086678067634758</v>
      </c>
      <c r="H1094" s="1094">
        <v>1.0026686154937656</v>
      </c>
      <c r="I1094" s="1094">
        <v>0.95999339817832419</v>
      </c>
      <c r="K1094">
        <v>4.553163607108428</v>
      </c>
      <c r="L1094">
        <v>0</v>
      </c>
      <c r="M1094">
        <v>1.4172415019896951E-3</v>
      </c>
      <c r="N1094">
        <v>0.13014011163879696</v>
      </c>
      <c r="O1094">
        <v>3.8556317455672486E-2</v>
      </c>
      <c r="P1094">
        <v>1.9720253504356799E-2</v>
      </c>
      <c r="Q1094">
        <v>1.3121041415954343E-3</v>
      </c>
      <c r="R1094">
        <v>1.4115488708824175E-3</v>
      </c>
      <c r="S1094">
        <v>0.22335694610792758</v>
      </c>
      <c r="T1094">
        <v>4.0388060076612691</v>
      </c>
      <c r="U1094">
        <v>0</v>
      </c>
      <c r="V1094">
        <v>9.4523053561132026E-3</v>
      </c>
      <c r="W1094">
        <v>7.6485647778985713E-2</v>
      </c>
      <c r="X1094">
        <v>1.1350461219041394E-2</v>
      </c>
      <c r="Y1094">
        <v>3.9891448757719741E-3</v>
      </c>
    </row>
    <row r="1095" spans="1:25" x14ac:dyDescent="0.25">
      <c r="A1095" s="1090"/>
      <c r="B1095" s="1448">
        <v>845</v>
      </c>
      <c r="C1095" s="1094">
        <v>0.96727813254853123</v>
      </c>
      <c r="D1095" s="1094">
        <v>1.0437259552335623</v>
      </c>
      <c r="E1095" s="1094">
        <v>0.98522209216563372</v>
      </c>
      <c r="F1095" s="1094">
        <v>1.0173100476216137</v>
      </c>
      <c r="G1095" s="1094">
        <v>1.017629366017154</v>
      </c>
      <c r="H1095" s="1094">
        <v>0.96347939532741445</v>
      </c>
      <c r="I1095" s="1094">
        <v>0.98199116434149125</v>
      </c>
      <c r="K1095">
        <v>4.5511156471233116</v>
      </c>
      <c r="L1095">
        <v>0</v>
      </c>
      <c r="M1095">
        <v>1.5031159617439882E-3</v>
      </c>
      <c r="N1095">
        <v>0.12449579714355172</v>
      </c>
      <c r="O1095">
        <v>3.9796794410216468E-2</v>
      </c>
      <c r="P1095">
        <v>1.9238800190921654E-2</v>
      </c>
      <c r="Q1095">
        <v>1.3080588490045008E-3</v>
      </c>
      <c r="R1095">
        <v>1.4968251937501412E-3</v>
      </c>
      <c r="S1095">
        <v>0.23177740567689117</v>
      </c>
      <c r="T1095">
        <v>4.0352333359347501</v>
      </c>
      <c r="U1095">
        <v>0</v>
      </c>
      <c r="V1095">
        <v>9.4523053561131817E-3</v>
      </c>
      <c r="W1095">
        <v>7.490509386298351E-2</v>
      </c>
      <c r="X1095">
        <v>1.068420419213933E-2</v>
      </c>
      <c r="Y1095">
        <v>4.2301422747354246E-3</v>
      </c>
    </row>
    <row r="1096" spans="1:25" x14ac:dyDescent="0.25">
      <c r="A1096" s="1090"/>
      <c r="B1096" s="1448">
        <v>846</v>
      </c>
      <c r="C1096" s="1094">
        <v>0.96556500138475654</v>
      </c>
      <c r="D1096" s="1094">
        <v>1.0040211978936913</v>
      </c>
      <c r="E1096" s="1094">
        <v>0.9875061207668917</v>
      </c>
      <c r="F1096" s="1094">
        <v>1.0085737476485288</v>
      </c>
      <c r="G1096" s="1094">
        <v>1.010487962089774</v>
      </c>
      <c r="H1096" s="1094">
        <v>1.0025644342786515</v>
      </c>
      <c r="I1096" s="1094">
        <v>0.97075321021530481</v>
      </c>
      <c r="K1096">
        <v>4.5289886988592789</v>
      </c>
      <c r="L1096">
        <v>0</v>
      </c>
      <c r="M1096">
        <v>1.5701987432512454E-3</v>
      </c>
      <c r="N1096">
        <v>0.13095283539989361</v>
      </c>
      <c r="O1096">
        <v>4.0126671329613402E-2</v>
      </c>
      <c r="P1096">
        <v>1.9124669657867265E-2</v>
      </c>
      <c r="Q1096">
        <v>1.333497239362475E-3</v>
      </c>
      <c r="R1096">
        <v>1.5638289336644318E-3</v>
      </c>
      <c r="S1096">
        <v>0.23383028804807651</v>
      </c>
      <c r="T1096">
        <v>4.0004918671795178</v>
      </c>
      <c r="U1096">
        <v>0</v>
      </c>
      <c r="V1096">
        <v>9.4523053561131939E-3</v>
      </c>
      <c r="W1096">
        <v>7.8667418453166646E-2</v>
      </c>
      <c r="X1096">
        <v>1.0596016046026276E-2</v>
      </c>
      <c r="Y1096">
        <v>4.4194999592267565E-3</v>
      </c>
    </row>
    <row r="1097" spans="1:25" x14ac:dyDescent="0.25">
      <c r="A1097" s="1090"/>
      <c r="B1097" s="1448">
        <v>847</v>
      </c>
      <c r="C1097" s="1094">
        <v>0.98537698956741393</v>
      </c>
      <c r="D1097" s="1094">
        <v>0.96890727784718322</v>
      </c>
      <c r="E1097" s="1094">
        <v>0.98914438616522138</v>
      </c>
      <c r="F1097" s="1094">
        <v>0.97021667086490215</v>
      </c>
      <c r="G1097" s="1094">
        <v>0.99593310679014657</v>
      </c>
      <c r="H1097" s="1094">
        <v>0.98263878033948959</v>
      </c>
      <c r="I1097" s="1094">
        <v>0.98773317107716796</v>
      </c>
      <c r="K1097">
        <v>4.3550537978431851</v>
      </c>
      <c r="L1097">
        <v>0</v>
      </c>
      <c r="M1097">
        <v>1.4666783210534999E-3</v>
      </c>
      <c r="N1097">
        <v>0.12288479791615284</v>
      </c>
      <c r="O1097">
        <v>3.8355781171111748E-2</v>
      </c>
      <c r="P1097">
        <v>1.8435898286129113E-2</v>
      </c>
      <c r="Q1097">
        <v>1.3273021768615769E-3</v>
      </c>
      <c r="R1097">
        <v>1.4603688319627254E-3</v>
      </c>
      <c r="S1097">
        <v>0.22815071967070272</v>
      </c>
      <c r="T1097">
        <v>3.848288253204851</v>
      </c>
      <c r="U1097">
        <v>0</v>
      </c>
      <c r="V1097">
        <v>9.4523053561131973E-3</v>
      </c>
      <c r="W1097">
        <v>7.3738354924376373E-2</v>
      </c>
      <c r="X1097">
        <v>1.0299580812962283E-2</v>
      </c>
      <c r="Y1097">
        <v>4.127113813012632E-3</v>
      </c>
    </row>
    <row r="1098" spans="1:25" x14ac:dyDescent="0.25">
      <c r="A1098" s="1090"/>
      <c r="B1098" s="1448">
        <v>848</v>
      </c>
      <c r="C1098" s="1094">
        <v>1.0148525597711706</v>
      </c>
      <c r="D1098" s="1094">
        <v>1.0176499386766558</v>
      </c>
      <c r="E1098" s="1094">
        <v>0.99628820774061777</v>
      </c>
      <c r="F1098" s="1094">
        <v>0.97892525629341742</v>
      </c>
      <c r="G1098" s="1094">
        <v>0.97549509822560354</v>
      </c>
      <c r="H1098" s="1094">
        <v>0.98509186032098484</v>
      </c>
      <c r="I1098" s="1094">
        <v>1.0337326225672718</v>
      </c>
      <c r="K1098">
        <v>4.3831528744709649</v>
      </c>
      <c r="L1098">
        <v>0</v>
      </c>
      <c r="M1098">
        <v>1.3913258729990109E-3</v>
      </c>
      <c r="N1098">
        <v>0.11907237672137518</v>
      </c>
      <c r="O1098">
        <v>3.6798584893720877E-2</v>
      </c>
      <c r="P1098">
        <v>1.8698453536623656E-2</v>
      </c>
      <c r="Q1098">
        <v>1.2714934202568333E-3</v>
      </c>
      <c r="R1098">
        <v>1.3854083373494763E-3</v>
      </c>
      <c r="S1098">
        <v>0.22991802342637641</v>
      </c>
      <c r="T1098">
        <v>3.8825629158202335</v>
      </c>
      <c r="U1098">
        <v>0</v>
      </c>
      <c r="V1098">
        <v>9.4523053561131904E-3</v>
      </c>
      <c r="W1098">
        <v>7.1104811764700099E-2</v>
      </c>
      <c r="X1098">
        <v>1.0364557334939071E-2</v>
      </c>
      <c r="Y1098">
        <v>3.9152697322725593E-3</v>
      </c>
    </row>
    <row r="1099" spans="1:25" x14ac:dyDescent="0.25">
      <c r="A1099" s="1090"/>
      <c r="B1099" s="1448">
        <v>849</v>
      </c>
      <c r="C1099" s="1094">
        <v>1.0329394313104412</v>
      </c>
      <c r="D1099" s="1094">
        <v>1.0017419612404286</v>
      </c>
      <c r="E1099" s="1094">
        <v>0.98246273951319429</v>
      </c>
      <c r="F1099" s="1094">
        <v>0.99826077633179211</v>
      </c>
      <c r="G1099" s="1094">
        <v>0.99948998652473697</v>
      </c>
      <c r="H1099" s="1094">
        <v>1.0353879248833924</v>
      </c>
      <c r="I1099" s="1094">
        <v>0.97010762003580198</v>
      </c>
      <c r="K1099">
        <v>4.4600101779663852</v>
      </c>
      <c r="L1099">
        <v>0</v>
      </c>
      <c r="M1099">
        <v>1.5177607338662264E-3</v>
      </c>
      <c r="N1099">
        <v>0.12471107033665862</v>
      </c>
      <c r="O1099">
        <v>3.7192952903148252E-2</v>
      </c>
      <c r="P1099">
        <v>1.8804374766516564E-2</v>
      </c>
      <c r="Q1099">
        <v>1.242219579529E-3</v>
      </c>
      <c r="R1099">
        <v>1.5117374997899635E-3</v>
      </c>
      <c r="S1099">
        <v>0.21939766052384049</v>
      </c>
      <c r="T1099">
        <v>3.9597787570957439</v>
      </c>
      <c r="U1099">
        <v>0</v>
      </c>
      <c r="V1099">
        <v>9.4523053561131939E-3</v>
      </c>
      <c r="W1099">
        <v>7.517623373240126E-2</v>
      </c>
      <c r="X1099">
        <v>9.988341316403802E-3</v>
      </c>
      <c r="Y1099">
        <v>4.2722855901046707E-3</v>
      </c>
    </row>
    <row r="1100" spans="1:25" x14ac:dyDescent="0.25">
      <c r="A1100" s="1090"/>
      <c r="B1100" s="1448">
        <v>850</v>
      </c>
      <c r="C1100" s="1094">
        <v>0.97554004278566842</v>
      </c>
      <c r="D1100" s="1094">
        <v>0.98753723297400064</v>
      </c>
      <c r="E1100" s="1094">
        <v>1.0012353256704931</v>
      </c>
      <c r="F1100" s="1094">
        <v>0.96020870166247874</v>
      </c>
      <c r="G1100" s="1094">
        <v>1.0058861690114624</v>
      </c>
      <c r="H1100" s="1094">
        <v>0.99743574588293904</v>
      </c>
      <c r="I1100" s="1094">
        <v>1.0124375959751584</v>
      </c>
      <c r="K1100">
        <v>4.3236931061055843</v>
      </c>
      <c r="L1100">
        <v>0</v>
      </c>
      <c r="M1100">
        <v>1.4399277924185344E-3</v>
      </c>
      <c r="N1100">
        <v>0.12504801482122133</v>
      </c>
      <c r="O1100">
        <v>3.7969856317247121E-2</v>
      </c>
      <c r="P1100">
        <v>1.8448887609630749E-2</v>
      </c>
      <c r="Q1100">
        <v>1.344413082371242E-3</v>
      </c>
      <c r="R1100">
        <v>1.4337619422372082E-3</v>
      </c>
      <c r="S1100">
        <v>0.23433361558332774</v>
      </c>
      <c r="T1100">
        <v>3.8081492774321433</v>
      </c>
      <c r="U1100">
        <v>0</v>
      </c>
      <c r="V1100">
        <v>9.4523053561131852E-3</v>
      </c>
      <c r="W1100">
        <v>7.4423729370295344E-2</v>
      </c>
      <c r="X1100">
        <v>1.0477251672107116E-2</v>
      </c>
      <c r="Y1100">
        <v>4.0519207113083842E-3</v>
      </c>
    </row>
    <row r="1101" spans="1:25" x14ac:dyDescent="0.25">
      <c r="A1101" s="1090"/>
      <c r="B1101" s="1448">
        <v>851</v>
      </c>
      <c r="C1101" s="1094">
        <v>0.98888086063094105</v>
      </c>
      <c r="D1101" s="1094">
        <v>0.99793872540462791</v>
      </c>
      <c r="E1101" s="1094">
        <v>0.98339255523960889</v>
      </c>
      <c r="F1101" s="1094">
        <v>1.0143801229113525</v>
      </c>
      <c r="G1101" s="1094">
        <v>1.0200647654623831</v>
      </c>
      <c r="H1101" s="1094">
        <v>1.0188189198890711</v>
      </c>
      <c r="I1101" s="1094">
        <v>0.98632688581233796</v>
      </c>
      <c r="K1101">
        <v>4.5517502911575454</v>
      </c>
      <c r="L1101">
        <v>0</v>
      </c>
      <c r="M1101">
        <v>1.5844156823350743E-3</v>
      </c>
      <c r="N1101">
        <v>0.13054748715249764</v>
      </c>
      <c r="O1101">
        <v>3.9530951509647493E-2</v>
      </c>
      <c r="P1101">
        <v>1.9172825897280039E-2</v>
      </c>
      <c r="Q1101">
        <v>1.3005885281845981E-3</v>
      </c>
      <c r="R1101">
        <v>1.5781268026017195E-3</v>
      </c>
      <c r="S1101">
        <v>0.23456010127635085</v>
      </c>
      <c r="T1101">
        <v>4.0236827929561265</v>
      </c>
      <c r="U1101">
        <v>0</v>
      </c>
      <c r="V1101">
        <v>9.4523053561131835E-3</v>
      </c>
      <c r="W1101">
        <v>7.8644428371221972E-2</v>
      </c>
      <c r="X1101">
        <v>1.0405192161424184E-2</v>
      </c>
      <c r="Y1101">
        <v>4.4599068284341854E-3</v>
      </c>
    </row>
    <row r="1102" spans="1:25" x14ac:dyDescent="0.25">
      <c r="A1102" s="1090"/>
      <c r="B1102" s="1448">
        <v>852</v>
      </c>
      <c r="C1102" s="1094">
        <v>0.9995885485261593</v>
      </c>
      <c r="D1102" s="1094">
        <v>1.0104980294983632</v>
      </c>
      <c r="E1102" s="1094">
        <v>0.99179114278540093</v>
      </c>
      <c r="F1102" s="1094">
        <v>0.97123134303757697</v>
      </c>
      <c r="G1102" s="1094">
        <v>1.0088525586147261</v>
      </c>
      <c r="H1102" s="1094">
        <v>0.9690152660570015</v>
      </c>
      <c r="I1102" s="1094">
        <v>1.022183740810682</v>
      </c>
      <c r="K1102">
        <v>4.3502023615228511</v>
      </c>
      <c r="L1102">
        <v>0</v>
      </c>
      <c r="M1102">
        <v>1.3956816144549693E-3</v>
      </c>
      <c r="N1102">
        <v>0.11785105972258123</v>
      </c>
      <c r="O1102">
        <v>3.7201437342759602E-2</v>
      </c>
      <c r="P1102">
        <v>1.8493705912872683E-2</v>
      </c>
      <c r="Q1102">
        <v>1.2895577102279381E-3</v>
      </c>
      <c r="R1102">
        <v>1.3895994673399411E-3</v>
      </c>
      <c r="S1102">
        <v>0.22889030491104001</v>
      </c>
      <c r="T1102">
        <v>3.8522145235515932</v>
      </c>
      <c r="U1102">
        <v>0</v>
      </c>
      <c r="V1102">
        <v>9.4523053561131973E-3</v>
      </c>
      <c r="W1102">
        <v>7.0590593160832854E-2</v>
      </c>
      <c r="X1102">
        <v>1.0297841816337513E-2</v>
      </c>
      <c r="Y1102">
        <v>3.9271141856032496E-3</v>
      </c>
    </row>
    <row r="1103" spans="1:25" x14ac:dyDescent="0.25">
      <c r="A1103" s="1090"/>
      <c r="B1103" s="1448">
        <v>853</v>
      </c>
      <c r="C1103" s="1094">
        <v>1.0106620595000237</v>
      </c>
      <c r="D1103" s="1094">
        <v>1.0134991445721246</v>
      </c>
      <c r="E1103" s="1094">
        <v>0.97535890345706988</v>
      </c>
      <c r="F1103" s="1094">
        <v>1.0360738095370898</v>
      </c>
      <c r="G1103" s="1094">
        <v>0.97182701554366491</v>
      </c>
      <c r="H1103" s="1094">
        <v>0.99818972545295859</v>
      </c>
      <c r="I1103" s="1094">
        <v>0.97664750244332021</v>
      </c>
      <c r="K1103">
        <v>4.6247542408776576</v>
      </c>
      <c r="L1103">
        <v>0</v>
      </c>
      <c r="M1103">
        <v>1.5678784333484472E-3</v>
      </c>
      <c r="N1103">
        <v>0.1261418903641533</v>
      </c>
      <c r="O1103">
        <v>3.9318503383834642E-2</v>
      </c>
      <c r="P1103">
        <v>1.9412358551310717E-2</v>
      </c>
      <c r="Q1103">
        <v>1.2559153837325939E-3</v>
      </c>
      <c r="R1103">
        <v>1.5616590509669327E-3</v>
      </c>
      <c r="S1103">
        <v>0.22794401849799448</v>
      </c>
      <c r="T1103">
        <v>4.1100540351806796</v>
      </c>
      <c r="U1103">
        <v>0</v>
      </c>
      <c r="V1103">
        <v>9.4523053561131852E-3</v>
      </c>
      <c r="W1103">
        <v>7.6410000959702504E-2</v>
      </c>
      <c r="X1103">
        <v>1.0358064877455803E-2</v>
      </c>
      <c r="Y1103">
        <v>4.4133677050609147E-3</v>
      </c>
    </row>
    <row r="1104" spans="1:25" x14ac:dyDescent="0.25">
      <c r="A1104" s="1090"/>
      <c r="B1104" s="1448">
        <v>854</v>
      </c>
      <c r="C1104" s="1094">
        <v>1.0238429183397859</v>
      </c>
      <c r="D1104" s="1094">
        <v>1.0325421551937186</v>
      </c>
      <c r="E1104" s="1094">
        <v>0.97497958823738218</v>
      </c>
      <c r="F1104" s="1094">
        <v>1.0174926825230874</v>
      </c>
      <c r="G1104" s="1094">
        <v>1.0015801181102366</v>
      </c>
      <c r="H1104" s="1094">
        <v>0.97599703981429542</v>
      </c>
      <c r="I1104" s="1094">
        <v>0.98179785719706847</v>
      </c>
      <c r="K1104">
        <v>4.5293117416909734</v>
      </c>
      <c r="L1104">
        <v>0</v>
      </c>
      <c r="M1104">
        <v>1.4764006486604336E-3</v>
      </c>
      <c r="N1104">
        <v>0.11862894462274393</v>
      </c>
      <c r="O1104">
        <v>3.7836038199896664E-2</v>
      </c>
      <c r="P1104">
        <v>1.9044827363509757E-2</v>
      </c>
      <c r="Q1104">
        <v>1.2301436049633487E-3</v>
      </c>
      <c r="R1104">
        <v>1.4703020269738012E-3</v>
      </c>
      <c r="S1104">
        <v>0.22056344980950474</v>
      </c>
      <c r="T1104">
        <v>4.0363584900615725</v>
      </c>
      <c r="U1104">
        <v>0</v>
      </c>
      <c r="V1104">
        <v>9.4523053561131973E-3</v>
      </c>
      <c r="W1104">
        <v>7.187779972240417E-2</v>
      </c>
      <c r="X1104">
        <v>1.017065579147325E-2</v>
      </c>
      <c r="Y1104">
        <v>4.1551857804774965E-3</v>
      </c>
    </row>
    <row r="1105" spans="1:25" x14ac:dyDescent="0.25">
      <c r="A1105" s="1090"/>
      <c r="B1105" s="1448">
        <v>855</v>
      </c>
      <c r="C1105" s="1094">
        <v>1.0120615632696042</v>
      </c>
      <c r="D1105" s="1094">
        <v>0.99525358694654442</v>
      </c>
      <c r="E1105" s="1094">
        <v>1.0056088774032479</v>
      </c>
      <c r="F1105" s="1094">
        <v>0.95915409536611096</v>
      </c>
      <c r="G1105" s="1094">
        <v>0.99715280962736275</v>
      </c>
      <c r="H1105" s="1094">
        <v>0.98989491392078222</v>
      </c>
      <c r="I1105" s="1094">
        <v>0.98244365303505088</v>
      </c>
      <c r="K1105">
        <v>4.2920938540559304</v>
      </c>
      <c r="L1105">
        <v>0</v>
      </c>
      <c r="M1105">
        <v>1.3591068046381861E-3</v>
      </c>
      <c r="N1105">
        <v>0.11956383580015381</v>
      </c>
      <c r="O1105">
        <v>3.6417293951482153E-2</v>
      </c>
      <c r="P1105">
        <v>1.8414313172163351E-2</v>
      </c>
      <c r="Q1105">
        <v>1.2967107278564198E-3</v>
      </c>
      <c r="R1105">
        <v>1.3532362803602574E-3</v>
      </c>
      <c r="S1105">
        <v>0.21796360589607089</v>
      </c>
      <c r="T1105">
        <v>3.803807273007092</v>
      </c>
      <c r="U1105">
        <v>0</v>
      </c>
      <c r="V1105">
        <v>9.4523053561131869E-3</v>
      </c>
      <c r="W1105">
        <v>7.0950209182853247E-2</v>
      </c>
      <c r="X1105">
        <v>1.0409828443421525E-2</v>
      </c>
      <c r="Y1105">
        <v>3.8243490430006685E-3</v>
      </c>
    </row>
    <row r="1106" spans="1:25" x14ac:dyDescent="0.25">
      <c r="A1106" s="1090"/>
      <c r="B1106" s="1448">
        <v>856</v>
      </c>
      <c r="C1106" s="1094">
        <v>0.98122040528938403</v>
      </c>
      <c r="D1106" s="1094">
        <v>1.0213631812062693</v>
      </c>
      <c r="E1106" s="1094">
        <v>0.95444437877977339</v>
      </c>
      <c r="F1106" s="1094">
        <v>0.97218023062956382</v>
      </c>
      <c r="G1106" s="1094">
        <v>1.0170813753828105</v>
      </c>
      <c r="H1106" s="1094">
        <v>1.0206678212972098</v>
      </c>
      <c r="I1106" s="1094">
        <v>1.0253473256144618</v>
      </c>
      <c r="K1106">
        <v>4.3722282257676683</v>
      </c>
      <c r="L1106">
        <v>0</v>
      </c>
      <c r="M1106">
        <v>1.6142523637674752E-3</v>
      </c>
      <c r="N1106">
        <v>0.12202893705259653</v>
      </c>
      <c r="O1106">
        <v>3.8023673787700447E-2</v>
      </c>
      <c r="P1106">
        <v>1.8033074726774213E-2</v>
      </c>
      <c r="Q1106">
        <v>1.266181807451908E-3</v>
      </c>
      <c r="R1106">
        <v>1.6075802124950152E-3</v>
      </c>
      <c r="S1106">
        <v>0.23723419005218552</v>
      </c>
      <c r="T1106">
        <v>3.8573788520529888</v>
      </c>
      <c r="U1106">
        <v>0</v>
      </c>
      <c r="V1106">
        <v>9.4523053561131939E-3</v>
      </c>
      <c r="W1106">
        <v>7.4996567363056751E-2</v>
      </c>
      <c r="X1106">
        <v>9.2779713066205548E-3</v>
      </c>
      <c r="Y1106">
        <v>4.5431444134541119E-3</v>
      </c>
    </row>
    <row r="1107" spans="1:25" x14ac:dyDescent="0.25">
      <c r="A1107" s="1090"/>
      <c r="B1107" s="1448">
        <v>857</v>
      </c>
      <c r="C1107" s="1094">
        <v>1.0363714120762564</v>
      </c>
      <c r="D1107" s="1094">
        <v>1.0026606490012684</v>
      </c>
      <c r="E1107" s="1094">
        <v>1.0114751532449624</v>
      </c>
      <c r="F1107" s="1094">
        <v>1.0184859732289464</v>
      </c>
      <c r="G1107" s="1094">
        <v>1.03960873135133</v>
      </c>
      <c r="H1107" s="1094">
        <v>0.97417020193507431</v>
      </c>
      <c r="I1107" s="1094">
        <v>1.0077722003444292</v>
      </c>
      <c r="K1107">
        <v>4.5419019339436906</v>
      </c>
      <c r="L1107">
        <v>0</v>
      </c>
      <c r="M1107">
        <v>1.3654912339263379E-3</v>
      </c>
      <c r="N1107">
        <v>0.12225306840333687</v>
      </c>
      <c r="O1107">
        <v>3.7611514576717006E-2</v>
      </c>
      <c r="P1107">
        <v>1.9608021312556765E-2</v>
      </c>
      <c r="Q1107">
        <v>1.2688729789623876E-3</v>
      </c>
      <c r="R1107">
        <v>1.359845661384641E-3</v>
      </c>
      <c r="S1107">
        <v>0.22563448375118306</v>
      </c>
      <c r="T1107">
        <v>4.038878690533739</v>
      </c>
      <c r="U1107">
        <v>0</v>
      </c>
      <c r="V1107">
        <v>9.4523053561131887E-3</v>
      </c>
      <c r="W1107">
        <v>7.22606109646102E-2</v>
      </c>
      <c r="X1107">
        <v>1.1096983980635258E-2</v>
      </c>
      <c r="Y1107">
        <v>3.8430276583779474E-3</v>
      </c>
    </row>
    <row r="1108" spans="1:25" x14ac:dyDescent="0.25">
      <c r="A1108" s="1090"/>
      <c r="B1108" s="1448">
        <v>858</v>
      </c>
      <c r="C1108" s="1094">
        <v>1.0052281566395211</v>
      </c>
      <c r="D1108" s="1094">
        <v>1.0029939203889753</v>
      </c>
      <c r="E1108" s="1094">
        <v>0.97553684742568725</v>
      </c>
      <c r="F1108" s="1094">
        <v>0.9646390368345229</v>
      </c>
      <c r="G1108" s="1094">
        <v>0.9995680967463344</v>
      </c>
      <c r="H1108" s="1094">
        <v>0.99230812452539685</v>
      </c>
      <c r="I1108" s="1094">
        <v>0.98562157270147321</v>
      </c>
      <c r="K1108">
        <v>4.3162550577660772</v>
      </c>
      <c r="L1108">
        <v>0</v>
      </c>
      <c r="M1108">
        <v>1.4649963216035056E-3</v>
      </c>
      <c r="N1108">
        <v>0.11788927868346967</v>
      </c>
      <c r="O1108">
        <v>3.6958025829032619E-2</v>
      </c>
      <c r="P1108">
        <v>1.8116817110317252E-2</v>
      </c>
      <c r="Q1108">
        <v>1.2681744790220691E-3</v>
      </c>
      <c r="R1108">
        <v>1.4587195475899127E-3</v>
      </c>
      <c r="S1108">
        <v>0.22063797484561118</v>
      </c>
      <c r="T1108">
        <v>3.8266691772448702</v>
      </c>
      <c r="U1108">
        <v>0</v>
      </c>
      <c r="V1108">
        <v>9.4523053561131852E-3</v>
      </c>
      <c r="W1108">
        <v>7.1402278191659577E-2</v>
      </c>
      <c r="X1108">
        <v>9.7448499905351815E-3</v>
      </c>
      <c r="Y1108">
        <v>4.1224528094581572E-3</v>
      </c>
    </row>
    <row r="1109" spans="1:25" x14ac:dyDescent="0.25">
      <c r="A1109" s="1090"/>
      <c r="B1109" s="1448">
        <v>859</v>
      </c>
      <c r="C1109" s="1094">
        <v>0.99470256536993895</v>
      </c>
      <c r="D1109" s="1094">
        <v>1.018922423040207</v>
      </c>
      <c r="E1109" s="1094">
        <v>1.0415061403965622</v>
      </c>
      <c r="F1109" s="1094">
        <v>0.96763034235966039</v>
      </c>
      <c r="G1109" s="1094">
        <v>0.99562306555959179</v>
      </c>
      <c r="H1109" s="1094">
        <v>1.0086331712474896</v>
      </c>
      <c r="I1109" s="1094">
        <v>1.0099288737058549</v>
      </c>
      <c r="K1109">
        <v>4.3486274432553582</v>
      </c>
      <c r="L1109">
        <v>0</v>
      </c>
      <c r="M1109">
        <v>1.305221941047013E-3</v>
      </c>
      <c r="N1109">
        <v>0.12770086805951214</v>
      </c>
      <c r="O1109">
        <v>3.6791723038871862E-2</v>
      </c>
      <c r="P1109">
        <v>1.9106602651281144E-2</v>
      </c>
      <c r="Q1109">
        <v>1.3472153020940693E-3</v>
      </c>
      <c r="R1109">
        <v>1.2997371676774869E-3</v>
      </c>
      <c r="S1109">
        <v>0.22905004113378175</v>
      </c>
      <c r="T1109">
        <v>3.8361148729672512</v>
      </c>
      <c r="U1109">
        <v>0</v>
      </c>
      <c r="V1109">
        <v>9.4523053561131869E-3</v>
      </c>
      <c r="W1109">
        <v>7.3990688229950835E-2</v>
      </c>
      <c r="X1109">
        <v>1.1405454823775831E-2</v>
      </c>
      <c r="Y1109">
        <v>3.6731564660951268E-3</v>
      </c>
    </row>
    <row r="1110" spans="1:25" x14ac:dyDescent="0.25">
      <c r="A1110" s="1090"/>
      <c r="B1110" s="1448">
        <v>860</v>
      </c>
      <c r="C1110" s="1094">
        <v>0.96767894193866977</v>
      </c>
      <c r="D1110" s="1094">
        <v>0.98263912213350846</v>
      </c>
      <c r="E1110" s="1094">
        <v>1.0040693626627306</v>
      </c>
      <c r="F1110" s="1094">
        <v>1.016560766538561</v>
      </c>
      <c r="G1110" s="1094">
        <v>0.99654276663411345</v>
      </c>
      <c r="H1110" s="1094">
        <v>0.95593249792845059</v>
      </c>
      <c r="I1110" s="1094">
        <v>0.99020301201172256</v>
      </c>
      <c r="K1110">
        <v>4.5597547696841074</v>
      </c>
      <c r="L1110">
        <v>0</v>
      </c>
      <c r="M1110">
        <v>1.4666699929043701E-3</v>
      </c>
      <c r="N1110">
        <v>0.12845207234240502</v>
      </c>
      <c r="O1110">
        <v>4.0584847815211066E-2</v>
      </c>
      <c r="P1110">
        <v>1.951978044104415E-2</v>
      </c>
      <c r="Q1110">
        <v>1.3613298661708845E-3</v>
      </c>
      <c r="R1110">
        <v>1.4604787549995766E-3</v>
      </c>
      <c r="S1110">
        <v>0.23713139445021744</v>
      </c>
      <c r="T1110">
        <v>4.0315297438282078</v>
      </c>
      <c r="U1110">
        <v>0</v>
      </c>
      <c r="V1110">
        <v>9.4523053561131869E-3</v>
      </c>
      <c r="W1110">
        <v>7.630365947859874E-2</v>
      </c>
      <c r="X1110">
        <v>1.1298402880138154E-2</v>
      </c>
      <c r="Y1110">
        <v>4.1274244639070007E-3</v>
      </c>
    </row>
    <row r="1111" spans="1:25" x14ac:dyDescent="0.25">
      <c r="A1111" s="1090"/>
      <c r="B1111" s="1448">
        <v>861</v>
      </c>
      <c r="C1111" s="1094">
        <v>1.0100714008112266</v>
      </c>
      <c r="D1111" s="1094">
        <v>0.99983760048248427</v>
      </c>
      <c r="E1111" s="1094">
        <v>1.0053764447627698</v>
      </c>
      <c r="F1111" s="1094">
        <v>1.0350541825915145</v>
      </c>
      <c r="G1111" s="1094">
        <v>0.97313063230756758</v>
      </c>
      <c r="H1111" s="1094">
        <v>0.95583752022003887</v>
      </c>
      <c r="I1111" s="1094">
        <v>0.98885092120662754</v>
      </c>
      <c r="K1111">
        <v>4.6169127164353005</v>
      </c>
      <c r="L1111">
        <v>0</v>
      </c>
      <c r="M1111">
        <v>1.4166299217510676E-3</v>
      </c>
      <c r="N1111">
        <v>0.12456013354902891</v>
      </c>
      <c r="O1111">
        <v>3.9305835165376876E-2</v>
      </c>
      <c r="P1111">
        <v>1.9833803780008211E-2</v>
      </c>
      <c r="Q1111">
        <v>1.2966222337086239E-3</v>
      </c>
      <c r="R1111">
        <v>1.4107557556691469E-3</v>
      </c>
      <c r="S1111">
        <v>0.22845140556021529</v>
      </c>
      <c r="T1111">
        <v>4.1048204979540337</v>
      </c>
      <c r="U1111">
        <v>0</v>
      </c>
      <c r="V1111">
        <v>9.4523053561131904E-3</v>
      </c>
      <c r="W1111">
        <v>7.3926624710274016E-2</v>
      </c>
      <c r="X1111">
        <v>1.1284458820995701E-2</v>
      </c>
      <c r="Y1111">
        <v>3.9869034716277889E-3</v>
      </c>
    </row>
    <row r="1112" spans="1:25" x14ac:dyDescent="0.25">
      <c r="A1112" s="1090"/>
      <c r="B1112" s="1448">
        <v>862</v>
      </c>
      <c r="C1112" s="1094">
        <v>1.011907572480534</v>
      </c>
      <c r="D1112" s="1094">
        <v>1.0360024872868778</v>
      </c>
      <c r="E1112" s="1094">
        <v>1.0378153192456054</v>
      </c>
      <c r="F1112" s="1094">
        <v>1.0105600270710413</v>
      </c>
      <c r="G1112" s="1094">
        <v>1.0027719313871153</v>
      </c>
      <c r="H1112" s="1094">
        <v>1.0205921764836812</v>
      </c>
      <c r="I1112" s="1094">
        <v>0.973407165972908</v>
      </c>
      <c r="K1112">
        <v>4.5209479609599876</v>
      </c>
      <c r="L1112">
        <v>0</v>
      </c>
      <c r="M1112">
        <v>1.3571820243306575E-3</v>
      </c>
      <c r="N1112">
        <v>0.13137424856620639</v>
      </c>
      <c r="O1112">
        <v>3.754547145175597E-2</v>
      </c>
      <c r="P1112">
        <v>1.9825401774789746E-2</v>
      </c>
      <c r="Q1112">
        <v>1.311480649772977E-3</v>
      </c>
      <c r="R1112">
        <v>1.3517841968683953E-3</v>
      </c>
      <c r="S1112">
        <v>0.22325168976456394</v>
      </c>
      <c r="T1112">
        <v>4.0064464044031798</v>
      </c>
      <c r="U1112">
        <v>0</v>
      </c>
      <c r="V1112">
        <v>9.4523053561132112E-3</v>
      </c>
      <c r="W1112">
        <v>7.6304157377617698E-2</v>
      </c>
      <c r="X1112">
        <v>1.1621954099251243E-2</v>
      </c>
      <c r="Y1112">
        <v>3.8202453441913363E-3</v>
      </c>
    </row>
    <row r="1113" spans="1:25" x14ac:dyDescent="0.25">
      <c r="A1113" s="1090"/>
      <c r="B1113" s="1448">
        <v>863</v>
      </c>
      <c r="C1113" s="1094">
        <v>0.99002611689079667</v>
      </c>
      <c r="D1113" s="1094">
        <v>1.0104908861256969</v>
      </c>
      <c r="E1113" s="1094">
        <v>1.0109547178157421</v>
      </c>
      <c r="F1113" s="1094">
        <v>1.035723299499697</v>
      </c>
      <c r="G1113" s="1094">
        <v>0.98948414235663296</v>
      </c>
      <c r="H1113" s="1094">
        <v>1.0168292608195255</v>
      </c>
      <c r="I1113" s="1094">
        <v>0.98853574266624999</v>
      </c>
      <c r="K1113">
        <v>4.6460764968123192</v>
      </c>
      <c r="L1113">
        <v>0</v>
      </c>
      <c r="M1113">
        <v>1.5141046756874178E-3</v>
      </c>
      <c r="N1113">
        <v>0.13538229668074123</v>
      </c>
      <c r="O1113">
        <v>3.9917882039535869E-2</v>
      </c>
      <c r="P1113">
        <v>1.9966814720861748E-2</v>
      </c>
      <c r="Q1113">
        <v>1.3235587332816731E-3</v>
      </c>
      <c r="R1113">
        <v>1.508206710555221E-3</v>
      </c>
      <c r="S1113">
        <v>0.23713531203878918</v>
      </c>
      <c r="T1113">
        <v>4.1072549497489081</v>
      </c>
      <c r="U1113">
        <v>0</v>
      </c>
      <c r="V1113">
        <v>9.4523053561131887E-3</v>
      </c>
      <c r="W1113">
        <v>8.0048895609258722E-2</v>
      </c>
      <c r="X1113">
        <v>1.133807253979466E-2</v>
      </c>
      <c r="Y1113">
        <v>4.2623073101642813E-3</v>
      </c>
    </row>
    <row r="1114" spans="1:25" x14ac:dyDescent="0.25">
      <c r="A1114" s="1090"/>
      <c r="B1114" s="1448">
        <v>864</v>
      </c>
      <c r="C1114" s="1094">
        <v>0.99229253390389194</v>
      </c>
      <c r="D1114" s="1094">
        <v>0.983497466489195</v>
      </c>
      <c r="E1114" s="1094">
        <v>0.99758817455399162</v>
      </c>
      <c r="F1114" s="1094">
        <v>0.97864797677448268</v>
      </c>
      <c r="G1114" s="1094">
        <v>0.97394847497081283</v>
      </c>
      <c r="H1114" s="1094">
        <v>1.0128482439921782</v>
      </c>
      <c r="I1114" s="1094">
        <v>1.0144470759189534</v>
      </c>
      <c r="K1114">
        <v>4.4017815021674549</v>
      </c>
      <c r="L1114">
        <v>0</v>
      </c>
      <c r="M1114">
        <v>1.4786960426939107E-3</v>
      </c>
      <c r="N1114">
        <v>0.12705289634845135</v>
      </c>
      <c r="O1114">
        <v>3.813295968398276E-2</v>
      </c>
      <c r="P1114">
        <v>1.8735645671345169E-2</v>
      </c>
      <c r="Q1114">
        <v>1.3197516316637357E-3</v>
      </c>
      <c r="R1114">
        <v>1.4725775309399418E-3</v>
      </c>
      <c r="S1114">
        <v>0.23525439875446019</v>
      </c>
      <c r="T1114">
        <v>3.8814146646859462</v>
      </c>
      <c r="U1114">
        <v>0</v>
      </c>
      <c r="V1114">
        <v>9.4523053561131852E-3</v>
      </c>
      <c r="W1114">
        <v>7.5803658673661706E-2</v>
      </c>
      <c r="X1114">
        <v>1.0459723345172423E-2</v>
      </c>
      <c r="Y1114">
        <v>4.1616165284123199E-3</v>
      </c>
    </row>
    <row r="1115" spans="1:25" x14ac:dyDescent="0.25">
      <c r="A1115" s="1090"/>
      <c r="B1115" s="1448">
        <v>865</v>
      </c>
      <c r="C1115" s="1094">
        <v>0.98420450790333858</v>
      </c>
      <c r="D1115" s="1094">
        <v>1.016125975360719</v>
      </c>
      <c r="E1115" s="1094">
        <v>1.0066853696566358</v>
      </c>
      <c r="F1115" s="1094">
        <v>1.0336712926284783</v>
      </c>
      <c r="G1115" s="1094">
        <v>0.98960725200774924</v>
      </c>
      <c r="H1115" s="1094">
        <v>1.0139695270152143</v>
      </c>
      <c r="I1115" s="1094">
        <v>0.95885201121847485</v>
      </c>
      <c r="K1115">
        <v>4.6305148666494409</v>
      </c>
      <c r="L1115">
        <v>0</v>
      </c>
      <c r="M1115">
        <v>1.5260900259188796E-3</v>
      </c>
      <c r="N1115">
        <v>0.13473727801240598</v>
      </c>
      <c r="O1115">
        <v>4.0016031628168428E-2</v>
      </c>
      <c r="P1115">
        <v>1.9836942415007559E-2</v>
      </c>
      <c r="Q1115">
        <v>1.3236046241773957E-3</v>
      </c>
      <c r="R1115">
        <v>1.5201168203372644E-3</v>
      </c>
      <c r="S1115">
        <v>0.23046223128509594</v>
      </c>
      <c r="T1115">
        <v>4.0992848583108659</v>
      </c>
      <c r="U1115">
        <v>0</v>
      </c>
      <c r="V1115">
        <v>9.4523053561131852E-3</v>
      </c>
      <c r="W1115">
        <v>7.9896350713373018E-2</v>
      </c>
      <c r="X1115">
        <v>1.1215271320114588E-2</v>
      </c>
      <c r="Y1115">
        <v>4.2959661897022028E-3</v>
      </c>
    </row>
    <row r="1116" spans="1:25" x14ac:dyDescent="0.25">
      <c r="A1116" s="1090"/>
      <c r="B1116" s="1448">
        <v>866</v>
      </c>
      <c r="C1116" s="1094">
        <v>1.02202999778029</v>
      </c>
      <c r="D1116" s="1094">
        <v>1.0250860955675734</v>
      </c>
      <c r="E1116" s="1094">
        <v>0.98433475797077186</v>
      </c>
      <c r="F1116" s="1094">
        <v>1.0308958071925167</v>
      </c>
      <c r="G1116" s="1094">
        <v>0.98701817823238724</v>
      </c>
      <c r="H1116" s="1094">
        <v>1.0230991867058608</v>
      </c>
      <c r="I1116" s="1094">
        <v>1.0016769418460616</v>
      </c>
      <c r="K1116">
        <v>4.6085080413118007</v>
      </c>
      <c r="L1116">
        <v>0</v>
      </c>
      <c r="M1116">
        <v>1.5446637634713878E-3</v>
      </c>
      <c r="N1116">
        <v>0.12763857845669649</v>
      </c>
      <c r="O1116">
        <v>3.8449993890440279E-2</v>
      </c>
      <c r="P1116">
        <v>1.9467126075727068E-2</v>
      </c>
      <c r="Q1116">
        <v>1.2459825999836559E-3</v>
      </c>
      <c r="R1116">
        <v>1.5386557420560842E-3</v>
      </c>
      <c r="S1116">
        <v>0.23150866058934319</v>
      </c>
      <c r="T1116">
        <v>4.089157319936799</v>
      </c>
      <c r="U1116">
        <v>0</v>
      </c>
      <c r="V1116">
        <v>9.4523053561131852E-3</v>
      </c>
      <c r="W1116">
        <v>7.6842553459594121E-2</v>
      </c>
      <c r="X1116">
        <v>1.0403170370661583E-2</v>
      </c>
      <c r="Y1116">
        <v>4.3483585978593038E-3</v>
      </c>
    </row>
    <row r="1117" spans="1:25" x14ac:dyDescent="0.25">
      <c r="A1117" s="1090"/>
      <c r="B1117" s="1448">
        <v>867</v>
      </c>
      <c r="C1117" s="1094">
        <v>0.97962730542817522</v>
      </c>
      <c r="D1117" s="1094">
        <v>1.0040839429680211</v>
      </c>
      <c r="E1117" s="1094">
        <v>1.0206838356480432</v>
      </c>
      <c r="F1117" s="1094">
        <v>1.0221953176363179</v>
      </c>
      <c r="G1117" s="1094">
        <v>1.0144723022934607</v>
      </c>
      <c r="H1117" s="1094">
        <v>1.0005285763312992</v>
      </c>
      <c r="I1117" s="1094">
        <v>0.97995825615286347</v>
      </c>
      <c r="K1117">
        <v>4.5872277810247324</v>
      </c>
      <c r="L1117">
        <v>0</v>
      </c>
      <c r="M1117">
        <v>1.4595576030797799E-3</v>
      </c>
      <c r="N1117">
        <v>0.13430171373602992</v>
      </c>
      <c r="O1117">
        <v>3.984636909314531E-2</v>
      </c>
      <c r="P1117">
        <v>1.984896643440803E-2</v>
      </c>
      <c r="Q1117">
        <v>1.3521315621820057E-3</v>
      </c>
      <c r="R1117">
        <v>1.4537033273708322E-3</v>
      </c>
      <c r="S1117">
        <v>0.23462968279776514</v>
      </c>
      <c r="T1117">
        <v>4.0532327289532066</v>
      </c>
      <c r="U1117">
        <v>0</v>
      </c>
      <c r="V1117">
        <v>9.4523053561131904E-3</v>
      </c>
      <c r="W1117">
        <v>7.8895034547524029E-2</v>
      </c>
      <c r="X1117">
        <v>1.1566426231915611E-2</v>
      </c>
      <c r="Y1117">
        <v>4.1082765881487408E-3</v>
      </c>
    </row>
    <row r="1118" spans="1:25" x14ac:dyDescent="0.25">
      <c r="A1118" s="1090"/>
      <c r="B1118" s="1448">
        <v>868</v>
      </c>
      <c r="C1118" s="1094">
        <v>1.0096328853471743</v>
      </c>
      <c r="D1118" s="1094">
        <v>1.0017400690124183</v>
      </c>
      <c r="E1118" s="1094">
        <v>1.0049290422022541</v>
      </c>
      <c r="F1118" s="1094">
        <v>0.99231175603612842</v>
      </c>
      <c r="G1118" s="1094">
        <v>0.98053524654063773</v>
      </c>
      <c r="H1118" s="1094">
        <v>0.99629875302412352</v>
      </c>
      <c r="I1118" s="1094">
        <v>0.9684112658921421</v>
      </c>
      <c r="K1118">
        <v>4.4360623544066877</v>
      </c>
      <c r="L1118">
        <v>0</v>
      </c>
      <c r="M1118">
        <v>1.4167361749690183E-3</v>
      </c>
      <c r="N1118">
        <v>0.12440423375091929</v>
      </c>
      <c r="O1118">
        <v>3.7673437176104566E-2</v>
      </c>
      <c r="P1118">
        <v>1.9016378359811178E-2</v>
      </c>
      <c r="Q1118">
        <v>1.2957041174566405E-3</v>
      </c>
      <c r="R1118">
        <v>1.4108583845982106E-3</v>
      </c>
      <c r="S1118">
        <v>0.22034454897270978</v>
      </c>
      <c r="T1118">
        <v>3.935329338321258</v>
      </c>
      <c r="U1118">
        <v>0</v>
      </c>
      <c r="V1118">
        <v>9.4523053561131817E-3</v>
      </c>
      <c r="W1118">
        <v>7.3856349963139931E-2</v>
      </c>
      <c r="X1118">
        <v>1.0708742670730718E-2</v>
      </c>
      <c r="Y1118">
        <v>3.9871935088166719E-3</v>
      </c>
    </row>
    <row r="1119" spans="1:25" x14ac:dyDescent="0.25">
      <c r="A1119" s="1090"/>
      <c r="B1119" s="1448">
        <v>869</v>
      </c>
      <c r="C1119" s="1094">
        <v>0.98443489964067299</v>
      </c>
      <c r="D1119" s="1094">
        <v>0.99695744748317139</v>
      </c>
      <c r="E1119" s="1094">
        <v>0.99182675372160256</v>
      </c>
      <c r="F1119" s="1094">
        <v>1.0112997361304854</v>
      </c>
      <c r="G1119" s="1094">
        <v>1.0066014325810799</v>
      </c>
      <c r="H1119" s="1094">
        <v>0.97832885059820962</v>
      </c>
      <c r="I1119" s="1094">
        <v>1.0089207434745164</v>
      </c>
      <c r="K1119">
        <v>4.535325751743386</v>
      </c>
      <c r="L1119">
        <v>0</v>
      </c>
      <c r="M1119">
        <v>1.4975123678332646E-3</v>
      </c>
      <c r="N1119">
        <v>0.12648988119592788</v>
      </c>
      <c r="O1119">
        <v>3.9545036101903241E-2</v>
      </c>
      <c r="P1119">
        <v>1.9251219652186499E-2</v>
      </c>
      <c r="Q1119">
        <v>1.3165335056393767E-3</v>
      </c>
      <c r="R1119">
        <v>1.4913036460019818E-3</v>
      </c>
      <c r="S1119">
        <v>0.23740565601011657</v>
      </c>
      <c r="T1119">
        <v>4.0111372247359078</v>
      </c>
      <c r="U1119">
        <v>0</v>
      </c>
      <c r="V1119">
        <v>9.4523053561131783E-3</v>
      </c>
      <c r="W1119">
        <v>7.5763252867347558E-2</v>
      </c>
      <c r="X1119">
        <v>1.075631308082875E-2</v>
      </c>
      <c r="Y1119">
        <v>4.2145379592488964E-3</v>
      </c>
    </row>
    <row r="1120" spans="1:25" x14ac:dyDescent="0.25">
      <c r="A1120" s="1090"/>
      <c r="B1120" s="1448">
        <v>870</v>
      </c>
      <c r="C1120" s="1094">
        <v>1.0350903482777489</v>
      </c>
      <c r="D1120" s="1094">
        <v>0.99604352557247089</v>
      </c>
      <c r="E1120" s="1094">
        <v>0.95243966580983674</v>
      </c>
      <c r="F1120" s="1094">
        <v>0.99793777632211889</v>
      </c>
      <c r="G1120" s="1094">
        <v>1.0079593303421301</v>
      </c>
      <c r="H1120" s="1094">
        <v>1.0086691330249653</v>
      </c>
      <c r="I1120" s="1094">
        <v>1.0220362135454419</v>
      </c>
      <c r="K1120">
        <v>4.4600480866873795</v>
      </c>
      <c r="L1120">
        <v>0</v>
      </c>
      <c r="M1120">
        <v>1.5743963528129447E-3</v>
      </c>
      <c r="N1120">
        <v>0.1183156856509143</v>
      </c>
      <c r="O1120">
        <v>3.7386338236651905E-2</v>
      </c>
      <c r="P1120">
        <v>1.8417618684158168E-2</v>
      </c>
      <c r="Q1120">
        <v>1.2102537330808307E-3</v>
      </c>
      <c r="R1120">
        <v>1.5679807889162564E-3</v>
      </c>
      <c r="S1120">
        <v>0.22901333951838573</v>
      </c>
      <c r="T1120">
        <v>3.9596565457437252</v>
      </c>
      <c r="U1120">
        <v>0</v>
      </c>
      <c r="V1120">
        <v>9.4523053561131835E-3</v>
      </c>
      <c r="W1120">
        <v>7.2816251666549051E-2</v>
      </c>
      <c r="X1120">
        <v>9.3549302425513844E-3</v>
      </c>
      <c r="Y1120">
        <v>4.4312334191475662E-3</v>
      </c>
    </row>
    <row r="1121" spans="1:25" x14ac:dyDescent="0.25">
      <c r="A1121" s="1090"/>
      <c r="B1121" s="1448">
        <v>871</v>
      </c>
      <c r="C1121" s="1094">
        <v>1.0205967200602506</v>
      </c>
      <c r="D1121" s="1094">
        <v>1.0216554861288154</v>
      </c>
      <c r="E1121" s="1094">
        <v>0.99951620379061501</v>
      </c>
      <c r="F1121" s="1094">
        <v>1.0042479944034761</v>
      </c>
      <c r="G1121" s="1094">
        <v>0.96208445449319657</v>
      </c>
      <c r="H1121" s="1094">
        <v>0.96041283162966895</v>
      </c>
      <c r="I1121" s="1094">
        <v>1.0021443975821049</v>
      </c>
      <c r="K1121">
        <v>4.4773905760414268</v>
      </c>
      <c r="L1121">
        <v>0</v>
      </c>
      <c r="M1121">
        <v>1.3720522515266393E-3</v>
      </c>
      <c r="N1121">
        <v>0.118551581572752</v>
      </c>
      <c r="O1121">
        <v>3.7457463840451628E-2</v>
      </c>
      <c r="P1121">
        <v>1.9170059146636203E-2</v>
      </c>
      <c r="Q1121">
        <v>1.2658538131285237E-3</v>
      </c>
      <c r="R1121">
        <v>1.3662170495368417E-3</v>
      </c>
      <c r="S1121">
        <v>0.22339835910567629</v>
      </c>
      <c r="T1121">
        <v>3.9828730813484081</v>
      </c>
      <c r="U1121">
        <v>0</v>
      </c>
      <c r="V1121">
        <v>9.4523053561131939E-3</v>
      </c>
      <c r="W1121">
        <v>7.0639312196492693E-2</v>
      </c>
      <c r="X1121">
        <v>1.0727361176027692E-2</v>
      </c>
      <c r="Y1121">
        <v>3.8610336877285402E-3</v>
      </c>
    </row>
    <row r="1122" spans="1:25" x14ac:dyDescent="0.25">
      <c r="A1122" s="1090"/>
      <c r="B1122" s="1448">
        <v>872</v>
      </c>
      <c r="C1122" s="1094">
        <v>1.0075093210008954</v>
      </c>
      <c r="D1122" s="1094">
        <v>1.0036447734836573</v>
      </c>
      <c r="E1122" s="1094">
        <v>1.0383076221853396</v>
      </c>
      <c r="F1122" s="1094">
        <v>1.0359319972446523</v>
      </c>
      <c r="G1122" s="1094">
        <v>1.0093118563378636</v>
      </c>
      <c r="H1122" s="1094">
        <v>1.0208649880438214</v>
      </c>
      <c r="I1122" s="1094">
        <v>1.0351123476710842</v>
      </c>
      <c r="K1122">
        <v>4.6548799355411852</v>
      </c>
      <c r="L1122">
        <v>0</v>
      </c>
      <c r="M1122">
        <v>1.4139412494524285E-3</v>
      </c>
      <c r="N1122">
        <v>0.13708122591644459</v>
      </c>
      <c r="O1122">
        <v>3.914642212893589E-2</v>
      </c>
      <c r="P1122">
        <v>2.0404005954895194E-2</v>
      </c>
      <c r="Q1122">
        <v>1.3345806939199104E-3</v>
      </c>
      <c r="R1122">
        <v>1.4084563302332075E-3</v>
      </c>
      <c r="S1122">
        <v>0.24485250066128122</v>
      </c>
      <c r="T1122">
        <v>4.1070165607108233</v>
      </c>
      <c r="U1122">
        <v>0</v>
      </c>
      <c r="V1122">
        <v>9.4523053561131939E-3</v>
      </c>
      <c r="W1122">
        <v>7.9593040858105188E-2</v>
      </c>
      <c r="X1122">
        <v>1.2024373060090719E-2</v>
      </c>
      <c r="Y1122">
        <v>3.9804051197929987E-3</v>
      </c>
    </row>
    <row r="1123" spans="1:25" x14ac:dyDescent="0.25">
      <c r="A1123" s="1090"/>
      <c r="B1123" s="1448">
        <v>873</v>
      </c>
      <c r="C1123" s="1094">
        <v>1.0085285969115225</v>
      </c>
      <c r="D1123" s="1094">
        <v>1.0154357618213221</v>
      </c>
      <c r="E1123" s="1094">
        <v>1.0051205869528939</v>
      </c>
      <c r="F1123" s="1094">
        <v>1.0434133119372326</v>
      </c>
      <c r="G1123" s="1094">
        <v>1.0091453396580525</v>
      </c>
      <c r="H1123" s="1094">
        <v>1.0220085076766661</v>
      </c>
      <c r="I1123" s="1094">
        <v>0.9768992461280358</v>
      </c>
      <c r="K1123">
        <v>4.6678262473139451</v>
      </c>
      <c r="L1123">
        <v>0</v>
      </c>
      <c r="M1123">
        <v>1.5206007598431879E-3</v>
      </c>
      <c r="N1123">
        <v>0.13364087392260962</v>
      </c>
      <c r="O1123">
        <v>3.9440724725295299E-2</v>
      </c>
      <c r="P1123">
        <v>1.9994370441633474E-2</v>
      </c>
      <c r="Q1123">
        <v>1.2903074718806312E-3</v>
      </c>
      <c r="R1123">
        <v>1.5147507704506274E-3</v>
      </c>
      <c r="S1123">
        <v>0.23127840816590745</v>
      </c>
      <c r="T1123">
        <v>4.1379812944176599</v>
      </c>
      <c r="U1123">
        <v>0</v>
      </c>
      <c r="V1123">
        <v>9.4523053561131991E-3</v>
      </c>
      <c r="W1123">
        <v>7.9329726036080961E-2</v>
      </c>
      <c r="X1123">
        <v>1.1143285443107847E-2</v>
      </c>
      <c r="Y1123">
        <v>4.2808013230440376E-3</v>
      </c>
    </row>
    <row r="1124" spans="1:25" x14ac:dyDescent="0.25">
      <c r="A1124" s="1090"/>
      <c r="B1124" s="1448">
        <v>874</v>
      </c>
      <c r="C1124" s="1094">
        <v>1.0210921205480941</v>
      </c>
      <c r="D1124" s="1094">
        <v>1.0001522826573153</v>
      </c>
      <c r="E1124" s="1094">
        <v>0.95658494665535276</v>
      </c>
      <c r="F1124" s="1094">
        <v>0.97431161342887207</v>
      </c>
      <c r="G1124" s="1094">
        <v>1.0156009064456872</v>
      </c>
      <c r="H1124" s="1094">
        <v>1.0046345057219244</v>
      </c>
      <c r="I1124" s="1094">
        <v>1.0135826629812403</v>
      </c>
      <c r="K1124">
        <v>4.3595568206463948</v>
      </c>
      <c r="L1124">
        <v>0</v>
      </c>
      <c r="M1124">
        <v>1.5361922739703527E-3</v>
      </c>
      <c r="N1124">
        <v>0.11686266380313967</v>
      </c>
      <c r="O1124">
        <v>3.6913805717485315E-2</v>
      </c>
      <c r="P1124">
        <v>1.8050324057313279E-2</v>
      </c>
      <c r="Q1124">
        <v>1.2293146222712506E-3</v>
      </c>
      <c r="R1124">
        <v>1.5297554849227125E-3</v>
      </c>
      <c r="S1124">
        <v>0.22596664929442528</v>
      </c>
      <c r="T1124">
        <v>3.8657545317615094</v>
      </c>
      <c r="U1124">
        <v>0</v>
      </c>
      <c r="V1124">
        <v>9.4523053561131939E-3</v>
      </c>
      <c r="W1124">
        <v>7.1714447932630307E-2</v>
      </c>
      <c r="X1124">
        <v>9.2960090988551715E-3</v>
      </c>
      <c r="Y1124">
        <v>4.3232057916979087E-3</v>
      </c>
    </row>
    <row r="1125" spans="1:25" x14ac:dyDescent="0.25">
      <c r="A1125" s="1090"/>
      <c r="B1125" s="1448">
        <v>875</v>
      </c>
      <c r="C1125" s="1094">
        <v>1.0219563411490036</v>
      </c>
      <c r="D1125" s="1094">
        <v>0.98331579103862676</v>
      </c>
      <c r="E1125" s="1094">
        <v>1.0074449165035344</v>
      </c>
      <c r="F1125" s="1094">
        <v>1.0106902245516518</v>
      </c>
      <c r="G1125" s="1094">
        <v>1.0093391922194852</v>
      </c>
      <c r="H1125" s="1094">
        <v>1.0027237071267479</v>
      </c>
      <c r="I1125" s="1094">
        <v>0.99099887395081243</v>
      </c>
      <c r="K1125">
        <v>4.5213142289055188</v>
      </c>
      <c r="L1125">
        <v>0</v>
      </c>
      <c r="M1125">
        <v>1.4377081107988352E-3</v>
      </c>
      <c r="N1125">
        <v>0.12720289296004292</v>
      </c>
      <c r="O1125">
        <v>3.8173793233336417E-2</v>
      </c>
      <c r="P1125">
        <v>1.9416620509818773E-2</v>
      </c>
      <c r="Q1125">
        <v>1.2923928237970827E-3</v>
      </c>
      <c r="R1125">
        <v>1.4318888629879167E-3</v>
      </c>
      <c r="S1125">
        <v>0.22729755876247965</v>
      </c>
      <c r="T1125">
        <v>4.0081184902294087</v>
      </c>
      <c r="U1125">
        <v>0</v>
      </c>
      <c r="V1125">
        <v>9.4523053561131887E-3</v>
      </c>
      <c r="W1125">
        <v>7.5390092999508634E-2</v>
      </c>
      <c r="X1125">
        <v>1.092927403247816E-2</v>
      </c>
      <c r="Y1125">
        <v>4.0466272463470518E-3</v>
      </c>
    </row>
    <row r="1126" spans="1:25" x14ac:dyDescent="0.25">
      <c r="A1126" s="1090"/>
      <c r="B1126" s="1448">
        <v>876</v>
      </c>
      <c r="C1126" s="1094">
        <v>0.9964924025489742</v>
      </c>
      <c r="D1126" s="1094">
        <v>1.0314628652360085</v>
      </c>
      <c r="E1126" s="1094">
        <v>0.97296200243930586</v>
      </c>
      <c r="F1126" s="1094">
        <v>0.97065344948972754</v>
      </c>
      <c r="G1126" s="1094">
        <v>0.96766137588102963</v>
      </c>
      <c r="H1126" s="1094">
        <v>0.96347582016918354</v>
      </c>
      <c r="I1126" s="1094">
        <v>1.048638062364748</v>
      </c>
      <c r="K1126">
        <v>4.3483124263872037</v>
      </c>
      <c r="L1126">
        <v>0</v>
      </c>
      <c r="M1126">
        <v>1.4354651947740171E-3</v>
      </c>
      <c r="N1126">
        <v>0.11462167609455606</v>
      </c>
      <c r="O1126">
        <v>3.7113752662210994E-2</v>
      </c>
      <c r="P1126">
        <v>1.8245658515810923E-2</v>
      </c>
      <c r="Q1126">
        <v>1.2622148982646209E-3</v>
      </c>
      <c r="R1126">
        <v>1.4291699818450099E-3</v>
      </c>
      <c r="S1126">
        <v>0.23356455195260703</v>
      </c>
      <c r="T1126">
        <v>3.8506243859799909</v>
      </c>
      <c r="U1126">
        <v>0</v>
      </c>
      <c r="V1126">
        <v>9.4523053561131817E-3</v>
      </c>
      <c r="W1126">
        <v>6.9546242091442764E-2</v>
      </c>
      <c r="X1126">
        <v>9.8489905684775343E-3</v>
      </c>
      <c r="Y1126">
        <v>4.0389434806604408E-3</v>
      </c>
    </row>
    <row r="1127" spans="1:25" x14ac:dyDescent="0.25">
      <c r="A1127" s="1090"/>
      <c r="B1127" s="1448">
        <v>877</v>
      </c>
      <c r="C1127" s="1094">
        <v>1.0053291184886985</v>
      </c>
      <c r="D1127" s="1094">
        <v>0.9972816766814141</v>
      </c>
      <c r="E1127" s="1094">
        <v>1.0101228395308948</v>
      </c>
      <c r="F1127" s="1094">
        <v>1.0145705967185685</v>
      </c>
      <c r="G1127" s="1094">
        <v>0.98539794057440477</v>
      </c>
      <c r="H1127" s="1094">
        <v>1.0047562089356254</v>
      </c>
      <c r="I1127" s="1094">
        <v>0.97198984141829137</v>
      </c>
      <c r="K1127">
        <v>4.5402837840108621</v>
      </c>
      <c r="L1127">
        <v>0</v>
      </c>
      <c r="M1127">
        <v>1.4535475061356331E-3</v>
      </c>
      <c r="N1127">
        <v>0.12963118242263094</v>
      </c>
      <c r="O1127">
        <v>3.8716408998290895E-2</v>
      </c>
      <c r="P1127">
        <v>1.9521029349620536E-2</v>
      </c>
      <c r="Q1127">
        <v>1.309362417211273E-3</v>
      </c>
      <c r="R1127">
        <v>1.447698413782888E-3</v>
      </c>
      <c r="S1127">
        <v>0.22639640191067947</v>
      </c>
      <c r="T1127">
        <v>4.0234039571153524</v>
      </c>
      <c r="U1127">
        <v>0</v>
      </c>
      <c r="V1127">
        <v>9.4523053561131869E-3</v>
      </c>
      <c r="W1127">
        <v>7.6691175052792368E-2</v>
      </c>
      <c r="X1127">
        <v>1.1076504236628841E-2</v>
      </c>
      <c r="Y1127">
        <v>4.0913062438957459E-3</v>
      </c>
    </row>
    <row r="1128" spans="1:25" x14ac:dyDescent="0.25">
      <c r="A1128" s="1090"/>
      <c r="B1128" s="1448">
        <v>878</v>
      </c>
      <c r="C1128" s="1094">
        <v>1.0051547785494415</v>
      </c>
      <c r="D1128" s="1094">
        <v>1.0171959474862446</v>
      </c>
      <c r="E1128" s="1094">
        <v>0.9841729428346575</v>
      </c>
      <c r="F1128" s="1094">
        <v>1.0010878130517569</v>
      </c>
      <c r="G1128" s="1094">
        <v>0.99639498690425254</v>
      </c>
      <c r="H1128" s="1094">
        <v>1.0278241861093333</v>
      </c>
      <c r="I1128" s="1094">
        <v>1.0140134903349192</v>
      </c>
      <c r="K1128">
        <v>4.4910838530965682</v>
      </c>
      <c r="L1128">
        <v>0</v>
      </c>
      <c r="M1128">
        <v>1.5376749163941489E-3</v>
      </c>
      <c r="N1128">
        <v>0.12698774225147774</v>
      </c>
      <c r="O1128">
        <v>3.8083702755803854E-2</v>
      </c>
      <c r="P1128">
        <v>1.8946516454974791E-2</v>
      </c>
      <c r="Q1128">
        <v>1.2706447071861025E-3</v>
      </c>
      <c r="R1128">
        <v>1.5315450346980006E-3</v>
      </c>
      <c r="S1128">
        <v>0.23445322266026536</v>
      </c>
      <c r="T1128">
        <v>3.970926972759111</v>
      </c>
      <c r="U1128">
        <v>0</v>
      </c>
      <c r="V1128">
        <v>9.4523053561131869E-3</v>
      </c>
      <c r="W1128">
        <v>7.6459180626252024E-2</v>
      </c>
      <c r="X1128">
        <v>1.018143221109097E-2</v>
      </c>
      <c r="Y1128">
        <v>4.328263195988535E-3</v>
      </c>
    </row>
    <row r="1129" spans="1:25" x14ac:dyDescent="0.25">
      <c r="A1129" s="1090"/>
      <c r="B1129" s="1448">
        <v>879</v>
      </c>
      <c r="C1129" s="1094">
        <v>0.99066049827526392</v>
      </c>
      <c r="D1129" s="1094">
        <v>1.036065909478042</v>
      </c>
      <c r="E1129" s="1094">
        <v>1.0248300939932069</v>
      </c>
      <c r="F1129" s="1094">
        <v>0.96929787269987233</v>
      </c>
      <c r="G1129" s="1094">
        <v>0.97752749024368502</v>
      </c>
      <c r="H1129" s="1094">
        <v>0.98362586971135413</v>
      </c>
      <c r="I1129" s="1094">
        <v>1.0014920490755173</v>
      </c>
      <c r="K1129">
        <v>4.344509897865322</v>
      </c>
      <c r="L1129">
        <v>0</v>
      </c>
      <c r="M1129">
        <v>1.3174190811023484E-3</v>
      </c>
      <c r="N1129">
        <v>0.12268287244310727</v>
      </c>
      <c r="O1129">
        <v>3.6870309916798724E-2</v>
      </c>
      <c r="P1129">
        <v>1.8893671710963268E-2</v>
      </c>
      <c r="Q1129">
        <v>1.3250405207492267E-3</v>
      </c>
      <c r="R1129">
        <v>1.3117520321941532E-3</v>
      </c>
      <c r="S1129">
        <v>0.22534195563000065</v>
      </c>
      <c r="T1129">
        <v>3.8433312097406356</v>
      </c>
      <c r="U1129">
        <v>0</v>
      </c>
      <c r="V1129">
        <v>9.4523053561131939E-3</v>
      </c>
      <c r="W1129">
        <v>7.1870985820822644E-2</v>
      </c>
      <c r="X1129">
        <v>1.1040102384525421E-2</v>
      </c>
      <c r="Y1129">
        <v>3.7071113905107369E-3</v>
      </c>
    </row>
    <row r="1130" spans="1:25" x14ac:dyDescent="0.25">
      <c r="A1130" s="1090"/>
      <c r="B1130" s="1448">
        <v>880</v>
      </c>
      <c r="C1130" s="1094">
        <v>1.0188445276549565</v>
      </c>
      <c r="D1130" s="1094">
        <v>0.99289796104805639</v>
      </c>
      <c r="E1130" s="1094">
        <v>1.0266390120487245</v>
      </c>
      <c r="F1130" s="1094">
        <v>1.0224752270675379</v>
      </c>
      <c r="G1130" s="1094">
        <v>1.024243664265768</v>
      </c>
      <c r="H1130" s="1094">
        <v>0.99539351340188309</v>
      </c>
      <c r="I1130" s="1094">
        <v>0.99058309737968042</v>
      </c>
      <c r="K1130">
        <v>4.5728117071059211</v>
      </c>
      <c r="L1130">
        <v>0</v>
      </c>
      <c r="M1130">
        <v>1.3852810644976773E-3</v>
      </c>
      <c r="N1130">
        <v>0.12972968802925727</v>
      </c>
      <c r="O1130">
        <v>3.8453926026400097E-2</v>
      </c>
      <c r="P1130">
        <v>1.9910903834274317E-2</v>
      </c>
      <c r="Q1130">
        <v>1.3125068351215467E-3</v>
      </c>
      <c r="R1130">
        <v>1.379697570022161E-3</v>
      </c>
      <c r="S1130">
        <v>0.22846737539134615</v>
      </c>
      <c r="T1130">
        <v>4.0541134502856329</v>
      </c>
      <c r="U1130">
        <v>0</v>
      </c>
      <c r="V1130">
        <v>9.4523053561131939E-3</v>
      </c>
      <c r="W1130">
        <v>7.5907944668662658E-2</v>
      </c>
      <c r="X1130">
        <v>1.1570059505775915E-2</v>
      </c>
      <c r="Y1130">
        <v>3.8991306678091029E-3</v>
      </c>
    </row>
    <row r="1131" spans="1:25" x14ac:dyDescent="0.25">
      <c r="A1131" s="1090"/>
      <c r="B1131" s="1448">
        <v>881</v>
      </c>
      <c r="C1131" s="1094">
        <v>0.96012344250655912</v>
      </c>
      <c r="D1131" s="1094">
        <v>0.99935252654018281</v>
      </c>
      <c r="E1131" s="1094">
        <v>0.972952189101145</v>
      </c>
      <c r="F1131" s="1094">
        <v>1.0186503471901835</v>
      </c>
      <c r="G1131" s="1094">
        <v>0.9960892038697996</v>
      </c>
      <c r="H1131" s="1094">
        <v>1.0290087599733058</v>
      </c>
      <c r="I1131" s="1094">
        <v>1.0248358687379864</v>
      </c>
      <c r="K1131">
        <v>4.5964395481208058</v>
      </c>
      <c r="L1131">
        <v>0</v>
      </c>
      <c r="M1131">
        <v>1.6908114906340973E-3</v>
      </c>
      <c r="N1131">
        <v>0.13507110780315462</v>
      </c>
      <c r="O1131">
        <v>4.0939018905046434E-2</v>
      </c>
      <c r="P1131">
        <v>1.9178432992311638E-2</v>
      </c>
      <c r="Q1131">
        <v>1.3266930591560515E-3</v>
      </c>
      <c r="R1131">
        <v>1.6841945043797595E-3</v>
      </c>
      <c r="S1131">
        <v>0.25246962366097025</v>
      </c>
      <c r="T1131">
        <v>4.0410305491716629</v>
      </c>
      <c r="U1131">
        <v>0</v>
      </c>
      <c r="V1131">
        <v>9.4523053561131817E-3</v>
      </c>
      <c r="W1131">
        <v>8.1954406402282881E-2</v>
      </c>
      <c r="X1131">
        <v>1.0264365504816717E-2</v>
      </c>
      <c r="Y1131">
        <v>4.7596622515448765E-3</v>
      </c>
    </row>
    <row r="1132" spans="1:25" x14ac:dyDescent="0.25">
      <c r="A1132" s="1090"/>
      <c r="B1132" s="1448">
        <v>882</v>
      </c>
      <c r="C1132" s="1094">
        <v>1.0372782343897533</v>
      </c>
      <c r="D1132" s="1094">
        <v>0.98176742919654292</v>
      </c>
      <c r="E1132" s="1094">
        <v>1.017080636952695</v>
      </c>
      <c r="F1132" s="1094">
        <v>1.0005079433393504</v>
      </c>
      <c r="G1132" s="1094">
        <v>1.0163952230547746</v>
      </c>
      <c r="H1132" s="1094">
        <v>1.0095563340480507</v>
      </c>
      <c r="I1132" s="1094">
        <v>0.99814780476676201</v>
      </c>
      <c r="K1132">
        <v>4.4743903433550836</v>
      </c>
      <c r="L1132">
        <v>0</v>
      </c>
      <c r="M1132">
        <v>1.3842734394090177E-3</v>
      </c>
      <c r="N1132">
        <v>0.12601733977008184</v>
      </c>
      <c r="O1132">
        <v>3.7190085642012767E-2</v>
      </c>
      <c r="P1132">
        <v>1.935502508856482E-2</v>
      </c>
      <c r="Q1132">
        <v>1.2845883833155834E-3</v>
      </c>
      <c r="R1132">
        <v>1.3786519897453669E-3</v>
      </c>
      <c r="S1132">
        <v>0.22462948063130209</v>
      </c>
      <c r="T1132">
        <v>3.9673734571939669</v>
      </c>
      <c r="U1132">
        <v>0</v>
      </c>
      <c r="V1132">
        <v>9.4523053561131852E-3</v>
      </c>
      <c r="W1132">
        <v>7.4206616994352909E-2</v>
      </c>
      <c r="X1132">
        <v>1.0990889966915877E-2</v>
      </c>
      <c r="Y1132">
        <v>3.896175778120607E-3</v>
      </c>
    </row>
    <row r="1133" spans="1:25" x14ac:dyDescent="0.25">
      <c r="A1133" s="1090"/>
      <c r="B1133" s="1448">
        <v>883</v>
      </c>
      <c r="C1133" s="1094">
        <v>1.0147454082314935</v>
      </c>
      <c r="D1133" s="1094">
        <v>1.031723047968544</v>
      </c>
      <c r="E1133" s="1094">
        <v>0.9831451504181199</v>
      </c>
      <c r="F1133" s="1094">
        <v>0.99019223434551984</v>
      </c>
      <c r="G1133" s="1094">
        <v>1.0031914187089261</v>
      </c>
      <c r="H1133" s="1094">
        <v>0.95976182878006522</v>
      </c>
      <c r="I1133" s="1094">
        <v>0.96155496962803833</v>
      </c>
      <c r="K1133">
        <v>4.4061126450731809</v>
      </c>
      <c r="L1133">
        <v>0</v>
      </c>
      <c r="M1133">
        <v>1.4019294056994459E-3</v>
      </c>
      <c r="N1133">
        <v>0.11538664948337433</v>
      </c>
      <c r="O1133">
        <v>3.7108921565901003E-2</v>
      </c>
      <c r="P1133">
        <v>1.8640918124712458E-2</v>
      </c>
      <c r="Q1133">
        <v>1.2504030393706211E-3</v>
      </c>
      <c r="R1133">
        <v>1.3958787541048625E-3</v>
      </c>
      <c r="S1133">
        <v>0.21287569902130701</v>
      </c>
      <c r="T1133">
        <v>3.9277475036222644</v>
      </c>
      <c r="U1133">
        <v>0</v>
      </c>
      <c r="V1133">
        <v>9.4523053561131817E-3</v>
      </c>
      <c r="W1133">
        <v>6.9522992513149057E-2</v>
      </c>
      <c r="X1133">
        <v>1.0188443069183175E-2</v>
      </c>
      <c r="Y1133">
        <v>3.9448599294017823E-3</v>
      </c>
    </row>
    <row r="1134" spans="1:25" x14ac:dyDescent="0.25">
      <c r="A1134" s="1090"/>
      <c r="B1134" s="1448">
        <v>884</v>
      </c>
      <c r="C1134" s="1094">
        <v>1.0144053710997534</v>
      </c>
      <c r="D1134" s="1094">
        <v>1.0229258354186512</v>
      </c>
      <c r="E1134" s="1094">
        <v>1.0025523447468261</v>
      </c>
      <c r="F1134" s="1094">
        <v>1.0004196165227959</v>
      </c>
      <c r="G1134" s="1094">
        <v>0.97483700598192924</v>
      </c>
      <c r="H1134" s="1094">
        <v>1.0236503255155527</v>
      </c>
      <c r="I1134" s="1094">
        <v>0.98316003309026478</v>
      </c>
      <c r="K1134">
        <v>4.4765365343788304</v>
      </c>
      <c r="L1134">
        <v>0</v>
      </c>
      <c r="M1134">
        <v>1.4556662594219429E-3</v>
      </c>
      <c r="N1134">
        <v>0.12694425833344483</v>
      </c>
      <c r="O1134">
        <v>3.7503383245565743E-2</v>
      </c>
      <c r="P1134">
        <v>1.9148553700457812E-2</v>
      </c>
      <c r="Q1134">
        <v>1.2762613935223622E-3</v>
      </c>
      <c r="R1134">
        <v>1.4498357651928824E-3</v>
      </c>
      <c r="S1134">
        <v>0.22445983731416982</v>
      </c>
      <c r="T1134">
        <v>3.9675740285501946</v>
      </c>
      <c r="U1134">
        <v>0</v>
      </c>
      <c r="V1134">
        <v>9.4523053561131973E-3</v>
      </c>
      <c r="W1134">
        <v>7.5485164095066573E-2</v>
      </c>
      <c r="X1134">
        <v>1.0601226322361733E-2</v>
      </c>
      <c r="Y1134">
        <v>4.0973465621594509E-3</v>
      </c>
    </row>
    <row r="1135" spans="1:25" x14ac:dyDescent="0.25">
      <c r="A1135" s="1090"/>
      <c r="B1135" s="1448">
        <v>885</v>
      </c>
      <c r="C1135" s="1094">
        <v>0.99861171137001459</v>
      </c>
      <c r="D1135" s="1094">
        <v>1.0145631236210841</v>
      </c>
      <c r="E1135" s="1094">
        <v>0.97663858442120211</v>
      </c>
      <c r="F1135" s="1094">
        <v>1.0285183151439095</v>
      </c>
      <c r="G1135" s="1094">
        <v>0.99139940772567792</v>
      </c>
      <c r="H1135" s="1094">
        <v>1.0008511520849523</v>
      </c>
      <c r="I1135" s="1094">
        <v>1.012491666625885</v>
      </c>
      <c r="K1135">
        <v>4.6065914189840154</v>
      </c>
      <c r="L1135">
        <v>0</v>
      </c>
      <c r="M1135">
        <v>1.5745766598088732E-3</v>
      </c>
      <c r="N1135">
        <v>0.12716053912106892</v>
      </c>
      <c r="O1135">
        <v>3.9477239693616592E-2</v>
      </c>
      <c r="P1135">
        <v>1.9342498984359371E-2</v>
      </c>
      <c r="Q1135">
        <v>1.2719529977789389E-3</v>
      </c>
      <c r="R1135">
        <v>1.5683017380104208E-3</v>
      </c>
      <c r="S1135">
        <v>0.23810109786070366</v>
      </c>
      <c r="T1135">
        <v>4.0800310513975333</v>
      </c>
      <c r="U1135">
        <v>0</v>
      </c>
      <c r="V1135">
        <v>9.4523053561131921E-3</v>
      </c>
      <c r="W1135">
        <v>7.6959355499485654E-2</v>
      </c>
      <c r="X1135">
        <v>1.0369512549362036E-2</v>
      </c>
      <c r="Y1135">
        <v>4.4321404457909807E-3</v>
      </c>
    </row>
    <row r="1136" spans="1:25" x14ac:dyDescent="0.25">
      <c r="A1136" s="1090"/>
      <c r="B1136" s="1448">
        <v>886</v>
      </c>
      <c r="C1136" s="1094">
        <v>0.98399605722403027</v>
      </c>
      <c r="D1136" s="1094">
        <v>1.0042599316296354</v>
      </c>
      <c r="E1136" s="1094">
        <v>1.0086982394384179</v>
      </c>
      <c r="F1136" s="1094">
        <v>1.0061734546337966</v>
      </c>
      <c r="G1136" s="1094">
        <v>0.99982479749453856</v>
      </c>
      <c r="H1136" s="1094">
        <v>0.98453081635876016</v>
      </c>
      <c r="I1136" s="1094">
        <v>1.0362394454999069</v>
      </c>
      <c r="K1136">
        <v>4.5218245654514471</v>
      </c>
      <c r="L1136">
        <v>0</v>
      </c>
      <c r="M1136">
        <v>1.4434823767007601E-3</v>
      </c>
      <c r="N1136">
        <v>0.12817664763545125</v>
      </c>
      <c r="O1136">
        <v>3.9129133798787644E-2</v>
      </c>
      <c r="P1136">
        <v>1.9424624280063224E-2</v>
      </c>
      <c r="Q1136">
        <v>1.3324053792357032E-3</v>
      </c>
      <c r="R1136">
        <v>1.4375051891800184E-3</v>
      </c>
      <c r="S1136">
        <v>0.24307007005246864</v>
      </c>
      <c r="T1136">
        <v>3.9901583949667159</v>
      </c>
      <c r="U1136">
        <v>0</v>
      </c>
      <c r="V1136">
        <v>9.4523053561132026E-3</v>
      </c>
      <c r="W1136">
        <v>7.5903241055483059E-2</v>
      </c>
      <c r="X1136">
        <v>1.1121220701691239E-2</v>
      </c>
      <c r="Y1136">
        <v>4.0624994129521523E-3</v>
      </c>
    </row>
    <row r="1137" spans="1:25" x14ac:dyDescent="0.25">
      <c r="A1137" s="1090"/>
      <c r="B1137" s="1448">
        <v>887</v>
      </c>
      <c r="C1137" s="1094">
        <v>0.97156256980049549</v>
      </c>
      <c r="D1137" s="1094">
        <v>1.014343260415586</v>
      </c>
      <c r="E1137" s="1094">
        <v>1.0005661519020073</v>
      </c>
      <c r="F1137" s="1094">
        <v>0.97454226308536507</v>
      </c>
      <c r="G1137" s="1094">
        <v>1.0040777326218209</v>
      </c>
      <c r="H1137" s="1094">
        <v>1.0224436386984816</v>
      </c>
      <c r="I1137" s="1094">
        <v>1.0199194811216481</v>
      </c>
      <c r="K1137">
        <v>4.3929579891169244</v>
      </c>
      <c r="L1137">
        <v>0</v>
      </c>
      <c r="M1137">
        <v>1.4901732626942589E-3</v>
      </c>
      <c r="N1137">
        <v>0.12917669833447568</v>
      </c>
      <c r="O1137">
        <v>3.8286681363804538E-2</v>
      </c>
      <c r="P1137">
        <v>1.8721356959526796E-2</v>
      </c>
      <c r="Q1137">
        <v>1.3347672475616603E-3</v>
      </c>
      <c r="R1137">
        <v>1.4840395022028762E-3</v>
      </c>
      <c r="S1137">
        <v>0.23935418038397699</v>
      </c>
      <c r="T1137">
        <v>3.8650204313434831</v>
      </c>
      <c r="U1137">
        <v>0</v>
      </c>
      <c r="V1137">
        <v>9.4523053561132008E-3</v>
      </c>
      <c r="W1137">
        <v>7.6915719824652479E-2</v>
      </c>
      <c r="X1137">
        <v>1.0507973129536783E-2</v>
      </c>
      <c r="Y1137">
        <v>4.1940089342814811E-3</v>
      </c>
    </row>
    <row r="1138" spans="1:25" x14ac:dyDescent="0.25">
      <c r="A1138" s="1090"/>
      <c r="B1138" s="1448">
        <v>888</v>
      </c>
      <c r="C1138" s="1094">
        <v>0.98039203576460321</v>
      </c>
      <c r="D1138" s="1094">
        <v>1.0315189713732897</v>
      </c>
      <c r="E1138" s="1094">
        <v>0.99197170121164913</v>
      </c>
      <c r="F1138" s="1094">
        <v>1.0052189876770139</v>
      </c>
      <c r="G1138" s="1094">
        <v>0.99216644505620566</v>
      </c>
      <c r="H1138" s="1094">
        <v>1.0159274711082651</v>
      </c>
      <c r="I1138" s="1094">
        <v>1.0014041647708301</v>
      </c>
      <c r="K1138">
        <v>4.5136618304831027</v>
      </c>
      <c r="L1138">
        <v>0</v>
      </c>
      <c r="M1138">
        <v>1.5306443516981015E-3</v>
      </c>
      <c r="N1138">
        <v>0.12936080598593286</v>
      </c>
      <c r="O1138">
        <v>3.8933955344458711E-2</v>
      </c>
      <c r="P1138">
        <v>1.9138529659093812E-2</v>
      </c>
      <c r="Q1138">
        <v>1.3042268398008364E-3</v>
      </c>
      <c r="R1138">
        <v>1.5244963102111896E-3</v>
      </c>
      <c r="S1138">
        <v>0.23614399926583299</v>
      </c>
      <c r="T1138">
        <v>3.9870134669102821</v>
      </c>
      <c r="U1138">
        <v>0</v>
      </c>
      <c r="V1138">
        <v>9.4523053561131939E-3</v>
      </c>
      <c r="W1138">
        <v>7.7475209598690795E-2</v>
      </c>
      <c r="X1138">
        <v>1.0537136601936937E-2</v>
      </c>
      <c r="Y1138">
        <v>4.3083429624441501E-3</v>
      </c>
    </row>
    <row r="1139" spans="1:25" x14ac:dyDescent="0.25">
      <c r="A1139" s="1090"/>
      <c r="B1139" s="1448">
        <v>889</v>
      </c>
      <c r="C1139" s="1094">
        <v>0.98412064697218182</v>
      </c>
      <c r="D1139" s="1094">
        <v>1.0207238281011179</v>
      </c>
      <c r="E1139" s="1094">
        <v>1.0395890383425912</v>
      </c>
      <c r="F1139" s="1094">
        <v>1.004234958321039</v>
      </c>
      <c r="G1139" s="1094">
        <v>1.0138932099968756</v>
      </c>
      <c r="H1139" s="1094">
        <v>1.0372480053673725</v>
      </c>
      <c r="I1139" s="1094">
        <v>0.98448211976141975</v>
      </c>
      <c r="K1139">
        <v>4.5168436964470686</v>
      </c>
      <c r="L1139">
        <v>0</v>
      </c>
      <c r="M1139">
        <v>1.4125200120519434E-3</v>
      </c>
      <c r="N1139">
        <v>0.13745476302283141</v>
      </c>
      <c r="O1139">
        <v>3.8580232613995555E-2</v>
      </c>
      <c r="P1139">
        <v>1.9780801536273287E-2</v>
      </c>
      <c r="Q1139">
        <v>1.3585624158395186E-3</v>
      </c>
      <c r="R1139">
        <v>1.4069576300295198E-3</v>
      </c>
      <c r="S1139">
        <v>0.23345779068643538</v>
      </c>
      <c r="T1139">
        <v>3.9813036211548058</v>
      </c>
      <c r="U1139">
        <v>0</v>
      </c>
      <c r="V1139">
        <v>9.4523053561131939E-3</v>
      </c>
      <c r="W1139">
        <v>7.9742627464673255E-2</v>
      </c>
      <c r="X1139">
        <v>1.1742384899525339E-2</v>
      </c>
      <c r="Y1139">
        <v>3.9761696785970274E-3</v>
      </c>
    </row>
    <row r="1140" spans="1:25" x14ac:dyDescent="0.25">
      <c r="A1140" s="1090"/>
      <c r="B1140" s="1448">
        <v>890</v>
      </c>
      <c r="C1140" s="1094">
        <v>0.98566769128982634</v>
      </c>
      <c r="D1140" s="1094">
        <v>0.98816001449978708</v>
      </c>
      <c r="E1140" s="1094">
        <v>1.0043546530076175</v>
      </c>
      <c r="F1140" s="1094">
        <v>1.0084263107733809</v>
      </c>
      <c r="G1140" s="1094">
        <v>0.99506140194364456</v>
      </c>
      <c r="H1140" s="1094">
        <v>1.0276291982778276</v>
      </c>
      <c r="I1140" s="1094">
        <v>0.96578818599141991</v>
      </c>
      <c r="K1140">
        <v>4.5288722415438176</v>
      </c>
      <c r="L1140">
        <v>0</v>
      </c>
      <c r="M1140">
        <v>1.5312036665722393E-3</v>
      </c>
      <c r="N1140">
        <v>0.13425279638606699</v>
      </c>
      <c r="O1140">
        <v>3.9434835571558434E-2</v>
      </c>
      <c r="P1140">
        <v>1.9347991769298602E-2</v>
      </c>
      <c r="Q1140">
        <v>1.3338185513349198E-3</v>
      </c>
      <c r="R1140">
        <v>1.525142672255705E-3</v>
      </c>
      <c r="S1140">
        <v>0.23085409805906784</v>
      </c>
      <c r="T1140">
        <v>3.9992587615574924</v>
      </c>
      <c r="U1140">
        <v>0</v>
      </c>
      <c r="V1140">
        <v>9.4523053561131904E-3</v>
      </c>
      <c r="W1140">
        <v>7.9734098858581889E-2</v>
      </c>
      <c r="X1140">
        <v>1.0899426797687316E-2</v>
      </c>
      <c r="Y1140">
        <v>4.3101696309293565E-3</v>
      </c>
    </row>
    <row r="1141" spans="1:25" x14ac:dyDescent="0.25">
      <c r="A1141" s="1090"/>
      <c r="B1141" s="1448">
        <v>891</v>
      </c>
      <c r="C1141" s="1094">
        <v>0.98220069409175659</v>
      </c>
      <c r="D1141" s="1094">
        <v>1.0459921474697242</v>
      </c>
      <c r="E1141" s="1094">
        <v>0.98035854017086155</v>
      </c>
      <c r="F1141" s="1094">
        <v>1.0166675211012737</v>
      </c>
      <c r="G1141" s="1094">
        <v>0.96781973214639527</v>
      </c>
      <c r="H1141" s="1094">
        <v>1.0022871826399626</v>
      </c>
      <c r="I1141" s="1094">
        <v>0.96914624513065839</v>
      </c>
      <c r="K1141">
        <v>4.5479649970781928</v>
      </c>
      <c r="L1141">
        <v>0</v>
      </c>
      <c r="M1141">
        <v>1.5533864390689393E-3</v>
      </c>
      <c r="N1141">
        <v>0.12683668270002318</v>
      </c>
      <c r="O1141">
        <v>3.91672959474752E-2</v>
      </c>
      <c r="P1141">
        <v>1.9140283269963008E-2</v>
      </c>
      <c r="Q1141">
        <v>1.2816558928168908E-3</v>
      </c>
      <c r="R1141">
        <v>1.5471330676595735E-3</v>
      </c>
      <c r="S1141">
        <v>0.22792828806863139</v>
      </c>
      <c r="T1141">
        <v>4.0328745854525527</v>
      </c>
      <c r="U1141">
        <v>0</v>
      </c>
      <c r="V1141">
        <v>9.452305356113206E-3</v>
      </c>
      <c r="W1141">
        <v>7.6567758426433624E-2</v>
      </c>
      <c r="X1141">
        <v>1.0350079168361092E-2</v>
      </c>
      <c r="Y1141">
        <v>4.3723161672279574E-3</v>
      </c>
    </row>
    <row r="1142" spans="1:25" x14ac:dyDescent="0.25">
      <c r="A1142" s="1090"/>
      <c r="B1142" s="1448">
        <v>892</v>
      </c>
      <c r="C1142" s="1094">
        <v>0.97553930124628296</v>
      </c>
      <c r="D1142" s="1094">
        <v>1.0192292763154731</v>
      </c>
      <c r="E1142" s="1094">
        <v>0.98551181250143682</v>
      </c>
      <c r="F1142" s="1094">
        <v>1.0147756121711193</v>
      </c>
      <c r="G1142" s="1094">
        <v>1.0046842420598294</v>
      </c>
      <c r="H1142" s="1094">
        <v>1.0272580569529015</v>
      </c>
      <c r="I1142" s="1094">
        <v>1.0189366714932087</v>
      </c>
      <c r="K1142">
        <v>4.5670783327707234</v>
      </c>
      <c r="L1142">
        <v>0</v>
      </c>
      <c r="M1142">
        <v>1.5992587609541926E-3</v>
      </c>
      <c r="N1142">
        <v>0.13260601011445369</v>
      </c>
      <c r="O1142">
        <v>3.9735147137895659E-2</v>
      </c>
      <c r="P1142">
        <v>1.9256389540593315E-2</v>
      </c>
      <c r="Q1142">
        <v>1.3096901621506387E-3</v>
      </c>
      <c r="R1142">
        <v>1.5929655580496733E-3</v>
      </c>
      <c r="S1142">
        <v>0.24481401197974037</v>
      </c>
      <c r="T1142">
        <v>4.0251690399529858</v>
      </c>
      <c r="U1142">
        <v>0</v>
      </c>
      <c r="V1142">
        <v>9.4523053561131973E-3</v>
      </c>
      <c r="W1142">
        <v>7.9768969024815575E-2</v>
      </c>
      <c r="X1142">
        <v>1.0471220420658641E-2</v>
      </c>
      <c r="Y1142">
        <v>4.5018422842154895E-3</v>
      </c>
    </row>
    <row r="1143" spans="1:25" x14ac:dyDescent="0.25">
      <c r="A1143" s="1090"/>
      <c r="B1143" s="1448">
        <v>893</v>
      </c>
      <c r="C1143" s="1094">
        <v>0.99927659411031011</v>
      </c>
      <c r="D1143" s="1094">
        <v>0.95796961650902024</v>
      </c>
      <c r="E1143" s="1094">
        <v>0.95656852247905866</v>
      </c>
      <c r="F1143" s="1094">
        <v>0.95800697742276952</v>
      </c>
      <c r="G1143" s="1094">
        <v>1.0229981503875039</v>
      </c>
      <c r="H1143" s="1094">
        <v>1.0329363736545527</v>
      </c>
      <c r="I1143" s="1094">
        <v>1.0375209701681392</v>
      </c>
      <c r="K1143">
        <v>4.3183319708910988</v>
      </c>
      <c r="L1143">
        <v>0</v>
      </c>
      <c r="M1143">
        <v>1.6147037299944385E-3</v>
      </c>
      <c r="N1143">
        <v>0.1228349067145065</v>
      </c>
      <c r="O1143">
        <v>3.773339127482811E-2</v>
      </c>
      <c r="P1143">
        <v>1.7822937887782324E-2</v>
      </c>
      <c r="Q1143">
        <v>1.2779731523069105E-3</v>
      </c>
      <c r="R1143">
        <v>1.6080118343181501E-3</v>
      </c>
      <c r="S1143">
        <v>0.23904369247785415</v>
      </c>
      <c r="T1143">
        <v>3.8010636017279644</v>
      </c>
      <c r="U1143">
        <v>0</v>
      </c>
      <c r="V1143">
        <v>9.4523053561132043E-3</v>
      </c>
      <c r="W1143">
        <v>7.5380262284050745E-2</v>
      </c>
      <c r="X1143">
        <v>9.1852277016871535E-3</v>
      </c>
      <c r="Y1143">
        <v>4.5443642096790575E-3</v>
      </c>
    </row>
    <row r="1144" spans="1:25" x14ac:dyDescent="0.25">
      <c r="A1144" s="1090"/>
      <c r="B1144" s="1448">
        <v>894</v>
      </c>
      <c r="C1144" s="1094">
        <v>0.99717397680153874</v>
      </c>
      <c r="D1144" s="1094">
        <v>0.98924128489998708</v>
      </c>
      <c r="E1144" s="1094">
        <v>1.0002880642825742</v>
      </c>
      <c r="F1144" s="1094">
        <v>1.0153811792725025</v>
      </c>
      <c r="G1144" s="1094">
        <v>1.0073546049861808</v>
      </c>
      <c r="H1144" s="1094">
        <v>1.0117346237666414</v>
      </c>
      <c r="I1144" s="1094">
        <v>0.99988101278822894</v>
      </c>
      <c r="K1144">
        <v>4.5566860808836411</v>
      </c>
      <c r="L1144">
        <v>0</v>
      </c>
      <c r="M1144">
        <v>1.5126073078892545E-3</v>
      </c>
      <c r="N1144">
        <v>0.13102960688745113</v>
      </c>
      <c r="O1144">
        <v>3.9260035019513161E-2</v>
      </c>
      <c r="P1144">
        <v>1.9439379371319745E-2</v>
      </c>
      <c r="Q1144">
        <v>1.3132729197244495E-3</v>
      </c>
      <c r="R1144">
        <v>1.5065673474675778E-3</v>
      </c>
      <c r="S1144">
        <v>0.23604110940604206</v>
      </c>
      <c r="T1144">
        <v>4.0269977289967986</v>
      </c>
      <c r="U1144">
        <v>0</v>
      </c>
      <c r="V1144">
        <v>9.4523053561131852E-3</v>
      </c>
      <c r="W1144">
        <v>7.8033658689620783E-2</v>
      </c>
      <c r="X1144">
        <v>1.0867349852560307E-2</v>
      </c>
      <c r="Y1144">
        <v>4.2576743449191509E-3</v>
      </c>
    </row>
    <row r="1145" spans="1:25" x14ac:dyDescent="0.25">
      <c r="A1145" s="1090"/>
      <c r="B1145" s="1448">
        <v>895</v>
      </c>
      <c r="C1145" s="1094">
        <v>1.015969960260608</v>
      </c>
      <c r="D1145" s="1094">
        <v>1.0411252264805024</v>
      </c>
      <c r="E1145" s="1094">
        <v>0.99114695697735922</v>
      </c>
      <c r="F1145" s="1094">
        <v>0.98411618282586233</v>
      </c>
      <c r="G1145" s="1094">
        <v>0.97508627008526505</v>
      </c>
      <c r="H1145" s="1094">
        <v>1.0004747066786353</v>
      </c>
      <c r="I1145" s="1094">
        <v>1.0325962057115887</v>
      </c>
      <c r="K1145">
        <v>4.4050339151657987</v>
      </c>
      <c r="L1145">
        <v>0</v>
      </c>
      <c r="M1145">
        <v>1.4213574703030956E-3</v>
      </c>
      <c r="N1145">
        <v>0.1198132249123699</v>
      </c>
      <c r="O1145">
        <v>3.665107352361785E-2</v>
      </c>
      <c r="P1145">
        <v>1.871994601516214E-2</v>
      </c>
      <c r="Q1145">
        <v>1.253005892370434E-3</v>
      </c>
      <c r="R1145">
        <v>1.4154364205142193E-3</v>
      </c>
      <c r="S1145">
        <v>0.22980561789497264</v>
      </c>
      <c r="T1145">
        <v>3.9033441664216451</v>
      </c>
      <c r="U1145">
        <v>0</v>
      </c>
      <c r="V1145">
        <v>9.4523053561131973E-3</v>
      </c>
      <c r="W1145">
        <v>7.1797328138399244E-2</v>
      </c>
      <c r="X1145">
        <v>1.020303667310137E-2</v>
      </c>
      <c r="Y1145">
        <v>4.0001313878318193E-3</v>
      </c>
    </row>
    <row r="1146" spans="1:25" x14ac:dyDescent="0.25">
      <c r="A1146" s="1090"/>
      <c r="B1146" s="1448">
        <v>896</v>
      </c>
      <c r="C1146" s="1094">
        <v>1.0279127895385705</v>
      </c>
      <c r="D1146" s="1094">
        <v>1.003623641070821</v>
      </c>
      <c r="E1146" s="1094">
        <v>0.99819303027277517</v>
      </c>
      <c r="F1146" s="1094">
        <v>0.97955719310831957</v>
      </c>
      <c r="G1146" s="1094">
        <v>0.97976808702485929</v>
      </c>
      <c r="H1146" s="1094">
        <v>0.98926144650377024</v>
      </c>
      <c r="I1146" s="1094">
        <v>0.97669240495860821</v>
      </c>
      <c r="K1146">
        <v>4.3708856578312139</v>
      </c>
      <c r="L1146">
        <v>0</v>
      </c>
      <c r="M1146">
        <v>1.3824791921388583E-3</v>
      </c>
      <c r="N1146">
        <v>0.11898751469803028</v>
      </c>
      <c r="O1146">
        <v>3.6544435847472613E-2</v>
      </c>
      <c r="P1146">
        <v>1.8671846118336843E-2</v>
      </c>
      <c r="Q1146">
        <v>1.2643928717446854E-3</v>
      </c>
      <c r="R1146">
        <v>1.3766278272582726E-3</v>
      </c>
      <c r="S1146">
        <v>0.21576554960649066</v>
      </c>
      <c r="T1146">
        <v>3.884998120752774</v>
      </c>
      <c r="U1146">
        <v>0</v>
      </c>
      <c r="V1146">
        <v>9.4523053561131852E-3</v>
      </c>
      <c r="W1146">
        <v>7.0962546908957605E-2</v>
      </c>
      <c r="X1146">
        <v>1.0354341695778247E-2</v>
      </c>
      <c r="Y1146">
        <v>3.8904553403945824E-3</v>
      </c>
    </row>
    <row r="1147" spans="1:25" x14ac:dyDescent="0.25">
      <c r="A1147" s="1090"/>
      <c r="B1147" s="1448">
        <v>897</v>
      </c>
      <c r="C1147" s="1094">
        <v>0.96680008549716001</v>
      </c>
      <c r="D1147" s="1094">
        <v>1.0014489288772568</v>
      </c>
      <c r="E1147" s="1094">
        <v>0.99065022396612001</v>
      </c>
      <c r="F1147" s="1094">
        <v>0.99971168625374673</v>
      </c>
      <c r="G1147" s="1094">
        <v>1.0379516089510452</v>
      </c>
      <c r="H1147" s="1094">
        <v>0.99460445567226496</v>
      </c>
      <c r="I1147" s="1094">
        <v>1.0177370121168794</v>
      </c>
      <c r="K1147">
        <v>4.4991383677474559</v>
      </c>
      <c r="L1147">
        <v>0</v>
      </c>
      <c r="M1147">
        <v>1.5335406036126051E-3</v>
      </c>
      <c r="N1147">
        <v>0.12908469792486399</v>
      </c>
      <c r="O1147">
        <v>3.9741788736843857E-2</v>
      </c>
      <c r="P1147">
        <v>1.9051752204427962E-2</v>
      </c>
      <c r="Q1147">
        <v>1.3367832794645481E-3</v>
      </c>
      <c r="R1147">
        <v>1.5272143553516982E-3</v>
      </c>
      <c r="S1147">
        <v>0.2429290063804698</v>
      </c>
      <c r="T1147">
        <v>3.9652203060125264</v>
      </c>
      <c r="U1147">
        <v>0</v>
      </c>
      <c r="V1147">
        <v>9.4523053561131852E-3</v>
      </c>
      <c r="W1147">
        <v>7.7379335730981075E-2</v>
      </c>
      <c r="X1147">
        <v>1.0632694004502135E-2</v>
      </c>
      <c r="Y1147">
        <v>4.3160243655241569E-3</v>
      </c>
    </row>
    <row r="1148" spans="1:25" x14ac:dyDescent="0.25">
      <c r="A1148" s="1090"/>
      <c r="B1148" s="1448">
        <v>898</v>
      </c>
      <c r="C1148" s="1094">
        <v>1.0129330708318613</v>
      </c>
      <c r="D1148" s="1094">
        <v>0.98909159093890886</v>
      </c>
      <c r="E1148" s="1094">
        <v>0.99803127121598478</v>
      </c>
      <c r="F1148" s="1094">
        <v>1.0166399067262768</v>
      </c>
      <c r="G1148" s="1094">
        <v>0.99540467996937809</v>
      </c>
      <c r="H1148" s="1094">
        <v>1.0037570701617353</v>
      </c>
      <c r="I1148" s="1094">
        <v>0.98353242826759091</v>
      </c>
      <c r="K1148">
        <v>4.5482167313459803</v>
      </c>
      <c r="L1148">
        <v>0</v>
      </c>
      <c r="M1148">
        <v>1.4862926420848208E-3</v>
      </c>
      <c r="N1148">
        <v>0.12788855459569481</v>
      </c>
      <c r="O1148">
        <v>3.8715105029099646E-2</v>
      </c>
      <c r="P1148">
        <v>1.9394018960119712E-2</v>
      </c>
      <c r="Q1148">
        <v>1.2904198278927727E-3</v>
      </c>
      <c r="R1148">
        <v>1.4803179662079386E-3</v>
      </c>
      <c r="S1148">
        <v>0.22817285892861283</v>
      </c>
      <c r="T1148">
        <v>4.0320772436449985</v>
      </c>
      <c r="U1148">
        <v>0</v>
      </c>
      <c r="V1148">
        <v>9.4523053561131869E-3</v>
      </c>
      <c r="W1148">
        <v>7.6279356664377906E-2</v>
      </c>
      <c r="X1148">
        <v>1.0769351425516951E-2</v>
      </c>
      <c r="Y1148">
        <v>4.1834915894339558E-3</v>
      </c>
    </row>
    <row r="1149" spans="1:25" x14ac:dyDescent="0.25">
      <c r="A1149" s="1090"/>
      <c r="B1149" s="1448">
        <v>899</v>
      </c>
      <c r="C1149" s="1094">
        <v>0.99731368648009822</v>
      </c>
      <c r="D1149" s="1094">
        <v>0.99134559150319435</v>
      </c>
      <c r="E1149" s="1094">
        <v>1.0198587930019745</v>
      </c>
      <c r="F1149" s="1094">
        <v>0.98893175733788763</v>
      </c>
      <c r="G1149" s="1094">
        <v>0.99972602356783102</v>
      </c>
      <c r="H1149" s="1094">
        <v>0.95243357929641581</v>
      </c>
      <c r="I1149" s="1094">
        <v>1.0164303476096137</v>
      </c>
      <c r="K1149">
        <v>4.4291119585538752</v>
      </c>
      <c r="L1149">
        <v>0</v>
      </c>
      <c r="M1149">
        <v>1.329601485157407E-3</v>
      </c>
      <c r="N1149">
        <v>0.12200337614250473</v>
      </c>
      <c r="O1149">
        <v>3.8065608414085961E-2</v>
      </c>
      <c r="P1149">
        <v>1.9211385832105864E-2</v>
      </c>
      <c r="Q1149">
        <v>1.334021637450268E-3</v>
      </c>
      <c r="R1149">
        <v>1.3238115037789116E-3</v>
      </c>
      <c r="S1149">
        <v>0.23097166405505018</v>
      </c>
      <c r="T1149">
        <v>3.9213660449248975</v>
      </c>
      <c r="U1149">
        <v>0</v>
      </c>
      <c r="V1149">
        <v>9.4523053561131904E-3</v>
      </c>
      <c r="W1149">
        <v>7.1709854082531332E-2</v>
      </c>
      <c r="X1149">
        <v>1.126229571260789E-2</v>
      </c>
      <c r="Y1149">
        <v>3.7411923779063663E-3</v>
      </c>
    </row>
    <row r="1150" spans="1:25" x14ac:dyDescent="0.25">
      <c r="A1150" s="1090"/>
      <c r="B1150" s="1448">
        <v>900</v>
      </c>
      <c r="C1150" s="1094">
        <v>0.98742263973744693</v>
      </c>
      <c r="D1150" s="1094">
        <v>0.97937898700184789</v>
      </c>
      <c r="E1150" s="1094">
        <v>1.0381460325119845</v>
      </c>
      <c r="F1150" s="1094">
        <v>0.98659717536044012</v>
      </c>
      <c r="G1150" s="1094">
        <v>0.98668490432624478</v>
      </c>
      <c r="H1150" s="1094">
        <v>0.96259637369918383</v>
      </c>
      <c r="I1150" s="1094">
        <v>0.99801977013241561</v>
      </c>
      <c r="K1150">
        <v>4.4262642108029926</v>
      </c>
      <c r="L1150">
        <v>0</v>
      </c>
      <c r="M1150">
        <v>1.3090258459215374E-3</v>
      </c>
      <c r="N1150">
        <v>0.12679313883603618</v>
      </c>
      <c r="O1150">
        <v>3.8415906785478987E-2</v>
      </c>
      <c r="P1150">
        <v>1.9418754435756792E-2</v>
      </c>
      <c r="Q1150">
        <v>1.3749402442374903E-3</v>
      </c>
      <c r="R1150">
        <v>1.3033723567093685E-3</v>
      </c>
      <c r="S1150">
        <v>0.23032510188139121</v>
      </c>
      <c r="T1150">
        <v>3.9114315608372117</v>
      </c>
      <c r="U1150">
        <v>0</v>
      </c>
      <c r="V1150">
        <v>9.4523053561131973E-3</v>
      </c>
      <c r="W1150">
        <v>7.3627337063311926E-2</v>
      </c>
      <c r="X1150">
        <v>1.1747389064832383E-2</v>
      </c>
      <c r="Y1150">
        <v>3.6834297878327775E-3</v>
      </c>
    </row>
    <row r="1151" spans="1:25" x14ac:dyDescent="0.25">
      <c r="A1151" s="1090"/>
      <c r="B1151" s="1448">
        <v>901</v>
      </c>
      <c r="C1151" s="1094">
        <v>1.0063020958499072</v>
      </c>
      <c r="D1151" s="1094">
        <v>1.0197401275401057</v>
      </c>
      <c r="E1151" s="1094">
        <v>0.96514871707217198</v>
      </c>
      <c r="F1151" s="1094">
        <v>1.0353718457423347</v>
      </c>
      <c r="G1151" s="1094">
        <v>0.97690124124939515</v>
      </c>
      <c r="H1151" s="1094">
        <v>1.0050321109417588</v>
      </c>
      <c r="I1151" s="1094">
        <v>1.0018261761989666</v>
      </c>
      <c r="K1151">
        <v>4.6294602767604216</v>
      </c>
      <c r="L1151">
        <v>0</v>
      </c>
      <c r="M1151">
        <v>1.6146988581096772E-3</v>
      </c>
      <c r="N1151">
        <v>0.1260322343820896</v>
      </c>
      <c r="O1151">
        <v>3.9436517450517093E-2</v>
      </c>
      <c r="P1151">
        <v>1.9281186451150741E-2</v>
      </c>
      <c r="Q1151">
        <v>1.2470917367397422E-3</v>
      </c>
      <c r="R1151">
        <v>1.6083330616736391E-3</v>
      </c>
      <c r="S1151">
        <v>0.23482940648111025</v>
      </c>
      <c r="T1151">
        <v>4.1076777791714898</v>
      </c>
      <c r="U1151">
        <v>0</v>
      </c>
      <c r="V1151">
        <v>9.4523053561131956E-3</v>
      </c>
      <c r="W1151">
        <v>7.6883089417819378E-2</v>
      </c>
      <c r="X1151">
        <v>1.0081760087117893E-2</v>
      </c>
      <c r="Y1151">
        <v>4.5452720227102169E-3</v>
      </c>
    </row>
    <row r="1152" spans="1:25" x14ac:dyDescent="0.25">
      <c r="A1152" s="1090"/>
      <c r="B1152" s="1448">
        <v>902</v>
      </c>
      <c r="C1152" s="1094">
        <v>0.99751570131049017</v>
      </c>
      <c r="D1152" s="1094">
        <v>0.9679340072188336</v>
      </c>
      <c r="E1152" s="1094">
        <v>0.99840916338071062</v>
      </c>
      <c r="F1152" s="1094">
        <v>0.98997428127283627</v>
      </c>
      <c r="G1152" s="1094">
        <v>0.992683399594535</v>
      </c>
      <c r="H1152" s="1094">
        <v>0.98498736249435459</v>
      </c>
      <c r="I1152" s="1094">
        <v>0.99352160683450519</v>
      </c>
      <c r="K1152">
        <v>4.4392448379092926</v>
      </c>
      <c r="L1152">
        <v>0</v>
      </c>
      <c r="M1152">
        <v>1.453724526972972E-3</v>
      </c>
      <c r="N1152">
        <v>0.12520292651527434</v>
      </c>
      <c r="O1152">
        <v>3.8612256369160117E-2</v>
      </c>
      <c r="P1152">
        <v>1.8927234080604656E-2</v>
      </c>
      <c r="Q1152">
        <v>1.3221756491835867E-3</v>
      </c>
      <c r="R1152">
        <v>1.4476096722759537E-3</v>
      </c>
      <c r="S1152">
        <v>0.23000400708386318</v>
      </c>
      <c r="T1152">
        <v>3.9263049276922874</v>
      </c>
      <c r="U1152">
        <v>0</v>
      </c>
      <c r="V1152">
        <v>9.4523053561131973E-3</v>
      </c>
      <c r="W1152">
        <v>7.4658415189349903E-2</v>
      </c>
      <c r="X1152">
        <v>1.0675649374527207E-2</v>
      </c>
      <c r="Y1152">
        <v>4.0910554536220554E-3</v>
      </c>
    </row>
    <row r="1153" spans="1:25" x14ac:dyDescent="0.25">
      <c r="A1153" s="1090"/>
      <c r="B1153" s="1448">
        <v>903</v>
      </c>
      <c r="C1153" s="1094">
        <v>0.98579119316143382</v>
      </c>
      <c r="D1153" s="1094">
        <v>0.99038845610222104</v>
      </c>
      <c r="E1153" s="1094">
        <v>0.97649303916861796</v>
      </c>
      <c r="F1153" s="1094">
        <v>1.0049761494885592</v>
      </c>
      <c r="G1153" s="1094">
        <v>0.95891600392740484</v>
      </c>
      <c r="H1153" s="1094">
        <v>1.0315919539111438</v>
      </c>
      <c r="I1153" s="1094">
        <v>0.99329363275057692</v>
      </c>
      <c r="K1153">
        <v>4.5177148264545712</v>
      </c>
      <c r="L1153">
        <v>0</v>
      </c>
      <c r="M1153">
        <v>1.6226330244891157E-3</v>
      </c>
      <c r="N1153">
        <v>0.13098865958809683</v>
      </c>
      <c r="O1153">
        <v>3.9455071899314728E-2</v>
      </c>
      <c r="P1153">
        <v>1.8918052928830528E-2</v>
      </c>
      <c r="Q1153">
        <v>1.3008199753640575E-3</v>
      </c>
      <c r="R1153">
        <v>1.6162129204648637E-3</v>
      </c>
      <c r="S1153">
        <v>0.23699023318984469</v>
      </c>
      <c r="T1153">
        <v>3.98664722820038</v>
      </c>
      <c r="U1153">
        <v>0</v>
      </c>
      <c r="V1153">
        <v>9.4523053561131973E-3</v>
      </c>
      <c r="W1153">
        <v>7.9284112286187813E-2</v>
      </c>
      <c r="X1153">
        <v>1.0117222029208435E-2</v>
      </c>
      <c r="Y1153">
        <v>4.567541105252977E-3</v>
      </c>
    </row>
    <row r="1154" spans="1:25" x14ac:dyDescent="0.25">
      <c r="A1154" s="1090"/>
      <c r="B1154" s="1448">
        <v>904</v>
      </c>
      <c r="C1154" s="1094">
        <v>1.0073013546962852</v>
      </c>
      <c r="D1154" s="1094">
        <v>1.0165847252945142</v>
      </c>
      <c r="E1154" s="1094">
        <v>0.98880451509764633</v>
      </c>
      <c r="F1154" s="1094">
        <v>0.98247981045959198</v>
      </c>
      <c r="G1154" s="1094">
        <v>0.95915049686457698</v>
      </c>
      <c r="H1154" s="1094">
        <v>0.99746737386624917</v>
      </c>
      <c r="I1154" s="1094">
        <v>0.99693687161237554</v>
      </c>
      <c r="K1154">
        <v>4.3966876514904243</v>
      </c>
      <c r="L1154">
        <v>0</v>
      </c>
      <c r="M1154">
        <v>1.4477061605947365E-3</v>
      </c>
      <c r="N1154">
        <v>0.12118723414183477</v>
      </c>
      <c r="O1154">
        <v>3.7274385032864933E-2</v>
      </c>
      <c r="P1154">
        <v>1.8636074207391554E-2</v>
      </c>
      <c r="Q1154">
        <v>1.2733296953903362E-3</v>
      </c>
      <c r="R1154">
        <v>1.4416471326212375E-3</v>
      </c>
      <c r="S1154">
        <v>0.22491873558400202</v>
      </c>
      <c r="T1154">
        <v>3.8969418179542954</v>
      </c>
      <c r="U1154">
        <v>0</v>
      </c>
      <c r="V1154">
        <v>9.4523053561131835E-3</v>
      </c>
      <c r="W1154">
        <v>7.2736545391349092E-2</v>
      </c>
      <c r="X1154">
        <v>1.019907829381774E-2</v>
      </c>
      <c r="Y1154">
        <v>4.0742048613394586E-3</v>
      </c>
    </row>
    <row r="1155" spans="1:25" x14ac:dyDescent="0.25">
      <c r="A1155" s="1090"/>
      <c r="B1155" s="1448">
        <v>905</v>
      </c>
      <c r="C1155" s="1094">
        <v>0.98129217147480918</v>
      </c>
      <c r="D1155" s="1094">
        <v>1.0000792425676086</v>
      </c>
      <c r="E1155" s="1094">
        <v>1.0100726714888026</v>
      </c>
      <c r="F1155" s="1094">
        <v>0.98808886106713922</v>
      </c>
      <c r="G1155" s="1094">
        <v>0.98283444461617642</v>
      </c>
      <c r="H1155" s="1094">
        <v>0.98980195988747444</v>
      </c>
      <c r="I1155" s="1094">
        <v>0.9988417754024197</v>
      </c>
      <c r="K1155">
        <v>4.4371403780204863</v>
      </c>
      <c r="L1155">
        <v>0</v>
      </c>
      <c r="M1155">
        <v>1.4274039138257031E-3</v>
      </c>
      <c r="N1155">
        <v>0.12725901924840871</v>
      </c>
      <c r="O1155">
        <v>3.8586555164822137E-2</v>
      </c>
      <c r="P1155">
        <v>1.9068299697061513E-2</v>
      </c>
      <c r="Q1155">
        <v>1.3398760245677606E-3</v>
      </c>
      <c r="R1155">
        <v>1.4214176241098436E-3</v>
      </c>
      <c r="S1155">
        <v>0.23278405133597282</v>
      </c>
      <c r="T1155">
        <v>3.9183892694812523</v>
      </c>
      <c r="U1155">
        <v>0</v>
      </c>
      <c r="V1155">
        <v>9.4523053561131869E-3</v>
      </c>
      <c r="W1155">
        <v>7.5290313732142983E-2</v>
      </c>
      <c r="X1155">
        <v>1.0959639544022898E-2</v>
      </c>
      <c r="Y1155">
        <v>4.0170347258363468E-3</v>
      </c>
    </row>
    <row r="1156" spans="1:25" x14ac:dyDescent="0.25">
      <c r="A1156" s="1090"/>
      <c r="B1156" s="1448">
        <v>906</v>
      </c>
      <c r="C1156" s="1094">
        <v>1.0343071919030131</v>
      </c>
      <c r="D1156" s="1094">
        <v>0.99956779024346309</v>
      </c>
      <c r="E1156" s="1094">
        <v>1.0191925534054749</v>
      </c>
      <c r="F1156" s="1094">
        <v>1.0312018009390098</v>
      </c>
      <c r="G1156" s="1094">
        <v>1.0090475852337066</v>
      </c>
      <c r="H1156" s="1094">
        <v>1.0266098573004614</v>
      </c>
      <c r="I1156" s="1094">
        <v>1.0090431836680049</v>
      </c>
      <c r="K1156">
        <v>4.6149396322543037</v>
      </c>
      <c r="L1156">
        <v>0</v>
      </c>
      <c r="M1156">
        <v>1.4379846255128191E-3</v>
      </c>
      <c r="N1156">
        <v>0.13175213601866395</v>
      </c>
      <c r="O1156">
        <v>3.8151319057950647E-2</v>
      </c>
      <c r="P1156">
        <v>1.9982493190792254E-2</v>
      </c>
      <c r="Q1156">
        <v>1.2813427558835424E-3</v>
      </c>
      <c r="R1156">
        <v>1.4324123101258166E-3</v>
      </c>
      <c r="S1156">
        <v>0.23249377796181844</v>
      </c>
      <c r="T1156">
        <v>4.0890034351066955</v>
      </c>
      <c r="U1156">
        <v>0</v>
      </c>
      <c r="V1156">
        <v>9.4523053561131991E-3</v>
      </c>
      <c r="W1156">
        <v>7.7474297607576612E-2</v>
      </c>
      <c r="X1156">
        <v>1.1305990966274873E-2</v>
      </c>
      <c r="Y1156">
        <v>4.048106547922055E-3</v>
      </c>
    </row>
    <row r="1157" spans="1:25" x14ac:dyDescent="0.25">
      <c r="A1157" s="1090"/>
      <c r="B1157" s="1448">
        <v>907</v>
      </c>
      <c r="C1157" s="1094">
        <v>1.0232207288681645</v>
      </c>
      <c r="D1157" s="1094">
        <v>0.98737512258596016</v>
      </c>
      <c r="E1157" s="1094">
        <v>1.0072274489268787</v>
      </c>
      <c r="F1157" s="1094">
        <v>0.98765207516996067</v>
      </c>
      <c r="G1157" s="1094">
        <v>0.97707163052940216</v>
      </c>
      <c r="H1157" s="1094">
        <v>1.0347070447325739</v>
      </c>
      <c r="I1157" s="1094">
        <v>1.0079000417187971</v>
      </c>
      <c r="K1157">
        <v>4.4314801054455417</v>
      </c>
      <c r="L1157">
        <v>0</v>
      </c>
      <c r="M1157">
        <v>1.4463731139209915E-3</v>
      </c>
      <c r="N1157">
        <v>0.12789151892168393</v>
      </c>
      <c r="O1157">
        <v>3.7197650594118982E-2</v>
      </c>
      <c r="P1157">
        <v>1.900536930497633E-2</v>
      </c>
      <c r="Q1157">
        <v>1.2884314537993261E-3</v>
      </c>
      <c r="R1157">
        <v>1.4405679656393387E-3</v>
      </c>
      <c r="S1157">
        <v>0.22941284006389381</v>
      </c>
      <c r="T1157">
        <v>3.916763697778713</v>
      </c>
      <c r="U1157">
        <v>0</v>
      </c>
      <c r="V1157">
        <v>9.4523053561131869E-3</v>
      </c>
      <c r="W1157">
        <v>7.5809311453602854E-2</v>
      </c>
      <c r="X1157">
        <v>1.0593630613864037E-2</v>
      </c>
      <c r="Y1157">
        <v>4.0711550530581116E-3</v>
      </c>
    </row>
    <row r="1158" spans="1:25" x14ac:dyDescent="0.25">
      <c r="A1158" s="1090"/>
      <c r="B1158" s="1448">
        <v>908</v>
      </c>
      <c r="C1158" s="1094">
        <v>1.0206788103586508</v>
      </c>
      <c r="D1158" s="1094">
        <v>0.9806276212553301</v>
      </c>
      <c r="E1158" s="1094">
        <v>0.99954218179154641</v>
      </c>
      <c r="F1158" s="1094">
        <v>0.98049051161999079</v>
      </c>
      <c r="G1158" s="1094">
        <v>1.0040759873928675</v>
      </c>
      <c r="H1158" s="1094">
        <v>0.98380189986363586</v>
      </c>
      <c r="I1158" s="1094">
        <v>0.98295897415983435</v>
      </c>
      <c r="K1158">
        <v>4.3820360528144926</v>
      </c>
      <c r="L1158">
        <v>0</v>
      </c>
      <c r="M1158">
        <v>1.3948490389344603E-3</v>
      </c>
      <c r="N1158">
        <v>0.12053071828404265</v>
      </c>
      <c r="O1158">
        <v>3.7172689413651407E-2</v>
      </c>
      <c r="P1158">
        <v>1.8726496361874349E-2</v>
      </c>
      <c r="Q1158">
        <v>1.2867033614909038E-3</v>
      </c>
      <c r="R1158">
        <v>1.3889181833953799E-3</v>
      </c>
      <c r="S1158">
        <v>0.21999744747035857</v>
      </c>
      <c r="T1158">
        <v>3.8886493303473242</v>
      </c>
      <c r="U1158">
        <v>0</v>
      </c>
      <c r="V1158">
        <v>9.4523053561132008E-3</v>
      </c>
      <c r="W1158">
        <v>7.1817325314952565E-2</v>
      </c>
      <c r="X1158">
        <v>1.0483778935057501E-2</v>
      </c>
      <c r="Y1158">
        <v>3.9251888251623504E-3</v>
      </c>
    </row>
    <row r="1159" spans="1:25" x14ac:dyDescent="0.25">
      <c r="A1159" s="1090"/>
      <c r="B1159" s="1448">
        <v>909</v>
      </c>
      <c r="C1159" s="1094">
        <v>1.0142567569060728</v>
      </c>
      <c r="D1159" s="1094">
        <v>0.98209238933538423</v>
      </c>
      <c r="E1159" s="1094">
        <v>1.0050809288716056</v>
      </c>
      <c r="F1159" s="1094">
        <v>0.982385109322094</v>
      </c>
      <c r="G1159" s="1094">
        <v>1.0019488078043115</v>
      </c>
      <c r="H1159" s="1094">
        <v>0.99357386720158536</v>
      </c>
      <c r="I1159" s="1094">
        <v>0.97010702002097393</v>
      </c>
      <c r="K1159">
        <v>4.3933319156458728</v>
      </c>
      <c r="L1159">
        <v>0</v>
      </c>
      <c r="M1159">
        <v>1.403036490461051E-3</v>
      </c>
      <c r="N1159">
        <v>0.12325010557740734</v>
      </c>
      <c r="O1159">
        <v>3.7420856277727461E-2</v>
      </c>
      <c r="P1159">
        <v>1.8834325445816293E-2</v>
      </c>
      <c r="Q1159">
        <v>1.3002260120983096E-3</v>
      </c>
      <c r="R1159">
        <v>1.3971408399731668E-3</v>
      </c>
      <c r="S1159">
        <v>0.2193778274982546</v>
      </c>
      <c r="T1159">
        <v>3.8959563807890141</v>
      </c>
      <c r="U1159">
        <v>0</v>
      </c>
      <c r="V1159">
        <v>9.4523053561131869E-3</v>
      </c>
      <c r="W1159">
        <v>7.3163681088903185E-2</v>
      </c>
      <c r="X1159">
        <v>1.0633676570605774E-2</v>
      </c>
      <c r="Y1159">
        <v>3.9484266804213101E-3</v>
      </c>
    </row>
    <row r="1160" spans="1:25" x14ac:dyDescent="0.25">
      <c r="A1160" s="1090"/>
      <c r="B1160" s="1448">
        <v>910</v>
      </c>
      <c r="C1160" s="1094">
        <v>0.97277911667980965</v>
      </c>
      <c r="D1160" s="1094">
        <v>1.0008087246682691</v>
      </c>
      <c r="E1160" s="1094">
        <v>1.0131718312525839</v>
      </c>
      <c r="F1160" s="1094">
        <v>0.9853936888438718</v>
      </c>
      <c r="G1160" s="1094">
        <v>1.020649976499364</v>
      </c>
      <c r="H1160" s="1094">
        <v>0.97735433853958409</v>
      </c>
      <c r="I1160" s="1094">
        <v>0.99418634420393648</v>
      </c>
      <c r="K1160">
        <v>4.4250833063748463</v>
      </c>
      <c r="L1160">
        <v>0</v>
      </c>
      <c r="M1160">
        <v>1.4082741794815374E-3</v>
      </c>
      <c r="N1160">
        <v>0.12670248370567813</v>
      </c>
      <c r="O1160">
        <v>3.8785158255211248E-2</v>
      </c>
      <c r="P1160">
        <v>1.9060066938325518E-2</v>
      </c>
      <c r="Q1160">
        <v>1.3547746870627563E-3</v>
      </c>
      <c r="R1160">
        <v>1.4022766053421358E-3</v>
      </c>
      <c r="S1160">
        <v>0.23229642669088443</v>
      </c>
      <c r="T1160">
        <v>3.907585596464433</v>
      </c>
      <c r="U1160">
        <v>0</v>
      </c>
      <c r="V1160">
        <v>9.4523053561131904E-3</v>
      </c>
      <c r="W1160">
        <v>7.4805427054253817E-2</v>
      </c>
      <c r="X1160">
        <v>1.1084124051572011E-2</v>
      </c>
      <c r="Y1160">
        <v>3.9629407454511529E-3</v>
      </c>
    </row>
    <row r="1161" spans="1:25" x14ac:dyDescent="0.25">
      <c r="A1161" s="1090"/>
      <c r="B1161" s="1448">
        <v>911</v>
      </c>
      <c r="C1161" s="1094">
        <v>0.99111577187199651</v>
      </c>
      <c r="D1161" s="1094">
        <v>0.98647244539702683</v>
      </c>
      <c r="E1161" s="1094">
        <v>1.0053125497129261</v>
      </c>
      <c r="F1161" s="1094">
        <v>0.96847424677357363</v>
      </c>
      <c r="G1161" s="1094">
        <v>1.0288713379983252</v>
      </c>
      <c r="H1161" s="1094">
        <v>0.99172442376743108</v>
      </c>
      <c r="I1161" s="1094">
        <v>0.99193615166775062</v>
      </c>
      <c r="K1161">
        <v>4.3468170455227897</v>
      </c>
      <c r="L1161">
        <v>0</v>
      </c>
      <c r="M1161">
        <v>1.4097127655947066E-3</v>
      </c>
      <c r="N1161">
        <v>0.12391309976780196</v>
      </c>
      <c r="O1161">
        <v>3.7683608407372504E-2</v>
      </c>
      <c r="P1161">
        <v>1.8620059443710802E-2</v>
      </c>
      <c r="Q1161">
        <v>1.3284807109088326E-3</v>
      </c>
      <c r="R1161">
        <v>1.4036931300571872E-3</v>
      </c>
      <c r="S1161">
        <v>0.22692774640796662</v>
      </c>
      <c r="T1161">
        <v>3.8407799702170839</v>
      </c>
      <c r="U1161">
        <v>0</v>
      </c>
      <c r="V1161">
        <v>9.4523053561131852E-3</v>
      </c>
      <c r="W1161">
        <v>7.354577371622989E-2</v>
      </c>
      <c r="X1161">
        <v>1.0605077178698319E-2</v>
      </c>
      <c r="Y1161">
        <v>3.9669439524424345E-3</v>
      </c>
    </row>
    <row r="1162" spans="1:25" x14ac:dyDescent="0.25">
      <c r="A1162" s="1090"/>
      <c r="B1162" s="1448">
        <v>912</v>
      </c>
      <c r="C1162" s="1094">
        <v>1.0140434557329012</v>
      </c>
      <c r="D1162" s="1094">
        <v>1.0109406795081397</v>
      </c>
      <c r="E1162" s="1094">
        <v>0.96633103634327011</v>
      </c>
      <c r="F1162" s="1094">
        <v>0.99086715167949679</v>
      </c>
      <c r="G1162" s="1094">
        <v>1.0053028891414582</v>
      </c>
      <c r="H1162" s="1094">
        <v>1.018248366011143</v>
      </c>
      <c r="I1162" s="1094">
        <v>0.99019948018754644</v>
      </c>
      <c r="K1162">
        <v>4.4329775612761333</v>
      </c>
      <c r="L1162">
        <v>0</v>
      </c>
      <c r="M1162">
        <v>1.5554768363110253E-3</v>
      </c>
      <c r="N1162">
        <v>0.12182189256006275</v>
      </c>
      <c r="O1162">
        <v>3.7575455740700682E-2</v>
      </c>
      <c r="P1162">
        <v>1.8472324923230674E-2</v>
      </c>
      <c r="Q1162">
        <v>1.243155750097306E-3</v>
      </c>
      <c r="R1162">
        <v>1.5491533787122059E-3</v>
      </c>
      <c r="S1162">
        <v>0.2250839557934381</v>
      </c>
      <c r="T1162">
        <v>3.9310669270589123</v>
      </c>
      <c r="U1162">
        <v>0</v>
      </c>
      <c r="V1162">
        <v>9.4523053561131973E-3</v>
      </c>
      <c r="W1162">
        <v>7.4253903858863046E-2</v>
      </c>
      <c r="X1162">
        <v>9.6359379718046444E-3</v>
      </c>
      <c r="Y1162">
        <v>4.3780257205061485E-3</v>
      </c>
    </row>
    <row r="1163" spans="1:25" x14ac:dyDescent="0.25">
      <c r="A1163" s="1090"/>
      <c r="B1163" s="1448">
        <v>913</v>
      </c>
      <c r="C1163" s="1094">
        <v>0.97437519979275566</v>
      </c>
      <c r="D1163" s="1094">
        <v>1.0177281427488101</v>
      </c>
      <c r="E1163" s="1094">
        <v>1.0113077659351912</v>
      </c>
      <c r="F1163" s="1094">
        <v>1.0046110064441465</v>
      </c>
      <c r="G1163" s="1094">
        <v>0.98357088827096895</v>
      </c>
      <c r="H1163" s="1094">
        <v>0.98456118080072208</v>
      </c>
      <c r="I1163" s="1094">
        <v>1.0155125726147276</v>
      </c>
      <c r="K1163">
        <v>4.5128922929836666</v>
      </c>
      <c r="L1163">
        <v>0</v>
      </c>
      <c r="M1163">
        <v>1.4398433951024947E-3</v>
      </c>
      <c r="N1163">
        <v>0.12884435282233339</v>
      </c>
      <c r="O1163">
        <v>3.9226072802364793E-2</v>
      </c>
      <c r="P1163">
        <v>1.9416155759545112E-2</v>
      </c>
      <c r="Q1163">
        <v>1.341387867747592E-3</v>
      </c>
      <c r="R1163">
        <v>1.433872225192006E-3</v>
      </c>
      <c r="S1163">
        <v>0.23935049202187325</v>
      </c>
      <c r="T1163">
        <v>3.9838628890947763</v>
      </c>
      <c r="U1163">
        <v>0</v>
      </c>
      <c r="V1163">
        <v>9.4523053561132043E-3</v>
      </c>
      <c r="W1163">
        <v>7.616509789271117E-2</v>
      </c>
      <c r="X1163">
        <v>1.1187278156747915E-2</v>
      </c>
      <c r="Y1163">
        <v>4.052232379358347E-3</v>
      </c>
    </row>
    <row r="1164" spans="1:25" x14ac:dyDescent="0.25">
      <c r="A1164" s="1090"/>
      <c r="B1164" s="1448">
        <v>914</v>
      </c>
      <c r="C1164" s="1094">
        <v>1.0014633999268159</v>
      </c>
      <c r="D1164" s="1094">
        <v>1.0077231929806827</v>
      </c>
      <c r="E1164" s="1094">
        <v>1.0147253921855752</v>
      </c>
      <c r="F1164" s="1094">
        <v>0.97402097932680287</v>
      </c>
      <c r="G1164" s="1094">
        <v>1.0078757822567477</v>
      </c>
      <c r="H1164" s="1094">
        <v>0.99401050160105209</v>
      </c>
      <c r="I1164" s="1094">
        <v>0.98422406212812319</v>
      </c>
      <c r="K1164">
        <v>4.3626204404270874</v>
      </c>
      <c r="L1164">
        <v>0</v>
      </c>
      <c r="M1164">
        <v>1.3669887984755639E-3</v>
      </c>
      <c r="N1164">
        <v>0.12355769958743784</v>
      </c>
      <c r="O1164">
        <v>3.7126667536530898E-2</v>
      </c>
      <c r="P1164">
        <v>1.8828662288257768E-2</v>
      </c>
      <c r="Q1164">
        <v>1.3140845242401054E-3</v>
      </c>
      <c r="R1164">
        <v>1.3611980487408285E-3</v>
      </c>
      <c r="S1164">
        <v>0.22239239950770268</v>
      </c>
      <c r="T1164">
        <v>3.8624298070550616</v>
      </c>
      <c r="U1164">
        <v>0</v>
      </c>
      <c r="V1164">
        <v>9.4523053561131921E-3</v>
      </c>
      <c r="W1164">
        <v>7.2872902220104577E-2</v>
      </c>
      <c r="X1164">
        <v>1.0804853493071009E-2</v>
      </c>
      <c r="Y1164">
        <v>3.8468496082964231E-3</v>
      </c>
    </row>
    <row r="1165" spans="1:25" x14ac:dyDescent="0.25">
      <c r="A1165" s="1090"/>
      <c r="B1165" s="1448">
        <v>915</v>
      </c>
      <c r="C1165" s="1094">
        <v>0.99678713010203357</v>
      </c>
      <c r="D1165" s="1094">
        <v>1.0290005523685444</v>
      </c>
      <c r="E1165" s="1094">
        <v>1.015455552000011</v>
      </c>
      <c r="F1165" s="1094">
        <v>0.99206736733921685</v>
      </c>
      <c r="G1165" s="1094">
        <v>0.99433454200606741</v>
      </c>
      <c r="H1165" s="1094">
        <v>1.0035837170107937</v>
      </c>
      <c r="I1165" s="1094">
        <v>0.99676667182189083</v>
      </c>
      <c r="K1165">
        <v>4.446218788194332</v>
      </c>
      <c r="L1165">
        <v>0</v>
      </c>
      <c r="M1165">
        <v>1.3983012629355848E-3</v>
      </c>
      <c r="N1165">
        <v>0.1266761625071533</v>
      </c>
      <c r="O1165">
        <v>3.7670791610700728E-2</v>
      </c>
      <c r="P1165">
        <v>1.9195420274898543E-2</v>
      </c>
      <c r="Q1165">
        <v>1.3100726925114759E-3</v>
      </c>
      <c r="R1165">
        <v>1.3925406543149152E-3</v>
      </c>
      <c r="S1165">
        <v>0.22836856999670535</v>
      </c>
      <c r="T1165">
        <v>3.9339644447413695</v>
      </c>
      <c r="U1165">
        <v>0</v>
      </c>
      <c r="V1165">
        <v>9.4523053561131852E-3</v>
      </c>
      <c r="W1165">
        <v>7.4675649227287394E-2</v>
      </c>
      <c r="X1165">
        <v>1.0975706191668308E-2</v>
      </c>
      <c r="Y1165">
        <v>3.9354262045435302E-3</v>
      </c>
    </row>
    <row r="1166" spans="1:25" x14ac:dyDescent="0.25">
      <c r="A1166" s="1090"/>
      <c r="B1166" s="1448">
        <v>916</v>
      </c>
      <c r="C1166" s="1094">
        <v>1.0347561430056531</v>
      </c>
      <c r="D1166" s="1094">
        <v>1.0326459205978753</v>
      </c>
      <c r="E1166" s="1094">
        <v>1.0008589388983697</v>
      </c>
      <c r="F1166" s="1094">
        <v>1.0099333463451501</v>
      </c>
      <c r="G1166" s="1094">
        <v>0.98396053678350837</v>
      </c>
      <c r="H1166" s="1094">
        <v>1.0096406381809395</v>
      </c>
      <c r="I1166" s="1094">
        <v>1.0293763526788908</v>
      </c>
      <c r="K1166">
        <v>4.5137880674861481</v>
      </c>
      <c r="L1166">
        <v>0</v>
      </c>
      <c r="M1166">
        <v>1.4205304537793825E-3</v>
      </c>
      <c r="N1166">
        <v>0.12325807399983524</v>
      </c>
      <c r="O1166">
        <v>3.6986495082786189E-2</v>
      </c>
      <c r="P1166">
        <v>1.9322503052460381E-2</v>
      </c>
      <c r="Q1166">
        <v>1.2446310630697896E-3</v>
      </c>
      <c r="R1166">
        <v>1.4148158625516846E-3</v>
      </c>
      <c r="S1166">
        <v>0.23017644675496304</v>
      </c>
      <c r="T1166">
        <v>4.0053696960467775</v>
      </c>
      <c r="U1166">
        <v>0</v>
      </c>
      <c r="V1166">
        <v>9.4523053561131921E-3</v>
      </c>
      <c r="W1166">
        <v>7.3377076779743033E-2</v>
      </c>
      <c r="X1166">
        <v>1.0608176297972996E-2</v>
      </c>
      <c r="Y1166">
        <v>3.9983776436523398E-3</v>
      </c>
    </row>
    <row r="1167" spans="1:25" x14ac:dyDescent="0.25">
      <c r="A1167" s="1090"/>
      <c r="B1167" s="1448">
        <v>917</v>
      </c>
      <c r="C1167" s="1094">
        <v>0.99314816501934633</v>
      </c>
      <c r="D1167" s="1094">
        <v>0.9686736035293344</v>
      </c>
      <c r="E1167" s="1094">
        <v>0.98488060053524051</v>
      </c>
      <c r="F1167" s="1094">
        <v>1.0185269120747116</v>
      </c>
      <c r="G1167" s="1094">
        <v>0.96942837537762672</v>
      </c>
      <c r="H1167" s="1094">
        <v>1.0156458793757646</v>
      </c>
      <c r="I1167" s="1094">
        <v>0.95513096259097707</v>
      </c>
      <c r="K1167">
        <v>4.5648513887499282</v>
      </c>
      <c r="L1167">
        <v>0</v>
      </c>
      <c r="M1167">
        <v>1.5930227499041511E-3</v>
      </c>
      <c r="N1167">
        <v>0.13183783491503531</v>
      </c>
      <c r="O1167">
        <v>3.9984768614187663E-2</v>
      </c>
      <c r="P1167">
        <v>1.9241387578411116E-2</v>
      </c>
      <c r="Q1167">
        <v>1.3121995801884411E-3</v>
      </c>
      <c r="R1167">
        <v>1.5867056725076996E-3</v>
      </c>
      <c r="S1167">
        <v>0.22861607119402194</v>
      </c>
      <c r="T1167">
        <v>4.0400734580585009</v>
      </c>
      <c r="U1167">
        <v>0</v>
      </c>
      <c r="V1167">
        <v>9.4523053561131904E-3</v>
      </c>
      <c r="W1167">
        <v>7.9341057709143875E-2</v>
      </c>
      <c r="X1167">
        <v>1.0514471451967588E-2</v>
      </c>
      <c r="Y1167">
        <v>4.4841513697542208E-3</v>
      </c>
    </row>
    <row r="1168" spans="1:25" x14ac:dyDescent="0.25">
      <c r="A1168" s="1090"/>
      <c r="B1168" s="1448">
        <v>918</v>
      </c>
      <c r="C1168" s="1094">
        <v>0.97438161495402253</v>
      </c>
      <c r="D1168" s="1094">
        <v>1.0124326322022461</v>
      </c>
      <c r="E1168" s="1094">
        <v>0.98681683391510266</v>
      </c>
      <c r="F1168" s="1094">
        <v>0.99563411157916271</v>
      </c>
      <c r="G1168" s="1094">
        <v>1.0044982497718069</v>
      </c>
      <c r="H1168" s="1094">
        <v>1.0163985738077979</v>
      </c>
      <c r="I1168" s="1094">
        <v>1.03186691500879</v>
      </c>
      <c r="K1168">
        <v>4.4845275481154703</v>
      </c>
      <c r="L1168">
        <v>0</v>
      </c>
      <c r="M1168">
        <v>1.5543675827475113E-3</v>
      </c>
      <c r="N1168">
        <v>0.12936824510623388</v>
      </c>
      <c r="O1168">
        <v>3.9127462126322482E-2</v>
      </c>
      <c r="P1168">
        <v>1.8932379850860336E-2</v>
      </c>
      <c r="Q1168">
        <v>1.3162445687114883E-3</v>
      </c>
      <c r="R1168">
        <v>1.5480673188804301E-3</v>
      </c>
      <c r="S1168">
        <v>0.24464207503254387</v>
      </c>
      <c r="T1168">
        <v>3.9491933026702344</v>
      </c>
      <c r="U1168">
        <v>0</v>
      </c>
      <c r="V1168">
        <v>9.4523053561131783E-3</v>
      </c>
      <c r="W1168">
        <v>7.7752037336528662E-2</v>
      </c>
      <c r="X1168">
        <v>1.0374839899284387E-2</v>
      </c>
      <c r="Y1168">
        <v>4.3749564325048056E-3</v>
      </c>
    </row>
    <row r="1169" spans="1:25" x14ac:dyDescent="0.25">
      <c r="A1169" s="1090"/>
      <c r="B1169" s="1448">
        <v>919</v>
      </c>
      <c r="C1169" s="1094">
        <v>1.0034758465730984</v>
      </c>
      <c r="D1169" s="1094">
        <v>1.0227509803101202</v>
      </c>
      <c r="E1169" s="1094">
        <v>1.0407493966073735</v>
      </c>
      <c r="F1169" s="1094">
        <v>0.98231497118753219</v>
      </c>
      <c r="G1169" s="1094">
        <v>1.0075323137948964</v>
      </c>
      <c r="H1169" s="1094">
        <v>0.98847998426799011</v>
      </c>
      <c r="I1169" s="1094">
        <v>0.98850582830586764</v>
      </c>
      <c r="K1169">
        <v>4.39788639427214</v>
      </c>
      <c r="L1169">
        <v>0</v>
      </c>
      <c r="M1169">
        <v>1.287253162308087E-3</v>
      </c>
      <c r="N1169">
        <v>0.12565885716703157</v>
      </c>
      <c r="O1169">
        <v>3.6973090593408316E-2</v>
      </c>
      <c r="P1169">
        <v>1.933978927913764E-2</v>
      </c>
      <c r="Q1169">
        <v>1.3325925774613598E-3</v>
      </c>
      <c r="R1169">
        <v>1.2818157797557222E-3</v>
      </c>
      <c r="S1169">
        <v>0.22277887918202702</v>
      </c>
      <c r="T1169">
        <v>3.8943589751537036</v>
      </c>
      <c r="U1169">
        <v>0</v>
      </c>
      <c r="V1169">
        <v>9.4523053561131991E-3</v>
      </c>
      <c r="W1169">
        <v>7.2843762096073947E-2</v>
      </c>
      <c r="X1169">
        <v>1.1531070994137187E-2</v>
      </c>
      <c r="Y1169">
        <v>3.6225092555949769E-3</v>
      </c>
    </row>
    <row r="1170" spans="1:25" x14ac:dyDescent="0.25">
      <c r="A1170" s="1090"/>
      <c r="B1170" s="1448">
        <v>920</v>
      </c>
      <c r="C1170" s="1094">
        <v>0.99148156549988842</v>
      </c>
      <c r="D1170" s="1094">
        <v>1.0292593970396546</v>
      </c>
      <c r="E1170" s="1094">
        <v>0.98643000987741469</v>
      </c>
      <c r="F1170" s="1094">
        <v>0.96922969813441773</v>
      </c>
      <c r="G1170" s="1094">
        <v>0.98430590162420739</v>
      </c>
      <c r="H1170" s="1094">
        <v>1.0221241536894907</v>
      </c>
      <c r="I1170" s="1094">
        <v>1.0301499921798487</v>
      </c>
      <c r="K1170">
        <v>4.3578511586771276</v>
      </c>
      <c r="L1170">
        <v>0</v>
      </c>
      <c r="M1170">
        <v>1.4869727918278904E-3</v>
      </c>
      <c r="N1170">
        <v>0.12360639523264998</v>
      </c>
      <c r="O1170">
        <v>3.7189427048677268E-2</v>
      </c>
      <c r="P1170">
        <v>1.8411696033169136E-2</v>
      </c>
      <c r="Q1170">
        <v>1.2846130719099621E-3</v>
      </c>
      <c r="R1170">
        <v>1.4808168750205894E-3</v>
      </c>
      <c r="S1170">
        <v>0.23495411555514376</v>
      </c>
      <c r="T1170">
        <v>3.8444742862616881</v>
      </c>
      <c r="U1170">
        <v>0</v>
      </c>
      <c r="V1170">
        <v>9.4523053561131869E-3</v>
      </c>
      <c r="W1170">
        <v>7.4308691301809504E-2</v>
      </c>
      <c r="X1170">
        <v>9.9908831889461407E-3</v>
      </c>
      <c r="Y1170">
        <v>4.1849015438283925E-3</v>
      </c>
    </row>
    <row r="1171" spans="1:25" x14ac:dyDescent="0.25">
      <c r="A1171" s="1090"/>
      <c r="B1171" s="1448">
        <v>921</v>
      </c>
      <c r="C1171" s="1094">
        <v>1.0407204463252278</v>
      </c>
      <c r="D1171" s="1094">
        <v>0.96962896929307152</v>
      </c>
      <c r="E1171" s="1094">
        <v>1.0049481899209078</v>
      </c>
      <c r="F1171" s="1094">
        <v>1.0277555890392107</v>
      </c>
      <c r="G1171" s="1094">
        <v>1.014241816126414</v>
      </c>
      <c r="H1171" s="1094">
        <v>1.0111623058398085</v>
      </c>
      <c r="I1171" s="1094">
        <v>0.98071914234766522</v>
      </c>
      <c r="K1171">
        <v>4.5895450696572082</v>
      </c>
      <c r="L1171">
        <v>0</v>
      </c>
      <c r="M1171">
        <v>1.463429234120789E-3</v>
      </c>
      <c r="N1171">
        <v>0.12853765005581649</v>
      </c>
      <c r="O1171">
        <v>3.8349936794353987E-2</v>
      </c>
      <c r="P1171">
        <v>1.9679595271208234E-2</v>
      </c>
      <c r="Q1171">
        <v>1.2735093256548875E-3</v>
      </c>
      <c r="R1171">
        <v>1.4576524551168193E-3</v>
      </c>
      <c r="S1171">
        <v>0.22498383216329884</v>
      </c>
      <c r="T1171">
        <v>4.0758924357465212</v>
      </c>
      <c r="U1171">
        <v>0</v>
      </c>
      <c r="V1171">
        <v>9.4523053561131835E-3</v>
      </c>
      <c r="W1171">
        <v>7.6309293775007114E-2</v>
      </c>
      <c r="X1171">
        <v>1.0952850823578861E-2</v>
      </c>
      <c r="Y1171">
        <v>4.1194371246605407E-3</v>
      </c>
    </row>
    <row r="1172" spans="1:25" x14ac:dyDescent="0.25">
      <c r="A1172" s="1090"/>
      <c r="B1172" s="1448">
        <v>922</v>
      </c>
      <c r="C1172" s="1094">
        <v>1.0007074558445461</v>
      </c>
      <c r="D1172" s="1094">
        <v>1.0148869993817278</v>
      </c>
      <c r="E1172" s="1094">
        <v>1.0095619071505921</v>
      </c>
      <c r="F1172" s="1094">
        <v>0.97096003334406422</v>
      </c>
      <c r="G1172" s="1094">
        <v>1.003327430491989</v>
      </c>
      <c r="H1172" s="1094">
        <v>0.98317183292542731</v>
      </c>
      <c r="I1172" s="1094">
        <v>0.98156755652105376</v>
      </c>
      <c r="K1172">
        <v>4.3442852961557472</v>
      </c>
      <c r="L1172">
        <v>0</v>
      </c>
      <c r="M1172">
        <v>1.3597870151654525E-3</v>
      </c>
      <c r="N1172">
        <v>0.12103504115895665</v>
      </c>
      <c r="O1172">
        <v>3.6967412025462942E-2</v>
      </c>
      <c r="P1172">
        <v>1.8692507043014811E-2</v>
      </c>
      <c r="Q1172">
        <v>1.3056103328644843E-3</v>
      </c>
      <c r="R1172">
        <v>1.353944989413631E-3</v>
      </c>
      <c r="S1172">
        <v>0.22023518865104183</v>
      </c>
      <c r="T1172">
        <v>3.8504815674453523</v>
      </c>
      <c r="U1172">
        <v>0</v>
      </c>
      <c r="V1172">
        <v>9.4523053561131939E-3</v>
      </c>
      <c r="W1172">
        <v>7.1632578905935065E-2</v>
      </c>
      <c r="X1172">
        <v>1.0662575353862629E-2</v>
      </c>
      <c r="Y1172">
        <v>3.8263519088928772E-3</v>
      </c>
    </row>
    <row r="1173" spans="1:25" x14ac:dyDescent="0.25">
      <c r="A1173" s="1090"/>
      <c r="B1173" s="1448">
        <v>923</v>
      </c>
      <c r="C1173" s="1094">
        <v>0.98218150596601284</v>
      </c>
      <c r="D1173" s="1094">
        <v>0.9862549212420666</v>
      </c>
      <c r="E1173" s="1094">
        <v>1.0184245194455126</v>
      </c>
      <c r="F1173" s="1094">
        <v>1.014408970339872</v>
      </c>
      <c r="G1173" s="1094">
        <v>0.99966523737731849</v>
      </c>
      <c r="H1173" s="1094">
        <v>1.0126649464291364</v>
      </c>
      <c r="I1173" s="1094">
        <v>1.0005200967331294</v>
      </c>
      <c r="K1173">
        <v>4.5630419738835393</v>
      </c>
      <c r="L1173">
        <v>0</v>
      </c>
      <c r="M1173">
        <v>1.4798036270253178E-3</v>
      </c>
      <c r="N1173">
        <v>0.13525990347090938</v>
      </c>
      <c r="O1173">
        <v>3.9739831155692441E-2</v>
      </c>
      <c r="P1173">
        <v>1.9698643639763105E-2</v>
      </c>
      <c r="Q1173">
        <v>1.3557195767726713E-3</v>
      </c>
      <c r="R1173">
        <v>1.4738944477176539E-3</v>
      </c>
      <c r="S1173">
        <v>0.23993464097088507</v>
      </c>
      <c r="T1173">
        <v>4.0224445620568403</v>
      </c>
      <c r="U1173">
        <v>0</v>
      </c>
      <c r="V1173">
        <v>9.4523053561131973E-3</v>
      </c>
      <c r="W1173">
        <v>7.957774778712727E-2</v>
      </c>
      <c r="X1173">
        <v>1.1419190812972003E-2</v>
      </c>
      <c r="Y1173">
        <v>4.1653382357679731E-3</v>
      </c>
    </row>
    <row r="1174" spans="1:25" x14ac:dyDescent="0.25">
      <c r="A1174" s="1090"/>
      <c r="B1174" s="1448">
        <v>924</v>
      </c>
      <c r="C1174" s="1094">
        <v>0.95900690128578847</v>
      </c>
      <c r="D1174" s="1094">
        <v>1.0288737156077903</v>
      </c>
      <c r="E1174" s="1094">
        <v>1.0145686793479682</v>
      </c>
      <c r="F1174" s="1094">
        <v>1.0114122347551975</v>
      </c>
      <c r="G1174" s="1094">
        <v>0.97906760654942859</v>
      </c>
      <c r="H1174" s="1094">
        <v>0.96841237713487482</v>
      </c>
      <c r="I1174" s="1094">
        <v>0.99338212319198871</v>
      </c>
      <c r="K1174">
        <v>4.5391835627904973</v>
      </c>
      <c r="L1174">
        <v>0</v>
      </c>
      <c r="M1174">
        <v>1.4324361322863213E-3</v>
      </c>
      <c r="N1174">
        <v>0.12941948672223619</v>
      </c>
      <c r="O1174">
        <v>3.9926672135666204E-2</v>
      </c>
      <c r="P1174">
        <v>1.957520023078772E-2</v>
      </c>
      <c r="Q1174">
        <v>1.3607255326587237E-3</v>
      </c>
      <c r="R1174">
        <v>1.42643706865469E-3</v>
      </c>
      <c r="S1174">
        <v>0.23693748896896086</v>
      </c>
      <c r="T1174">
        <v>4.010708888709603</v>
      </c>
      <c r="U1174">
        <v>0</v>
      </c>
      <c r="V1174">
        <v>9.4523053561131887E-3</v>
      </c>
      <c r="W1174">
        <v>7.633812183946978E-2</v>
      </c>
      <c r="X1174">
        <v>1.1439452299296363E-2</v>
      </c>
      <c r="Y1174">
        <v>4.0312200593365464E-3</v>
      </c>
    </row>
    <row r="1175" spans="1:25" x14ac:dyDescent="0.25">
      <c r="A1175" s="1090"/>
      <c r="B1175" s="1448">
        <v>925</v>
      </c>
      <c r="C1175" s="1094">
        <v>0.95144269001696535</v>
      </c>
      <c r="D1175" s="1094">
        <v>1.0011796495213436</v>
      </c>
      <c r="E1175" s="1094">
        <v>1.0382449463814702</v>
      </c>
      <c r="F1175" s="1094">
        <v>0.99182918277578891</v>
      </c>
      <c r="G1175" s="1094">
        <v>0.9894414745787119</v>
      </c>
      <c r="H1175" s="1094">
        <v>0.96699445349430424</v>
      </c>
      <c r="I1175" s="1094">
        <v>1.0018064104623119</v>
      </c>
      <c r="K1175">
        <v>4.4658625236828042</v>
      </c>
      <c r="L1175">
        <v>0</v>
      </c>
      <c r="M1175">
        <v>1.3596290660630509E-3</v>
      </c>
      <c r="N1175">
        <v>0.13173868184503279</v>
      </c>
      <c r="O1175">
        <v>3.972796154117831E-2</v>
      </c>
      <c r="P1175">
        <v>1.9560211751147014E-2</v>
      </c>
      <c r="Q1175">
        <v>1.4145415658073106E-3</v>
      </c>
      <c r="R1175">
        <v>1.3538144434304198E-3</v>
      </c>
      <c r="S1175">
        <v>0.23952729618170462</v>
      </c>
      <c r="T1175">
        <v>3.9321705440612056</v>
      </c>
      <c r="U1175">
        <v>0</v>
      </c>
      <c r="V1175">
        <v>9.4523053561131956E-3</v>
      </c>
      <c r="W1175">
        <v>7.6494173929653242E-2</v>
      </c>
      <c r="X1175">
        <v>1.1956639097615013E-2</v>
      </c>
      <c r="Y1175">
        <v>3.8259829759776098E-3</v>
      </c>
    </row>
    <row r="1176" spans="1:25" x14ac:dyDescent="0.25">
      <c r="A1176" s="1090"/>
      <c r="B1176" s="1448">
        <v>926</v>
      </c>
      <c r="C1176" s="1094">
        <v>1.0320663602915809</v>
      </c>
      <c r="D1176" s="1094">
        <v>1.0074492002867164</v>
      </c>
      <c r="E1176" s="1094">
        <v>1.0052238771070847</v>
      </c>
      <c r="F1176" s="1094">
        <v>1.0262922147648101</v>
      </c>
      <c r="G1176" s="1094">
        <v>1.0395546641343878</v>
      </c>
      <c r="H1176" s="1094">
        <v>0.99185541977956793</v>
      </c>
      <c r="I1176" s="1094">
        <v>0.97732831112515184</v>
      </c>
      <c r="K1176">
        <v>4.5745684199318681</v>
      </c>
      <c r="L1176">
        <v>0</v>
      </c>
      <c r="M1176">
        <v>1.4226890190047606E-3</v>
      </c>
      <c r="N1176">
        <v>0.12505101840100014</v>
      </c>
      <c r="O1176">
        <v>3.8028029743627866E-2</v>
      </c>
      <c r="P1176">
        <v>1.9642792360009393E-2</v>
      </c>
      <c r="Q1176">
        <v>1.2649805402345975E-3</v>
      </c>
      <c r="R1176">
        <v>1.4169556110014915E-3</v>
      </c>
      <c r="S1176">
        <v>0.22185774743830475</v>
      </c>
      <c r="T1176">
        <v>4.070078210946849</v>
      </c>
      <c r="U1176">
        <v>0</v>
      </c>
      <c r="V1176">
        <v>9.4523053561131991E-3</v>
      </c>
      <c r="W1176">
        <v>7.422559163792497E-2</v>
      </c>
      <c r="X1176">
        <v>1.0969052179670463E-2</v>
      </c>
      <c r="Y1176">
        <v>4.0044247361335581E-3</v>
      </c>
    </row>
    <row r="1177" spans="1:25" x14ac:dyDescent="0.25">
      <c r="A1177" s="1090"/>
      <c r="B1177" s="1448">
        <v>927</v>
      </c>
      <c r="C1177" s="1094">
        <v>1.0083483149871497</v>
      </c>
      <c r="D1177" s="1094">
        <v>0.98834774917409762</v>
      </c>
      <c r="E1177" s="1094">
        <v>1.038838586555022</v>
      </c>
      <c r="F1177" s="1094">
        <v>0.97940489937454789</v>
      </c>
      <c r="G1177" s="1094">
        <v>1.009472778443576</v>
      </c>
      <c r="H1177" s="1094">
        <v>0.98525310924172349</v>
      </c>
      <c r="I1177" s="1094">
        <v>0.96983137639860117</v>
      </c>
      <c r="K1177">
        <v>4.3831860484461638</v>
      </c>
      <c r="L1177">
        <v>0</v>
      </c>
      <c r="M1177">
        <v>1.2958636194830384E-3</v>
      </c>
      <c r="N1177">
        <v>0.1257839799740994</v>
      </c>
      <c r="O1177">
        <v>3.7203855536917171E-2</v>
      </c>
      <c r="P1177">
        <v>1.9242453220948801E-2</v>
      </c>
      <c r="Q1177">
        <v>1.3422836116540437E-3</v>
      </c>
      <c r="R1177">
        <v>1.2903556897897149E-3</v>
      </c>
      <c r="S1177">
        <v>0.21912556639952105</v>
      </c>
      <c r="T1177">
        <v>3.8828919527522574</v>
      </c>
      <c r="U1177">
        <v>0</v>
      </c>
      <c r="V1177">
        <v>9.4523053561131991E-3</v>
      </c>
      <c r="W1177">
        <v>7.3008025573387925E-2</v>
      </c>
      <c r="X1177">
        <v>1.1494490257611506E-2</v>
      </c>
      <c r="Y1177">
        <v>3.6466436933423291E-3</v>
      </c>
    </row>
    <row r="1178" spans="1:25" x14ac:dyDescent="0.25">
      <c r="A1178" s="1090"/>
      <c r="B1178" s="1448">
        <v>928</v>
      </c>
      <c r="C1178" s="1094">
        <v>0.9906804388126258</v>
      </c>
      <c r="D1178" s="1094">
        <v>0.99209912631470798</v>
      </c>
      <c r="E1178" s="1094">
        <v>0.97694102735270805</v>
      </c>
      <c r="F1178" s="1094">
        <v>1.0227572230708271</v>
      </c>
      <c r="G1178" s="1094">
        <v>0.99991030411364967</v>
      </c>
      <c r="H1178" s="1094">
        <v>0.98011513232243752</v>
      </c>
      <c r="I1178" s="1094">
        <v>1.0413080395467265</v>
      </c>
      <c r="K1178">
        <v>4.5900057327721084</v>
      </c>
      <c r="L1178">
        <v>0</v>
      </c>
      <c r="M1178">
        <v>1.5585428918134599E-3</v>
      </c>
      <c r="N1178">
        <v>0.12596515997020116</v>
      </c>
      <c r="O1178">
        <v>3.9924241263280154E-2</v>
      </c>
      <c r="P1178">
        <v>1.9279381502184778E-2</v>
      </c>
      <c r="Q1178">
        <v>1.2940110410901333E-3</v>
      </c>
      <c r="R1178">
        <v>1.5521648790627132E-3</v>
      </c>
      <c r="S1178">
        <v>0.24585162893499132</v>
      </c>
      <c r="T1178">
        <v>4.0571654527319092</v>
      </c>
      <c r="U1178">
        <v>0</v>
      </c>
      <c r="V1178">
        <v>9.4523053561131904E-3</v>
      </c>
      <c r="W1178">
        <v>7.6220065065405809E-2</v>
      </c>
      <c r="X1178">
        <v>1.0473328469268047E-2</v>
      </c>
      <c r="Y1178">
        <v>4.386536450413858E-3</v>
      </c>
    </row>
    <row r="1179" spans="1:25" x14ac:dyDescent="0.25">
      <c r="A1179" s="1090"/>
      <c r="B1179" s="1448">
        <v>929</v>
      </c>
      <c r="C1179" s="1094">
        <v>0.98957318656115467</v>
      </c>
      <c r="D1179" s="1094">
        <v>0.99618319014505907</v>
      </c>
      <c r="E1179" s="1094">
        <v>1.0033133480810594</v>
      </c>
      <c r="F1179" s="1094">
        <v>0.95890714548017375</v>
      </c>
      <c r="G1179" s="1094">
        <v>0.9827610954097209</v>
      </c>
      <c r="H1179" s="1094">
        <v>0.98585819683544806</v>
      </c>
      <c r="I1179" s="1094">
        <v>0.99420918915905931</v>
      </c>
      <c r="K1179">
        <v>4.3025467922647689</v>
      </c>
      <c r="L1179">
        <v>0</v>
      </c>
      <c r="M1179">
        <v>1.3901617862768622E-3</v>
      </c>
      <c r="N1179">
        <v>0.12146481453054928</v>
      </c>
      <c r="O1179">
        <v>3.7236704094649305E-2</v>
      </c>
      <c r="P1179">
        <v>1.8411824735689693E-2</v>
      </c>
      <c r="Q1179">
        <v>1.3230856185690563E-3</v>
      </c>
      <c r="R1179">
        <v>1.3841309902328529E-3</v>
      </c>
      <c r="S1179">
        <v>0.22518742302345904</v>
      </c>
      <c r="T1179">
        <v>3.8029115611335076</v>
      </c>
      <c r="U1179">
        <v>0</v>
      </c>
      <c r="V1179">
        <v>9.4523053561131869E-3</v>
      </c>
      <c r="W1179">
        <v>7.218984345515414E-2</v>
      </c>
      <c r="X1179">
        <v>1.0463601261324925E-2</v>
      </c>
      <c r="Y1179">
        <v>3.9116598518001413E-3</v>
      </c>
    </row>
    <row r="1180" spans="1:25" x14ac:dyDescent="0.25">
      <c r="A1180" s="1090"/>
      <c r="B1180" s="1448">
        <v>930</v>
      </c>
      <c r="C1180" s="1094">
        <v>0.99103240315553975</v>
      </c>
      <c r="D1180" s="1094">
        <v>0.99922915769999709</v>
      </c>
      <c r="E1180" s="1094">
        <v>0.95349464292377939</v>
      </c>
      <c r="F1180" s="1094">
        <v>1.0041397397679694</v>
      </c>
      <c r="G1180" s="1094">
        <v>1.016837201376148</v>
      </c>
      <c r="H1180" s="1094">
        <v>0.98018051056627697</v>
      </c>
      <c r="I1180" s="1094">
        <v>1.0108628229313954</v>
      </c>
      <c r="K1180">
        <v>4.4971110841673951</v>
      </c>
      <c r="L1180">
        <v>0</v>
      </c>
      <c r="M1180">
        <v>1.6022457516922113E-3</v>
      </c>
      <c r="N1180">
        <v>0.12077561759322394</v>
      </c>
      <c r="O1180">
        <v>3.9233653657509894E-2</v>
      </c>
      <c r="P1180">
        <v>1.8567469475991218E-2</v>
      </c>
      <c r="Q1180">
        <v>1.2636208256015214E-3</v>
      </c>
      <c r="R1180">
        <v>1.5955682671758816E-3</v>
      </c>
      <c r="S1180">
        <v>0.23513096658181612</v>
      </c>
      <c r="T1180">
        <v>3.9842236763544507</v>
      </c>
      <c r="U1180">
        <v>0</v>
      </c>
      <c r="V1180">
        <v>9.4523053561131991E-3</v>
      </c>
      <c r="W1180">
        <v>7.4275484684247717E-2</v>
      </c>
      <c r="X1180">
        <v>9.6857693840384038E-3</v>
      </c>
      <c r="Y1180">
        <v>4.5091977389135965E-3</v>
      </c>
    </row>
    <row r="1181" spans="1:25" x14ac:dyDescent="0.25">
      <c r="A1181" s="1090"/>
      <c r="B1181" s="1448">
        <v>931</v>
      </c>
      <c r="C1181" s="1094">
        <v>1.030132511859067</v>
      </c>
      <c r="D1181" s="1094">
        <v>1.0123279213282133</v>
      </c>
      <c r="E1181" s="1094">
        <v>1.0021215139940196</v>
      </c>
      <c r="F1181" s="1094">
        <v>0.98134777020093455</v>
      </c>
      <c r="G1181" s="1094">
        <v>1.0145503456257978</v>
      </c>
      <c r="H1181" s="1094">
        <v>0.99113391318438937</v>
      </c>
      <c r="I1181" s="1094">
        <v>0.99001454576527825</v>
      </c>
      <c r="K1181">
        <v>4.3802132718075537</v>
      </c>
      <c r="L1181">
        <v>0</v>
      </c>
      <c r="M1181">
        <v>1.368483814923941E-3</v>
      </c>
      <c r="N1181">
        <v>0.11916381498858505</v>
      </c>
      <c r="O1181">
        <v>3.6380804411150887E-2</v>
      </c>
      <c r="P1181">
        <v>1.8768743703857272E-2</v>
      </c>
      <c r="Q1181">
        <v>1.2615577395994912E-3</v>
      </c>
      <c r="R1181">
        <v>1.3627131326091407E-3</v>
      </c>
      <c r="S1181">
        <v>0.21806463035096063</v>
      </c>
      <c r="T1181">
        <v>3.8919528870012052</v>
      </c>
      <c r="U1181">
        <v>0</v>
      </c>
      <c r="V1181">
        <v>9.4523053561131939E-3</v>
      </c>
      <c r="W1181">
        <v>7.0879264159378216E-2</v>
      </c>
      <c r="X1181">
        <v>1.0443903428037681E-2</v>
      </c>
      <c r="Y1181">
        <v>3.8511313509794532E-3</v>
      </c>
    </row>
    <row r="1182" spans="1:25" x14ac:dyDescent="0.25">
      <c r="A1182" s="1090"/>
      <c r="B1182" s="1448">
        <v>932</v>
      </c>
      <c r="C1182" s="1094">
        <v>1.0150265880591025</v>
      </c>
      <c r="D1182" s="1094">
        <v>0.99820767633097807</v>
      </c>
      <c r="E1182" s="1094">
        <v>1.0002633854652891</v>
      </c>
      <c r="F1182" s="1094">
        <v>1.0069637465304322</v>
      </c>
      <c r="G1182" s="1094">
        <v>1.0010800657696151</v>
      </c>
      <c r="H1182" s="1094">
        <v>0.97377445750271552</v>
      </c>
      <c r="I1182" s="1094">
        <v>0.98822871962040459</v>
      </c>
      <c r="K1182">
        <v>4.4962185206428495</v>
      </c>
      <c r="L1182">
        <v>0</v>
      </c>
      <c r="M1182">
        <v>1.4134028834923197E-3</v>
      </c>
      <c r="N1182">
        <v>0.12240369251041129</v>
      </c>
      <c r="O1182">
        <v>3.8112143431511834E-2</v>
      </c>
      <c r="P1182">
        <v>1.9234402351620425E-2</v>
      </c>
      <c r="Q1182">
        <v>1.2854993275815132E-3</v>
      </c>
      <c r="R1182">
        <v>1.4074902261136456E-3</v>
      </c>
      <c r="S1182">
        <v>0.22445125699583285</v>
      </c>
      <c r="T1182">
        <v>3.9936151703405862</v>
      </c>
      <c r="U1182">
        <v>0</v>
      </c>
      <c r="V1182">
        <v>9.4523053561131887E-3</v>
      </c>
      <c r="W1182">
        <v>7.2897778454959816E-2</v>
      </c>
      <c r="X1182">
        <v>1.0794509695817772E-2</v>
      </c>
      <c r="Y1182">
        <v>3.9776748357925546E-3</v>
      </c>
    </row>
    <row r="1183" spans="1:25" x14ac:dyDescent="0.25">
      <c r="A1183" s="1090"/>
      <c r="B1183" s="1448">
        <v>933</v>
      </c>
      <c r="C1183" s="1094">
        <v>1.0029398183309071</v>
      </c>
      <c r="D1183" s="1094">
        <v>0.97223593560369115</v>
      </c>
      <c r="E1183" s="1094">
        <v>0.97525107395500299</v>
      </c>
      <c r="F1183" s="1094">
        <v>1.0025193967955535</v>
      </c>
      <c r="G1183" s="1094">
        <v>0.98986050537260994</v>
      </c>
      <c r="H1183" s="1094">
        <v>0.9760201615813211</v>
      </c>
      <c r="I1183" s="1094">
        <v>0.98818395420239946</v>
      </c>
      <c r="K1183">
        <v>4.4847587851665711</v>
      </c>
      <c r="L1183">
        <v>0</v>
      </c>
      <c r="M1183">
        <v>1.5204345624246687E-3</v>
      </c>
      <c r="N1183">
        <v>0.12225803544732561</v>
      </c>
      <c r="O1183">
        <v>3.8981553803697264E-2</v>
      </c>
      <c r="P1183">
        <v>1.8818795492262647E-2</v>
      </c>
      <c r="Q1183">
        <v>1.286682469266725E-3</v>
      </c>
      <c r="R1183">
        <v>1.5140607794493614E-3</v>
      </c>
      <c r="S1183">
        <v>0.22846410971183573</v>
      </c>
      <c r="T1183">
        <v>3.9769494901459499</v>
      </c>
      <c r="U1183">
        <v>0</v>
      </c>
      <c r="V1183">
        <v>9.4523053561131904E-3</v>
      </c>
      <c r="W1183">
        <v>7.4062858597317233E-2</v>
      </c>
      <c r="X1183">
        <v>1.0212476569980934E-2</v>
      </c>
      <c r="Y1183">
        <v>4.2788513557961393E-3</v>
      </c>
    </row>
    <row r="1184" spans="1:25" x14ac:dyDescent="0.25">
      <c r="A1184" s="1090"/>
      <c r="B1184" s="1448">
        <v>934</v>
      </c>
      <c r="C1184" s="1094">
        <v>1.0165521562385842</v>
      </c>
      <c r="D1184" s="1094">
        <v>0.99948622543749976</v>
      </c>
      <c r="E1184" s="1094">
        <v>1.0181373837423404</v>
      </c>
      <c r="F1184" s="1094">
        <v>1.0200995672184199</v>
      </c>
      <c r="G1184" s="1094">
        <v>1.0373737377118764</v>
      </c>
      <c r="H1184" s="1094">
        <v>0.99852214468550582</v>
      </c>
      <c r="I1184" s="1094">
        <v>0.98923837675895931</v>
      </c>
      <c r="K1184">
        <v>4.5619790190184055</v>
      </c>
      <c r="L1184">
        <v>0</v>
      </c>
      <c r="M1184">
        <v>1.4109969593282343E-3</v>
      </c>
      <c r="N1184">
        <v>0.12885676577121316</v>
      </c>
      <c r="O1184">
        <v>3.8408289817857967E-2</v>
      </c>
      <c r="P1184">
        <v>1.9743979056954693E-2</v>
      </c>
      <c r="Q1184">
        <v>1.3026005659554109E-3</v>
      </c>
      <c r="R1184">
        <v>1.4053144841197226E-3</v>
      </c>
      <c r="S1184">
        <v>0.22809257648862771</v>
      </c>
      <c r="T1184">
        <v>4.0450205886330988</v>
      </c>
      <c r="U1184">
        <v>0</v>
      </c>
      <c r="V1184">
        <v>9.4523053561131817E-3</v>
      </c>
      <c r="W1184">
        <v>7.5825108933264662E-2</v>
      </c>
      <c r="X1184">
        <v>1.1310960847725196E-2</v>
      </c>
      <c r="Y1184">
        <v>3.9715260228076867E-3</v>
      </c>
    </row>
    <row r="1185" spans="1:25" x14ac:dyDescent="0.25">
      <c r="A1185" s="1090"/>
      <c r="B1185" s="1448">
        <v>935</v>
      </c>
      <c r="C1185" s="1094">
        <v>0.99134478009396054</v>
      </c>
      <c r="D1185" s="1094">
        <v>1.0380618628139953</v>
      </c>
      <c r="E1185" s="1094">
        <v>1.0359692182006759</v>
      </c>
      <c r="F1185" s="1094">
        <v>1.0110553752544309</v>
      </c>
      <c r="G1185" s="1094">
        <v>1.0017712513623116</v>
      </c>
      <c r="H1185" s="1094">
        <v>1.0212384540744179</v>
      </c>
      <c r="I1185" s="1094">
        <v>0.99170827354158497</v>
      </c>
      <c r="K1185">
        <v>4.5370194137365054</v>
      </c>
      <c r="L1185">
        <v>0</v>
      </c>
      <c r="M1185">
        <v>1.3912141182493014E-3</v>
      </c>
      <c r="N1185">
        <v>0.13393651043019994</v>
      </c>
      <c r="O1185">
        <v>3.8325392316767098E-2</v>
      </c>
      <c r="P1185">
        <v>1.9850114270672646E-2</v>
      </c>
      <c r="Q1185">
        <v>1.3355550412451687E-3</v>
      </c>
      <c r="R1185">
        <v>1.3856871370385296E-3</v>
      </c>
      <c r="S1185">
        <v>0.23215692836301574</v>
      </c>
      <c r="T1185">
        <v>4.0084800413931934</v>
      </c>
      <c r="U1185">
        <v>0</v>
      </c>
      <c r="V1185">
        <v>9.4523053561131852E-3</v>
      </c>
      <c r="W1185">
        <v>7.7887091085855703E-2</v>
      </c>
      <c r="X1185">
        <v>1.1684944819174646E-2</v>
      </c>
      <c r="Y1185">
        <v>3.9160576414791698E-3</v>
      </c>
    </row>
    <row r="1186" spans="1:25" x14ac:dyDescent="0.25">
      <c r="A1186" s="1090"/>
      <c r="B1186" s="1448">
        <v>936</v>
      </c>
      <c r="C1186" s="1094">
        <v>0.99325509510139964</v>
      </c>
      <c r="D1186" s="1094">
        <v>1.0074938260213351</v>
      </c>
      <c r="E1186" s="1094">
        <v>0.98003413016720031</v>
      </c>
      <c r="F1186" s="1094">
        <v>1.0134389206928973</v>
      </c>
      <c r="G1186" s="1094">
        <v>1.0105868774898479</v>
      </c>
      <c r="H1186" s="1094">
        <v>0.98009140338578749</v>
      </c>
      <c r="I1186" s="1094">
        <v>1.0147178478439129</v>
      </c>
      <c r="K1186">
        <v>4.539165733728292</v>
      </c>
      <c r="L1186">
        <v>0</v>
      </c>
      <c r="M1186">
        <v>1.5209948896958256E-3</v>
      </c>
      <c r="N1186">
        <v>0.12405937965353506</v>
      </c>
      <c r="O1186">
        <v>3.9194135695096798E-2</v>
      </c>
      <c r="P1186">
        <v>1.911611093445215E-2</v>
      </c>
      <c r="Q1186">
        <v>1.2861837112013938E-3</v>
      </c>
      <c r="R1186">
        <v>1.5147133826133403E-3</v>
      </c>
      <c r="S1186">
        <v>0.23637878923737241</v>
      </c>
      <c r="T1186">
        <v>4.0200801479898933</v>
      </c>
      <c r="U1186">
        <v>0</v>
      </c>
      <c r="V1186">
        <v>9.4523053561131869E-3</v>
      </c>
      <c r="W1186">
        <v>7.4907823448206762E-2</v>
      </c>
      <c r="X1186">
        <v>1.0416443547344389E-2</v>
      </c>
      <c r="Y1186">
        <v>4.2806956621614387E-3</v>
      </c>
    </row>
    <row r="1187" spans="1:25" x14ac:dyDescent="0.25">
      <c r="A1187" s="1090"/>
      <c r="B1187" s="1448">
        <v>937</v>
      </c>
      <c r="C1187" s="1094">
        <v>0.9746488711757928</v>
      </c>
      <c r="D1187" s="1094">
        <v>1.0024289812949261</v>
      </c>
      <c r="E1187" s="1094">
        <v>1.0032301736202198</v>
      </c>
      <c r="F1187" s="1094">
        <v>0.99274878031570113</v>
      </c>
      <c r="G1187" s="1094">
        <v>1.0228974391926346</v>
      </c>
      <c r="H1187" s="1094">
        <v>0.97844545574247221</v>
      </c>
      <c r="I1187" s="1094">
        <v>0.97755129569742472</v>
      </c>
      <c r="K1187">
        <v>4.451542498654427</v>
      </c>
      <c r="L1187">
        <v>0</v>
      </c>
      <c r="M1187">
        <v>1.446695341840236E-3</v>
      </c>
      <c r="N1187">
        <v>0.12638793318067765</v>
      </c>
      <c r="O1187">
        <v>3.904401593136686E-2</v>
      </c>
      <c r="P1187">
        <v>1.9040446574377999E-2</v>
      </c>
      <c r="Q1187">
        <v>1.3398958079421494E-3</v>
      </c>
      <c r="R1187">
        <v>1.4405864178199154E-3</v>
      </c>
      <c r="S1187">
        <v>0.22908205501841589</v>
      </c>
      <c r="T1187">
        <v>3.9371265946906959</v>
      </c>
      <c r="U1187">
        <v>0</v>
      </c>
      <c r="V1187">
        <v>9.4523053561131852E-3</v>
      </c>
      <c r="W1187">
        <v>7.5120000219291119E-2</v>
      </c>
      <c r="X1187">
        <v>1.0884153599235597E-2</v>
      </c>
      <c r="Y1187">
        <v>4.0712072003291772E-3</v>
      </c>
    </row>
    <row r="1188" spans="1:25" x14ac:dyDescent="0.25">
      <c r="A1188" s="1090"/>
      <c r="B1188" s="1448">
        <v>938</v>
      </c>
      <c r="C1188" s="1094">
        <v>1.0020504579276106</v>
      </c>
      <c r="D1188" s="1094">
        <v>0.99579035580538033</v>
      </c>
      <c r="E1188" s="1094">
        <v>1.0117466422161587</v>
      </c>
      <c r="F1188" s="1094">
        <v>1.0018760754481379</v>
      </c>
      <c r="G1188" s="1094">
        <v>0.97665198921190333</v>
      </c>
      <c r="H1188" s="1094">
        <v>0.97394897736296593</v>
      </c>
      <c r="I1188" s="1094">
        <v>1.00678329676093</v>
      </c>
      <c r="K1188">
        <v>4.4859335762664792</v>
      </c>
      <c r="L1188">
        <v>0</v>
      </c>
      <c r="M1188">
        <v>1.3920336831977314E-3</v>
      </c>
      <c r="N1188">
        <v>0.12472096435511251</v>
      </c>
      <c r="O1188">
        <v>3.8368857179510607E-2</v>
      </c>
      <c r="P1188">
        <v>1.9334369550834465E-2</v>
      </c>
      <c r="Q1188">
        <v>1.3162509906473544E-3</v>
      </c>
      <c r="R1188">
        <v>1.3861820175591151E-3</v>
      </c>
      <c r="S1188">
        <v>0.23102005262959521</v>
      </c>
      <c r="T1188">
        <v>3.9730006585025999</v>
      </c>
      <c r="U1188">
        <v>0</v>
      </c>
      <c r="V1188">
        <v>9.4523053561131852E-3</v>
      </c>
      <c r="W1188">
        <v>7.3705900395173343E-2</v>
      </c>
      <c r="X1188">
        <v>1.1102612760919827E-2</v>
      </c>
      <c r="Y1188">
        <v>3.9174562116126872E-3</v>
      </c>
    </row>
    <row r="1189" spans="1:25" x14ac:dyDescent="0.25">
      <c r="A1189" s="1090"/>
      <c r="B1189" s="1448">
        <v>939</v>
      </c>
      <c r="C1189" s="1094">
        <v>1.0071823205998613</v>
      </c>
      <c r="D1189" s="1094">
        <v>1.0102710840618698</v>
      </c>
      <c r="E1189" s="1094">
        <v>0.98463526091427234</v>
      </c>
      <c r="F1189" s="1094">
        <v>0.97667916819707989</v>
      </c>
      <c r="G1189" s="1094">
        <v>1.0334292617302996</v>
      </c>
      <c r="H1189" s="1094">
        <v>1.0139367089386595</v>
      </c>
      <c r="I1189" s="1094">
        <v>1.0160338035314345</v>
      </c>
      <c r="K1189">
        <v>4.3806445664544018</v>
      </c>
      <c r="L1189">
        <v>0</v>
      </c>
      <c r="M1189">
        <v>1.4796891439452352E-3</v>
      </c>
      <c r="N1189">
        <v>0.12234766737564254</v>
      </c>
      <c r="O1189">
        <v>3.7178745130857012E-2</v>
      </c>
      <c r="P1189">
        <v>1.8497660712325295E-2</v>
      </c>
      <c r="Q1189">
        <v>1.27206544220473E-3</v>
      </c>
      <c r="R1189">
        <v>1.4735608185444666E-3</v>
      </c>
      <c r="S1189">
        <v>0.23000026947285993</v>
      </c>
      <c r="T1189">
        <v>3.8740900223498231</v>
      </c>
      <c r="U1189">
        <v>0</v>
      </c>
      <c r="V1189">
        <v>9.4523053561131939E-3</v>
      </c>
      <c r="W1189">
        <v>7.3642136797171687E-2</v>
      </c>
      <c r="X1189">
        <v>1.0005426768550141E-2</v>
      </c>
      <c r="Y1189">
        <v>4.1643953742531645E-3</v>
      </c>
    </row>
    <row r="1190" spans="1:25" x14ac:dyDescent="0.25">
      <c r="A1190" s="1090"/>
      <c r="B1190" s="1448">
        <v>940</v>
      </c>
      <c r="C1190" s="1094">
        <v>0.96619090868314128</v>
      </c>
      <c r="D1190" s="1094">
        <v>1.0069161956067003</v>
      </c>
      <c r="E1190" s="1094">
        <v>0.96300057849969112</v>
      </c>
      <c r="F1190" s="1094">
        <v>0.98240623535692251</v>
      </c>
      <c r="G1190" s="1094">
        <v>1.0020826180811591</v>
      </c>
      <c r="H1190" s="1094">
        <v>1.0044423461833258</v>
      </c>
      <c r="I1190" s="1094">
        <v>1.0115546800275945</v>
      </c>
      <c r="K1190">
        <v>4.4204567052475303</v>
      </c>
      <c r="L1190">
        <v>0</v>
      </c>
      <c r="M1190">
        <v>1.6104288347529739E-3</v>
      </c>
      <c r="N1190">
        <v>0.12487246266933331</v>
      </c>
      <c r="O1190">
        <v>3.9185189688851783E-2</v>
      </c>
      <c r="P1190">
        <v>1.8339350789357223E-2</v>
      </c>
      <c r="Q1190">
        <v>1.3029993673552235E-3</v>
      </c>
      <c r="R1190">
        <v>1.6037350745982139E-3</v>
      </c>
      <c r="S1190">
        <v>0.23914916214218546</v>
      </c>
      <c r="T1190">
        <v>3.8976266749498505</v>
      </c>
      <c r="U1190">
        <v>0</v>
      </c>
      <c r="V1190">
        <v>9.4523053561131939E-3</v>
      </c>
      <c r="W1190">
        <v>7.6289020055463855E-2</v>
      </c>
      <c r="X1190">
        <v>9.7139562289784744E-3</v>
      </c>
      <c r="Y1190">
        <v>4.5322777601953584E-3</v>
      </c>
    </row>
    <row r="1191" spans="1:25" x14ac:dyDescent="0.25">
      <c r="A1191" s="1090"/>
      <c r="B1191" s="1448">
        <v>941</v>
      </c>
      <c r="C1191" s="1094">
        <v>0.99660545448950033</v>
      </c>
      <c r="D1191" s="1094">
        <v>0.99505186302154303</v>
      </c>
      <c r="E1191" s="1094">
        <v>0.96894101709829372</v>
      </c>
      <c r="F1191" s="1094">
        <v>0.97065960135466622</v>
      </c>
      <c r="G1191" s="1094">
        <v>0.96985459841972743</v>
      </c>
      <c r="H1191" s="1094">
        <v>1.0463187168089372</v>
      </c>
      <c r="I1191" s="1094">
        <v>0.99255023202526871</v>
      </c>
      <c r="K1191">
        <v>4.3633701621523215</v>
      </c>
      <c r="L1191">
        <v>0</v>
      </c>
      <c r="M1191">
        <v>1.5946786932665817E-3</v>
      </c>
      <c r="N1191">
        <v>0.12586743165398565</v>
      </c>
      <c r="O1191">
        <v>3.767390613394847E-2</v>
      </c>
      <c r="P1191">
        <v>1.817260300661859E-2</v>
      </c>
      <c r="Q1191">
        <v>1.2758586321761196E-3</v>
      </c>
      <c r="R1191">
        <v>1.5882390021907382E-3</v>
      </c>
      <c r="S1191">
        <v>0.2295616691743308</v>
      </c>
      <c r="T1191">
        <v>3.8507995244446063</v>
      </c>
      <c r="U1191">
        <v>0</v>
      </c>
      <c r="V1191">
        <v>9.4523053561131904E-3</v>
      </c>
      <c r="W1191">
        <v>7.658154739184049E-2</v>
      </c>
      <c r="X1191">
        <v>9.5032713732741865E-3</v>
      </c>
      <c r="Y1191">
        <v>4.4884846765026699E-3</v>
      </c>
    </row>
    <row r="1192" spans="1:25" x14ac:dyDescent="0.25">
      <c r="A1192" s="1090"/>
      <c r="B1192" s="1448">
        <v>942</v>
      </c>
      <c r="C1192" s="1094">
        <v>1.0008807015018266</v>
      </c>
      <c r="D1192" s="1094">
        <v>0.99522817858227697</v>
      </c>
      <c r="E1192" s="1094">
        <v>1.0073698250730401</v>
      </c>
      <c r="F1192" s="1094">
        <v>1.0246594798480941</v>
      </c>
      <c r="G1192" s="1094">
        <v>0.9924952674356311</v>
      </c>
      <c r="H1192" s="1094">
        <v>0.99135223801392658</v>
      </c>
      <c r="I1192" s="1094">
        <v>1.0059073967102097</v>
      </c>
      <c r="K1192">
        <v>4.5909713387964777</v>
      </c>
      <c r="L1192">
        <v>0</v>
      </c>
      <c r="M1192">
        <v>1.4644745246225463E-3</v>
      </c>
      <c r="N1192">
        <v>0.12954346450637377</v>
      </c>
      <c r="O1192">
        <v>3.9327000885292222E-2</v>
      </c>
      <c r="P1192">
        <v>1.9708864132815952E-2</v>
      </c>
      <c r="Q1192">
        <v>1.3131818966839886E-3</v>
      </c>
      <c r="R1192">
        <v>1.4585603550093817E-3</v>
      </c>
      <c r="S1192">
        <v>0.23602590191096801</v>
      </c>
      <c r="T1192">
        <v>4.0635196207894255</v>
      </c>
      <c r="U1192">
        <v>0</v>
      </c>
      <c r="V1192">
        <v>9.4523053561131973E-3</v>
      </c>
      <c r="W1192">
        <v>7.6781170629093953E-2</v>
      </c>
      <c r="X1192">
        <v>1.1183739940251264E-2</v>
      </c>
      <c r="Y1192">
        <v>4.1220029190717983E-3</v>
      </c>
    </row>
    <row r="1193" spans="1:25" x14ac:dyDescent="0.25">
      <c r="A1193" s="1090"/>
      <c r="B1193" s="1448">
        <v>943</v>
      </c>
      <c r="C1193" s="1094">
        <v>1.0130039446044725</v>
      </c>
      <c r="D1193" s="1094">
        <v>0.99015390700667749</v>
      </c>
      <c r="E1193" s="1094">
        <v>1.0329313074499042</v>
      </c>
      <c r="F1193" s="1094">
        <v>0.98747816430270263</v>
      </c>
      <c r="G1193" s="1094">
        <v>0.98884624109625108</v>
      </c>
      <c r="H1193" s="1094">
        <v>1.0253929212687103</v>
      </c>
      <c r="I1193" s="1094">
        <v>0.98329283398625278</v>
      </c>
      <c r="K1193">
        <v>4.4297146860929653</v>
      </c>
      <c r="L1193">
        <v>0</v>
      </c>
      <c r="M1193">
        <v>1.3695140628584971E-3</v>
      </c>
      <c r="N1193">
        <v>0.13065868031979497</v>
      </c>
      <c r="O1193">
        <v>3.735076696420573E-2</v>
      </c>
      <c r="P1193">
        <v>1.9338903268570212E-2</v>
      </c>
      <c r="Q1193">
        <v>1.3285481545074517E-3</v>
      </c>
      <c r="R1193">
        <v>1.363966493684953E-3</v>
      </c>
      <c r="S1193">
        <v>0.22516744123518462</v>
      </c>
      <c r="T1193">
        <v>3.9151169707986644</v>
      </c>
      <c r="U1193">
        <v>0</v>
      </c>
      <c r="V1193">
        <v>9.4523053561131869E-3</v>
      </c>
      <c r="W1193">
        <v>7.6133530845462094E-2</v>
      </c>
      <c r="X1193">
        <v>1.1318413274568406E-2</v>
      </c>
      <c r="Y1193">
        <v>3.8546734450692921E-3</v>
      </c>
    </row>
    <row r="1194" spans="1:25" x14ac:dyDescent="0.25">
      <c r="A1194" s="1090"/>
      <c r="B1194" s="1448">
        <v>944</v>
      </c>
      <c r="C1194" s="1094">
        <v>0.99138848703355642</v>
      </c>
      <c r="D1194" s="1094">
        <v>1.009691997005121</v>
      </c>
      <c r="E1194" s="1094">
        <v>0.97067871370852676</v>
      </c>
      <c r="F1194" s="1094">
        <v>0.97786917164396403</v>
      </c>
      <c r="G1194" s="1094">
        <v>0.97603810526186963</v>
      </c>
      <c r="H1194" s="1094">
        <v>1.0133555081408678</v>
      </c>
      <c r="I1194" s="1094">
        <v>1.0173200003244249</v>
      </c>
      <c r="K1194">
        <v>4.3921601698831862</v>
      </c>
      <c r="L1194">
        <v>0</v>
      </c>
      <c r="M1194">
        <v>1.5492863485726106E-3</v>
      </c>
      <c r="N1194">
        <v>0.12290484877425573</v>
      </c>
      <c r="O1194">
        <v>3.7919536299286939E-2</v>
      </c>
      <c r="P1194">
        <v>1.8344183354776378E-2</v>
      </c>
      <c r="Q1194">
        <v>1.277038607041561E-3</v>
      </c>
      <c r="R1194">
        <v>1.5428738773744337E-3</v>
      </c>
      <c r="S1194">
        <v>0.23414919929966635</v>
      </c>
      <c r="T1194">
        <v>3.8793356621455803</v>
      </c>
      <c r="U1194">
        <v>0</v>
      </c>
      <c r="V1194">
        <v>9.4523053561132026E-3</v>
      </c>
      <c r="W1194">
        <v>7.4689426384017918E-2</v>
      </c>
      <c r="X1194">
        <v>9.7341027633331585E-3</v>
      </c>
      <c r="Y1194">
        <v>4.3602793703083568E-3</v>
      </c>
    </row>
    <row r="1195" spans="1:25" x14ac:dyDescent="0.25">
      <c r="A1195" s="1090"/>
      <c r="B1195" s="1448">
        <v>945</v>
      </c>
      <c r="C1195" s="1094">
        <v>1.0022720366589659</v>
      </c>
      <c r="D1195" s="1094">
        <v>0.97273661412266976</v>
      </c>
      <c r="E1195" s="1094">
        <v>0.95857459195140438</v>
      </c>
      <c r="F1195" s="1094">
        <v>0.97480668247325897</v>
      </c>
      <c r="G1195" s="1094">
        <v>0.99606328197673555</v>
      </c>
      <c r="H1195" s="1094">
        <v>1.0010735239967652</v>
      </c>
      <c r="I1195" s="1094">
        <v>1.0073875610052661</v>
      </c>
      <c r="K1195">
        <v>4.3728795264093074</v>
      </c>
      <c r="L1195">
        <v>0</v>
      </c>
      <c r="M1195">
        <v>1.5711706890552352E-3</v>
      </c>
      <c r="N1195">
        <v>0.12023096793222882</v>
      </c>
      <c r="O1195">
        <v>3.8033377489778225E-2</v>
      </c>
      <c r="P1195">
        <v>1.8106865162108951E-2</v>
      </c>
      <c r="Q1195">
        <v>1.2686201563960335E-3</v>
      </c>
      <c r="R1195">
        <v>1.5645672603491296E-3</v>
      </c>
      <c r="S1195">
        <v>0.23058849542371634</v>
      </c>
      <c r="T1195">
        <v>3.8676434242403088</v>
      </c>
      <c r="U1195">
        <v>0</v>
      </c>
      <c r="V1195">
        <v>9.4523053561131921E-3</v>
      </c>
      <c r="W1195">
        <v>7.367939633713512E-2</v>
      </c>
      <c r="X1195">
        <v>9.4610912134198057E-3</v>
      </c>
      <c r="Y1195">
        <v>4.4215865268062895E-3</v>
      </c>
    </row>
    <row r="1196" spans="1:25" x14ac:dyDescent="0.25">
      <c r="A1196" s="1090"/>
      <c r="B1196" s="1448">
        <v>946</v>
      </c>
      <c r="C1196" s="1094">
        <v>1.0344974867545478</v>
      </c>
      <c r="D1196" s="1094">
        <v>1.0056537369502236</v>
      </c>
      <c r="E1196" s="1094">
        <v>1.009550771258219</v>
      </c>
      <c r="F1196" s="1094">
        <v>0.99955614747137589</v>
      </c>
      <c r="G1196" s="1094">
        <v>1.0259997733303479</v>
      </c>
      <c r="H1196" s="1094">
        <v>1.0092962086213684</v>
      </c>
      <c r="I1196" s="1094">
        <v>0.9870236172561796</v>
      </c>
      <c r="K1196">
        <v>4.4640845277184118</v>
      </c>
      <c r="L1196">
        <v>0</v>
      </c>
      <c r="M1196">
        <v>1.3950476507926417E-3</v>
      </c>
      <c r="N1196">
        <v>0.12419824391569677</v>
      </c>
      <c r="O1196">
        <v>3.694801735900962E-2</v>
      </c>
      <c r="P1196">
        <v>1.9215097399957415E-2</v>
      </c>
      <c r="Q1196">
        <v>1.2675784332364429E-3</v>
      </c>
      <c r="R1196">
        <v>1.3893756138675512E-3</v>
      </c>
      <c r="S1196">
        <v>0.22093792923234615</v>
      </c>
      <c r="T1196">
        <v>3.9638839900023757</v>
      </c>
      <c r="U1196">
        <v>0</v>
      </c>
      <c r="V1196">
        <v>9.4523053561131973E-3</v>
      </c>
      <c r="W1196">
        <v>7.3505217582457524E-2</v>
      </c>
      <c r="X1196">
        <v>1.0755338915539869E-2</v>
      </c>
      <c r="Y1196">
        <v>3.9264815585998702E-3</v>
      </c>
    </row>
    <row r="1197" spans="1:25" x14ac:dyDescent="0.25">
      <c r="A1197" s="1090"/>
      <c r="B1197" s="1448">
        <v>947</v>
      </c>
      <c r="C1197" s="1094">
        <v>1.0385855232089443</v>
      </c>
      <c r="D1197" s="1094">
        <v>0.99407934800989106</v>
      </c>
      <c r="E1197" s="1094">
        <v>1.0441599426967871</v>
      </c>
      <c r="F1197" s="1094">
        <v>0.97144053276148645</v>
      </c>
      <c r="G1197" s="1094">
        <v>1.0032210600758211</v>
      </c>
      <c r="H1197" s="1094">
        <v>0.98216224839071864</v>
      </c>
      <c r="I1197" s="1094">
        <v>0.96322198846124429</v>
      </c>
      <c r="K1197">
        <v>4.3320982743922567</v>
      </c>
      <c r="L1197">
        <v>0</v>
      </c>
      <c r="M1197">
        <v>1.2272416424046122E-3</v>
      </c>
      <c r="N1197">
        <v>0.12100453018631524</v>
      </c>
      <c r="O1197">
        <v>3.5709762242639186E-2</v>
      </c>
      <c r="P1197">
        <v>1.9121972592520055E-2</v>
      </c>
      <c r="Q1197">
        <v>1.3059823881413396E-3</v>
      </c>
      <c r="R1197">
        <v>1.2219662485098552E-3</v>
      </c>
      <c r="S1197">
        <v>0.20956229211309163</v>
      </c>
      <c r="T1197">
        <v>3.8511240492375225</v>
      </c>
      <c r="U1197">
        <v>0</v>
      </c>
      <c r="V1197">
        <v>9.4523053561131783E-3</v>
      </c>
      <c r="W1197">
        <v>6.9988723895264907E-2</v>
      </c>
      <c r="X1197">
        <v>1.138056186354563E-2</v>
      </c>
      <c r="Y1197">
        <v>3.453369910998602E-3</v>
      </c>
    </row>
    <row r="1198" spans="1:25" x14ac:dyDescent="0.25">
      <c r="A1198" s="1090"/>
      <c r="B1198" s="1448">
        <v>948</v>
      </c>
      <c r="C1198" s="1094">
        <v>1.0064354770217503</v>
      </c>
      <c r="D1198" s="1094">
        <v>0.99309291161393509</v>
      </c>
      <c r="E1198" s="1094">
        <v>1.0371132408247499</v>
      </c>
      <c r="F1198" s="1094">
        <v>1.0380163828475624</v>
      </c>
      <c r="G1198" s="1094">
        <v>0.98724821455435596</v>
      </c>
      <c r="H1198" s="1094">
        <v>1.0270517722287014</v>
      </c>
      <c r="I1198" s="1094">
        <v>1.0078243313445554</v>
      </c>
      <c r="K1198">
        <v>4.6616814255503156</v>
      </c>
      <c r="L1198">
        <v>0</v>
      </c>
      <c r="M1198">
        <v>1.4365564144510547E-3</v>
      </c>
      <c r="N1198">
        <v>0.13878745243479598</v>
      </c>
      <c r="O1198">
        <v>3.9441925713747765E-2</v>
      </c>
      <c r="P1198">
        <v>2.0403665132001651E-2</v>
      </c>
      <c r="Q1198">
        <v>1.3403245687622395E-3</v>
      </c>
      <c r="R1198">
        <v>1.4310284145950742E-3</v>
      </c>
      <c r="S1198">
        <v>0.2402261103049278</v>
      </c>
      <c r="T1198">
        <v>4.1153265734472901</v>
      </c>
      <c r="U1198">
        <v>0</v>
      </c>
      <c r="V1198">
        <v>9.4523053561131991E-3</v>
      </c>
      <c r="W1198">
        <v>8.0647162436873393E-2</v>
      </c>
      <c r="X1198">
        <v>1.2017238602159273E-2</v>
      </c>
      <c r="Y1198">
        <v>4.0441955534967515E-3</v>
      </c>
    </row>
    <row r="1199" spans="1:25" x14ac:dyDescent="0.25">
      <c r="A1199" s="1090"/>
      <c r="B1199" s="1448">
        <v>949</v>
      </c>
      <c r="C1199" s="1094">
        <v>1.0070559234706473</v>
      </c>
      <c r="D1199" s="1094">
        <v>0.98651511622994337</v>
      </c>
      <c r="E1199" s="1094">
        <v>1.0195636527225418</v>
      </c>
      <c r="F1199" s="1094">
        <v>0.99724781186176992</v>
      </c>
      <c r="G1199" s="1094">
        <v>0.97835320730009123</v>
      </c>
      <c r="H1199" s="1094">
        <v>0.99759223924811591</v>
      </c>
      <c r="I1199" s="1094">
        <v>0.96008497012703597</v>
      </c>
      <c r="K1199">
        <v>4.461507970028471</v>
      </c>
      <c r="L1199">
        <v>0</v>
      </c>
      <c r="M1199">
        <v>1.3943091386807653E-3</v>
      </c>
      <c r="N1199">
        <v>0.12785897919427791</v>
      </c>
      <c r="O1199">
        <v>3.8090733924403451E-2</v>
      </c>
      <c r="P1199">
        <v>1.9312817850421875E-2</v>
      </c>
      <c r="Q1199">
        <v>1.3233694747023703E-3</v>
      </c>
      <c r="R1199">
        <v>1.3885603725872365E-3</v>
      </c>
      <c r="S1199">
        <v>0.22086392533400204</v>
      </c>
      <c r="T1199">
        <v>3.9543524169479891</v>
      </c>
      <c r="U1199">
        <v>0</v>
      </c>
      <c r="V1199">
        <v>9.4523053561131939E-3</v>
      </c>
      <c r="W1199">
        <v>7.5166392365303356E-2</v>
      </c>
      <c r="X1199">
        <v>1.1168600722848303E-2</v>
      </c>
      <c r="Y1199">
        <v>3.9241776245009736E-3</v>
      </c>
    </row>
    <row r="1200" spans="1:25" x14ac:dyDescent="0.25">
      <c r="A1200" s="1090"/>
      <c r="B1200" s="1448">
        <v>950</v>
      </c>
      <c r="C1200" s="1094">
        <v>1.0010404742702881</v>
      </c>
      <c r="D1200" s="1094">
        <v>0.99627272561361679</v>
      </c>
      <c r="E1200" s="1094">
        <v>1.0366811558193445</v>
      </c>
      <c r="F1200" s="1094">
        <v>1.0355159351701899</v>
      </c>
      <c r="G1200" s="1094">
        <v>0.99648859308872473</v>
      </c>
      <c r="H1200" s="1094">
        <v>0.98789659413452446</v>
      </c>
      <c r="I1200" s="1094">
        <v>0.98047598556287818</v>
      </c>
      <c r="K1200">
        <v>4.6347011411990193</v>
      </c>
      <c r="L1200">
        <v>0</v>
      </c>
      <c r="M1200">
        <v>1.3853991030417416E-3</v>
      </c>
      <c r="N1200">
        <v>0.13365254563980267</v>
      </c>
      <c r="O1200">
        <v>3.9511507575509912E-2</v>
      </c>
      <c r="P1200">
        <v>2.0309533375343004E-2</v>
      </c>
      <c r="Q1200">
        <v>1.3453393005890739E-3</v>
      </c>
      <c r="R1200">
        <v>1.3798433316828582E-3</v>
      </c>
      <c r="S1200">
        <v>0.23133979720888459</v>
      </c>
      <c r="T1200">
        <v>4.1054300116732261</v>
      </c>
      <c r="U1200">
        <v>0</v>
      </c>
      <c r="V1200">
        <v>9.4523053561131869E-3</v>
      </c>
      <c r="W1200">
        <v>7.7685475850522115E-2</v>
      </c>
      <c r="X1200">
        <v>1.2080638388996102E-2</v>
      </c>
      <c r="Y1200">
        <v>3.8995426013906107E-3</v>
      </c>
    </row>
    <row r="1201" spans="1:25" x14ac:dyDescent="0.25">
      <c r="A1201" s="1090"/>
      <c r="B1201" s="1448">
        <v>951</v>
      </c>
      <c r="C1201" s="1094">
        <v>0.98400689959777532</v>
      </c>
      <c r="D1201" s="1094">
        <v>0.98825253856755191</v>
      </c>
      <c r="E1201" s="1094">
        <v>1.0103256544404839</v>
      </c>
      <c r="F1201" s="1094">
        <v>1.0376536110552901</v>
      </c>
      <c r="G1201" s="1094">
        <v>0.9742895207150416</v>
      </c>
      <c r="H1201" s="1094">
        <v>1.004722975173276</v>
      </c>
      <c r="I1201" s="1094">
        <v>0.99450151151774691</v>
      </c>
      <c r="K1201">
        <v>4.6594362151834439</v>
      </c>
      <c r="L1201">
        <v>0</v>
      </c>
      <c r="M1201">
        <v>1.5235272477139841E-3</v>
      </c>
      <c r="N1201">
        <v>0.1359659253649565</v>
      </c>
      <c r="O1201">
        <v>4.0601256235677619E-2</v>
      </c>
      <c r="P1201">
        <v>2.0010318887958994E-2</v>
      </c>
      <c r="Q1201">
        <v>1.3428421019270054E-3</v>
      </c>
      <c r="R1201">
        <v>1.5175321982298048E-3</v>
      </c>
      <c r="S1201">
        <v>0.24096831936964502</v>
      </c>
      <c r="T1201">
        <v>4.1149345034519946</v>
      </c>
      <c r="U1201">
        <v>0</v>
      </c>
      <c r="V1201">
        <v>9.4523053561131817E-3</v>
      </c>
      <c r="W1201">
        <v>8.0427926332607952E-2</v>
      </c>
      <c r="X1201">
        <v>1.1450151281747242E-2</v>
      </c>
      <c r="Y1201">
        <v>4.2886618502999581E-3</v>
      </c>
    </row>
    <row r="1202" spans="1:25" x14ac:dyDescent="0.25">
      <c r="A1202" s="1090"/>
      <c r="B1202" s="1448">
        <v>952</v>
      </c>
      <c r="C1202" s="1094">
        <v>1.0060855896452294</v>
      </c>
      <c r="D1202" s="1094">
        <v>1.0019663591589421</v>
      </c>
      <c r="E1202" s="1094">
        <v>0.96553246483928201</v>
      </c>
      <c r="F1202" s="1094">
        <v>1.0124171711957399</v>
      </c>
      <c r="G1202" s="1094">
        <v>1.0146137549445586</v>
      </c>
      <c r="H1202" s="1094">
        <v>1.0173908194177672</v>
      </c>
      <c r="I1202" s="1094">
        <v>1.0276577365630941</v>
      </c>
      <c r="K1202">
        <v>4.54130510777156</v>
      </c>
      <c r="L1202">
        <v>0</v>
      </c>
      <c r="M1202">
        <v>1.6087943317639084E-3</v>
      </c>
      <c r="N1202">
        <v>0.12570954028772566</v>
      </c>
      <c r="O1202">
        <v>3.884009302308862E-2</v>
      </c>
      <c r="P1202">
        <v>1.8903872069280504E-2</v>
      </c>
      <c r="Q1202">
        <v>1.2565866065930484E-3</v>
      </c>
      <c r="R1202">
        <v>1.6023873764565533E-3</v>
      </c>
      <c r="S1202">
        <v>0.23948993856119832</v>
      </c>
      <c r="T1202">
        <v>4.0165936110468721</v>
      </c>
      <c r="U1202">
        <v>0</v>
      </c>
      <c r="V1202">
        <v>9.4523053561131852E-3</v>
      </c>
      <c r="W1202">
        <v>7.6665874855282951E-2</v>
      </c>
      <c r="X1202">
        <v>9.8712238583600048E-3</v>
      </c>
      <c r="Y1202">
        <v>4.5284690623551395E-3</v>
      </c>
    </row>
    <row r="1203" spans="1:25" x14ac:dyDescent="0.25">
      <c r="A1203" s="1090"/>
      <c r="B1203" s="1448">
        <v>953</v>
      </c>
      <c r="C1203" s="1094">
        <v>1.0052430459338846</v>
      </c>
      <c r="D1203" s="1094">
        <v>1.0456853288543959</v>
      </c>
      <c r="E1203" s="1094">
        <v>1.0415887487943258</v>
      </c>
      <c r="F1203" s="1094">
        <v>1.0161672155473291</v>
      </c>
      <c r="G1203" s="1094">
        <v>0.99993416659775525</v>
      </c>
      <c r="H1203" s="1094">
        <v>0.9863160612754196</v>
      </c>
      <c r="I1203" s="1094">
        <v>1.0034506204795961</v>
      </c>
      <c r="K1203">
        <v>4.5448750724523999</v>
      </c>
      <c r="L1203">
        <v>0</v>
      </c>
      <c r="M1203">
        <v>1.3121309232079468E-3</v>
      </c>
      <c r="N1203">
        <v>0.12842226198022594</v>
      </c>
      <c r="O1203">
        <v>3.7837072764822947E-2</v>
      </c>
      <c r="P1203">
        <v>2.001134815493159E-2</v>
      </c>
      <c r="Q1203">
        <v>1.319426364687841E-3</v>
      </c>
      <c r="R1203">
        <v>1.3067605945617639E-3</v>
      </c>
      <c r="S1203">
        <v>0.22932254592906032</v>
      </c>
      <c r="T1203">
        <v>4.0285333854837733</v>
      </c>
      <c r="U1203">
        <v>0</v>
      </c>
      <c r="V1203">
        <v>9.4523053561131904E-3</v>
      </c>
      <c r="W1203">
        <v>7.4404628959972754E-2</v>
      </c>
      <c r="X1203">
        <v>1.1884462580773244E-2</v>
      </c>
      <c r="Y1203">
        <v>3.6930052066833697E-3</v>
      </c>
    </row>
    <row r="1204" spans="1:25" x14ac:dyDescent="0.25">
      <c r="A1204" s="1090"/>
      <c r="B1204" s="1448">
        <v>954</v>
      </c>
      <c r="C1204" s="1094">
        <v>0.98012773466149539</v>
      </c>
      <c r="D1204" s="1094">
        <v>0.97856712292550097</v>
      </c>
      <c r="E1204" s="1094">
        <v>1.0125528883271568</v>
      </c>
      <c r="F1204" s="1094">
        <v>0.99162099759145828</v>
      </c>
      <c r="G1204" s="1094">
        <v>1.0288171498530534</v>
      </c>
      <c r="H1204" s="1094">
        <v>1.0239849947150499</v>
      </c>
      <c r="I1204" s="1094">
        <v>0.97113628950650677</v>
      </c>
      <c r="K1204">
        <v>4.4605037098802747</v>
      </c>
      <c r="L1204">
        <v>0</v>
      </c>
      <c r="M1204">
        <v>1.4888683361258459E-3</v>
      </c>
      <c r="N1204">
        <v>0.13373779947549649</v>
      </c>
      <c r="O1204">
        <v>3.9091787475744037E-2</v>
      </c>
      <c r="P1204">
        <v>1.9159941171894884E-2</v>
      </c>
      <c r="Q1204">
        <v>1.3560456847578918E-3</v>
      </c>
      <c r="R1204">
        <v>1.482854126389773E-3</v>
      </c>
      <c r="S1204">
        <v>0.23122373589909584</v>
      </c>
      <c r="T1204">
        <v>3.9323032580709385</v>
      </c>
      <c r="U1204">
        <v>0</v>
      </c>
      <c r="V1204">
        <v>9.4523053561131904E-3</v>
      </c>
      <c r="W1204">
        <v>7.8991844069419379E-2</v>
      </c>
      <c r="X1204">
        <v>1.1002347914816329E-2</v>
      </c>
      <c r="Y1204">
        <v>4.1906589717344888E-3</v>
      </c>
    </row>
    <row r="1205" spans="1:25" x14ac:dyDescent="0.25">
      <c r="A1205" s="1090"/>
      <c r="B1205" s="1448">
        <v>955</v>
      </c>
      <c r="C1205" s="1094">
        <v>1.0099388119739585</v>
      </c>
      <c r="D1205" s="1094">
        <v>1.0394254016406372</v>
      </c>
      <c r="E1205" s="1094">
        <v>0.96862522743675594</v>
      </c>
      <c r="F1205" s="1094">
        <v>0.97426707776393828</v>
      </c>
      <c r="G1205" s="1094">
        <v>0.96886325983926658</v>
      </c>
      <c r="H1205" s="1094">
        <v>0.99007942075723743</v>
      </c>
      <c r="I1205" s="1094">
        <v>0.9825994001594397</v>
      </c>
      <c r="K1205">
        <v>4.3486426638677322</v>
      </c>
      <c r="L1205">
        <v>0</v>
      </c>
      <c r="M1205">
        <v>1.4696707758533505E-3</v>
      </c>
      <c r="N1205">
        <v>0.1158670008088528</v>
      </c>
      <c r="O1205">
        <v>3.6671201298681871E-2</v>
      </c>
      <c r="P1205">
        <v>1.8179860471833256E-2</v>
      </c>
      <c r="Q1205">
        <v>1.2368920735521931E-3</v>
      </c>
      <c r="R1205">
        <v>1.4634219045049639E-3</v>
      </c>
      <c r="S1205">
        <v>0.21786326994008681</v>
      </c>
      <c r="T1205">
        <v>3.8651229944742393</v>
      </c>
      <c r="U1205">
        <v>0</v>
      </c>
      <c r="V1205">
        <v>9.4523053561131869E-3</v>
      </c>
      <c r="W1205">
        <v>7.0512354691146487E-2</v>
      </c>
      <c r="X1205">
        <v>9.6072915954667527E-3</v>
      </c>
      <c r="Y1205">
        <v>4.1357420291080593E-3</v>
      </c>
    </row>
    <row r="1206" spans="1:25" x14ac:dyDescent="0.25">
      <c r="A1206" s="1090"/>
      <c r="B1206" s="1448">
        <v>956</v>
      </c>
      <c r="C1206" s="1094">
        <v>1.0175667533287607</v>
      </c>
      <c r="D1206" s="1094">
        <v>0.99730511274066946</v>
      </c>
      <c r="E1206" s="1094">
        <v>0.97909581085503805</v>
      </c>
      <c r="F1206" s="1094">
        <v>1.0008157747948396</v>
      </c>
      <c r="G1206" s="1094">
        <v>0.9803303626240476</v>
      </c>
      <c r="H1206" s="1094">
        <v>1.0040336349838528</v>
      </c>
      <c r="I1206" s="1094">
        <v>1.040407076872121</v>
      </c>
      <c r="K1206">
        <v>4.4862864783757423</v>
      </c>
      <c r="L1206">
        <v>0</v>
      </c>
      <c r="M1206">
        <v>1.5111488134659659E-3</v>
      </c>
      <c r="N1206">
        <v>0.12291947302150548</v>
      </c>
      <c r="O1206">
        <v>3.794142631776648E-2</v>
      </c>
      <c r="P1206">
        <v>1.8881916317391903E-2</v>
      </c>
      <c r="Q1206">
        <v>1.259542454153009E-3</v>
      </c>
      <c r="R1206">
        <v>1.5049802659088407E-3</v>
      </c>
      <c r="S1206">
        <v>0.23715545689314302</v>
      </c>
      <c r="T1206">
        <v>3.9700431363041369</v>
      </c>
      <c r="U1206">
        <v>0</v>
      </c>
      <c r="V1206">
        <v>9.4523053561131852E-3</v>
      </c>
      <c r="W1206">
        <v>7.4267283950870427E-2</v>
      </c>
      <c r="X1206">
        <v>1.0118917176954076E-2</v>
      </c>
      <c r="Y1206">
        <v>4.2531891312662159E-3</v>
      </c>
    </row>
    <row r="1207" spans="1:25" x14ac:dyDescent="0.25">
      <c r="A1207" s="1090"/>
      <c r="B1207" s="1448">
        <v>957</v>
      </c>
      <c r="C1207" s="1094">
        <v>0.99690442293468029</v>
      </c>
      <c r="D1207" s="1094">
        <v>0.99505728955828499</v>
      </c>
      <c r="E1207" s="1094">
        <v>0.99836939686037773</v>
      </c>
      <c r="F1207" s="1094">
        <v>1.0102081720998244</v>
      </c>
      <c r="G1207" s="1094">
        <v>1.004136041902044</v>
      </c>
      <c r="H1207" s="1094">
        <v>0.999692304256525</v>
      </c>
      <c r="I1207" s="1094">
        <v>0.99808804090279768</v>
      </c>
      <c r="K1207">
        <v>4.5289676707540831</v>
      </c>
      <c r="L1207">
        <v>0</v>
      </c>
      <c r="M1207">
        <v>1.48994547552667E-3</v>
      </c>
      <c r="N1207">
        <v>0.12832598224660099</v>
      </c>
      <c r="O1207">
        <v>3.899244930380226E-2</v>
      </c>
      <c r="P1207">
        <v>1.9307274518775671E-2</v>
      </c>
      <c r="Q1207">
        <v>1.3083972441557204E-3</v>
      </c>
      <c r="R1207">
        <v>1.4838936306765245E-3</v>
      </c>
      <c r="S1207">
        <v>0.23352415831220505</v>
      </c>
      <c r="T1207">
        <v>4.0065554376508636</v>
      </c>
      <c r="U1207">
        <v>0</v>
      </c>
      <c r="V1207">
        <v>9.4523053561131991E-3</v>
      </c>
      <c r="W1207">
        <v>7.6522750016176033E-2</v>
      </c>
      <c r="X1207">
        <v>1.0791371260024224E-2</v>
      </c>
      <c r="Y1207">
        <v>4.1935966902112466E-3</v>
      </c>
    </row>
    <row r="1208" spans="1:25" x14ac:dyDescent="0.25">
      <c r="A1208" s="1090"/>
      <c r="B1208" s="1448">
        <v>958</v>
      </c>
      <c r="C1208" s="1094">
        <v>0.99609741120021655</v>
      </c>
      <c r="D1208" s="1094">
        <v>0.98984095945831185</v>
      </c>
      <c r="E1208" s="1094">
        <v>1.026119303057903</v>
      </c>
      <c r="F1208" s="1094">
        <v>1.005773952219023</v>
      </c>
      <c r="G1208" s="1094">
        <v>1.0184326495694711</v>
      </c>
      <c r="H1208" s="1094">
        <v>1.0118583780901718</v>
      </c>
      <c r="I1208" s="1094">
        <v>1.0415545487592353</v>
      </c>
      <c r="K1208">
        <v>4.527643384936578</v>
      </c>
      <c r="L1208">
        <v>0</v>
      </c>
      <c r="M1208">
        <v>1.4202289473298996E-3</v>
      </c>
      <c r="N1208">
        <v>0.13279826023319977</v>
      </c>
      <c r="O1208">
        <v>3.874099509857231E-2</v>
      </c>
      <c r="P1208">
        <v>1.9670866742956088E-2</v>
      </c>
      <c r="Q1208">
        <v>1.3435478315041926E-3</v>
      </c>
      <c r="R1208">
        <v>1.4145046114837092E-3</v>
      </c>
      <c r="S1208">
        <v>0.24452829403044646</v>
      </c>
      <c r="T1208">
        <v>3.9879125564105706</v>
      </c>
      <c r="U1208">
        <v>0</v>
      </c>
      <c r="V1208">
        <v>9.4523053561131852E-3</v>
      </c>
      <c r="W1208">
        <v>7.7730255675036941E-2</v>
      </c>
      <c r="X1208">
        <v>1.1474529869656143E-2</v>
      </c>
      <c r="Y1208">
        <v>3.9974980243713447E-3</v>
      </c>
    </row>
    <row r="1209" spans="1:25" x14ac:dyDescent="0.25">
      <c r="A1209" s="1090"/>
      <c r="B1209" s="1448">
        <v>959</v>
      </c>
      <c r="C1209" s="1094">
        <v>0.99323046937103809</v>
      </c>
      <c r="D1209" s="1094">
        <v>1.0125962311132517</v>
      </c>
      <c r="E1209" s="1094">
        <v>0.99422996032750544</v>
      </c>
      <c r="F1209" s="1094">
        <v>0.97712591582940789</v>
      </c>
      <c r="G1209" s="1094">
        <v>1.0028729892787289</v>
      </c>
      <c r="H1209" s="1094">
        <v>1.0256907441009582</v>
      </c>
      <c r="I1209" s="1094">
        <v>1.0317107820307263</v>
      </c>
      <c r="K1209">
        <v>4.3967741118467991</v>
      </c>
      <c r="L1209">
        <v>0</v>
      </c>
      <c r="M1209">
        <v>1.4868657316998784E-3</v>
      </c>
      <c r="N1209">
        <v>0.12649535721053229</v>
      </c>
      <c r="O1209">
        <v>3.7619194109539053E-2</v>
      </c>
      <c r="P1209">
        <v>1.8672659415410464E-2</v>
      </c>
      <c r="Q1209">
        <v>1.2994616674959203E-3</v>
      </c>
      <c r="R1209">
        <v>1.4807810240201583E-3</v>
      </c>
      <c r="S1209">
        <v>0.23763636501627064</v>
      </c>
      <c r="T1209">
        <v>3.8755032288888422</v>
      </c>
      <c r="U1209">
        <v>0</v>
      </c>
      <c r="V1209">
        <v>9.4523053561132026E-3</v>
      </c>
      <c r="W1209">
        <v>7.5642984644222616E-2</v>
      </c>
      <c r="X1209">
        <v>1.0273840019882633E-2</v>
      </c>
      <c r="Y1209">
        <v>4.1848002261640795E-3</v>
      </c>
    </row>
    <row r="1210" spans="1:25" x14ac:dyDescent="0.25">
      <c r="A1210" s="1090"/>
      <c r="B1210" s="1448">
        <v>960</v>
      </c>
      <c r="C1210" s="1094">
        <v>1.0127780182798571</v>
      </c>
      <c r="D1210" s="1094">
        <v>0.97535716207317069</v>
      </c>
      <c r="E1210" s="1094">
        <v>0.99189492508865418</v>
      </c>
      <c r="F1210" s="1094">
        <v>1.0095271923175984</v>
      </c>
      <c r="G1210" s="1094">
        <v>1.0112094869823625</v>
      </c>
      <c r="H1210" s="1094">
        <v>1.0367801436706394</v>
      </c>
      <c r="I1210" s="1094">
        <v>0.97503227560857642</v>
      </c>
      <c r="K1210">
        <v>4.5260019596379886</v>
      </c>
      <c r="L1210">
        <v>0</v>
      </c>
      <c r="M1210">
        <v>1.5532061129987504E-3</v>
      </c>
      <c r="N1210">
        <v>0.13125056298477358</v>
      </c>
      <c r="O1210">
        <v>3.8708178612776395E-2</v>
      </c>
      <c r="P1210">
        <v>1.9180498589505195E-2</v>
      </c>
      <c r="Q1210">
        <v>1.2910270287405251E-3</v>
      </c>
      <c r="R1210">
        <v>1.5471189091560435E-3</v>
      </c>
      <c r="S1210">
        <v>0.22858026063712364</v>
      </c>
      <c r="T1210">
        <v>4.0041041195829497</v>
      </c>
      <c r="U1210">
        <v>0</v>
      </c>
      <c r="V1210">
        <v>9.4523053561131973E-3</v>
      </c>
      <c r="W1210">
        <v>7.8611101521188692E-2</v>
      </c>
      <c r="X1210">
        <v>1.0457716374441641E-2</v>
      </c>
      <c r="Y1210">
        <v>4.372276154216031E-3</v>
      </c>
    </row>
    <row r="1211" spans="1:25" x14ac:dyDescent="0.25">
      <c r="A1211" s="1090"/>
      <c r="B1211" s="1448">
        <v>961</v>
      </c>
      <c r="C1211" s="1094">
        <v>1.0450667384650394</v>
      </c>
      <c r="D1211" s="1094">
        <v>1.0271428639327311</v>
      </c>
      <c r="E1211" s="1094">
        <v>1.0067096979684802</v>
      </c>
      <c r="F1211" s="1094">
        <v>1.0097013180035705</v>
      </c>
      <c r="G1211" s="1094">
        <v>1.0021613623276719</v>
      </c>
      <c r="H1211" s="1094">
        <v>0.9730581414635775</v>
      </c>
      <c r="I1211" s="1094">
        <v>1.0231796941902789</v>
      </c>
      <c r="K1211">
        <v>4.4983133440041216</v>
      </c>
      <c r="L1211">
        <v>0</v>
      </c>
      <c r="M1211">
        <v>1.3415014797100728E-3</v>
      </c>
      <c r="N1211">
        <v>0.11841759939216613</v>
      </c>
      <c r="O1211">
        <v>3.6653090251377592E-2</v>
      </c>
      <c r="P1211">
        <v>1.9373846353246928E-2</v>
      </c>
      <c r="Q1211">
        <v>1.2411815085615727E-3</v>
      </c>
      <c r="R1211">
        <v>1.33590063936416E-3</v>
      </c>
      <c r="S1211">
        <v>0.2241466615869579</v>
      </c>
      <c r="T1211">
        <v>4.0042249311461262</v>
      </c>
      <c r="U1211">
        <v>0</v>
      </c>
      <c r="V1211">
        <v>9.4523053561131991E-3</v>
      </c>
      <c r="W1211">
        <v>7.0217977748947419E-2</v>
      </c>
      <c r="X1211">
        <v>1.0815994302936444E-2</v>
      </c>
      <c r="Y1211">
        <v>3.7753571980321181E-3</v>
      </c>
    </row>
    <row r="1212" spans="1:25" x14ac:dyDescent="0.25">
      <c r="A1212" s="1090"/>
      <c r="B1212" s="1448">
        <v>962</v>
      </c>
      <c r="C1212" s="1094">
        <v>1.0256852252671951</v>
      </c>
      <c r="D1212" s="1094">
        <v>0.9996222233098685</v>
      </c>
      <c r="E1212" s="1094">
        <v>1.0436480962727339</v>
      </c>
      <c r="F1212" s="1094">
        <v>0.98328524132026962</v>
      </c>
      <c r="G1212" s="1094">
        <v>0.97307658158883814</v>
      </c>
      <c r="H1212" s="1094">
        <v>0.99256484779573639</v>
      </c>
      <c r="I1212" s="1094">
        <v>0.99858180426281884</v>
      </c>
      <c r="K1212">
        <v>4.3993901483920013</v>
      </c>
      <c r="L1212">
        <v>0</v>
      </c>
      <c r="M1212">
        <v>1.2696394145960538E-3</v>
      </c>
      <c r="N1212">
        <v>0.12500786499725611</v>
      </c>
      <c r="O1212">
        <v>3.6521851772481531E-2</v>
      </c>
      <c r="P1212">
        <v>1.9394714082595618E-2</v>
      </c>
      <c r="Q1212">
        <v>1.3189072601507339E-3</v>
      </c>
      <c r="R1212">
        <v>1.2643037522426326E-3</v>
      </c>
      <c r="S1212">
        <v>0.22215472914126377</v>
      </c>
      <c r="T1212">
        <v>3.8980992955191924</v>
      </c>
      <c r="U1212">
        <v>0</v>
      </c>
      <c r="V1212">
        <v>9.4523053561131973E-3</v>
      </c>
      <c r="W1212">
        <v>7.232853009235328E-2</v>
      </c>
      <c r="X1212">
        <v>1.1544266904082294E-2</v>
      </c>
      <c r="Y1212">
        <v>3.573018928862933E-3</v>
      </c>
    </row>
    <row r="1213" spans="1:25" x14ac:dyDescent="0.25">
      <c r="A1213" s="1090"/>
      <c r="B1213" s="1448">
        <v>963</v>
      </c>
      <c r="C1213" s="1094">
        <v>1.0198259170808843</v>
      </c>
      <c r="D1213" s="1094">
        <v>0.98152680854932806</v>
      </c>
      <c r="E1213" s="1094">
        <v>0.9749996082714818</v>
      </c>
      <c r="F1213" s="1094">
        <v>0.98209290753764467</v>
      </c>
      <c r="G1213" s="1094">
        <v>0.99980823746003755</v>
      </c>
      <c r="H1213" s="1094">
        <v>0.95859039350049746</v>
      </c>
      <c r="I1213" s="1094">
        <v>0.98221143923632293</v>
      </c>
      <c r="K1213">
        <v>4.3798581859660866</v>
      </c>
      <c r="L1213">
        <v>0</v>
      </c>
      <c r="M1213">
        <v>1.4340506290126441E-3</v>
      </c>
      <c r="N1213">
        <v>0.11520681664832781</v>
      </c>
      <c r="O1213">
        <v>3.7414067907434699E-2</v>
      </c>
      <c r="P1213">
        <v>1.8408448548259123E-2</v>
      </c>
      <c r="Q1213">
        <v>1.2602970535011628E-3</v>
      </c>
      <c r="R1213">
        <v>1.4278028883821521E-3</v>
      </c>
      <c r="S1213">
        <v>0.21837047059266038</v>
      </c>
      <c r="T1213">
        <v>3.8959280418835371</v>
      </c>
      <c r="U1213">
        <v>0</v>
      </c>
      <c r="V1213">
        <v>9.4523053561131869E-3</v>
      </c>
      <c r="W1213">
        <v>6.9803356585825274E-2</v>
      </c>
      <c r="X1213">
        <v>9.9855491608956785E-3</v>
      </c>
      <c r="Y1213">
        <v>4.0350799701617561E-3</v>
      </c>
    </row>
    <row r="1214" spans="1:25" x14ac:dyDescent="0.25">
      <c r="A1214" s="1090"/>
      <c r="B1214" s="1448">
        <v>964</v>
      </c>
      <c r="C1214" s="1094">
        <v>1.0092333420492436</v>
      </c>
      <c r="D1214" s="1094">
        <v>0.9765432210736249</v>
      </c>
      <c r="E1214" s="1094">
        <v>1.0104534589192622</v>
      </c>
      <c r="F1214" s="1094">
        <v>0.98234660543858876</v>
      </c>
      <c r="G1214" s="1094">
        <v>1.0219170480071549</v>
      </c>
      <c r="H1214" s="1094">
        <v>0.98812518039228103</v>
      </c>
      <c r="I1214" s="1094">
        <v>1.0248885369449421</v>
      </c>
      <c r="K1214">
        <v>4.4080220736638251</v>
      </c>
      <c r="L1214">
        <v>0</v>
      </c>
      <c r="M1214">
        <v>1.3895843997961037E-3</v>
      </c>
      <c r="N1214">
        <v>0.12402306905785399</v>
      </c>
      <c r="O1214">
        <v>3.7654683242919054E-2</v>
      </c>
      <c r="P1214">
        <v>1.8969761864713271E-2</v>
      </c>
      <c r="Q1214">
        <v>1.3156771940250615E-3</v>
      </c>
      <c r="R1214">
        <v>1.3837128487949276E-3</v>
      </c>
      <c r="S1214">
        <v>0.23290550583142999</v>
      </c>
      <c r="T1214">
        <v>3.8956034675274731</v>
      </c>
      <c r="U1214">
        <v>0</v>
      </c>
      <c r="V1214">
        <v>9.4523053561131991E-3</v>
      </c>
      <c r="W1214">
        <v>7.3357075940488653E-2</v>
      </c>
      <c r="X1214">
        <v>1.0835921047636353E-2</v>
      </c>
      <c r="Y1214">
        <v>3.9104781521729758E-3</v>
      </c>
    </row>
    <row r="1215" spans="1:25" x14ac:dyDescent="0.25">
      <c r="A1215" s="1090"/>
      <c r="B1215" s="1448">
        <v>965</v>
      </c>
      <c r="C1215" s="1094">
        <v>1.0044763314160441</v>
      </c>
      <c r="D1215" s="1094">
        <v>0.99664083689063776</v>
      </c>
      <c r="E1215" s="1094">
        <v>1.0204104063097448</v>
      </c>
      <c r="F1215" s="1094">
        <v>0.97772816052499534</v>
      </c>
      <c r="G1215" s="1094">
        <v>1.0110542016813293</v>
      </c>
      <c r="H1215" s="1094">
        <v>1.006015233707209</v>
      </c>
      <c r="I1215" s="1094">
        <v>1.0249487170092597</v>
      </c>
      <c r="K1215">
        <v>4.3925608617712024</v>
      </c>
      <c r="L1215">
        <v>0</v>
      </c>
      <c r="M1215">
        <v>1.3741190738704155E-3</v>
      </c>
      <c r="N1215">
        <v>0.12631767536311475</v>
      </c>
      <c r="O1215">
        <v>3.7282762267463354E-2</v>
      </c>
      <c r="P1215">
        <v>1.9024107415711162E-2</v>
      </c>
      <c r="Q1215">
        <v>1.3223067341870498E-3</v>
      </c>
      <c r="R1215">
        <v>1.3683892965400371E-3</v>
      </c>
      <c r="S1215">
        <v>0.2331826417008693</v>
      </c>
      <c r="T1215">
        <v>3.8769205977064876</v>
      </c>
      <c r="U1215">
        <v>0</v>
      </c>
      <c r="V1215">
        <v>9.4523053561131887E-3</v>
      </c>
      <c r="W1215">
        <v>7.4218366556007914E-2</v>
      </c>
      <c r="X1215">
        <v>1.097865582497568E-2</v>
      </c>
      <c r="Y1215">
        <v>3.8671726236027821E-3</v>
      </c>
    </row>
    <row r="1216" spans="1:25" x14ac:dyDescent="0.25">
      <c r="A1216" s="1090"/>
      <c r="B1216" s="1448">
        <v>966</v>
      </c>
      <c r="C1216" s="1094">
        <v>0.96929413570206624</v>
      </c>
      <c r="D1216" s="1094">
        <v>1.0091759342465054</v>
      </c>
      <c r="E1216" s="1094">
        <v>0.98232095833037103</v>
      </c>
      <c r="F1216" s="1094">
        <v>1.026641959458354</v>
      </c>
      <c r="G1216" s="1094">
        <v>1.0177352366001726</v>
      </c>
      <c r="H1216" s="1094">
        <v>1.0155844408417387</v>
      </c>
      <c r="I1216" s="1094">
        <v>1.0318665489317567</v>
      </c>
      <c r="K1216">
        <v>4.6238965673905934</v>
      </c>
      <c r="L1216">
        <v>0</v>
      </c>
      <c r="M1216">
        <v>1.6270694952025156E-3</v>
      </c>
      <c r="N1216">
        <v>0.13364107057095054</v>
      </c>
      <c r="O1216">
        <v>4.0642599005482276E-2</v>
      </c>
      <c r="P1216">
        <v>1.9450939105546676E-2</v>
      </c>
      <c r="Q1216">
        <v>1.3197141295133907E-3</v>
      </c>
      <c r="R1216">
        <v>1.6206678158186385E-3</v>
      </c>
      <c r="S1216">
        <v>0.25129660661004388</v>
      </c>
      <c r="T1216">
        <v>4.0723633538501991</v>
      </c>
      <c r="U1216">
        <v>0</v>
      </c>
      <c r="V1216">
        <v>9.4523053561131956E-3</v>
      </c>
      <c r="W1216">
        <v>8.0567079614277892E-2</v>
      </c>
      <c r="X1216">
        <v>1.0589169848209958E-2</v>
      </c>
      <c r="Y1216">
        <v>4.5801309796379142E-3</v>
      </c>
    </row>
    <row r="1217" spans="1:25" x14ac:dyDescent="0.25">
      <c r="A1217" s="1090"/>
      <c r="B1217" s="1448">
        <v>967</v>
      </c>
      <c r="C1217" s="1094">
        <v>0.99161851412420243</v>
      </c>
      <c r="D1217" s="1094">
        <v>0.98282779759352945</v>
      </c>
      <c r="E1217" s="1094">
        <v>1.0043927384641125</v>
      </c>
      <c r="F1217" s="1094">
        <v>1.0022241601398048</v>
      </c>
      <c r="G1217" s="1094">
        <v>0.99412564576496132</v>
      </c>
      <c r="H1217" s="1094">
        <v>0.99316863918819298</v>
      </c>
      <c r="I1217" s="1094">
        <v>0.99116110244602507</v>
      </c>
      <c r="K1217">
        <v>4.4957650904514788</v>
      </c>
      <c r="L1217">
        <v>0</v>
      </c>
      <c r="M1217">
        <v>1.4650151994193171E-3</v>
      </c>
      <c r="N1217">
        <v>0.12844304902274364</v>
      </c>
      <c r="O1217">
        <v>3.9041240092253043E-2</v>
      </c>
      <c r="P1217">
        <v>1.9242730494194421E-2</v>
      </c>
      <c r="Q1217">
        <v>1.3287299438690895E-3</v>
      </c>
      <c r="R1217">
        <v>1.4589780092929734E-3</v>
      </c>
      <c r="S1217">
        <v>0.23226781658936724</v>
      </c>
      <c r="T1217">
        <v>3.9746605656775236</v>
      </c>
      <c r="U1217">
        <v>0</v>
      </c>
      <c r="V1217">
        <v>9.4523053561132026E-3</v>
      </c>
      <c r="W1217">
        <v>7.6281673137726214E-2</v>
      </c>
      <c r="X1217">
        <v>1.0929834085847148E-2</v>
      </c>
      <c r="Y1217">
        <v>4.1231832419636244E-3</v>
      </c>
    </row>
    <row r="1218" spans="1:25" x14ac:dyDescent="0.25">
      <c r="A1218" s="1090"/>
      <c r="B1218" s="1448">
        <v>968</v>
      </c>
      <c r="C1218" s="1094">
        <v>0.99543592972380701</v>
      </c>
      <c r="D1218" s="1094">
        <v>0.96925472704269489</v>
      </c>
      <c r="E1218" s="1094">
        <v>0.97504513501045542</v>
      </c>
      <c r="F1218" s="1094">
        <v>1.0031663152196755</v>
      </c>
      <c r="G1218" s="1094">
        <v>0.98197991696945919</v>
      </c>
      <c r="H1218" s="1094">
        <v>0.97626890768414043</v>
      </c>
      <c r="I1218" s="1094">
        <v>0.97179852299736658</v>
      </c>
      <c r="K1218">
        <v>4.4878985670909088</v>
      </c>
      <c r="L1218">
        <v>0</v>
      </c>
      <c r="M1218">
        <v>1.5358191766003814E-3</v>
      </c>
      <c r="N1218">
        <v>0.12342010584169688</v>
      </c>
      <c r="O1218">
        <v>3.9350496686180479E-2</v>
      </c>
      <c r="P1218">
        <v>1.8819455263270824E-2</v>
      </c>
      <c r="Q1218">
        <v>1.2977426142774437E-3</v>
      </c>
      <c r="R1218">
        <v>1.5293866743835986E-3</v>
      </c>
      <c r="S1218">
        <v>0.22669943127501835</v>
      </c>
      <c r="T1218">
        <v>3.9795237490217725</v>
      </c>
      <c r="U1218">
        <v>0</v>
      </c>
      <c r="V1218">
        <v>9.4523053561131869E-3</v>
      </c>
      <c r="W1218">
        <v>7.4777415753467788E-2</v>
      </c>
      <c r="X1218">
        <v>1.0242134276373046E-2</v>
      </c>
      <c r="Y1218">
        <v>4.3221635049570202E-3</v>
      </c>
    </row>
    <row r="1219" spans="1:25" x14ac:dyDescent="0.25">
      <c r="A1219" s="1090"/>
      <c r="B1219" s="1448">
        <v>969</v>
      </c>
      <c r="C1219" s="1094">
        <v>1.0128801030853773</v>
      </c>
      <c r="D1219" s="1094">
        <v>0.98847467840911407</v>
      </c>
      <c r="E1219" s="1094">
        <v>0.99846163578833991</v>
      </c>
      <c r="F1219" s="1094">
        <v>0.99770498610671654</v>
      </c>
      <c r="G1219" s="1094">
        <v>1.037529020256589</v>
      </c>
      <c r="H1219" s="1094">
        <v>1.0040112525816394</v>
      </c>
      <c r="I1219" s="1094">
        <v>0.99621940649818042</v>
      </c>
      <c r="K1219">
        <v>4.468262402358623</v>
      </c>
      <c r="L1219">
        <v>0</v>
      </c>
      <c r="M1219">
        <v>1.4582101894513523E-3</v>
      </c>
      <c r="N1219">
        <v>0.12562285680384558</v>
      </c>
      <c r="O1219">
        <v>3.8002583200325527E-2</v>
      </c>
      <c r="P1219">
        <v>1.9059400814173882E-2</v>
      </c>
      <c r="Q1219">
        <v>1.2912861255459805E-3</v>
      </c>
      <c r="R1219">
        <v>1.4522391224734599E-3</v>
      </c>
      <c r="S1219">
        <v>0.22827059100763716</v>
      </c>
      <c r="T1219">
        <v>3.9569634305711778</v>
      </c>
      <c r="U1219">
        <v>0</v>
      </c>
      <c r="V1219">
        <v>9.4523053561131887E-3</v>
      </c>
      <c r="W1219">
        <v>7.4906159921330609E-2</v>
      </c>
      <c r="X1219">
        <v>1.0595620992129408E-2</v>
      </c>
      <c r="Y1219">
        <v>4.1041386333220088E-3</v>
      </c>
    </row>
    <row r="1220" spans="1:25" x14ac:dyDescent="0.25">
      <c r="A1220" s="1090"/>
      <c r="B1220" s="1448">
        <v>970</v>
      </c>
      <c r="C1220" s="1094">
        <v>1.010083021358031</v>
      </c>
      <c r="D1220" s="1094">
        <v>0.99541804737971884</v>
      </c>
      <c r="E1220" s="1094">
        <v>1.012840152545712</v>
      </c>
      <c r="F1220" s="1094">
        <v>0.99069031171788269</v>
      </c>
      <c r="G1220" s="1094">
        <v>0.96936054935153426</v>
      </c>
      <c r="H1220" s="1094">
        <v>0.99584406991730234</v>
      </c>
      <c r="I1220" s="1094">
        <v>0.98399581175363249</v>
      </c>
      <c r="K1220">
        <v>4.434085132750492</v>
      </c>
      <c r="L1220">
        <v>0</v>
      </c>
      <c r="M1220">
        <v>1.3932990508915305E-3</v>
      </c>
      <c r="N1220">
        <v>0.12524490041312411</v>
      </c>
      <c r="O1220">
        <v>3.7636998040916032E-2</v>
      </c>
      <c r="P1220">
        <v>1.9113557512943705E-2</v>
      </c>
      <c r="Q1220">
        <v>1.3071939652406755E-3</v>
      </c>
      <c r="R1220">
        <v>1.3875064317005888E-3</v>
      </c>
      <c r="S1220">
        <v>0.22394250627150955</v>
      </c>
      <c r="T1220">
        <v>3.9286018249268357</v>
      </c>
      <c r="U1220">
        <v>0</v>
      </c>
      <c r="V1220">
        <v>9.4523053561131939E-3</v>
      </c>
      <c r="W1220">
        <v>7.3961299520159271E-2</v>
      </c>
      <c r="X1220">
        <v>1.0909140255749284E-2</v>
      </c>
      <c r="Y1220">
        <v>3.921199107090728E-3</v>
      </c>
    </row>
    <row r="1221" spans="1:25" x14ac:dyDescent="0.25">
      <c r="A1221" s="1090"/>
      <c r="B1221" s="1448">
        <v>971</v>
      </c>
      <c r="C1221" s="1094">
        <v>1.0093051872505625</v>
      </c>
      <c r="D1221" s="1094">
        <v>1.0040108069354932</v>
      </c>
      <c r="E1221" s="1094">
        <v>1.0003915532271508</v>
      </c>
      <c r="F1221" s="1094">
        <v>1.0001779239369646</v>
      </c>
      <c r="G1221" s="1094">
        <v>0.96680642523253257</v>
      </c>
      <c r="H1221" s="1094">
        <v>1.0095929106754757</v>
      </c>
      <c r="I1221" s="1094">
        <v>0.98401335253509881</v>
      </c>
      <c r="K1221">
        <v>4.477111770179321</v>
      </c>
      <c r="L1221">
        <v>0</v>
      </c>
      <c r="M1221">
        <v>1.4600240567521415E-3</v>
      </c>
      <c r="N1221">
        <v>0.1265045987644369</v>
      </c>
      <c r="O1221">
        <v>3.7980857699126548E-2</v>
      </c>
      <c r="P1221">
        <v>1.9120764519657371E-2</v>
      </c>
      <c r="Q1221">
        <v>1.28993393686854E-3</v>
      </c>
      <c r="R1221">
        <v>1.4540932550095071E-3</v>
      </c>
      <c r="S1221">
        <v>0.22599077058286213</v>
      </c>
      <c r="T1221">
        <v>3.9666977376546879</v>
      </c>
      <c r="U1221">
        <v>0</v>
      </c>
      <c r="V1221">
        <v>9.4523053561131991E-3</v>
      </c>
      <c r="W1221">
        <v>7.5333557240714943E-2</v>
      </c>
      <c r="X1221">
        <v>1.0637796673166567E-2</v>
      </c>
      <c r="Y1221">
        <v>4.1093785534252027E-3</v>
      </c>
    </row>
    <row r="1222" spans="1:25" x14ac:dyDescent="0.25">
      <c r="A1222" s="1090"/>
      <c r="B1222" s="1448">
        <v>972</v>
      </c>
      <c r="C1222" s="1094">
        <v>0.98610984711362903</v>
      </c>
      <c r="D1222" s="1094">
        <v>0.9997271190771474</v>
      </c>
      <c r="E1222" s="1094">
        <v>0.98136607309731694</v>
      </c>
      <c r="F1222" s="1094">
        <v>0.98999124261084659</v>
      </c>
      <c r="G1222" s="1094">
        <v>0.98411472386456456</v>
      </c>
      <c r="H1222" s="1094">
        <v>0.99527894610611067</v>
      </c>
      <c r="I1222" s="1094">
        <v>0.9766832539931869</v>
      </c>
      <c r="K1222">
        <v>4.4364249545941119</v>
      </c>
      <c r="L1222">
        <v>0</v>
      </c>
      <c r="M1222">
        <v>1.5203611689756148E-3</v>
      </c>
      <c r="N1222">
        <v>0.12449464352918671</v>
      </c>
      <c r="O1222">
        <v>3.8675147052747688E-2</v>
      </c>
      <c r="P1222">
        <v>1.8676954267165834E-2</v>
      </c>
      <c r="Q1222">
        <v>1.3010223923062851E-3</v>
      </c>
      <c r="R1222">
        <v>1.5140322545420513E-3</v>
      </c>
      <c r="S1222">
        <v>0.22723244383224392</v>
      </c>
      <c r="T1222">
        <v>3.9270178911077318</v>
      </c>
      <c r="U1222">
        <v>0</v>
      </c>
      <c r="V1222">
        <v>9.4523053561131869E-3</v>
      </c>
      <c r="W1222">
        <v>7.5102105019479518E-2</v>
      </c>
      <c r="X1222">
        <v>1.0200000209338863E-2</v>
      </c>
      <c r="Y1222">
        <v>4.278770742230307E-3</v>
      </c>
    </row>
    <row r="1223" spans="1:25" x14ac:dyDescent="0.25">
      <c r="A1223" s="1090"/>
      <c r="B1223" s="1448">
        <v>973</v>
      </c>
      <c r="C1223" s="1094">
        <v>0.98993926750051608</v>
      </c>
      <c r="D1223" s="1094">
        <v>0.97728309180855399</v>
      </c>
      <c r="E1223" s="1094">
        <v>0.97760918410434272</v>
      </c>
      <c r="F1223" s="1094">
        <v>0.96971938490632026</v>
      </c>
      <c r="G1223" s="1094">
        <v>1.0070991868646415</v>
      </c>
      <c r="H1223" s="1094">
        <v>0.98334204468822328</v>
      </c>
      <c r="I1223" s="1094">
        <v>0.9863070828019489</v>
      </c>
      <c r="K1223">
        <v>4.3478872470279404</v>
      </c>
      <c r="L1223">
        <v>0</v>
      </c>
      <c r="M1223">
        <v>1.4908881213742391E-3</v>
      </c>
      <c r="N1223">
        <v>0.12071102692729961</v>
      </c>
      <c r="O1223">
        <v>3.8106373002416385E-2</v>
      </c>
      <c r="P1223">
        <v>1.8259824618434978E-2</v>
      </c>
      <c r="Q1223">
        <v>1.3035545570866166E-3</v>
      </c>
      <c r="R1223">
        <v>1.4844757985192276E-3</v>
      </c>
      <c r="S1223">
        <v>0.22613948797381178</v>
      </c>
      <c r="T1223">
        <v>3.8467452331766396</v>
      </c>
      <c r="U1223">
        <v>0</v>
      </c>
      <c r="V1223">
        <v>9.4523053561131956E-3</v>
      </c>
      <c r="W1223">
        <v>7.3007358943507725E-2</v>
      </c>
      <c r="X1223">
        <v>9.973252854498349E-3</v>
      </c>
      <c r="Y1223">
        <v>4.1952419409811382E-3</v>
      </c>
    </row>
    <row r="1224" spans="1:25" x14ac:dyDescent="0.25">
      <c r="A1224" s="1090"/>
      <c r="B1224" s="1448">
        <v>974</v>
      </c>
      <c r="C1224" s="1094">
        <v>0.99853651205941363</v>
      </c>
      <c r="D1224" s="1094">
        <v>1.0240483946088184</v>
      </c>
      <c r="E1224" s="1094">
        <v>0.97951093103369014</v>
      </c>
      <c r="F1224" s="1094">
        <v>1.0274693281195983</v>
      </c>
      <c r="G1224" s="1094">
        <v>1.010507731581713</v>
      </c>
      <c r="H1224" s="1094">
        <v>0.99180347020875959</v>
      </c>
      <c r="I1224" s="1094">
        <v>0.96607591289409001</v>
      </c>
      <c r="K1224">
        <v>4.587257492845616</v>
      </c>
      <c r="L1224">
        <v>0</v>
      </c>
      <c r="M1224">
        <v>1.5437490199658643E-3</v>
      </c>
      <c r="N1224">
        <v>0.12573313799486333</v>
      </c>
      <c r="O1224">
        <v>3.9273386329103412E-2</v>
      </c>
      <c r="P1224">
        <v>1.9310271738669123E-2</v>
      </c>
      <c r="Q1224">
        <v>1.2704903108705682E-3</v>
      </c>
      <c r="R1224">
        <v>1.5375345160208074E-3</v>
      </c>
      <c r="S1224">
        <v>0.22574393687996921</v>
      </c>
      <c r="T1224">
        <v>4.0757562348826379</v>
      </c>
      <c r="U1224">
        <v>0</v>
      </c>
      <c r="V1224">
        <v>9.4523053561131939E-3</v>
      </c>
      <c r="W1224">
        <v>7.5945671980175433E-2</v>
      </c>
      <c r="X1224">
        <v>1.0433081949672083E-2</v>
      </c>
      <c r="Y1224">
        <v>4.3451899274820549E-3</v>
      </c>
    </row>
    <row r="1225" spans="1:25" x14ac:dyDescent="0.25">
      <c r="A1225" s="1090"/>
      <c r="B1225" s="1448">
        <v>975</v>
      </c>
      <c r="C1225" s="1094">
        <v>1.0173640196441587</v>
      </c>
      <c r="D1225" s="1094">
        <v>0.96342330004752397</v>
      </c>
      <c r="E1225" s="1094">
        <v>1.0335553631878045</v>
      </c>
      <c r="F1225" s="1094">
        <v>1.0275892226732455</v>
      </c>
      <c r="G1225" s="1094">
        <v>1.0052508218802714</v>
      </c>
      <c r="H1225" s="1094">
        <v>0.98596623393253058</v>
      </c>
      <c r="I1225" s="1094">
        <v>0.96714379683082352</v>
      </c>
      <c r="K1225">
        <v>4.5937239847622635</v>
      </c>
      <c r="L1225">
        <v>0</v>
      </c>
      <c r="M1225">
        <v>1.3774479569900371E-3</v>
      </c>
      <c r="N1225">
        <v>0.1316584743075058</v>
      </c>
      <c r="O1225">
        <v>3.9122947153701459E-2</v>
      </c>
      <c r="P1225">
        <v>2.0090486373795857E-2</v>
      </c>
      <c r="Q1225">
        <v>1.3381158570562029E-3</v>
      </c>
      <c r="R1225">
        <v>1.3718707330660853E-3</v>
      </c>
      <c r="S1225">
        <v>0.22548963825850385</v>
      </c>
      <c r="T1225">
        <v>4.0741237929078293</v>
      </c>
      <c r="U1225">
        <v>0</v>
      </c>
      <c r="V1225">
        <v>9.4523053561131973E-3</v>
      </c>
      <c r="W1225">
        <v>7.6684468658554494E-2</v>
      </c>
      <c r="X1225">
        <v>1.1892321684101034E-2</v>
      </c>
      <c r="Y1225">
        <v>3.8770114290205006E-3</v>
      </c>
    </row>
    <row r="1226" spans="1:25" x14ac:dyDescent="0.25">
      <c r="A1226" s="1090"/>
      <c r="B1226" s="1448">
        <v>976</v>
      </c>
      <c r="C1226" s="1094">
        <v>1.0080290573809432</v>
      </c>
      <c r="D1226" s="1094">
        <v>0.96674823924111819</v>
      </c>
      <c r="E1226" s="1094">
        <v>1.0079005114220696</v>
      </c>
      <c r="F1226" s="1094">
        <v>1.0343385694191936</v>
      </c>
      <c r="G1226" s="1094">
        <v>0.98239910557736976</v>
      </c>
      <c r="H1226" s="1094">
        <v>1.0089294099861377</v>
      </c>
      <c r="I1226" s="1094">
        <v>1.0084912647171966</v>
      </c>
      <c r="K1226">
        <v>4.6408910243351924</v>
      </c>
      <c r="L1226">
        <v>0</v>
      </c>
      <c r="M1226">
        <v>1.5095536011300388E-3</v>
      </c>
      <c r="N1226">
        <v>0.13375546307726519</v>
      </c>
      <c r="O1226">
        <v>3.9873617181094209E-2</v>
      </c>
      <c r="P1226">
        <v>1.991003819491375E-2</v>
      </c>
      <c r="Q1226">
        <v>1.3196976028386749E-3</v>
      </c>
      <c r="R1226">
        <v>1.5036194197570094E-3</v>
      </c>
      <c r="S1226">
        <v>0.23993571037957834</v>
      </c>
      <c r="T1226">
        <v>4.1018834215227713</v>
      </c>
      <c r="U1226">
        <v>0</v>
      </c>
      <c r="V1226">
        <v>9.4523053561131869E-3</v>
      </c>
      <c r="W1226">
        <v>7.9249363617133528E-2</v>
      </c>
      <c r="X1226">
        <v>1.1267998308712356E-2</v>
      </c>
      <c r="Y1226">
        <v>4.2493432761454512E-3</v>
      </c>
    </row>
    <row r="1227" spans="1:25" x14ac:dyDescent="0.25">
      <c r="A1227" s="1090"/>
      <c r="B1227" s="1448">
        <v>977</v>
      </c>
      <c r="C1227" s="1094">
        <v>1.0263487150782327</v>
      </c>
      <c r="D1227" s="1094">
        <v>0.98812413693970913</v>
      </c>
      <c r="E1227" s="1094">
        <v>1.0155786452431665</v>
      </c>
      <c r="F1227" s="1094">
        <v>0.99930659106291442</v>
      </c>
      <c r="G1227" s="1094">
        <v>0.96576933693976819</v>
      </c>
      <c r="H1227" s="1094">
        <v>1.0419318154044928</v>
      </c>
      <c r="I1227" s="1094">
        <v>1.0105634873689728</v>
      </c>
      <c r="K1227">
        <v>4.484692212081967</v>
      </c>
      <c r="L1227">
        <v>0</v>
      </c>
      <c r="M1227">
        <v>1.4430031983136353E-3</v>
      </c>
      <c r="N1227">
        <v>0.1307971425673943</v>
      </c>
      <c r="O1227">
        <v>3.7454313688511022E-2</v>
      </c>
      <c r="P1227">
        <v>1.9344252713072382E-2</v>
      </c>
      <c r="Q1227">
        <v>1.2932720136468042E-3</v>
      </c>
      <c r="R1227">
        <v>1.4373185363972315E-3</v>
      </c>
      <c r="S1227">
        <v>0.23163229387224415</v>
      </c>
      <c r="T1227">
        <v>3.9626663635291921</v>
      </c>
      <c r="U1227">
        <v>0</v>
      </c>
      <c r="V1227">
        <v>9.4523053561132078E-3</v>
      </c>
      <c r="W1227">
        <v>7.7098621171590859E-2</v>
      </c>
      <c r="X1227">
        <v>1.0897359914174738E-2</v>
      </c>
      <c r="Y1227">
        <v>4.0619719179377295E-3</v>
      </c>
    </row>
    <row r="1228" spans="1:25" x14ac:dyDescent="0.25">
      <c r="A1228" s="1090"/>
      <c r="B1228" s="1448">
        <v>978</v>
      </c>
      <c r="C1228" s="1094">
        <v>0.96936562211893706</v>
      </c>
      <c r="D1228" s="1094">
        <v>0.96765045213101419</v>
      </c>
      <c r="E1228" s="1094">
        <v>0.99272873908832293</v>
      </c>
      <c r="F1228" s="1094">
        <v>1.0142538461455</v>
      </c>
      <c r="G1228" s="1094">
        <v>1.0019697717240841</v>
      </c>
      <c r="H1228" s="1094">
        <v>0.9864098283832764</v>
      </c>
      <c r="I1228" s="1094">
        <v>0.98184729318025743</v>
      </c>
      <c r="K1228">
        <v>4.5571390521308732</v>
      </c>
      <c r="L1228">
        <v>0</v>
      </c>
      <c r="M1228">
        <v>1.5533283238419854E-3</v>
      </c>
      <c r="N1228">
        <v>0.13156185241974883</v>
      </c>
      <c r="O1228">
        <v>4.0754118651729315E-2</v>
      </c>
      <c r="P1228">
        <v>1.9319180365972816E-2</v>
      </c>
      <c r="Q1228">
        <v>1.3541037133187274E-3</v>
      </c>
      <c r="R1228">
        <v>1.5469594759360277E-3</v>
      </c>
      <c r="S1228">
        <v>0.23786404650326229</v>
      </c>
      <c r="T1228">
        <v>4.0228191975472392</v>
      </c>
      <c r="U1228">
        <v>0</v>
      </c>
      <c r="V1228">
        <v>9.4523053561131973E-3</v>
      </c>
      <c r="W1228">
        <v>7.8752918489172541E-2</v>
      </c>
      <c r="X1228">
        <v>1.0895872348458192E-2</v>
      </c>
      <c r="Y1228">
        <v>4.3718255837641162E-3</v>
      </c>
    </row>
    <row r="1229" spans="1:25" x14ac:dyDescent="0.25">
      <c r="A1229" s="1090"/>
      <c r="B1229" s="1448">
        <v>979</v>
      </c>
      <c r="C1229" s="1094">
        <v>1.0174913946316992</v>
      </c>
      <c r="D1229" s="1094">
        <v>1.0050574058332746</v>
      </c>
      <c r="E1229" s="1094">
        <v>1.0390264208563569</v>
      </c>
      <c r="F1229" s="1094">
        <v>0.99662934726491448</v>
      </c>
      <c r="G1229" s="1094">
        <v>1.0061582671073344</v>
      </c>
      <c r="H1229" s="1094">
        <v>0.99391958031497196</v>
      </c>
      <c r="I1229" s="1094">
        <v>0.98692772443574606</v>
      </c>
      <c r="K1229">
        <v>4.458061225786599</v>
      </c>
      <c r="L1229">
        <v>0</v>
      </c>
      <c r="M1229">
        <v>1.3088723414991978E-3</v>
      </c>
      <c r="N1229">
        <v>0.12713119384028343</v>
      </c>
      <c r="O1229">
        <v>3.7265930934923412E-2</v>
      </c>
      <c r="P1229">
        <v>1.9583168147159831E-2</v>
      </c>
      <c r="Q1229">
        <v>1.3215387204653097E-3</v>
      </c>
      <c r="R1229">
        <v>1.3034525449679753E-3</v>
      </c>
      <c r="S1229">
        <v>0.22307907865413773</v>
      </c>
      <c r="T1229">
        <v>3.9511720091727818</v>
      </c>
      <c r="U1229">
        <v>0</v>
      </c>
      <c r="V1229">
        <v>9.4523053561131939E-3</v>
      </c>
      <c r="W1229">
        <v>7.3780856463724467E-2</v>
      </c>
      <c r="X1229">
        <v>1.1596907887565936E-2</v>
      </c>
      <c r="Y1229">
        <v>3.6836564059736848E-3</v>
      </c>
    </row>
    <row r="1230" spans="1:25" x14ac:dyDescent="0.25">
      <c r="A1230" s="1090"/>
      <c r="B1230" s="1448">
        <v>980</v>
      </c>
      <c r="C1230" s="1094">
        <v>1.0281258421476493</v>
      </c>
      <c r="D1230" s="1094">
        <v>0.97099641760624134</v>
      </c>
      <c r="E1230" s="1094">
        <v>0.97694934645748333</v>
      </c>
      <c r="F1230" s="1094">
        <v>1.0181819161747541</v>
      </c>
      <c r="G1230" s="1094">
        <v>0.97065890049029269</v>
      </c>
      <c r="H1230" s="1094">
        <v>1.0383286934078113</v>
      </c>
      <c r="I1230" s="1094">
        <v>0.99929914782272122</v>
      </c>
      <c r="K1230">
        <v>4.5619267929510539</v>
      </c>
      <c r="L1230">
        <v>0</v>
      </c>
      <c r="M1230">
        <v>1.5975405057117775E-3</v>
      </c>
      <c r="N1230">
        <v>0.12914773315113293</v>
      </c>
      <c r="O1230">
        <v>3.862879338522586E-2</v>
      </c>
      <c r="P1230">
        <v>1.9138889114882096E-2</v>
      </c>
      <c r="Q1230">
        <v>1.257660475378285E-3</v>
      </c>
      <c r="R1230">
        <v>1.5913418132453951E-3</v>
      </c>
      <c r="S1230">
        <v>0.23254991049707449</v>
      </c>
      <c r="T1230">
        <v>4.039015387140072</v>
      </c>
      <c r="U1230">
        <v>0</v>
      </c>
      <c r="V1230">
        <v>9.4523053561131904E-3</v>
      </c>
      <c r="W1230">
        <v>7.8145357046358069E-2</v>
      </c>
      <c r="X1230">
        <v>1.0099702019851227E-2</v>
      </c>
      <c r="Y1230">
        <v>4.4972534574315498E-3</v>
      </c>
    </row>
    <row r="1231" spans="1:25" x14ac:dyDescent="0.25">
      <c r="A1231" s="1090"/>
      <c r="B1231" s="1448">
        <v>981</v>
      </c>
      <c r="C1231" s="1094">
        <v>1.0191969253797375</v>
      </c>
      <c r="D1231" s="1094">
        <v>0.99209526179188934</v>
      </c>
      <c r="E1231" s="1094">
        <v>1.0070236441944309</v>
      </c>
      <c r="F1231" s="1094">
        <v>0.99644300114645379</v>
      </c>
      <c r="G1231" s="1094">
        <v>0.99042530067221179</v>
      </c>
      <c r="H1231" s="1094">
        <v>0.96702330389312596</v>
      </c>
      <c r="I1231" s="1094">
        <v>1.0080282049370419</v>
      </c>
      <c r="K1231">
        <v>4.452551912234088</v>
      </c>
      <c r="L1231">
        <v>0</v>
      </c>
      <c r="M1231">
        <v>1.3671047528391617E-3</v>
      </c>
      <c r="N1231">
        <v>0.12078000066059918</v>
      </c>
      <c r="O1231">
        <v>3.7606473121981156E-2</v>
      </c>
      <c r="P1231">
        <v>1.9147814845527224E-2</v>
      </c>
      <c r="Q1231">
        <v>1.290828517526826E-3</v>
      </c>
      <c r="R1231">
        <v>1.3612852931033878E-3</v>
      </c>
      <c r="S1231">
        <v>0.22632150180811023</v>
      </c>
      <c r="T1231">
        <v>3.9516338629917103</v>
      </c>
      <c r="U1231">
        <v>0</v>
      </c>
      <c r="V1231">
        <v>9.4523053561131921E-3</v>
      </c>
      <c r="W1231">
        <v>7.1603684223454853E-2</v>
      </c>
      <c r="X1231">
        <v>1.0874164001273693E-2</v>
      </c>
      <c r="Y1231">
        <v>3.8470961675258083E-3</v>
      </c>
    </row>
    <row r="1232" spans="1:25" x14ac:dyDescent="0.25">
      <c r="A1232" s="1090"/>
      <c r="B1232" s="1448">
        <v>982</v>
      </c>
      <c r="C1232" s="1094">
        <v>1.0139268199785894</v>
      </c>
      <c r="D1232" s="1094">
        <v>0.96731650465025132</v>
      </c>
      <c r="E1232" s="1094">
        <v>1.0158293472629285</v>
      </c>
      <c r="F1232" s="1094">
        <v>0.98280798784041223</v>
      </c>
      <c r="G1232" s="1094">
        <v>1.0014577478923443</v>
      </c>
      <c r="H1232" s="1094">
        <v>1.0311627521249134</v>
      </c>
      <c r="I1232" s="1094">
        <v>0.99083733785263028</v>
      </c>
      <c r="K1232">
        <v>4.4141505524625817</v>
      </c>
      <c r="L1232">
        <v>0</v>
      </c>
      <c r="M1232">
        <v>1.4332129214842959E-3</v>
      </c>
      <c r="N1232">
        <v>0.12999209725484542</v>
      </c>
      <c r="O1232">
        <v>3.7604315893727043E-2</v>
      </c>
      <c r="P1232">
        <v>1.9030083760017125E-2</v>
      </c>
      <c r="Q1232">
        <v>1.3205892615055386E-3</v>
      </c>
      <c r="R1232">
        <v>1.4274124900859136E-3</v>
      </c>
      <c r="S1232">
        <v>0.22803070637433273</v>
      </c>
      <c r="T1232">
        <v>3.8972332274689694</v>
      </c>
      <c r="U1232">
        <v>0</v>
      </c>
      <c r="V1232">
        <v>9.4523053561131904E-3</v>
      </c>
      <c r="W1232">
        <v>7.6611240700715164E-2</v>
      </c>
      <c r="X1232">
        <v>1.0847810148981394E-2</v>
      </c>
      <c r="Y1232">
        <v>4.033976674771087E-3</v>
      </c>
    </row>
    <row r="1233" spans="1:25" x14ac:dyDescent="0.25">
      <c r="A1233" s="1090"/>
      <c r="B1233" s="1448">
        <v>983</v>
      </c>
      <c r="C1233" s="1094">
        <v>1.0191067169725279</v>
      </c>
      <c r="D1233" s="1094">
        <v>0.98424794479981381</v>
      </c>
      <c r="E1233" s="1094">
        <v>1.0315732382700069</v>
      </c>
      <c r="F1233" s="1094">
        <v>0.99914398056719245</v>
      </c>
      <c r="G1233" s="1094">
        <v>1.0301201863826823</v>
      </c>
      <c r="H1233" s="1094">
        <v>0.99415124700051705</v>
      </c>
      <c r="I1233" s="1094">
        <v>0.99899407576199228</v>
      </c>
      <c r="K1233">
        <v>4.4738765373095983</v>
      </c>
      <c r="L1233">
        <v>0</v>
      </c>
      <c r="M1233">
        <v>1.3424158025233733E-3</v>
      </c>
      <c r="N1233">
        <v>0.12755018855802711</v>
      </c>
      <c r="O1233">
        <v>3.7664952251388821E-2</v>
      </c>
      <c r="P1233">
        <v>1.9545350289551729E-2</v>
      </c>
      <c r="Q1233">
        <v>1.3222476520353087E-3</v>
      </c>
      <c r="R1233">
        <v>1.3368723334811075E-3</v>
      </c>
      <c r="S1233">
        <v>0.22729077100081727</v>
      </c>
      <c r="T1233">
        <v>3.961420021822994</v>
      </c>
      <c r="U1233">
        <v>0</v>
      </c>
      <c r="V1233">
        <v>9.4523053561131939E-3</v>
      </c>
      <c r="W1233">
        <v>7.4389021635693497E-2</v>
      </c>
      <c r="X1233">
        <v>1.146911893222595E-2</v>
      </c>
      <c r="Y1233">
        <v>3.7781032797919488E-3</v>
      </c>
    </row>
    <row r="1234" spans="1:25" x14ac:dyDescent="0.25">
      <c r="A1234" s="1090"/>
      <c r="B1234" s="1448">
        <v>984</v>
      </c>
      <c r="C1234" s="1094">
        <v>0.99062603781858738</v>
      </c>
      <c r="D1234" s="1094">
        <v>1.0191596753231398</v>
      </c>
      <c r="E1234" s="1094">
        <v>0.95937543678940573</v>
      </c>
      <c r="F1234" s="1094">
        <v>1.0139849201675286</v>
      </c>
      <c r="G1234" s="1094">
        <v>1.0137757274092702</v>
      </c>
      <c r="H1234" s="1094">
        <v>0.98309396270309291</v>
      </c>
      <c r="I1234" s="1094">
        <v>1.016996344836397</v>
      </c>
      <c r="K1234">
        <v>4.5400738268863625</v>
      </c>
      <c r="L1234">
        <v>0</v>
      </c>
      <c r="M1234">
        <v>1.5909049321421514E-3</v>
      </c>
      <c r="N1234">
        <v>0.12204195943386448</v>
      </c>
      <c r="O1234">
        <v>3.9282008371150763E-2</v>
      </c>
      <c r="P1234">
        <v>1.8832051612137198E-2</v>
      </c>
      <c r="Q1234">
        <v>1.2607085221133896E-3</v>
      </c>
      <c r="R1234">
        <v>1.5843582853929789E-3</v>
      </c>
      <c r="S1234">
        <v>0.23704506317664462</v>
      </c>
      <c r="T1234">
        <v>4.02305547708976</v>
      </c>
      <c r="U1234">
        <v>0</v>
      </c>
      <c r="V1234">
        <v>9.4523053561132026E-3</v>
      </c>
      <c r="W1234">
        <v>7.4747581773984953E-2</v>
      </c>
      <c r="X1234">
        <v>9.8857007227844823E-3</v>
      </c>
      <c r="Y1234">
        <v>4.4775174745534914E-3</v>
      </c>
    </row>
    <row r="1235" spans="1:25" x14ac:dyDescent="0.25">
      <c r="A1235" s="1090"/>
      <c r="B1235" s="1448">
        <v>985</v>
      </c>
      <c r="C1235" s="1094">
        <v>0.99432290946994561</v>
      </c>
      <c r="D1235" s="1094">
        <v>0.99965215526241669</v>
      </c>
      <c r="E1235" s="1094">
        <v>0.96279997778117499</v>
      </c>
      <c r="F1235" s="1094">
        <v>0.99341541188745552</v>
      </c>
      <c r="G1235" s="1094">
        <v>0.99631553053498567</v>
      </c>
      <c r="H1235" s="1094">
        <v>1.0276238402829514</v>
      </c>
      <c r="I1235" s="1094">
        <v>0.99597350123914918</v>
      </c>
      <c r="K1235">
        <v>4.4589323928875988</v>
      </c>
      <c r="L1235">
        <v>0</v>
      </c>
      <c r="M1235">
        <v>1.6242244444180226E-3</v>
      </c>
      <c r="N1235">
        <v>0.12588465038827581</v>
      </c>
      <c r="O1235">
        <v>3.8616275300904744E-2</v>
      </c>
      <c r="P1235">
        <v>1.8501572618016569E-2</v>
      </c>
      <c r="Q1235">
        <v>1.269582767595614E-3</v>
      </c>
      <c r="R1235">
        <v>1.6176984634156245E-3</v>
      </c>
      <c r="S1235">
        <v>0.23278665807928206</v>
      </c>
      <c r="T1235">
        <v>3.9413125234377477</v>
      </c>
      <c r="U1235">
        <v>0</v>
      </c>
      <c r="V1235">
        <v>9.4523053561131852E-3</v>
      </c>
      <c r="W1235">
        <v>7.691809642985252E-2</v>
      </c>
      <c r="X1235">
        <v>9.6255151277664514E-3</v>
      </c>
      <c r="Y1235">
        <v>4.5717393630476657E-3</v>
      </c>
    </row>
    <row r="1236" spans="1:25" x14ac:dyDescent="0.25">
      <c r="A1236" s="1090"/>
      <c r="B1236" s="1448">
        <v>986</v>
      </c>
      <c r="C1236" s="1094">
        <v>1.0192447906061035</v>
      </c>
      <c r="D1236" s="1094">
        <v>1.0058207382449507</v>
      </c>
      <c r="E1236" s="1094">
        <v>1.0216771497841217</v>
      </c>
      <c r="F1236" s="1094">
        <v>0.9939042997777886</v>
      </c>
      <c r="G1236" s="1094">
        <v>1.01135911060526</v>
      </c>
      <c r="H1236" s="1094">
        <v>0.9943412489977328</v>
      </c>
      <c r="I1236" s="1094">
        <v>1.0261990634821396</v>
      </c>
      <c r="K1236">
        <v>4.452315828901634</v>
      </c>
      <c r="L1236">
        <v>0</v>
      </c>
      <c r="M1236">
        <v>1.3519425200342219E-3</v>
      </c>
      <c r="N1236">
        <v>0.12474810615147719</v>
      </c>
      <c r="O1236">
        <v>3.720522256276064E-2</v>
      </c>
      <c r="P1236">
        <v>1.9328412439040706E-2</v>
      </c>
      <c r="Q1236">
        <v>1.2997681264734278E-3</v>
      </c>
      <c r="R1236">
        <v>1.3463314729723526E-3</v>
      </c>
      <c r="S1236">
        <v>0.2311078987993449</v>
      </c>
      <c r="T1236">
        <v>3.9410153197658162</v>
      </c>
      <c r="U1236">
        <v>0</v>
      </c>
      <c r="V1236">
        <v>9.4523053561131973E-3</v>
      </c>
      <c r="W1236">
        <v>7.3234321230575952E-2</v>
      </c>
      <c r="X1236">
        <v>1.1125249986925588E-2</v>
      </c>
      <c r="Y1236">
        <v>3.8048355301653434E-3</v>
      </c>
    </row>
    <row r="1237" spans="1:25" x14ac:dyDescent="0.25">
      <c r="A1237" s="1090"/>
      <c r="B1237" s="1448">
        <v>987</v>
      </c>
      <c r="C1237" s="1094">
        <v>1.0226386176792102</v>
      </c>
      <c r="D1237" s="1094">
        <v>0.98626868414222257</v>
      </c>
      <c r="E1237" s="1094">
        <v>0.95757272655102355</v>
      </c>
      <c r="F1237" s="1094">
        <v>0.97507633509674185</v>
      </c>
      <c r="G1237" s="1094">
        <v>0.99304834614763771</v>
      </c>
      <c r="H1237" s="1094">
        <v>1.0177604022656843</v>
      </c>
      <c r="I1237" s="1094">
        <v>0.97433823517981988</v>
      </c>
      <c r="K1237">
        <v>4.3592063088478694</v>
      </c>
      <c r="L1237">
        <v>0</v>
      </c>
      <c r="M1237">
        <v>1.5606164529220062E-3</v>
      </c>
      <c r="N1237">
        <v>0.11907661747858786</v>
      </c>
      <c r="O1237">
        <v>3.7087290053750152E-2</v>
      </c>
      <c r="P1237">
        <v>1.8046081262563431E-2</v>
      </c>
      <c r="Q1237">
        <v>1.2354125736661122E-3</v>
      </c>
      <c r="R1237">
        <v>1.5541666994013917E-3</v>
      </c>
      <c r="S1237">
        <v>0.21886919042687514</v>
      </c>
      <c r="T1237">
        <v>3.8687512575508989</v>
      </c>
      <c r="U1237">
        <v>0</v>
      </c>
      <c r="V1237">
        <v>9.452305356113206E-3</v>
      </c>
      <c r="W1237">
        <v>7.3022855495699493E-2</v>
      </c>
      <c r="X1237">
        <v>9.279554655708051E-3</v>
      </c>
      <c r="Y1237">
        <v>4.3921937475227156E-3</v>
      </c>
    </row>
    <row r="1238" spans="1:25" x14ac:dyDescent="0.25">
      <c r="A1238" s="1090"/>
      <c r="B1238" s="1448">
        <v>988</v>
      </c>
      <c r="C1238" s="1094">
        <v>1.0278807044859102</v>
      </c>
      <c r="D1238" s="1094">
        <v>0.97402486314762293</v>
      </c>
      <c r="E1238" s="1094">
        <v>0.98927336544631539</v>
      </c>
      <c r="F1238" s="1094">
        <v>1.0167030984039034</v>
      </c>
      <c r="G1238" s="1094">
        <v>0.99313579750809944</v>
      </c>
      <c r="H1238" s="1094">
        <v>1.021635308979074</v>
      </c>
      <c r="I1238" s="1094">
        <v>1.0094031273731536</v>
      </c>
      <c r="K1238">
        <v>4.5540918163557116</v>
      </c>
      <c r="L1238">
        <v>0</v>
      </c>
      <c r="M1238">
        <v>1.5279359208562689E-3</v>
      </c>
      <c r="N1238">
        <v>0.12811155725404746</v>
      </c>
      <c r="O1238">
        <v>3.8449512555846103E-2</v>
      </c>
      <c r="P1238">
        <v>1.9292601170948952E-2</v>
      </c>
      <c r="Q1238">
        <v>1.2698800996967998E-3</v>
      </c>
      <c r="R1238">
        <v>1.5219017027810831E-3</v>
      </c>
      <c r="S1238">
        <v>0.2332249712206404</v>
      </c>
      <c r="T1238">
        <v>4.0326679983737499</v>
      </c>
      <c r="U1238">
        <v>0</v>
      </c>
      <c r="V1238">
        <v>9.4523053561131973E-3</v>
      </c>
      <c r="W1238">
        <v>7.6867978038749674E-2</v>
      </c>
      <c r="X1238">
        <v>1.0460036100232615E-2</v>
      </c>
      <c r="Y1238">
        <v>4.3010104037577634E-3</v>
      </c>
    </row>
    <row r="1239" spans="1:25" x14ac:dyDescent="0.25">
      <c r="A1239" s="1090"/>
      <c r="B1239" s="1448">
        <v>989</v>
      </c>
      <c r="C1239" s="1094">
        <v>1.019395358869593</v>
      </c>
      <c r="D1239" s="1094">
        <v>1.0172861797783725</v>
      </c>
      <c r="E1239" s="1094">
        <v>0.97909281032112938</v>
      </c>
      <c r="F1239" s="1094">
        <v>1.0099449525674045</v>
      </c>
      <c r="G1239" s="1094">
        <v>1.0133213201332674</v>
      </c>
      <c r="H1239" s="1094">
        <v>0.96811880627717017</v>
      </c>
      <c r="I1239" s="1094">
        <v>0.99367730618067573</v>
      </c>
      <c r="K1239">
        <v>4.5016755413690355</v>
      </c>
      <c r="L1239">
        <v>0</v>
      </c>
      <c r="M1239">
        <v>1.4561028539661484E-3</v>
      </c>
      <c r="N1239">
        <v>0.11842740742940426</v>
      </c>
      <c r="O1239">
        <v>3.7916798694922475E-2</v>
      </c>
      <c r="P1239">
        <v>1.8982779313097876E-2</v>
      </c>
      <c r="Q1239">
        <v>1.2473430052497893E-3</v>
      </c>
      <c r="R1239">
        <v>1.4499939982186799E-3</v>
      </c>
      <c r="S1239">
        <v>0.22347712199274888</v>
      </c>
      <c r="T1239">
        <v>4.00625694022317</v>
      </c>
      <c r="U1239">
        <v>0</v>
      </c>
      <c r="V1239">
        <v>9.452305356113206E-3</v>
      </c>
      <c r="W1239">
        <v>7.15533492872652E-2</v>
      </c>
      <c r="X1239">
        <v>1.026981118203504E-2</v>
      </c>
      <c r="Y1239">
        <v>4.0977937407708723E-3</v>
      </c>
    </row>
    <row r="1240" spans="1:25" x14ac:dyDescent="0.25">
      <c r="A1240" s="1090"/>
      <c r="B1240" s="1448">
        <v>990</v>
      </c>
      <c r="C1240" s="1094">
        <v>0.99654965018872343</v>
      </c>
      <c r="D1240" s="1094">
        <v>1.0016532708163937</v>
      </c>
      <c r="E1240" s="1094">
        <v>1.0135138191257058</v>
      </c>
      <c r="F1240" s="1094">
        <v>0.99954986532447188</v>
      </c>
      <c r="G1240" s="1094">
        <v>1.0001338215305624</v>
      </c>
      <c r="H1240" s="1094">
        <v>0.98679183773473911</v>
      </c>
      <c r="I1240" s="1094">
        <v>1.0208589391205996</v>
      </c>
      <c r="K1240">
        <v>4.4844611946544353</v>
      </c>
      <c r="L1240">
        <v>0</v>
      </c>
      <c r="M1240">
        <v>1.4063232318687858E-3</v>
      </c>
      <c r="N1240">
        <v>0.12666785275922518</v>
      </c>
      <c r="O1240">
        <v>3.8388606023897369E-2</v>
      </c>
      <c r="P1240">
        <v>1.9338621303728161E-2</v>
      </c>
      <c r="Q1240">
        <v>1.3223976032767982E-3</v>
      </c>
      <c r="R1240">
        <v>1.4004749139905918E-3</v>
      </c>
      <c r="S1240">
        <v>0.23575351753718504</v>
      </c>
      <c r="T1240">
        <v>3.9637090815792582</v>
      </c>
      <c r="U1240">
        <v>0</v>
      </c>
      <c r="V1240">
        <v>9.4523053561131921E-3</v>
      </c>
      <c r="W1240">
        <v>7.4767852498582213E-2</v>
      </c>
      <c r="X1240">
        <v>1.1108959282907631E-2</v>
      </c>
      <c r="Y1240">
        <v>3.9578490281390617E-3</v>
      </c>
    </row>
    <row r="1241" spans="1:25" x14ac:dyDescent="0.25">
      <c r="A1241" s="1090"/>
      <c r="B1241" s="1448">
        <v>991</v>
      </c>
      <c r="C1241" s="1094">
        <v>0.96836601095893182</v>
      </c>
      <c r="D1241" s="1094">
        <v>1.0234929129679633</v>
      </c>
      <c r="E1241" s="1094">
        <v>0.9774069018238124</v>
      </c>
      <c r="F1241" s="1094">
        <v>1.0125472058734006</v>
      </c>
      <c r="G1241" s="1094">
        <v>0.99472475842293284</v>
      </c>
      <c r="H1241" s="1094">
        <v>0.97175980154341457</v>
      </c>
      <c r="I1241" s="1094">
        <v>0.99737819684896045</v>
      </c>
      <c r="K1241">
        <v>4.5381526510482315</v>
      </c>
      <c r="L1241">
        <v>0</v>
      </c>
      <c r="M1241">
        <v>1.5442530402945231E-3</v>
      </c>
      <c r="N1241">
        <v>0.12497329766098499</v>
      </c>
      <c r="O1241">
        <v>3.9932420687263992E-2</v>
      </c>
      <c r="P1241">
        <v>1.9062727869911738E-2</v>
      </c>
      <c r="Q1241">
        <v>1.3079648297443941E-3</v>
      </c>
      <c r="R1241">
        <v>1.5378151589862834E-3</v>
      </c>
      <c r="S1241">
        <v>0.23639971184007019</v>
      </c>
      <c r="T1241">
        <v>4.0166452735934364</v>
      </c>
      <c r="U1241">
        <v>0</v>
      </c>
      <c r="V1241">
        <v>9.4523053561132026E-3</v>
      </c>
      <c r="W1241">
        <v>7.5595721147868611E-2</v>
      </c>
      <c r="X1241">
        <v>1.0443682898212162E-2</v>
      </c>
      <c r="Y1241">
        <v>4.3459830459285659E-3</v>
      </c>
    </row>
    <row r="1242" spans="1:25" x14ac:dyDescent="0.25">
      <c r="A1242" s="1090"/>
      <c r="B1242" s="1448">
        <v>992</v>
      </c>
      <c r="C1242" s="1094">
        <v>1.0036157991549588</v>
      </c>
      <c r="D1242" s="1094">
        <v>0.97945662045977178</v>
      </c>
      <c r="E1242" s="1094">
        <v>1.0162371027560939</v>
      </c>
      <c r="F1242" s="1094">
        <v>0.97667093563833585</v>
      </c>
      <c r="G1242" s="1094">
        <v>0.97017304379567204</v>
      </c>
      <c r="H1242" s="1094">
        <v>1.0095252021999348</v>
      </c>
      <c r="I1242" s="1094">
        <v>0.99956580986437127</v>
      </c>
      <c r="K1242">
        <v>4.3859816516086543</v>
      </c>
      <c r="L1242">
        <v>0</v>
      </c>
      <c r="M1242">
        <v>1.400523078891485E-3</v>
      </c>
      <c r="N1242">
        <v>0.12716613571910537</v>
      </c>
      <c r="O1242">
        <v>3.7562796647377196E-2</v>
      </c>
      <c r="P1242">
        <v>1.892778461037695E-2</v>
      </c>
      <c r="Q1242">
        <v>1.3279767447150986E-3</v>
      </c>
      <c r="R1242">
        <v>1.3946972338831683E-3</v>
      </c>
      <c r="S1242">
        <v>0.22892294021596346</v>
      </c>
      <c r="T1242">
        <v>3.8728822743088185</v>
      </c>
      <c r="U1242">
        <v>0</v>
      </c>
      <c r="V1242">
        <v>9.4523053561132026E-3</v>
      </c>
      <c r="W1242">
        <v>7.4925323022701371E-2</v>
      </c>
      <c r="X1242">
        <v>1.0878419965434686E-2</v>
      </c>
      <c r="Y1242">
        <v>3.9415208630504718E-3</v>
      </c>
    </row>
    <row r="1243" spans="1:25" x14ac:dyDescent="0.25">
      <c r="A1243" s="1090"/>
      <c r="B1243" s="1448">
        <v>993</v>
      </c>
      <c r="C1243" s="1094">
        <v>0.99202437359548423</v>
      </c>
      <c r="D1243" s="1094">
        <v>0.98090847821228433</v>
      </c>
      <c r="E1243" s="1094">
        <v>1.0253956667899022</v>
      </c>
      <c r="F1243" s="1094">
        <v>1.0066786243097849</v>
      </c>
      <c r="G1243" s="1094">
        <v>0.97168324068920697</v>
      </c>
      <c r="H1243" s="1094">
        <v>1.0006648069891662</v>
      </c>
      <c r="I1243" s="1094">
        <v>0.99533656839195117</v>
      </c>
      <c r="K1243">
        <v>4.5210154786802601</v>
      </c>
      <c r="L1243">
        <v>0</v>
      </c>
      <c r="M1243">
        <v>1.4188444806131385E-3</v>
      </c>
      <c r="N1243">
        <v>0.13237968692941848</v>
      </c>
      <c r="O1243">
        <v>3.908158340448771E-2</v>
      </c>
      <c r="P1243">
        <v>1.9631077279177591E-2</v>
      </c>
      <c r="Q1243">
        <v>1.3531389675832174E-3</v>
      </c>
      <c r="R1243">
        <v>1.4130669297793546E-3</v>
      </c>
      <c r="S1243">
        <v>0.23456615859079386</v>
      </c>
      <c r="T1243">
        <v>3.9915269881169184</v>
      </c>
      <c r="U1243">
        <v>0</v>
      </c>
      <c r="V1243">
        <v>9.4523053561131835E-3</v>
      </c>
      <c r="W1243">
        <v>7.7522505424601901E-2</v>
      </c>
      <c r="X1243">
        <v>1.1514377135888335E-2</v>
      </c>
      <c r="Y1243">
        <v>3.9934350261130337E-3</v>
      </c>
    </row>
    <row r="1244" spans="1:25" x14ac:dyDescent="0.25">
      <c r="A1244" s="1090"/>
      <c r="B1244" s="1448">
        <v>994</v>
      </c>
      <c r="C1244" s="1094">
        <v>1.009667288766231</v>
      </c>
      <c r="D1244" s="1094">
        <v>1.007924346593237</v>
      </c>
      <c r="E1244" s="1094">
        <v>1.0193947545152982</v>
      </c>
      <c r="F1244" s="1094">
        <v>1.0018117359711118</v>
      </c>
      <c r="G1244" s="1094">
        <v>0.97849521608134749</v>
      </c>
      <c r="H1244" s="1094">
        <v>1.0181589146631167</v>
      </c>
      <c r="I1244" s="1094">
        <v>1.0002590807159835</v>
      </c>
      <c r="K1244">
        <v>4.4916987710365746</v>
      </c>
      <c r="L1244">
        <v>0</v>
      </c>
      <c r="M1244">
        <v>1.4141550341401205E-3</v>
      </c>
      <c r="N1244">
        <v>0.12962729793637873</v>
      </c>
      <c r="O1244">
        <v>3.7840876835750194E-2</v>
      </c>
      <c r="P1244">
        <v>1.9437357305788865E-2</v>
      </c>
      <c r="Q1244">
        <v>1.308472641904013E-3</v>
      </c>
      <c r="R1244">
        <v>1.4084681393066547E-3</v>
      </c>
      <c r="S1244">
        <v>0.23026570021932846</v>
      </c>
      <c r="T1244">
        <v>3.972455969964483</v>
      </c>
      <c r="U1244">
        <v>0</v>
      </c>
      <c r="V1244">
        <v>9.4523053561132043E-3</v>
      </c>
      <c r="W1244">
        <v>7.6214546406594141E-2</v>
      </c>
      <c r="X1244">
        <v>1.1121492771925794E-2</v>
      </c>
      <c r="Y1244">
        <v>3.9804384931361398E-3</v>
      </c>
    </row>
    <row r="1245" spans="1:25" x14ac:dyDescent="0.25">
      <c r="A1245" s="1090"/>
      <c r="B1245" s="1448">
        <v>995</v>
      </c>
      <c r="C1245" s="1094">
        <v>0.9677579632860448</v>
      </c>
      <c r="D1245" s="1094">
        <v>0.97559522508520446</v>
      </c>
      <c r="E1245" s="1094">
        <v>1.0089886225277191</v>
      </c>
      <c r="F1245" s="1094">
        <v>0.98537364012606188</v>
      </c>
      <c r="G1245" s="1094">
        <v>1.0373294946026943</v>
      </c>
      <c r="H1245" s="1094">
        <v>0.95753488250637286</v>
      </c>
      <c r="I1245" s="1094">
        <v>0.99278464049453063</v>
      </c>
      <c r="K1245">
        <v>4.4254063539401285</v>
      </c>
      <c r="L1245">
        <v>0</v>
      </c>
      <c r="M1245">
        <v>1.4134924077318508E-3</v>
      </c>
      <c r="N1245">
        <v>0.12559558480120481</v>
      </c>
      <c r="O1245">
        <v>3.9415123393649297E-2</v>
      </c>
      <c r="P1245">
        <v>1.900703353396882E-2</v>
      </c>
      <c r="Q1245">
        <v>1.3708850662542374E-3</v>
      </c>
      <c r="R1245">
        <v>1.4073478853678554E-3</v>
      </c>
      <c r="S1245">
        <v>0.23346623386331203</v>
      </c>
      <c r="T1245">
        <v>3.9076622108846353</v>
      </c>
      <c r="U1245">
        <v>0</v>
      </c>
      <c r="V1245">
        <v>9.4523053561131921E-3</v>
      </c>
      <c r="W1245">
        <v>7.4360287110243242E-2</v>
      </c>
      <c r="X1245">
        <v>1.1105561883134728E-2</v>
      </c>
      <c r="Y1245">
        <v>3.9772725699777503E-3</v>
      </c>
    </row>
    <row r="1246" spans="1:25" x14ac:dyDescent="0.25">
      <c r="A1246" s="1090"/>
      <c r="B1246" s="1448">
        <v>996</v>
      </c>
      <c r="C1246" s="1094">
        <v>0.99020026300226083</v>
      </c>
      <c r="D1246" s="1094">
        <v>0.98837874462955455</v>
      </c>
      <c r="E1246" s="1094">
        <v>0.99236897250450251</v>
      </c>
      <c r="F1246" s="1094">
        <v>0.97117676011327048</v>
      </c>
      <c r="G1246" s="1094">
        <v>1.0223627046387884</v>
      </c>
      <c r="H1246" s="1094">
        <v>0.99791596551638306</v>
      </c>
      <c r="I1246" s="1094">
        <v>0.97131899766557295</v>
      </c>
      <c r="K1246">
        <v>4.354363481959993</v>
      </c>
      <c r="L1246">
        <v>0</v>
      </c>
      <c r="M1246">
        <v>1.4619773351609334E-3</v>
      </c>
      <c r="N1246">
        <v>0.12367636309404331</v>
      </c>
      <c r="O1246">
        <v>3.7882062458776164E-2</v>
      </c>
      <c r="P1246">
        <v>1.8474668689996972E-2</v>
      </c>
      <c r="Q1246">
        <v>1.3140140371683429E-3</v>
      </c>
      <c r="R1246">
        <v>1.455790448558755E-3</v>
      </c>
      <c r="S1246">
        <v>0.22314616492932426</v>
      </c>
      <c r="T1246">
        <v>3.8519765774463992</v>
      </c>
      <c r="U1246">
        <v>0</v>
      </c>
      <c r="V1246">
        <v>9.4523053561131817E-3</v>
      </c>
      <c r="W1246">
        <v>7.4050760057107687E-2</v>
      </c>
      <c r="X1246">
        <v>1.0282577825698157E-2</v>
      </c>
      <c r="Y1246">
        <v>4.114174951969975E-3</v>
      </c>
    </row>
    <row r="1247" spans="1:25" x14ac:dyDescent="0.25">
      <c r="A1247" s="1090"/>
      <c r="B1247" s="1448">
        <v>997</v>
      </c>
      <c r="C1247" s="1094">
        <v>1.009938543313377</v>
      </c>
      <c r="D1247" s="1094">
        <v>0.97092436963988704</v>
      </c>
      <c r="E1247" s="1094">
        <v>0.99633877951172589</v>
      </c>
      <c r="F1247" s="1094">
        <v>0.99928637603391568</v>
      </c>
      <c r="G1247" s="1094">
        <v>0.96284420523417402</v>
      </c>
      <c r="H1247" s="1094">
        <v>1.0051162895762487</v>
      </c>
      <c r="I1247" s="1094">
        <v>0.95620287523268832</v>
      </c>
      <c r="K1247">
        <v>4.4704212537973174</v>
      </c>
      <c r="L1247">
        <v>0</v>
      </c>
      <c r="M1247">
        <v>1.4835383594712082E-3</v>
      </c>
      <c r="N1247">
        <v>0.12700472459612686</v>
      </c>
      <c r="O1247">
        <v>3.8462794626112587E-2</v>
      </c>
      <c r="P1247">
        <v>1.9026243294245199E-2</v>
      </c>
      <c r="Q1247">
        <v>1.3019856346275379E-3</v>
      </c>
      <c r="R1247">
        <v>1.4774798210708344E-3</v>
      </c>
      <c r="S1247">
        <v>0.22126608671385189</v>
      </c>
      <c r="T1247">
        <v>3.9633162119879746</v>
      </c>
      <c r="U1247">
        <v>0</v>
      </c>
      <c r="V1247">
        <v>9.4523053561131869E-3</v>
      </c>
      <c r="W1247">
        <v>7.5839063998116463E-2</v>
      </c>
      <c r="X1247">
        <v>1.0582425353957125E-2</v>
      </c>
      <c r="Y1247">
        <v>4.1754707745943684E-3</v>
      </c>
    </row>
    <row r="1248" spans="1:25" x14ac:dyDescent="0.25">
      <c r="A1248" s="1090"/>
      <c r="B1248" s="1448">
        <v>998</v>
      </c>
      <c r="C1248" s="1094">
        <v>1.0262589420394121</v>
      </c>
      <c r="D1248" s="1094">
        <v>1.017267061037378</v>
      </c>
      <c r="E1248" s="1094">
        <v>0.99253260507328944</v>
      </c>
      <c r="F1248" s="1094">
        <v>0.96633966803933724</v>
      </c>
      <c r="G1248" s="1094">
        <v>1.0038979818577409</v>
      </c>
      <c r="H1248" s="1094">
        <v>0.9991216922869246</v>
      </c>
      <c r="I1248" s="1094">
        <v>1.0049702466042061</v>
      </c>
      <c r="K1248">
        <v>4.3198254322747189</v>
      </c>
      <c r="L1248">
        <v>0</v>
      </c>
      <c r="M1248">
        <v>1.3887297237097384E-3</v>
      </c>
      <c r="N1248">
        <v>0.11753508226219603</v>
      </c>
      <c r="O1248">
        <v>3.5951243283800782E-2</v>
      </c>
      <c r="P1248">
        <v>1.8376573065947688E-2</v>
      </c>
      <c r="Q1248">
        <v>1.2534951325398854E-3</v>
      </c>
      <c r="R1248">
        <v>1.382830645918076E-3</v>
      </c>
      <c r="S1248">
        <v>0.22015092052936552</v>
      </c>
      <c r="T1248">
        <v>3.8327851844062595</v>
      </c>
      <c r="U1248">
        <v>0</v>
      </c>
      <c r="V1248">
        <v>9.4523053561131904E-3</v>
      </c>
      <c r="W1248">
        <v>7.0365868564178799E-2</v>
      </c>
      <c r="X1248">
        <v>1.0052673772618353E-2</v>
      </c>
      <c r="Y1248">
        <v>3.9079849794899897E-3</v>
      </c>
    </row>
    <row r="1249" spans="1:25" x14ac:dyDescent="0.25">
      <c r="A1249" s="1090"/>
      <c r="B1249" s="1448">
        <v>999</v>
      </c>
      <c r="C1249" s="1094">
        <v>0.99652606323775172</v>
      </c>
      <c r="D1249" s="1094">
        <v>1.0002346141209657</v>
      </c>
      <c r="E1249" s="1094">
        <v>1.0103467643607864</v>
      </c>
      <c r="F1249" s="1094">
        <v>1.022079062045935</v>
      </c>
      <c r="G1249" s="1094">
        <v>0.99720774145613267</v>
      </c>
      <c r="H1249" s="1094">
        <v>0.98132672597295223</v>
      </c>
      <c r="I1249" s="1094">
        <v>0.99869864364430716</v>
      </c>
      <c r="K1249">
        <v>4.5766432267358939</v>
      </c>
      <c r="L1249">
        <v>0</v>
      </c>
      <c r="M1249">
        <v>1.4403642709654757E-3</v>
      </c>
      <c r="N1249">
        <v>0.12853214956557202</v>
      </c>
      <c r="O1249">
        <v>3.9299391068627461E-2</v>
      </c>
      <c r="P1249">
        <v>1.9694757894086843E-2</v>
      </c>
      <c r="Q1249">
        <v>1.3196193050031663E-3</v>
      </c>
      <c r="R1249">
        <v>1.4344732666631353E-3</v>
      </c>
      <c r="S1249">
        <v>0.23382384086162025</v>
      </c>
      <c r="T1249">
        <v>4.0531710241336709</v>
      </c>
      <c r="U1249">
        <v>0</v>
      </c>
      <c r="V1249">
        <v>9.4523053561131939E-3</v>
      </c>
      <c r="W1249">
        <v>7.6029547597939701E-2</v>
      </c>
      <c r="X1249">
        <v>1.1272550989118332E-2</v>
      </c>
      <c r="Y1249">
        <v>4.053930968443106E-3</v>
      </c>
    </row>
    <row r="1250" spans="1:25" x14ac:dyDescent="0.25">
      <c r="A1250" s="1090"/>
      <c r="B1250" s="1448">
        <v>1000</v>
      </c>
      <c r="C1250" s="1094">
        <v>1.0320021745466033</v>
      </c>
      <c r="D1250" s="1094">
        <v>1.0011327665223413</v>
      </c>
      <c r="E1250" s="1094">
        <v>0.98055831380704417</v>
      </c>
      <c r="F1250" s="1094">
        <v>1.0103250297963307</v>
      </c>
      <c r="G1250" s="1094">
        <v>0.98145235796614672</v>
      </c>
      <c r="H1250" s="1094">
        <v>1.010480450096144</v>
      </c>
      <c r="I1250" s="1094">
        <v>1.0171500505199569</v>
      </c>
      <c r="K1250">
        <v>4.517246901480851</v>
      </c>
      <c r="L1250">
        <v>0</v>
      </c>
      <c r="M1250">
        <v>1.506817248107153E-3</v>
      </c>
      <c r="N1250">
        <v>0.12310813055877055</v>
      </c>
      <c r="O1250">
        <v>3.7698551514382325E-2</v>
      </c>
      <c r="P1250">
        <v>1.9040996592502774E-2</v>
      </c>
      <c r="Q1250">
        <v>1.2415981335291454E-3</v>
      </c>
      <c r="R1250">
        <v>1.5007629138426679E-3</v>
      </c>
      <c r="S1250">
        <v>0.23030003430454707</v>
      </c>
      <c r="T1250">
        <v>4.0077076944207768</v>
      </c>
      <c r="U1250">
        <v>0</v>
      </c>
      <c r="V1250">
        <v>9.4523053561131973E-3</v>
      </c>
      <c r="W1250">
        <v>7.4306767786742917E-2</v>
      </c>
      <c r="X1250">
        <v>1.0155606575398986E-2</v>
      </c>
      <c r="Y1250">
        <v>4.2412705723476113E-3</v>
      </c>
    </row>
    <row r="1251" spans="1:25" x14ac:dyDescent="0.25">
      <c r="A1251" s="1090"/>
      <c r="B1251" s="1448">
        <v>1001</v>
      </c>
      <c r="C1251" s="1094">
        <v>0.98550305541641237</v>
      </c>
      <c r="D1251" s="1094">
        <v>0.99413283358808657</v>
      </c>
      <c r="E1251" s="1094">
        <v>1.0208169000646936</v>
      </c>
      <c r="F1251" s="1094">
        <v>0.99316703908564341</v>
      </c>
      <c r="G1251" s="1094">
        <v>1.0285533416951302</v>
      </c>
      <c r="H1251" s="1094">
        <v>1.0219861620895172</v>
      </c>
      <c r="I1251" s="1094">
        <v>1.0121200289922532</v>
      </c>
      <c r="K1251">
        <v>4.4719701547389041</v>
      </c>
      <c r="L1251">
        <v>0</v>
      </c>
      <c r="M1251">
        <v>1.4453970671571377E-3</v>
      </c>
      <c r="N1251">
        <v>0.13304707481689443</v>
      </c>
      <c r="O1251">
        <v>3.8636689464140769E-2</v>
      </c>
      <c r="P1251">
        <v>1.9337533945783705E-2</v>
      </c>
      <c r="Q1251">
        <v>1.3495872843593978E-3</v>
      </c>
      <c r="R1251">
        <v>1.4395561071211015E-3</v>
      </c>
      <c r="S1251">
        <v>0.23860436596184778</v>
      </c>
      <c r="T1251">
        <v>3.9381241400544886</v>
      </c>
      <c r="U1251">
        <v>0</v>
      </c>
      <c r="V1251">
        <v>9.4523053561131956E-3</v>
      </c>
      <c r="W1251">
        <v>7.8151070853918786E-2</v>
      </c>
      <c r="X1251">
        <v>1.1204932497756412E-2</v>
      </c>
      <c r="Y1251">
        <v>4.0682954636338288E-3</v>
      </c>
    </row>
    <row r="1252" spans="1:25" x14ac:dyDescent="0.25">
      <c r="A1252" s="1090"/>
      <c r="B1252" s="1448">
        <v>1002</v>
      </c>
      <c r="C1252" s="1094">
        <v>1.0476296319804226</v>
      </c>
      <c r="D1252" s="1094">
        <v>1.0089898131482706</v>
      </c>
      <c r="E1252" s="1094">
        <v>0.97922866200129643</v>
      </c>
      <c r="F1252" s="1094">
        <v>0.96557348887044336</v>
      </c>
      <c r="G1252" s="1094">
        <v>1.0271777187247582</v>
      </c>
      <c r="H1252" s="1094">
        <v>0.98171177916958208</v>
      </c>
      <c r="I1252" s="1094">
        <v>0.97283055140345909</v>
      </c>
      <c r="K1252">
        <v>4.2958304015567625</v>
      </c>
      <c r="L1252">
        <v>0</v>
      </c>
      <c r="M1252">
        <v>1.3780014030094971E-3</v>
      </c>
      <c r="N1252">
        <v>0.11210569586637249</v>
      </c>
      <c r="O1252">
        <v>3.5388832917704997E-2</v>
      </c>
      <c r="P1252">
        <v>1.8127125224330257E-2</v>
      </c>
      <c r="Q1252">
        <v>1.2178521304595062E-3</v>
      </c>
      <c r="R1252">
        <v>1.3720393827128549E-3</v>
      </c>
      <c r="S1252">
        <v>0.20799556673858702</v>
      </c>
      <c r="T1252">
        <v>3.8302388511652641</v>
      </c>
      <c r="U1252">
        <v>0</v>
      </c>
      <c r="V1252">
        <v>9.4523053561132026E-3</v>
      </c>
      <c r="W1252">
        <v>6.77274896049605E-2</v>
      </c>
      <c r="X1252">
        <v>9.705156527462162E-3</v>
      </c>
      <c r="Y1252">
        <v>3.8774880457980642E-3</v>
      </c>
    </row>
    <row r="1253" spans="1:25" x14ac:dyDescent="0.25">
      <c r="A1253" s="1090"/>
      <c r="B1253" s="1448">
        <v>1003</v>
      </c>
      <c r="C1253" s="1094">
        <v>1.0171570099235572</v>
      </c>
      <c r="D1253" s="1094">
        <v>0.99887996103339372</v>
      </c>
      <c r="E1253" s="1094">
        <v>0.9968072261571852</v>
      </c>
      <c r="F1253" s="1094">
        <v>1.0026393502942623</v>
      </c>
      <c r="G1253" s="1094">
        <v>0.98593520946011459</v>
      </c>
      <c r="H1253" s="1094">
        <v>1.0343637481870134</v>
      </c>
      <c r="I1253" s="1094">
        <v>1.0079180936642396</v>
      </c>
      <c r="K1253">
        <v>4.4970515824280834</v>
      </c>
      <c r="L1253">
        <v>0</v>
      </c>
      <c r="M1253">
        <v>1.5022843987352306E-3</v>
      </c>
      <c r="N1253">
        <v>0.12880488035369636</v>
      </c>
      <c r="O1253">
        <v>3.7882188660687682E-2</v>
      </c>
      <c r="P1253">
        <v>1.914325342049078E-2</v>
      </c>
      <c r="Q1253">
        <v>1.2786648355412689E-3</v>
      </c>
      <c r="R1253">
        <v>1.4963426340974695E-3</v>
      </c>
      <c r="S1253">
        <v>0.23230037753032759</v>
      </c>
      <c r="T1253">
        <v>3.9765966833695812</v>
      </c>
      <c r="U1253">
        <v>0</v>
      </c>
      <c r="V1253">
        <v>9.4523053561131973E-3</v>
      </c>
      <c r="W1253">
        <v>7.6889596728985085E-2</v>
      </c>
      <c r="X1253">
        <v>1.048079541297872E-2</v>
      </c>
      <c r="Y1253">
        <v>4.2287785243152864E-3</v>
      </c>
    </row>
    <row r="1254" spans="1:25" x14ac:dyDescent="0.25">
      <c r="A1254" s="1090"/>
      <c r="B1254" s="1448">
        <v>1004</v>
      </c>
      <c r="C1254" s="1094">
        <v>1.0023351479230358</v>
      </c>
      <c r="D1254" s="1094">
        <v>0.98547587052853658</v>
      </c>
      <c r="E1254" s="1094">
        <v>1.0108658808446844</v>
      </c>
      <c r="F1254" s="1094">
        <v>0.99638329931856873</v>
      </c>
      <c r="G1254" s="1094">
        <v>0.9840765990111634</v>
      </c>
      <c r="H1254" s="1094">
        <v>0.99739506049317506</v>
      </c>
      <c r="I1254" s="1094">
        <v>1.029825640889624</v>
      </c>
      <c r="K1254">
        <v>4.4753169381299163</v>
      </c>
      <c r="L1254">
        <v>0</v>
      </c>
      <c r="M1254">
        <v>1.4259205401293198E-3</v>
      </c>
      <c r="N1254">
        <v>0.12743416990620984</v>
      </c>
      <c r="O1254">
        <v>3.8312929726626553E-2</v>
      </c>
      <c r="P1254">
        <v>1.9253839680641326E-2</v>
      </c>
      <c r="Q1254">
        <v>1.3203790813340794E-3</v>
      </c>
      <c r="R1254">
        <v>1.4200351962868785E-3</v>
      </c>
      <c r="S1254">
        <v>0.23794570120143532</v>
      </c>
      <c r="T1254">
        <v>3.9512519535378559</v>
      </c>
      <c r="U1254">
        <v>0</v>
      </c>
      <c r="V1254">
        <v>9.4523053561132026E-3</v>
      </c>
      <c r="W1254">
        <v>7.5353815184433598E-2</v>
      </c>
      <c r="X1254">
        <v>1.0984601919835501E-2</v>
      </c>
      <c r="Y1254">
        <v>4.0131278792652761E-3</v>
      </c>
    </row>
    <row r="1255" spans="1:25" x14ac:dyDescent="0.25">
      <c r="A1255" s="1090"/>
      <c r="B1255" s="1448">
        <v>1005</v>
      </c>
      <c r="C1255" s="1094">
        <v>1.0176845671947319</v>
      </c>
      <c r="D1255" s="1094">
        <v>0.99000302870558721</v>
      </c>
      <c r="E1255" s="1094">
        <v>0.97608089655394603</v>
      </c>
      <c r="F1255" s="1094">
        <v>0.97747676109383552</v>
      </c>
      <c r="G1255" s="1094">
        <v>0.99549604724328433</v>
      </c>
      <c r="H1255" s="1094">
        <v>0.9935729594572954</v>
      </c>
      <c r="I1255" s="1094">
        <v>0.9810797553481837</v>
      </c>
      <c r="K1255">
        <v>4.3683948259266838</v>
      </c>
      <c r="L1255">
        <v>0</v>
      </c>
      <c r="M1255">
        <v>1.474102160992769E-3</v>
      </c>
      <c r="N1255">
        <v>0.11882107701321068</v>
      </c>
      <c r="O1255">
        <v>3.718130575797212E-2</v>
      </c>
      <c r="P1255">
        <v>1.8348139925396554E-2</v>
      </c>
      <c r="Q1255">
        <v>1.2597977322750381E-3</v>
      </c>
      <c r="R1255">
        <v>1.4678769085472248E-3</v>
      </c>
      <c r="S1255">
        <v>0.2198283491727942</v>
      </c>
      <c r="T1255">
        <v>3.8775752221752007</v>
      </c>
      <c r="U1255">
        <v>0</v>
      </c>
      <c r="V1255">
        <v>9.4523053561131904E-3</v>
      </c>
      <c r="W1255">
        <v>7.1939745671480801E-2</v>
      </c>
      <c r="X1255">
        <v>9.8467761640312328E-3</v>
      </c>
      <c r="Y1255">
        <v>4.1483322106549573E-3</v>
      </c>
    </row>
    <row r="1256" spans="1:25" x14ac:dyDescent="0.25">
      <c r="A1256" s="1090"/>
      <c r="B1256" s="1448">
        <v>1006</v>
      </c>
      <c r="C1256" s="1094">
        <v>1.0328586481488993</v>
      </c>
      <c r="D1256" s="1094">
        <v>1.0223889573643929</v>
      </c>
      <c r="E1256" s="1094">
        <v>1.0029730911388679</v>
      </c>
      <c r="F1256" s="1094">
        <v>1.017298211798348</v>
      </c>
      <c r="G1256" s="1094">
        <v>1.0431991640023581</v>
      </c>
      <c r="H1256" s="1094">
        <v>0.96887585874689319</v>
      </c>
      <c r="I1256" s="1094">
        <v>1.0006351758863314</v>
      </c>
      <c r="K1256">
        <v>4.5311686858050324</v>
      </c>
      <c r="L1256">
        <v>0</v>
      </c>
      <c r="M1256">
        <v>1.3749652782143792E-3</v>
      </c>
      <c r="N1256">
        <v>0.12003724867937454</v>
      </c>
      <c r="O1256">
        <v>3.7459818476990848E-2</v>
      </c>
      <c r="P1256">
        <v>1.9452661588518064E-2</v>
      </c>
      <c r="Q1256">
        <v>1.2541740465468925E-3</v>
      </c>
      <c r="R1256">
        <v>1.3692428251139575E-3</v>
      </c>
      <c r="S1256">
        <v>0.22292875948933524</v>
      </c>
      <c r="T1256">
        <v>4.0344967386063306</v>
      </c>
      <c r="U1256">
        <v>0</v>
      </c>
      <c r="V1256">
        <v>9.4523053561131869E-3</v>
      </c>
      <c r="W1256">
        <v>7.1357775621596412E-2</v>
      </c>
      <c r="X1256">
        <v>1.0865341632811061E-2</v>
      </c>
      <c r="Y1256">
        <v>3.8695847605165071E-3</v>
      </c>
    </row>
    <row r="1257" spans="1:25" x14ac:dyDescent="0.25">
      <c r="A1257" s="1090"/>
      <c r="B1257" s="1448">
        <v>1007</v>
      </c>
      <c r="C1257" s="1094">
        <v>0.9894419247741576</v>
      </c>
      <c r="D1257" s="1094">
        <v>1.0163676367422205</v>
      </c>
      <c r="E1257" s="1094">
        <v>1.013364779546261</v>
      </c>
      <c r="F1257" s="1094">
        <v>1.0022529372615623</v>
      </c>
      <c r="G1257" s="1094">
        <v>0.97345315718240144</v>
      </c>
      <c r="H1257" s="1094">
        <v>0.99748368051389602</v>
      </c>
      <c r="I1257" s="1094">
        <v>0.98469289331616194</v>
      </c>
      <c r="K1257">
        <v>4.4919019897278183</v>
      </c>
      <c r="L1257">
        <v>0</v>
      </c>
      <c r="M1257">
        <v>1.4277275060109922E-3</v>
      </c>
      <c r="N1257">
        <v>0.12854620172532927</v>
      </c>
      <c r="O1257">
        <v>3.8544472743721379E-2</v>
      </c>
      <c r="P1257">
        <v>1.9355893038062805E-2</v>
      </c>
      <c r="Q1257">
        <v>1.32398272631804E-3</v>
      </c>
      <c r="R1257">
        <v>1.4218695942048495E-3</v>
      </c>
      <c r="S1257">
        <v>0.22925084898829148</v>
      </c>
      <c r="T1257">
        <v>3.9744337482286189</v>
      </c>
      <c r="U1257">
        <v>0</v>
      </c>
      <c r="V1257">
        <v>9.4523053561131991E-3</v>
      </c>
      <c r="W1257">
        <v>7.5884154208338356E-2</v>
      </c>
      <c r="X1257">
        <v>1.1097928596995823E-2</v>
      </c>
      <c r="Y1257">
        <v>4.0183120278311181E-3</v>
      </c>
    </row>
    <row r="1258" spans="1:25" x14ac:dyDescent="0.25">
      <c r="A1258" s="1090"/>
      <c r="B1258" s="1448">
        <v>1008</v>
      </c>
      <c r="C1258" s="1094">
        <v>0.97101851441238762</v>
      </c>
      <c r="D1258" s="1094">
        <v>0.97831715058973756</v>
      </c>
      <c r="E1258" s="1094">
        <v>0.99450761919331687</v>
      </c>
      <c r="F1258" s="1094">
        <v>0.960455707542061</v>
      </c>
      <c r="G1258" s="1094">
        <v>1.0113270581279057</v>
      </c>
      <c r="H1258" s="1094">
        <v>0.97462896367313745</v>
      </c>
      <c r="I1258" s="1094">
        <v>0.99998118202579778</v>
      </c>
      <c r="K1258">
        <v>4.3186360120378282</v>
      </c>
      <c r="L1258">
        <v>0</v>
      </c>
      <c r="M1258">
        <v>1.439476347916655E-3</v>
      </c>
      <c r="N1258">
        <v>0.12252898498920507</v>
      </c>
      <c r="O1258">
        <v>3.8345989699088867E-2</v>
      </c>
      <c r="P1258">
        <v>1.8349271535898135E-2</v>
      </c>
      <c r="Q1258">
        <v>1.3479456106803797E-3</v>
      </c>
      <c r="R1258">
        <v>1.4331698076259015E-3</v>
      </c>
      <c r="S1258">
        <v>0.2315238171016992</v>
      </c>
      <c r="T1258">
        <v>3.8093752146879738</v>
      </c>
      <c r="U1258">
        <v>0</v>
      </c>
      <c r="V1258">
        <v>9.4523053561132043E-3</v>
      </c>
      <c r="W1258">
        <v>7.3257331286745067E-2</v>
      </c>
      <c r="X1258">
        <v>1.0411211017019393E-2</v>
      </c>
      <c r="Y1258">
        <v>4.0502472936894927E-3</v>
      </c>
    </row>
    <row r="1259" spans="1:25" x14ac:dyDescent="0.25">
      <c r="A1259" s="1090"/>
      <c r="B1259" s="1448">
        <v>1009</v>
      </c>
      <c r="C1259" s="1094">
        <v>0.99908856680992264</v>
      </c>
      <c r="D1259" s="1094">
        <v>1.005375322449936</v>
      </c>
      <c r="E1259" s="1094">
        <v>0.99634765464036679</v>
      </c>
      <c r="F1259" s="1094">
        <v>0.98498651241122293</v>
      </c>
      <c r="G1259" s="1094">
        <v>0.99309303903598922</v>
      </c>
      <c r="H1259" s="1094">
        <v>0.98590756485339304</v>
      </c>
      <c r="I1259" s="1094">
        <v>1.0113342722819694</v>
      </c>
      <c r="K1259">
        <v>4.4143091482460219</v>
      </c>
      <c r="L1259">
        <v>0</v>
      </c>
      <c r="M1259">
        <v>1.429916186005916E-3</v>
      </c>
      <c r="N1259">
        <v>0.1224002072171058</v>
      </c>
      <c r="O1259">
        <v>3.779325474755562E-2</v>
      </c>
      <c r="P1259">
        <v>1.8810261527245294E-2</v>
      </c>
      <c r="Q1259">
        <v>1.2979062797084373E-3</v>
      </c>
      <c r="R1259">
        <v>1.4238767889560753E-3</v>
      </c>
      <c r="S1259">
        <v>0.23034343466600185</v>
      </c>
      <c r="T1259">
        <v>3.9066005237328261</v>
      </c>
      <c r="U1259">
        <v>0</v>
      </c>
      <c r="V1259">
        <v>9.4523053561131939E-3</v>
      </c>
      <c r="W1259">
        <v>7.3089102454304181E-2</v>
      </c>
      <c r="X1259">
        <v>1.0504207148770312E-2</v>
      </c>
      <c r="Y1259">
        <v>4.0239845134401519E-3</v>
      </c>
    </row>
    <row r="1260" spans="1:25" x14ac:dyDescent="0.25">
      <c r="A1260" s="1090"/>
      <c r="B1260" s="1448">
        <v>1010</v>
      </c>
      <c r="C1260" s="1094">
        <v>1.0111123456428879</v>
      </c>
      <c r="D1260" s="1094">
        <v>0.99257584416764255</v>
      </c>
      <c r="E1260" s="1094">
        <v>0.95969496369821861</v>
      </c>
      <c r="F1260" s="1094">
        <v>1.0279079795940174</v>
      </c>
      <c r="G1260" s="1094">
        <v>1.0122631402221129</v>
      </c>
      <c r="H1260" s="1094">
        <v>0.97638940971665</v>
      </c>
      <c r="I1260" s="1094">
        <v>0.9807568104937443</v>
      </c>
      <c r="K1260">
        <v>4.5854476037067631</v>
      </c>
      <c r="L1260">
        <v>0</v>
      </c>
      <c r="M1260">
        <v>1.5848296255330312E-3</v>
      </c>
      <c r="N1260">
        <v>0.12169478869766419</v>
      </c>
      <c r="O1260">
        <v>3.9426997127489323E-2</v>
      </c>
      <c r="P1260">
        <v>1.9037520604326123E-2</v>
      </c>
      <c r="Q1260">
        <v>1.2486435269405635E-3</v>
      </c>
      <c r="R1260">
        <v>1.5783517845012391E-3</v>
      </c>
      <c r="S1260">
        <v>0.22733550433522784</v>
      </c>
      <c r="T1260">
        <v>4.0782834271372668</v>
      </c>
      <c r="U1260">
        <v>0</v>
      </c>
      <c r="V1260">
        <v>9.4523053561131887E-3</v>
      </c>
      <c r="W1260">
        <v>7.4518403487068882E-2</v>
      </c>
      <c r="X1260">
        <v>9.9959486312389406E-3</v>
      </c>
      <c r="Y1260">
        <v>4.4605426444587837E-3</v>
      </c>
    </row>
    <row r="1261" spans="1:25" x14ac:dyDescent="0.25">
      <c r="A1261" s="1090"/>
      <c r="B1261" s="1448">
        <v>1011</v>
      </c>
      <c r="C1261" s="1094">
        <v>0.98665650519699388</v>
      </c>
      <c r="D1261" s="1094">
        <v>1.0130837224860287</v>
      </c>
      <c r="E1261" s="1094">
        <v>1.0110144419352216</v>
      </c>
      <c r="F1261" s="1094">
        <v>1.0011862099781548</v>
      </c>
      <c r="G1261" s="1094">
        <v>0.97862277174589662</v>
      </c>
      <c r="H1261" s="1094">
        <v>1.0303459975701026</v>
      </c>
      <c r="I1261" s="1094">
        <v>0.96100947412966853</v>
      </c>
      <c r="K1261">
        <v>4.4925458618062288</v>
      </c>
      <c r="L1261">
        <v>0</v>
      </c>
      <c r="M1261">
        <v>1.4866275628403118E-3</v>
      </c>
      <c r="N1261">
        <v>0.13293815449096891</v>
      </c>
      <c r="O1261">
        <v>3.8678483755777482E-2</v>
      </c>
      <c r="P1261">
        <v>1.9292343289410128E-2</v>
      </c>
      <c r="Q1261">
        <v>1.3267857121727338E-3</v>
      </c>
      <c r="R1261">
        <v>1.4807162631408706E-3</v>
      </c>
      <c r="S1261">
        <v>0.22684116870723015</v>
      </c>
      <c r="T1261">
        <v>3.9702927150996579</v>
      </c>
      <c r="U1261">
        <v>0</v>
      </c>
      <c r="V1261">
        <v>9.4523053561131835E-3</v>
      </c>
      <c r="W1261">
        <v>7.8600572964562562E-2</v>
      </c>
      <c r="X1261">
        <v>1.0944626523061067E-2</v>
      </c>
      <c r="Y1261">
        <v>4.1846172069749518E-3</v>
      </c>
    </row>
    <row r="1262" spans="1:25" x14ac:dyDescent="0.25">
      <c r="A1262" s="1090"/>
      <c r="B1262" s="1448">
        <v>1012</v>
      </c>
      <c r="C1262" s="1094">
        <v>1.0172277046547737</v>
      </c>
      <c r="D1262" s="1094">
        <v>0.9701632194337787</v>
      </c>
      <c r="E1262" s="1094">
        <v>1.010200452467412</v>
      </c>
      <c r="F1262" s="1094">
        <v>1.0300647472701923</v>
      </c>
      <c r="G1262" s="1094">
        <v>1.0026000414935874</v>
      </c>
      <c r="H1262" s="1094">
        <v>1.0020118611697755</v>
      </c>
      <c r="I1262" s="1094">
        <v>0.95168079264042438</v>
      </c>
      <c r="K1262">
        <v>4.6017846453209392</v>
      </c>
      <c r="L1262">
        <v>0</v>
      </c>
      <c r="M1262">
        <v>1.4702982269400153E-3</v>
      </c>
      <c r="N1262">
        <v>0.13116169996701296</v>
      </c>
      <c r="O1262">
        <v>3.9278108748896978E-2</v>
      </c>
      <c r="P1262">
        <v>1.9788149691908979E-2</v>
      </c>
      <c r="Q1262">
        <v>1.3084823486429877E-3</v>
      </c>
      <c r="R1262">
        <v>1.4644544089808828E-3</v>
      </c>
      <c r="S1262">
        <v>0.2229910411716825</v>
      </c>
      <c r="T1262">
        <v>4.0848448794522376</v>
      </c>
      <c r="U1262">
        <v>0</v>
      </c>
      <c r="V1262">
        <v>9.4523053561131852E-3</v>
      </c>
      <c r="W1262">
        <v>7.759260296175885E-2</v>
      </c>
      <c r="X1262">
        <v>1.1234559475057315E-2</v>
      </c>
      <c r="Y1262">
        <v>4.1386599655849942E-3</v>
      </c>
    </row>
    <row r="1263" spans="1:25" x14ac:dyDescent="0.25">
      <c r="A1263" s="1090"/>
      <c r="B1263" s="1448">
        <v>1013</v>
      </c>
      <c r="C1263" s="1094">
        <v>1.0237299372289685</v>
      </c>
      <c r="D1263" s="1094">
        <v>1.010117551170304</v>
      </c>
      <c r="E1263" s="1094">
        <v>1.0245676127145622</v>
      </c>
      <c r="F1263" s="1094">
        <v>1.0107999139879529</v>
      </c>
      <c r="G1263" s="1094">
        <v>0.98049621455276137</v>
      </c>
      <c r="H1263" s="1094">
        <v>1.0038729739483883</v>
      </c>
      <c r="I1263" s="1094">
        <v>1.032140540572049</v>
      </c>
      <c r="K1263">
        <v>4.5280288591730189</v>
      </c>
      <c r="L1263">
        <v>0</v>
      </c>
      <c r="M1263">
        <v>1.3711717183915843E-3</v>
      </c>
      <c r="N1263">
        <v>0.12762263082520339</v>
      </c>
      <c r="O1263">
        <v>3.7588145961824374E-2</v>
      </c>
      <c r="P1263">
        <v>1.9694840148917873E-2</v>
      </c>
      <c r="Q1263">
        <v>1.2950263702015186E-3</v>
      </c>
      <c r="R1263">
        <v>1.3656287352619186E-3</v>
      </c>
      <c r="S1263">
        <v>0.23451629861753748</v>
      </c>
      <c r="T1263">
        <v>4.0078995736749512</v>
      </c>
      <c r="U1263">
        <v>0</v>
      </c>
      <c r="V1263">
        <v>9.4523053561132008E-3</v>
      </c>
      <c r="W1263">
        <v>7.4777876528784953E-2</v>
      </c>
      <c r="X1263">
        <v>1.1328333605939175E-2</v>
      </c>
      <c r="Y1263">
        <v>3.8593710666719383E-3</v>
      </c>
    </row>
    <row r="1264" spans="1:25" x14ac:dyDescent="0.25">
      <c r="A1264" s="1090"/>
      <c r="B1264" s="1448">
        <v>1014</v>
      </c>
      <c r="C1264" s="1094">
        <v>1.0057341323174476</v>
      </c>
      <c r="D1264" s="1094">
        <v>0.95819331307723521</v>
      </c>
      <c r="E1264" s="1094">
        <v>0.99988121267517771</v>
      </c>
      <c r="F1264" s="1094">
        <v>1.0203274914130442</v>
      </c>
      <c r="G1264" s="1094">
        <v>0.98895061212001523</v>
      </c>
      <c r="H1264" s="1094">
        <v>0.98759402024137422</v>
      </c>
      <c r="I1264" s="1094">
        <v>0.99100006232444704</v>
      </c>
      <c r="K1264">
        <v>4.5707027957704645</v>
      </c>
      <c r="L1264">
        <v>0</v>
      </c>
      <c r="M1264">
        <v>1.4912123836328789E-3</v>
      </c>
      <c r="N1264">
        <v>0.12901056096038613</v>
      </c>
      <c r="O1264">
        <v>3.9620518010449739E-2</v>
      </c>
      <c r="P1264">
        <v>1.9509510832263408E-2</v>
      </c>
      <c r="Q1264">
        <v>1.3183506910043978E-3</v>
      </c>
      <c r="R1264">
        <v>1.4851417560941378E-3</v>
      </c>
      <c r="S1264">
        <v>0.23312261886480565</v>
      </c>
      <c r="T1264">
        <v>4.046630590862474</v>
      </c>
      <c r="U1264">
        <v>0</v>
      </c>
      <c r="V1264">
        <v>9.4523053561131973E-3</v>
      </c>
      <c r="W1264">
        <v>7.6852360445513052E-2</v>
      </c>
      <c r="X1264">
        <v>1.0994926387057652E-2</v>
      </c>
      <c r="Y1264">
        <v>4.1971239879312894E-3</v>
      </c>
    </row>
    <row r="1265" spans="1:25" x14ac:dyDescent="0.25">
      <c r="A1265" s="1090"/>
      <c r="B1265" s="1448">
        <v>1015</v>
      </c>
      <c r="C1265" s="1094">
        <v>1.0342552223419061</v>
      </c>
      <c r="D1265" s="1094">
        <v>1.0090028542202372</v>
      </c>
      <c r="E1265" s="1094">
        <v>0.99395402054263271</v>
      </c>
      <c r="F1265" s="1094">
        <v>0.95935050463722449</v>
      </c>
      <c r="G1265" s="1094">
        <v>0.99104485401815323</v>
      </c>
      <c r="H1265" s="1094">
        <v>0.99994663097233583</v>
      </c>
      <c r="I1265" s="1094">
        <v>1.0232283973218559</v>
      </c>
      <c r="K1265">
        <v>4.2913377405896735</v>
      </c>
      <c r="L1265">
        <v>0</v>
      </c>
      <c r="M1265">
        <v>1.3695714879188299E-3</v>
      </c>
      <c r="N1265">
        <v>0.11639989314838327</v>
      </c>
      <c r="O1265">
        <v>3.5522009834620477E-2</v>
      </c>
      <c r="P1265">
        <v>1.8278560821410054E-2</v>
      </c>
      <c r="Q1265">
        <v>1.2493964170332572E-3</v>
      </c>
      <c r="R1265">
        <v>1.3637164227077014E-3</v>
      </c>
      <c r="S1265">
        <v>0.22195290788900515</v>
      </c>
      <c r="T1265">
        <v>3.8050120223684161</v>
      </c>
      <c r="U1265">
        <v>0</v>
      </c>
      <c r="V1265">
        <v>9.4523053561131869E-3</v>
      </c>
      <c r="W1265">
        <v>6.9619030978031057E-2</v>
      </c>
      <c r="X1265">
        <v>1.0003502116479832E-2</v>
      </c>
      <c r="Y1265">
        <v>3.8539667253955638E-3</v>
      </c>
    </row>
    <row r="1266" spans="1:25" x14ac:dyDescent="0.25">
      <c r="A1266" s="1090"/>
      <c r="B1266" s="1448">
        <v>1016</v>
      </c>
      <c r="C1266" s="1094">
        <v>0.96823249679187384</v>
      </c>
      <c r="D1266" s="1094">
        <v>1.0325135160336794</v>
      </c>
      <c r="E1266" s="1094">
        <v>1.0173331728773281</v>
      </c>
      <c r="F1266" s="1094">
        <v>0.99879009004099395</v>
      </c>
      <c r="G1266" s="1094">
        <v>0.98716663707055685</v>
      </c>
      <c r="H1266" s="1094">
        <v>1.001223089070318</v>
      </c>
      <c r="I1266" s="1094">
        <v>1.0144324646647713</v>
      </c>
      <c r="K1266">
        <v>4.4931063541710445</v>
      </c>
      <c r="L1266">
        <v>0</v>
      </c>
      <c r="M1266">
        <v>1.438163009622202E-3</v>
      </c>
      <c r="N1266">
        <v>0.13101568361161633</v>
      </c>
      <c r="O1266">
        <v>3.8978210503144255E-2</v>
      </c>
      <c r="P1266">
        <v>1.9397738357619126E-2</v>
      </c>
      <c r="Q1266">
        <v>1.3490179345140307E-3</v>
      </c>
      <c r="R1266">
        <v>1.4322640216570595E-3</v>
      </c>
      <c r="S1266">
        <v>0.23994121689614117</v>
      </c>
      <c r="T1266">
        <v>3.9605520275901371</v>
      </c>
      <c r="U1266">
        <v>0</v>
      </c>
      <c r="V1266">
        <v>9.4523053561131887E-3</v>
      </c>
      <c r="W1266">
        <v>7.7136929054987369E-2</v>
      </c>
      <c r="X1266">
        <v>1.1241436381351857E-2</v>
      </c>
      <c r="Y1266">
        <v>4.0476874733880591E-3</v>
      </c>
    </row>
    <row r="1267" spans="1:25" x14ac:dyDescent="0.25">
      <c r="A1267" s="1090"/>
      <c r="B1267" s="1448">
        <v>1017</v>
      </c>
      <c r="C1267" s="1094">
        <v>1.0022020702318155</v>
      </c>
      <c r="D1267" s="1094">
        <v>0.99692659705201447</v>
      </c>
      <c r="E1267" s="1094">
        <v>1.014261984516776</v>
      </c>
      <c r="F1267" s="1094">
        <v>1.0159802238490805</v>
      </c>
      <c r="G1267" s="1094">
        <v>0.98149290295290637</v>
      </c>
      <c r="H1267" s="1094">
        <v>1.017967945500446</v>
      </c>
      <c r="I1267" s="1094">
        <v>0.96891960369454144</v>
      </c>
      <c r="K1267">
        <v>4.5515369593419095</v>
      </c>
      <c r="L1267">
        <v>0</v>
      </c>
      <c r="M1267">
        <v>1.4666459420379092E-3</v>
      </c>
      <c r="N1267">
        <v>0.13241956046338035</v>
      </c>
      <c r="O1267">
        <v>3.8867811916683211E-2</v>
      </c>
      <c r="P1267">
        <v>1.9611219750757952E-2</v>
      </c>
      <c r="Q1267">
        <v>1.3182671035053539E-3</v>
      </c>
      <c r="R1267">
        <v>1.460828787750413E-3</v>
      </c>
      <c r="S1267">
        <v>0.22760814748147612</v>
      </c>
      <c r="T1267">
        <v>4.0288348221940158</v>
      </c>
      <c r="U1267">
        <v>0</v>
      </c>
      <c r="V1267">
        <v>9.4523053561131973E-3</v>
      </c>
      <c r="W1267">
        <v>7.8123751270002484E-2</v>
      </c>
      <c r="X1267">
        <v>1.1178477277074982E-2</v>
      </c>
      <c r="Y1267">
        <v>4.1284136831846001E-3</v>
      </c>
    </row>
    <row r="1268" spans="1:25" x14ac:dyDescent="0.25">
      <c r="A1268" s="1090"/>
      <c r="B1268" s="1448">
        <v>1018</v>
      </c>
      <c r="C1268" s="1094">
        <v>1.0357061428834504</v>
      </c>
      <c r="D1268" s="1094">
        <v>0.97831467774363023</v>
      </c>
      <c r="E1268" s="1094">
        <v>0.99569283276041076</v>
      </c>
      <c r="F1268" s="1094">
        <v>0.97441279325821706</v>
      </c>
      <c r="G1268" s="1094">
        <v>1.0106356619334982</v>
      </c>
      <c r="H1268" s="1094">
        <v>1.0221480680567765</v>
      </c>
      <c r="I1268" s="1094">
        <v>0.99029679847138907</v>
      </c>
      <c r="K1268">
        <v>4.3605219708316874</v>
      </c>
      <c r="L1268">
        <v>0</v>
      </c>
      <c r="M1268">
        <v>1.4322747543104649E-3</v>
      </c>
      <c r="N1268">
        <v>0.1223773782771478</v>
      </c>
      <c r="O1268">
        <v>3.6465744028402323E-2</v>
      </c>
      <c r="P1268">
        <v>1.8565972115940393E-2</v>
      </c>
      <c r="Q1268">
        <v>1.2650459071464433E-3</v>
      </c>
      <c r="R1268">
        <v>1.4263768271196733E-3</v>
      </c>
      <c r="S1268">
        <v>0.22041199661867661</v>
      </c>
      <c r="T1268">
        <v>3.8646879530043843</v>
      </c>
      <c r="U1268">
        <v>0</v>
      </c>
      <c r="V1268">
        <v>9.4523053561131904E-3</v>
      </c>
      <c r="W1268">
        <v>7.3107906791860591E-2</v>
      </c>
      <c r="X1268">
        <v>1.0162516847045678E-2</v>
      </c>
      <c r="Y1268">
        <v>4.031049812159365E-3</v>
      </c>
    </row>
    <row r="1269" spans="1:25" x14ac:dyDescent="0.25">
      <c r="A1269" s="1090"/>
      <c r="B1269" s="1448">
        <v>1019</v>
      </c>
      <c r="C1269" s="1094">
        <v>1.000559915136551</v>
      </c>
      <c r="D1269" s="1094">
        <v>1.0001050750325782</v>
      </c>
      <c r="E1269" s="1094">
        <v>0.98821586882477919</v>
      </c>
      <c r="F1269" s="1094">
        <v>0.99627185767426918</v>
      </c>
      <c r="G1269" s="1094">
        <v>0.96505435649881199</v>
      </c>
      <c r="H1269" s="1094">
        <v>0.95144574660849057</v>
      </c>
      <c r="I1269" s="1094">
        <v>0.97608178258664013</v>
      </c>
      <c r="K1269">
        <v>4.4455635997108924</v>
      </c>
      <c r="L1269">
        <v>0</v>
      </c>
      <c r="M1269">
        <v>1.420652259724803E-3</v>
      </c>
      <c r="N1269">
        <v>0.11869822144551766</v>
      </c>
      <c r="O1269">
        <v>3.8305907428104323E-2</v>
      </c>
      <c r="P1269">
        <v>1.8859225371610968E-2</v>
      </c>
      <c r="Q1269">
        <v>1.2896612736705295E-3</v>
      </c>
      <c r="R1269">
        <v>1.4145047975753678E-3</v>
      </c>
      <c r="S1269">
        <v>0.22151402935327055</v>
      </c>
      <c r="T1269">
        <v>3.9516695278336562</v>
      </c>
      <c r="U1269">
        <v>0</v>
      </c>
      <c r="V1269">
        <v>9.4523053561132008E-3</v>
      </c>
      <c r="W1269">
        <v>7.1271212467415843E-2</v>
      </c>
      <c r="X1269">
        <v>1.051215809339954E-2</v>
      </c>
      <c r="Y1269">
        <v>3.9974985502805784E-3</v>
      </c>
    </row>
    <row r="1270" spans="1:25" x14ac:dyDescent="0.25">
      <c r="A1270" s="1090"/>
      <c r="B1270" s="1448">
        <v>1020</v>
      </c>
      <c r="C1270" s="1094">
        <v>1.0323911514929753</v>
      </c>
      <c r="D1270" s="1094">
        <v>1.0209683416660771</v>
      </c>
      <c r="E1270" s="1094">
        <v>1.0134211562709408</v>
      </c>
      <c r="F1270" s="1094">
        <v>1.0151447258549451</v>
      </c>
      <c r="G1270" s="1094">
        <v>0.98493989396903281</v>
      </c>
      <c r="H1270" s="1094">
        <v>0.97458107775531599</v>
      </c>
      <c r="I1270" s="1094">
        <v>1.005211787035033</v>
      </c>
      <c r="K1270">
        <v>4.5258528210448175</v>
      </c>
      <c r="L1270">
        <v>0</v>
      </c>
      <c r="M1270">
        <v>1.3514355608075443E-3</v>
      </c>
      <c r="N1270">
        <v>0.12169223100470557</v>
      </c>
      <c r="O1270">
        <v>3.7348209961643314E-2</v>
      </c>
      <c r="P1270">
        <v>1.95685534301175E-2</v>
      </c>
      <c r="Q1270">
        <v>1.2666731957193815E-3</v>
      </c>
      <c r="R1270">
        <v>1.345832148021823E-3</v>
      </c>
      <c r="S1270">
        <v>0.22424360514154523</v>
      </c>
      <c r="T1270">
        <v>4.0255539672867515</v>
      </c>
      <c r="U1270">
        <v>0</v>
      </c>
      <c r="V1270">
        <v>9.4523053561131939E-3</v>
      </c>
      <c r="W1270">
        <v>7.1835365152721445E-2</v>
      </c>
      <c r="X1270">
        <v>1.1094089528551888E-2</v>
      </c>
      <c r="Y1270">
        <v>3.8034243997334895E-3</v>
      </c>
    </row>
    <row r="1271" spans="1:25" x14ac:dyDescent="0.25">
      <c r="A1271" s="1090"/>
      <c r="B1271" s="1448">
        <v>1021</v>
      </c>
      <c r="C1271" s="1094">
        <v>1.0257935641561711</v>
      </c>
      <c r="D1271" s="1094">
        <v>1.0042565847466114</v>
      </c>
      <c r="E1271" s="1094">
        <v>0.99530846004274065</v>
      </c>
      <c r="F1271" s="1094">
        <v>0.98328445054209324</v>
      </c>
      <c r="G1271" s="1094">
        <v>1.0088870125655147</v>
      </c>
      <c r="H1271" s="1094">
        <v>1.040176732251282</v>
      </c>
      <c r="I1271" s="1094">
        <v>1.0014128055354061</v>
      </c>
      <c r="K1271">
        <v>4.4068876192227009</v>
      </c>
      <c r="L1271">
        <v>0</v>
      </c>
      <c r="M1271">
        <v>1.4706888335160755E-3</v>
      </c>
      <c r="N1271">
        <v>0.12553007983295852</v>
      </c>
      <c r="O1271">
        <v>3.676894910775446E-2</v>
      </c>
      <c r="P1271">
        <v>1.874510133391118E-2</v>
      </c>
      <c r="Q1271">
        <v>1.2635514927186683E-3</v>
      </c>
      <c r="R1271">
        <v>1.4647911584496907E-3</v>
      </c>
      <c r="S1271">
        <v>0.22590517576572877</v>
      </c>
      <c r="T1271">
        <v>3.899888888819441</v>
      </c>
      <c r="U1271">
        <v>0</v>
      </c>
      <c r="V1271">
        <v>9.4523053561131904E-3</v>
      </c>
      <c r="W1271">
        <v>7.5010865932130841E-2</v>
      </c>
      <c r="X1271">
        <v>1.0188987611715876E-2</v>
      </c>
      <c r="Y1271">
        <v>4.1396116452934529E-3</v>
      </c>
    </row>
    <row r="1272" spans="1:25" x14ac:dyDescent="0.25">
      <c r="A1272" s="1090"/>
      <c r="B1272" s="1448">
        <v>1022</v>
      </c>
      <c r="C1272" s="1094">
        <v>0.95918040354409051</v>
      </c>
      <c r="D1272" s="1094">
        <v>0.99547848174468545</v>
      </c>
      <c r="E1272" s="1094">
        <v>0.98369448831252715</v>
      </c>
      <c r="F1272" s="1094">
        <v>0.99489056202281201</v>
      </c>
      <c r="G1272" s="1094">
        <v>1.032263478267514</v>
      </c>
      <c r="H1272" s="1094">
        <v>1.0115418501071194</v>
      </c>
      <c r="I1272" s="1094">
        <v>0.99909963841768212</v>
      </c>
      <c r="K1272">
        <v>4.4824992486329478</v>
      </c>
      <c r="L1272">
        <v>0</v>
      </c>
      <c r="M1272">
        <v>1.5913364400163171E-3</v>
      </c>
      <c r="N1272">
        <v>0.13122117851239101</v>
      </c>
      <c r="O1272">
        <v>4.0009304596650946E-2</v>
      </c>
      <c r="P1272">
        <v>1.8860325970759789E-2</v>
      </c>
      <c r="Q1272">
        <v>1.342536056306882E-3</v>
      </c>
      <c r="R1272">
        <v>1.5848505388337099E-3</v>
      </c>
      <c r="S1272">
        <v>0.24136050110252746</v>
      </c>
      <c r="T1272">
        <v>3.9463631512698201</v>
      </c>
      <c r="U1272">
        <v>0</v>
      </c>
      <c r="V1272">
        <v>9.4523053561131973E-3</v>
      </c>
      <c r="W1272">
        <v>7.9033962056856796E-2</v>
      </c>
      <c r="X1272">
        <v>1.0383560992341872E-2</v>
      </c>
      <c r="Y1272">
        <v>4.4789086203587689E-3</v>
      </c>
    </row>
    <row r="1273" spans="1:25" x14ac:dyDescent="0.25">
      <c r="A1273" s="1090"/>
      <c r="B1273" s="1448">
        <v>1023</v>
      </c>
      <c r="C1273" s="1094">
        <v>0.97665792107377214</v>
      </c>
      <c r="D1273" s="1094">
        <v>0.98880098801928895</v>
      </c>
      <c r="E1273" s="1094">
        <v>1.0001710677611999</v>
      </c>
      <c r="F1273" s="1094">
        <v>0.9759027278219129</v>
      </c>
      <c r="G1273" s="1094">
        <v>1.0257170497054657</v>
      </c>
      <c r="H1273" s="1094">
        <v>0.99951647463965576</v>
      </c>
      <c r="I1273" s="1094">
        <v>1.0029562986671985</v>
      </c>
      <c r="K1273">
        <v>4.3903426867958197</v>
      </c>
      <c r="L1273">
        <v>0</v>
      </c>
      <c r="M1273">
        <v>1.4672723567790711E-3</v>
      </c>
      <c r="N1273">
        <v>0.12703141684229494</v>
      </c>
      <c r="O1273">
        <v>3.8533902074771698E-2</v>
      </c>
      <c r="P1273">
        <v>1.8718190930640824E-2</v>
      </c>
      <c r="Q1273">
        <v>1.3409643890662721E-3</v>
      </c>
      <c r="R1273">
        <v>1.4611029004133343E-3</v>
      </c>
      <c r="S1273">
        <v>0.23445943081430376</v>
      </c>
      <c r="T1273">
        <v>3.8704306946310125</v>
      </c>
      <c r="U1273">
        <v>0</v>
      </c>
      <c r="V1273">
        <v>9.4523053561131748E-3</v>
      </c>
      <c r="W1273">
        <v>7.5658549371403955E-2</v>
      </c>
      <c r="X1273">
        <v>1.0594213496081964E-2</v>
      </c>
      <c r="Y1273">
        <v>4.1291883464975284E-3</v>
      </c>
    </row>
    <row r="1274" spans="1:25" x14ac:dyDescent="0.25">
      <c r="A1274" s="1090"/>
      <c r="B1274" s="1448">
        <v>1024</v>
      </c>
      <c r="C1274" s="1094">
        <v>0.97542204598314974</v>
      </c>
      <c r="D1274" s="1094">
        <v>0.97826324283030253</v>
      </c>
      <c r="E1274" s="1094">
        <v>0.99072473959762986</v>
      </c>
      <c r="F1274" s="1094">
        <v>1.0139713209278791</v>
      </c>
      <c r="G1274" s="1094">
        <v>0.98743282623423367</v>
      </c>
      <c r="H1274" s="1094">
        <v>1.027516060542123</v>
      </c>
      <c r="I1274" s="1094">
        <v>0.99994984138221621</v>
      </c>
      <c r="K1274">
        <v>4.5670366728369078</v>
      </c>
      <c r="L1274">
        <v>0</v>
      </c>
      <c r="M1274">
        <v>1.6073284392912272E-3</v>
      </c>
      <c r="N1274">
        <v>0.13535118738039079</v>
      </c>
      <c r="O1274">
        <v>4.0327925767412252E-2</v>
      </c>
      <c r="P1274">
        <v>1.9309385699832763E-2</v>
      </c>
      <c r="Q1274">
        <v>1.3375260404347637E-3</v>
      </c>
      <c r="R1274">
        <v>1.6010000742977439E-3</v>
      </c>
      <c r="S1274">
        <v>0.24316780954586442</v>
      </c>
      <c r="T1274">
        <v>4.0217763153274975</v>
      </c>
      <c r="U1274">
        <v>0</v>
      </c>
      <c r="V1274">
        <v>9.4523053561132008E-3</v>
      </c>
      <c r="W1274">
        <v>8.113164713669356E-2</v>
      </c>
      <c r="X1274">
        <v>1.0664350507119801E-2</v>
      </c>
      <c r="Y1274">
        <v>4.5245484405388343E-3</v>
      </c>
    </row>
    <row r="1275" spans="1:25" x14ac:dyDescent="0.25">
      <c r="A1275" s="1090"/>
      <c r="B1275" s="1448">
        <v>1025</v>
      </c>
      <c r="C1275" s="1094">
        <v>0.99049312814248103</v>
      </c>
      <c r="D1275" s="1094">
        <v>1.004677805677612</v>
      </c>
      <c r="E1275" s="1094">
        <v>1.0016808574075666</v>
      </c>
      <c r="F1275" s="1094">
        <v>1.0281502709141479</v>
      </c>
      <c r="G1275" s="1094">
        <v>1.0015295701899147</v>
      </c>
      <c r="H1275" s="1094">
        <v>0.98885276521106102</v>
      </c>
      <c r="I1275" s="1094">
        <v>1.0186589213767243</v>
      </c>
      <c r="K1275">
        <v>4.611512405756538</v>
      </c>
      <c r="L1275">
        <v>0</v>
      </c>
      <c r="M1275">
        <v>1.4933187301300189E-3</v>
      </c>
      <c r="N1275">
        <v>0.12988817529878577</v>
      </c>
      <c r="O1275">
        <v>3.9764872130422568E-2</v>
      </c>
      <c r="P1275">
        <v>1.9713458046405386E-2</v>
      </c>
      <c r="Q1275">
        <v>1.3155359073259204E-3</v>
      </c>
      <c r="R1275">
        <v>1.4872932772159219E-3</v>
      </c>
      <c r="S1275">
        <v>0.24120099111036261</v>
      </c>
      <c r="T1275">
        <v>4.0775853902712687</v>
      </c>
      <c r="U1275">
        <v>0</v>
      </c>
      <c r="V1275">
        <v>9.4523053561131835E-3</v>
      </c>
      <c r="W1275">
        <v>7.7281153542004433E-2</v>
      </c>
      <c r="X1275">
        <v>1.1113345195883036E-2</v>
      </c>
      <c r="Y1275">
        <v>4.2032043508823192E-3</v>
      </c>
    </row>
    <row r="1276" spans="1:25" x14ac:dyDescent="0.25">
      <c r="A1276" s="1090"/>
      <c r="B1276" s="1448">
        <v>1026</v>
      </c>
      <c r="C1276" s="1094">
        <v>1.008289198205661</v>
      </c>
      <c r="D1276" s="1094">
        <v>0.98398276616751623</v>
      </c>
      <c r="E1276" s="1094">
        <v>0.99341571965764208</v>
      </c>
      <c r="F1276" s="1094">
        <v>0.95876958254076494</v>
      </c>
      <c r="G1276" s="1094">
        <v>1.0054960355448308</v>
      </c>
      <c r="H1276" s="1094">
        <v>0.98270432593161716</v>
      </c>
      <c r="I1276" s="1094">
        <v>1.027658745603766</v>
      </c>
      <c r="K1276">
        <v>4.3009368899467599</v>
      </c>
      <c r="L1276">
        <v>0</v>
      </c>
      <c r="M1276">
        <v>1.3952924021492902E-3</v>
      </c>
      <c r="N1276">
        <v>0.11838760466096028</v>
      </c>
      <c r="O1276">
        <v>3.6785846948887695E-2</v>
      </c>
      <c r="P1276">
        <v>1.8293029372185993E-2</v>
      </c>
      <c r="Q1276">
        <v>1.2939087808929717E-3</v>
      </c>
      <c r="R1276">
        <v>1.3892190543922853E-3</v>
      </c>
      <c r="S1276">
        <v>0.22906174781610056</v>
      </c>
      <c r="T1276">
        <v>3.8027276617799224</v>
      </c>
      <c r="U1276">
        <v>0</v>
      </c>
      <c r="V1276">
        <v>9.4523053561131869E-3</v>
      </c>
      <c r="W1276">
        <v>7.0833762612293308E-2</v>
      </c>
      <c r="X1276">
        <v>1.018105685759269E-2</v>
      </c>
      <c r="Y1276">
        <v>3.9260391095700207E-3</v>
      </c>
    </row>
    <row r="1277" spans="1:25" x14ac:dyDescent="0.25">
      <c r="A1277" s="1090"/>
      <c r="B1277" s="1448">
        <v>1027</v>
      </c>
      <c r="C1277" s="1094">
        <v>1.0100328308951456</v>
      </c>
      <c r="D1277" s="1094">
        <v>0.99217504303668758</v>
      </c>
      <c r="E1277" s="1094">
        <v>0.98508871502979356</v>
      </c>
      <c r="F1277" s="1094">
        <v>1.000463453391977</v>
      </c>
      <c r="G1277" s="1094">
        <v>0.99295602822895801</v>
      </c>
      <c r="H1277" s="1094">
        <v>1.0386507263158211</v>
      </c>
      <c r="I1277" s="1094">
        <v>0.99585468999749438</v>
      </c>
      <c r="K1277">
        <v>4.4891208953925901</v>
      </c>
      <c r="L1277">
        <v>0</v>
      </c>
      <c r="M1277">
        <v>1.5578793561986145E-3</v>
      </c>
      <c r="N1277">
        <v>0.12901134440953851</v>
      </c>
      <c r="O1277">
        <v>3.8249119862395486E-2</v>
      </c>
      <c r="P1277">
        <v>1.8935469481341224E-2</v>
      </c>
      <c r="Q1277">
        <v>1.2781808919099405E-3</v>
      </c>
      <c r="R1277">
        <v>1.5517298460212936E-3</v>
      </c>
      <c r="S1277">
        <v>0.23159385924024672</v>
      </c>
      <c r="T1277">
        <v>3.9684152288228836</v>
      </c>
      <c r="U1277">
        <v>0</v>
      </c>
      <c r="V1277">
        <v>9.4523053561131973E-3</v>
      </c>
      <c r="W1277">
        <v>7.762902119198295E-2</v>
      </c>
      <c r="X1277">
        <v>1.0177208632525291E-2</v>
      </c>
      <c r="Y1277">
        <v>4.3853070138256045E-3</v>
      </c>
    </row>
    <row r="1278" spans="1:25" x14ac:dyDescent="0.25">
      <c r="A1278" s="1090"/>
      <c r="B1278" s="1448">
        <v>1028</v>
      </c>
      <c r="C1278" s="1094">
        <v>0.96824550834725953</v>
      </c>
      <c r="D1278" s="1094">
        <v>1.0161373529961979</v>
      </c>
      <c r="E1278" s="1094">
        <v>1.0176726338613775</v>
      </c>
      <c r="F1278" s="1094">
        <v>1.0011706540583256</v>
      </c>
      <c r="G1278" s="1094">
        <v>0.9786728325034012</v>
      </c>
      <c r="H1278" s="1094">
        <v>0.97477081895152651</v>
      </c>
      <c r="I1278" s="1094">
        <v>1.0206458636393041</v>
      </c>
      <c r="K1278">
        <v>4.5002169887155521</v>
      </c>
      <c r="L1278">
        <v>0</v>
      </c>
      <c r="M1278">
        <v>1.4114633903831685E-3</v>
      </c>
      <c r="N1278">
        <v>0.12869949770575911</v>
      </c>
      <c r="O1278">
        <v>3.9318845839827289E-2</v>
      </c>
      <c r="P1278">
        <v>1.9450235055904243E-2</v>
      </c>
      <c r="Q1278">
        <v>1.3580450305033507E-3</v>
      </c>
      <c r="R1278">
        <v>1.405530890954016E-3</v>
      </c>
      <c r="S1278">
        <v>0.24085654140193799</v>
      </c>
      <c r="T1278">
        <v>3.9699789655153142</v>
      </c>
      <c r="U1278">
        <v>0</v>
      </c>
      <c r="V1278">
        <v>9.4523053561131904E-3</v>
      </c>
      <c r="W1278">
        <v>7.575607091490065E-2</v>
      </c>
      <c r="X1278">
        <v>1.1380276789678519E-2</v>
      </c>
      <c r="Y1278">
        <v>3.9721376050432791E-3</v>
      </c>
    </row>
    <row r="1279" spans="1:25" x14ac:dyDescent="0.25">
      <c r="A1279" s="1090"/>
      <c r="B1279" s="1448">
        <v>1029</v>
      </c>
      <c r="C1279" s="1094">
        <v>1.0111742214462478</v>
      </c>
      <c r="D1279" s="1094">
        <v>1.0024913978130938</v>
      </c>
      <c r="E1279" s="1094">
        <v>0.97930278753758448</v>
      </c>
      <c r="F1279" s="1094">
        <v>0.9944207100458855</v>
      </c>
      <c r="G1279" s="1094">
        <v>1.0359316013716078</v>
      </c>
      <c r="H1279" s="1094">
        <v>0.98723626089926619</v>
      </c>
      <c r="I1279" s="1094">
        <v>1.0271600464942805</v>
      </c>
      <c r="K1279">
        <v>4.4527085311896686</v>
      </c>
      <c r="L1279">
        <v>0</v>
      </c>
      <c r="M1279">
        <v>1.4820222706340305E-3</v>
      </c>
      <c r="N1279">
        <v>0.12061270292424929</v>
      </c>
      <c r="O1279">
        <v>3.7857295651040311E-2</v>
      </c>
      <c r="P1279">
        <v>1.8752369571901274E-2</v>
      </c>
      <c r="Q1279">
        <v>1.2651055252615522E-3</v>
      </c>
      <c r="R1279">
        <v>1.475830282561301E-3</v>
      </c>
      <c r="S1279">
        <v>0.23294348895861605</v>
      </c>
      <c r="T1279">
        <v>3.9446672305364925</v>
      </c>
      <c r="U1279">
        <v>0</v>
      </c>
      <c r="V1279">
        <v>9.4523053561132043E-3</v>
      </c>
      <c r="W1279">
        <v>7.2863207035478203E-2</v>
      </c>
      <c r="X1279">
        <v>1.0130208565751664E-2</v>
      </c>
      <c r="Y1279">
        <v>4.170809052830118E-3</v>
      </c>
    </row>
    <row r="1280" spans="1:25" x14ac:dyDescent="0.25">
      <c r="A1280" s="1090"/>
      <c r="B1280" s="1448">
        <v>1030</v>
      </c>
      <c r="C1280" s="1094">
        <v>1.0043281287758372</v>
      </c>
      <c r="D1280" s="1094">
        <v>1.0173463723536824</v>
      </c>
      <c r="E1280" s="1094">
        <v>0.98539500590018003</v>
      </c>
      <c r="F1280" s="1094">
        <v>0.99285959988149142</v>
      </c>
      <c r="G1280" s="1094">
        <v>0.98888264794276182</v>
      </c>
      <c r="H1280" s="1094">
        <v>1.0048072971607822</v>
      </c>
      <c r="I1280" s="1094">
        <v>0.97114962784205328</v>
      </c>
      <c r="K1280">
        <v>4.4392265107475506</v>
      </c>
      <c r="L1280">
        <v>0</v>
      </c>
      <c r="M1280">
        <v>1.4882485979563161E-3</v>
      </c>
      <c r="N1280">
        <v>0.12333677326909571</v>
      </c>
      <c r="O1280">
        <v>3.7791317644054995E-2</v>
      </c>
      <c r="P1280">
        <v>1.8760000350166058E-2</v>
      </c>
      <c r="Q1280">
        <v>1.2729608529550706E-3</v>
      </c>
      <c r="R1280">
        <v>1.4821297637489846E-3</v>
      </c>
      <c r="S1280">
        <v>0.22179515425622598</v>
      </c>
      <c r="T1280">
        <v>3.9382422951003515</v>
      </c>
      <c r="U1280">
        <v>0</v>
      </c>
      <c r="V1280">
        <v>9.4523053561131887E-3</v>
      </c>
      <c r="W1280">
        <v>7.4198987657336776E-2</v>
      </c>
      <c r="X1280">
        <v>1.0194223227849405E-2</v>
      </c>
      <c r="Y1280">
        <v>4.1886118676091504E-3</v>
      </c>
    </row>
    <row r="1281" spans="1:25" x14ac:dyDescent="0.25">
      <c r="A1281" s="1090"/>
      <c r="B1281" s="1448">
        <v>1031</v>
      </c>
      <c r="C1281" s="1094">
        <v>0.97342048365269418</v>
      </c>
      <c r="D1281" s="1094">
        <v>0.99391669513796022</v>
      </c>
      <c r="E1281" s="1094">
        <v>1.0088049781932331</v>
      </c>
      <c r="F1281" s="1094">
        <v>1.0035157061214284</v>
      </c>
      <c r="G1281" s="1094">
        <v>1.0095550530189408</v>
      </c>
      <c r="H1281" s="1094">
        <v>1.0437589226981041</v>
      </c>
      <c r="I1281" s="1094">
        <v>1.0341986727702503</v>
      </c>
      <c r="K1281">
        <v>4.5342488565292633</v>
      </c>
      <c r="L1281">
        <v>0</v>
      </c>
      <c r="M1281">
        <v>1.5489306146945672E-3</v>
      </c>
      <c r="N1281">
        <v>0.13761463278118813</v>
      </c>
      <c r="O1281">
        <v>3.9612711900291621E-2</v>
      </c>
      <c r="P1281">
        <v>1.9411234792489563E-2</v>
      </c>
      <c r="Q1281">
        <v>1.3525932719031892E-3</v>
      </c>
      <c r="R1281">
        <v>1.5428647814885422E-3</v>
      </c>
      <c r="S1281">
        <v>0.25035413693967107</v>
      </c>
      <c r="T1281">
        <v>3.9796145627221207</v>
      </c>
      <c r="U1281">
        <v>0</v>
      </c>
      <c r="V1281">
        <v>9.4523053561131973E-3</v>
      </c>
      <c r="W1281">
        <v>8.148635316433718E-2</v>
      </c>
      <c r="X1281">
        <v>1.0996137769712113E-2</v>
      </c>
      <c r="Y1281">
        <v>4.3602536646403893E-3</v>
      </c>
    </row>
    <row r="1282" spans="1:25" x14ac:dyDescent="0.25">
      <c r="A1282" s="1090"/>
      <c r="B1282" s="1448">
        <v>1032</v>
      </c>
      <c r="C1282" s="1094">
        <v>1.0132645984774318</v>
      </c>
      <c r="D1282" s="1094">
        <v>0.99533016785726214</v>
      </c>
      <c r="E1282" s="1094">
        <v>1.0044848808415401</v>
      </c>
      <c r="F1282" s="1094">
        <v>0.98689813332037435</v>
      </c>
      <c r="G1282" s="1094">
        <v>0.97790646767980738</v>
      </c>
      <c r="H1282" s="1094">
        <v>1.0055734084665109</v>
      </c>
      <c r="I1282" s="1094">
        <v>1.0121144069942054</v>
      </c>
      <c r="K1282">
        <v>4.4241612355587119</v>
      </c>
      <c r="L1282">
        <v>0</v>
      </c>
      <c r="M1282">
        <v>1.4220324507975388E-3</v>
      </c>
      <c r="N1282">
        <v>0.12470711508723081</v>
      </c>
      <c r="O1282">
        <v>3.7432579783079387E-2</v>
      </c>
      <c r="P1282">
        <v>1.8955184128721537E-2</v>
      </c>
      <c r="Q1282">
        <v>1.2938882948255268E-3</v>
      </c>
      <c r="R1282">
        <v>1.4161551707472229E-3</v>
      </c>
      <c r="S1282">
        <v>0.22976181875546212</v>
      </c>
      <c r="T1282">
        <v>3.9138765416075225</v>
      </c>
      <c r="U1282">
        <v>0</v>
      </c>
      <c r="V1282">
        <v>9.4523053561131921E-3</v>
      </c>
      <c r="W1282">
        <v>7.405832260108422E-2</v>
      </c>
      <c r="X1282">
        <v>1.0627194593858937E-2</v>
      </c>
      <c r="Y1282">
        <v>4.0021626308642724E-3</v>
      </c>
    </row>
    <row r="1283" spans="1:25" x14ac:dyDescent="0.25">
      <c r="A1283" s="1090"/>
      <c r="B1283" s="1448">
        <v>1033</v>
      </c>
      <c r="C1283" s="1094">
        <v>0.99561905120360605</v>
      </c>
      <c r="D1283" s="1094">
        <v>1.0010290846747036</v>
      </c>
      <c r="E1283" s="1094">
        <v>1.0291530508496931</v>
      </c>
      <c r="F1283" s="1094">
        <v>0.96784341688522346</v>
      </c>
      <c r="G1283" s="1094">
        <v>1.0067038217095061</v>
      </c>
      <c r="H1283" s="1094">
        <v>0.97121344148099886</v>
      </c>
      <c r="I1283" s="1094">
        <v>1.0006977777682975</v>
      </c>
      <c r="K1283">
        <v>4.3383353442917141</v>
      </c>
      <c r="L1283">
        <v>0</v>
      </c>
      <c r="M1283">
        <v>1.2983663143421337E-3</v>
      </c>
      <c r="N1283">
        <v>0.12245656609167956</v>
      </c>
      <c r="O1283">
        <v>3.7110247753563627E-2</v>
      </c>
      <c r="P1283">
        <v>1.8925268205550249E-2</v>
      </c>
      <c r="Q1283">
        <v>1.3415868094907521E-3</v>
      </c>
      <c r="R1283">
        <v>1.2927013796639256E-3</v>
      </c>
      <c r="S1283">
        <v>0.22525826447090241</v>
      </c>
      <c r="T1283">
        <v>3.8374069781488953</v>
      </c>
      <c r="U1283">
        <v>0</v>
      </c>
      <c r="V1283">
        <v>9.4523053561131956E-3</v>
      </c>
      <c r="W1283">
        <v>7.1532891719481378E-2</v>
      </c>
      <c r="X1283">
        <v>1.120362787870207E-2</v>
      </c>
      <c r="Y1283">
        <v>3.6532727920117985E-3</v>
      </c>
    </row>
    <row r="1284" spans="1:25" x14ac:dyDescent="0.25">
      <c r="A1284" s="1090"/>
      <c r="B1284" s="1448">
        <v>1034</v>
      </c>
      <c r="C1284" s="1094">
        <v>1.0094816781555302</v>
      </c>
      <c r="D1284" s="1094">
        <v>1.0057488331735298</v>
      </c>
      <c r="E1284" s="1094">
        <v>1.0051653414916093</v>
      </c>
      <c r="F1284" s="1094">
        <v>1.0431534547225603</v>
      </c>
      <c r="G1284" s="1094">
        <v>0.9855683434219592</v>
      </c>
      <c r="H1284" s="1094">
        <v>0.99849180460415443</v>
      </c>
      <c r="I1284" s="1094">
        <v>1.0270093206325801</v>
      </c>
      <c r="K1284">
        <v>4.6729885475330519</v>
      </c>
      <c r="L1284">
        <v>0</v>
      </c>
      <c r="M1284">
        <v>1.4894002686518418E-3</v>
      </c>
      <c r="N1284">
        <v>0.13090407583533301</v>
      </c>
      <c r="O1284">
        <v>3.9544689957141395E-2</v>
      </c>
      <c r="P1284">
        <v>2.0037796050175385E-2</v>
      </c>
      <c r="Q1284">
        <v>1.294090826386063E-3</v>
      </c>
      <c r="R1284">
        <v>1.4835339039767372E-3</v>
      </c>
      <c r="S1284">
        <v>0.24167425335045173</v>
      </c>
      <c r="T1284">
        <v>4.1369489761332305</v>
      </c>
      <c r="U1284">
        <v>0</v>
      </c>
      <c r="V1284">
        <v>9.4523053561131887E-3</v>
      </c>
      <c r="W1284">
        <v>7.77028101433372E-2</v>
      </c>
      <c r="X1284">
        <v>1.1242836170463453E-2</v>
      </c>
      <c r="Y1284">
        <v>4.1925800750938136E-3</v>
      </c>
    </row>
    <row r="1285" spans="1:25" x14ac:dyDescent="0.25">
      <c r="A1285" s="1090"/>
      <c r="B1285" s="1448">
        <v>1035</v>
      </c>
      <c r="C1285" s="1094">
        <v>1.0119800364217808</v>
      </c>
      <c r="D1285" s="1094">
        <v>0.98981045015892666</v>
      </c>
      <c r="E1285" s="1094">
        <v>0.98563060234092781</v>
      </c>
      <c r="F1285" s="1094">
        <v>0.97928916064255367</v>
      </c>
      <c r="G1285" s="1094">
        <v>0.99228153390460316</v>
      </c>
      <c r="H1285" s="1094">
        <v>1.0017463283826689</v>
      </c>
      <c r="I1285" s="1094">
        <v>1.0058519173142479</v>
      </c>
      <c r="K1285">
        <v>4.3877855183482808</v>
      </c>
      <c r="L1285">
        <v>0</v>
      </c>
      <c r="M1285">
        <v>1.4677559412640982E-3</v>
      </c>
      <c r="N1285">
        <v>0.12171501058961121</v>
      </c>
      <c r="O1285">
        <v>3.7399632773399485E-2</v>
      </c>
      <c r="P1285">
        <v>1.8546962876563294E-2</v>
      </c>
      <c r="Q1285">
        <v>1.2775383766903015E-3</v>
      </c>
      <c r="R1285">
        <v>1.4616193937386271E-3</v>
      </c>
      <c r="S1285">
        <v>0.22754959983793496</v>
      </c>
      <c r="T1285">
        <v>3.8844054155808743</v>
      </c>
      <c r="U1285">
        <v>0</v>
      </c>
      <c r="V1285">
        <v>9.4523053561131904E-3</v>
      </c>
      <c r="W1285">
        <v>7.3211566634375599E-2</v>
      </c>
      <c r="X1285">
        <v>1.0102974874174516E-2</v>
      </c>
      <c r="Y1285">
        <v>4.1306479960672056E-3</v>
      </c>
    </row>
    <row r="1286" spans="1:25" x14ac:dyDescent="0.25">
      <c r="A1286" s="1090"/>
      <c r="B1286" s="1448">
        <v>1036</v>
      </c>
      <c r="C1286" s="1094">
        <v>0.99021208082002943</v>
      </c>
      <c r="D1286" s="1094">
        <v>1.0093640671870168</v>
      </c>
      <c r="E1286" s="1094">
        <v>1.031460168441763</v>
      </c>
      <c r="F1286" s="1094">
        <v>1.0101212127136225</v>
      </c>
      <c r="G1286" s="1094">
        <v>0.96051213070608332</v>
      </c>
      <c r="H1286" s="1094">
        <v>1.0108996212731118</v>
      </c>
      <c r="I1286" s="1094">
        <v>1.0034975936049673</v>
      </c>
      <c r="K1286">
        <v>4.537656162750193</v>
      </c>
      <c r="L1286">
        <v>0</v>
      </c>
      <c r="M1286">
        <v>1.4063282108433529E-3</v>
      </c>
      <c r="N1286">
        <v>0.13359326980171229</v>
      </c>
      <c r="O1286">
        <v>3.8797685806207481E-2</v>
      </c>
      <c r="P1286">
        <v>1.9787925072157191E-2</v>
      </c>
      <c r="Q1286">
        <v>1.3470560494026151E-3</v>
      </c>
      <c r="R1286">
        <v>1.4006788456765611E-3</v>
      </c>
      <c r="S1286">
        <v>0.23621442632682771</v>
      </c>
      <c r="T1286">
        <v>4.0049469873276839</v>
      </c>
      <c r="U1286">
        <v>0</v>
      </c>
      <c r="V1286">
        <v>9.4523053561131817E-3</v>
      </c>
      <c r="W1286">
        <v>7.7919258563870469E-2</v>
      </c>
      <c r="X1286">
        <v>1.1644472456732599E-2</v>
      </c>
      <c r="Y1286">
        <v>3.9584253546530602E-3</v>
      </c>
    </row>
    <row r="1287" spans="1:25" x14ac:dyDescent="0.25">
      <c r="A1287" s="1090"/>
      <c r="B1287" s="1448">
        <v>1037</v>
      </c>
      <c r="C1287" s="1094">
        <v>1.0106485843459723</v>
      </c>
      <c r="D1287" s="1094">
        <v>1.0342735509584409</v>
      </c>
      <c r="E1287" s="1094">
        <v>0.98530202090616548</v>
      </c>
      <c r="F1287" s="1094">
        <v>1.0171127913186431</v>
      </c>
      <c r="G1287" s="1094">
        <v>0.99510213386476809</v>
      </c>
      <c r="H1287" s="1094">
        <v>1.0075096417751663</v>
      </c>
      <c r="I1287" s="1094">
        <v>1.0129752143876662</v>
      </c>
      <c r="K1287">
        <v>4.5503096290608367</v>
      </c>
      <c r="L1287">
        <v>0</v>
      </c>
      <c r="M1287">
        <v>1.5092948063097846E-3</v>
      </c>
      <c r="N1287">
        <v>0.12506007005399353</v>
      </c>
      <c r="O1287">
        <v>3.8219880114154413E-2</v>
      </c>
      <c r="P1287">
        <v>1.9240885199060771E-2</v>
      </c>
      <c r="Q1287">
        <v>1.2565765110702672E-3</v>
      </c>
      <c r="R1287">
        <v>1.5032530617727707E-3</v>
      </c>
      <c r="S1287">
        <v>0.23276817579070486</v>
      </c>
      <c r="T1287">
        <v>4.0344477865244652</v>
      </c>
      <c r="U1287">
        <v>0</v>
      </c>
      <c r="V1287">
        <v>9.4523053561131817E-3</v>
      </c>
      <c r="W1287">
        <v>7.5240492956913013E-2</v>
      </c>
      <c r="X1287">
        <v>1.0381190378387709E-2</v>
      </c>
      <c r="Y1287">
        <v>4.2483079205118826E-3</v>
      </c>
    </row>
    <row r="1288" spans="1:25" x14ac:dyDescent="0.25">
      <c r="A1288" s="1090"/>
      <c r="B1288" s="1448">
        <v>1038</v>
      </c>
      <c r="C1288" s="1094">
        <v>1.0269284014541422</v>
      </c>
      <c r="D1288" s="1094">
        <v>0.96911555948735384</v>
      </c>
      <c r="E1288" s="1094">
        <v>1.0119345452147053</v>
      </c>
      <c r="F1288" s="1094">
        <v>0.98684888151178862</v>
      </c>
      <c r="G1288" s="1094">
        <v>1.0156922761848832</v>
      </c>
      <c r="H1288" s="1094">
        <v>0.99653434380243799</v>
      </c>
      <c r="I1288" s="1094">
        <v>0.99224224925003468</v>
      </c>
      <c r="K1288">
        <v>4.4158984713195171</v>
      </c>
      <c r="L1288">
        <v>0</v>
      </c>
      <c r="M1288">
        <v>1.3834508311862269E-3</v>
      </c>
      <c r="N1288">
        <v>0.12402504851808979</v>
      </c>
      <c r="O1288">
        <v>3.727925501336412E-2</v>
      </c>
      <c r="P1288">
        <v>1.9028649281906951E-2</v>
      </c>
      <c r="Q1288">
        <v>1.2985972844829271E-3</v>
      </c>
      <c r="R1288">
        <v>1.3776808592520558E-3</v>
      </c>
      <c r="S1288">
        <v>0.22341955988793807</v>
      </c>
      <c r="T1288">
        <v>3.9134023843640247</v>
      </c>
      <c r="U1288">
        <v>0</v>
      </c>
      <c r="V1288">
        <v>9.452305356113206E-3</v>
      </c>
      <c r="W1288">
        <v>7.3285404137425889E-2</v>
      </c>
      <c r="X1288">
        <v>1.0819606158896442E-2</v>
      </c>
      <c r="Y1288">
        <v>3.893431289204205E-3</v>
      </c>
    </row>
    <row r="1289" spans="1:25" x14ac:dyDescent="0.25">
      <c r="A1289" s="1090"/>
      <c r="B1289" s="1448">
        <v>1039</v>
      </c>
      <c r="C1289" s="1094">
        <v>1.0012287609370774</v>
      </c>
      <c r="D1289" s="1094">
        <v>1.0311787487064252</v>
      </c>
      <c r="E1289" s="1094">
        <v>0.96049759444043326</v>
      </c>
      <c r="F1289" s="1094">
        <v>0.97446196224545045</v>
      </c>
      <c r="G1289" s="1094">
        <v>0.9841888451213866</v>
      </c>
      <c r="H1289" s="1094">
        <v>0.98076278607861189</v>
      </c>
      <c r="I1289" s="1094">
        <v>0.98588282516823478</v>
      </c>
      <c r="K1289">
        <v>4.3521609611202097</v>
      </c>
      <c r="L1289">
        <v>0</v>
      </c>
      <c r="M1289">
        <v>1.4987795885814457E-3</v>
      </c>
      <c r="N1289">
        <v>0.11533844193223934</v>
      </c>
      <c r="O1289">
        <v>3.7169001266389105E-2</v>
      </c>
      <c r="P1289">
        <v>1.808239048350764E-2</v>
      </c>
      <c r="Q1289">
        <v>1.2427475667584629E-3</v>
      </c>
      <c r="R1289">
        <v>1.4923476949798887E-3</v>
      </c>
      <c r="S1289">
        <v>0.2203829619629902</v>
      </c>
      <c r="T1289">
        <v>3.8662029482326719</v>
      </c>
      <c r="U1289">
        <v>0</v>
      </c>
      <c r="V1289">
        <v>9.4523053561132112E-3</v>
      </c>
      <c r="W1289">
        <v>7.0586808771115672E-2</v>
      </c>
      <c r="X1289">
        <v>9.4922989206469143E-3</v>
      </c>
      <c r="Y1289">
        <v>4.2174885213698303E-3</v>
      </c>
    </row>
    <row r="1290" spans="1:25" x14ac:dyDescent="0.25">
      <c r="A1290" s="1090"/>
      <c r="B1290" s="1448">
        <v>1040</v>
      </c>
      <c r="C1290" s="1094">
        <v>0.98894944016829534</v>
      </c>
      <c r="D1290" s="1094">
        <v>1.013165030443878</v>
      </c>
      <c r="E1290" s="1094">
        <v>1.0273648282728929</v>
      </c>
      <c r="F1290" s="1094">
        <v>1.0204234592814152</v>
      </c>
      <c r="G1290" s="1094">
        <v>0.9942094702794595</v>
      </c>
      <c r="H1290" s="1094">
        <v>1.0073883967829149</v>
      </c>
      <c r="I1290" s="1094">
        <v>1.006252393036313</v>
      </c>
      <c r="K1290">
        <v>4.5821795788361541</v>
      </c>
      <c r="L1290">
        <v>0</v>
      </c>
      <c r="M1290">
        <v>1.4276712878121183E-3</v>
      </c>
      <c r="N1290">
        <v>0.13399212197554661</v>
      </c>
      <c r="O1290">
        <v>3.9213450468245412E-2</v>
      </c>
      <c r="P1290">
        <v>1.9929028088269411E-2</v>
      </c>
      <c r="Q1290">
        <v>1.3421181047305133E-3</v>
      </c>
      <c r="R1290">
        <v>1.4219740658855022E-3</v>
      </c>
      <c r="S1290">
        <v>0.23826856231880814</v>
      </c>
      <c r="T1290">
        <v>4.0459503624185951</v>
      </c>
      <c r="U1290">
        <v>0</v>
      </c>
      <c r="V1290">
        <v>9.4523053561131852E-3</v>
      </c>
      <c r="W1290">
        <v>7.8364240824746453E-2</v>
      </c>
      <c r="X1290">
        <v>1.1654479230248958E-2</v>
      </c>
      <c r="Y1290">
        <v>4.0186072727766793E-3</v>
      </c>
    </row>
    <row r="1291" spans="1:25" x14ac:dyDescent="0.25">
      <c r="A1291" s="1090"/>
      <c r="B1291" s="1448">
        <v>1041</v>
      </c>
      <c r="C1291" s="1094">
        <v>0.98998685105271234</v>
      </c>
      <c r="D1291" s="1094">
        <v>0.95414961157083966</v>
      </c>
      <c r="E1291" s="1094">
        <v>0.98372044504021261</v>
      </c>
      <c r="F1291" s="1094">
        <v>0.99840529385214805</v>
      </c>
      <c r="G1291" s="1094">
        <v>1.0121548822052657</v>
      </c>
      <c r="H1291" s="1094">
        <v>1.0012606311395527</v>
      </c>
      <c r="I1291" s="1094">
        <v>1.0409049851186618</v>
      </c>
      <c r="K1291">
        <v>4.4967765308709664</v>
      </c>
      <c r="L1291">
        <v>0</v>
      </c>
      <c r="M1291">
        <v>1.5576285715532732E-3</v>
      </c>
      <c r="N1291">
        <v>0.12844799135062532</v>
      </c>
      <c r="O1291">
        <v>3.9566496171761341E-2</v>
      </c>
      <c r="P1291">
        <v>1.8946844868452422E-2</v>
      </c>
      <c r="Q1291">
        <v>1.3230393186532887E-3</v>
      </c>
      <c r="R1291">
        <v>1.5512373528543753E-3</v>
      </c>
      <c r="S1291">
        <v>0.24659062007891022</v>
      </c>
      <c r="T1291">
        <v>3.9603037986750822</v>
      </c>
      <c r="U1291">
        <v>0</v>
      </c>
      <c r="V1291">
        <v>9.4523053561131973E-3</v>
      </c>
      <c r="W1291">
        <v>7.7362310798023262E-2</v>
      </c>
      <c r="X1291">
        <v>1.0405600281505402E-2</v>
      </c>
      <c r="Y1291">
        <v>4.3839151905358193E-3</v>
      </c>
    </row>
    <row r="1292" spans="1:25" x14ac:dyDescent="0.25">
      <c r="A1292" s="1090"/>
      <c r="B1292" s="1448">
        <v>1042</v>
      </c>
      <c r="C1292" s="1094">
        <v>0.99562191580445647</v>
      </c>
      <c r="D1292" s="1094">
        <v>1.0074820987826758</v>
      </c>
      <c r="E1292" s="1094">
        <v>1.0207917311580013</v>
      </c>
      <c r="F1292" s="1094">
        <v>0.99689819833561355</v>
      </c>
      <c r="G1292" s="1094">
        <v>0.98438160579657474</v>
      </c>
      <c r="H1292" s="1094">
        <v>1.0168780678172242</v>
      </c>
      <c r="I1292" s="1094">
        <v>1.0077672838673086</v>
      </c>
      <c r="K1292">
        <v>4.4785323163861968</v>
      </c>
      <c r="L1292">
        <v>0</v>
      </c>
      <c r="M1292">
        <v>1.4213540976882617E-3</v>
      </c>
      <c r="N1292">
        <v>0.13082352870168196</v>
      </c>
      <c r="O1292">
        <v>3.8183589093750116E-2</v>
      </c>
      <c r="P1292">
        <v>1.9386177235464271E-2</v>
      </c>
      <c r="Q1292">
        <v>1.3287341339041005E-3</v>
      </c>
      <c r="R1292">
        <v>1.4156029610446848E-3</v>
      </c>
      <c r="S1292">
        <v>0.23441652646284764</v>
      </c>
      <c r="T1292">
        <v>3.9529199468011016</v>
      </c>
      <c r="U1292">
        <v>0</v>
      </c>
      <c r="V1292">
        <v>9.4523053561132026E-3</v>
      </c>
      <c r="W1292">
        <v>7.6846261862734133E-2</v>
      </c>
      <c r="X1292">
        <v>1.1180395831154625E-2</v>
      </c>
      <c r="Y1292">
        <v>4.0006020440856837E-3</v>
      </c>
    </row>
    <row r="1293" spans="1:25" x14ac:dyDescent="0.25">
      <c r="A1293" s="1090"/>
      <c r="B1293" s="1448">
        <v>1043</v>
      </c>
      <c r="C1293" s="1094">
        <v>1.0062898118882622</v>
      </c>
      <c r="D1293" s="1094">
        <v>1.0160100950086342</v>
      </c>
      <c r="E1293" s="1094">
        <v>0.97946899282045119</v>
      </c>
      <c r="F1293" s="1094">
        <v>1.0258789037842471</v>
      </c>
      <c r="G1293" s="1094">
        <v>0.97593795447790743</v>
      </c>
      <c r="H1293" s="1094">
        <v>0.97043063223915438</v>
      </c>
      <c r="I1293" s="1094">
        <v>0.99210362936753993</v>
      </c>
      <c r="K1293">
        <v>4.5780019630235929</v>
      </c>
      <c r="L1293">
        <v>0</v>
      </c>
      <c r="M1293">
        <v>1.5013902094176861E-3</v>
      </c>
      <c r="N1293">
        <v>0.1222562748801468</v>
      </c>
      <c r="O1293">
        <v>3.9033605997222512E-2</v>
      </c>
      <c r="P1293">
        <v>1.9294670161912015E-2</v>
      </c>
      <c r="Q1293">
        <v>1.2646355891390792E-3</v>
      </c>
      <c r="R1293">
        <v>1.4952035735041837E-3</v>
      </c>
      <c r="S1293">
        <v>0.22870501322171119</v>
      </c>
      <c r="T1293">
        <v>4.0694490084776724</v>
      </c>
      <c r="U1293">
        <v>0</v>
      </c>
      <c r="V1293">
        <v>9.4523053561131991E-3</v>
      </c>
      <c r="W1293">
        <v>7.384769025365609E-2</v>
      </c>
      <c r="X1293">
        <v>1.0479386269812853E-2</v>
      </c>
      <c r="Y1293">
        <v>4.2255594521154989E-3</v>
      </c>
    </row>
    <row r="1294" spans="1:25" x14ac:dyDescent="0.25">
      <c r="A1294" s="1090"/>
      <c r="B1294" s="1448">
        <v>1044</v>
      </c>
      <c r="C1294" s="1094">
        <v>0.96721555602302434</v>
      </c>
      <c r="D1294" s="1094">
        <v>1.0163859320787201</v>
      </c>
      <c r="E1294" s="1094">
        <v>1.0231222347988076</v>
      </c>
      <c r="F1294" s="1094">
        <v>0.98030859501936474</v>
      </c>
      <c r="G1294" s="1094">
        <v>1.0170536574531743</v>
      </c>
      <c r="H1294" s="1094">
        <v>0.974406642433579</v>
      </c>
      <c r="I1294" s="1094">
        <v>1.00635271534116</v>
      </c>
      <c r="K1294">
        <v>4.4059326101991712</v>
      </c>
      <c r="L1294">
        <v>0</v>
      </c>
      <c r="M1294">
        <v>1.3671618354014672E-3</v>
      </c>
      <c r="N1294">
        <v>0.12667460852021381</v>
      </c>
      <c r="O1294">
        <v>3.8498968347595787E-2</v>
      </c>
      <c r="P1294">
        <v>1.9114104598679672E-2</v>
      </c>
      <c r="Q1294">
        <v>1.3656397768619702E-3</v>
      </c>
      <c r="R1294">
        <v>1.3612915700415111E-3</v>
      </c>
      <c r="S1294">
        <v>0.23434308340185248</v>
      </c>
      <c r="T1294">
        <v>3.8870524694806687</v>
      </c>
      <c r="U1294">
        <v>0</v>
      </c>
      <c r="V1294">
        <v>9.4523053561131991E-3</v>
      </c>
      <c r="W1294">
        <v>7.4293783688492057E-2</v>
      </c>
      <c r="X1294">
        <v>1.1296403387415653E-2</v>
      </c>
      <c r="Y1294">
        <v>3.847113906632164E-3</v>
      </c>
    </row>
    <row r="1295" spans="1:25" x14ac:dyDescent="0.25">
      <c r="A1295" s="1090"/>
      <c r="B1295" s="1448">
        <v>1045</v>
      </c>
      <c r="C1295" s="1094">
        <v>1.0097007845756316</v>
      </c>
      <c r="D1295" s="1094">
        <v>1.0064752545159763</v>
      </c>
      <c r="E1295" s="1094">
        <v>0.99724248121396253</v>
      </c>
      <c r="F1295" s="1094">
        <v>0.97114117397633848</v>
      </c>
      <c r="G1295" s="1094">
        <v>0.97330307997211307</v>
      </c>
      <c r="H1295" s="1094">
        <v>0.96012572771013482</v>
      </c>
      <c r="I1295" s="1094">
        <v>1.0035300211234937</v>
      </c>
      <c r="K1295">
        <v>4.339792503199793</v>
      </c>
      <c r="L1295">
        <v>0</v>
      </c>
      <c r="M1295">
        <v>1.355450625689044E-3</v>
      </c>
      <c r="N1295">
        <v>0.11631364987613767</v>
      </c>
      <c r="O1295">
        <v>3.6848371065771428E-2</v>
      </c>
      <c r="P1295">
        <v>1.8535860934786673E-2</v>
      </c>
      <c r="Q1295">
        <v>1.2846902108398991E-3</v>
      </c>
      <c r="R1295">
        <v>1.3494885576377574E-3</v>
      </c>
      <c r="S1295">
        <v>0.22207120416129328</v>
      </c>
      <c r="T1295">
        <v>3.8516547429161019</v>
      </c>
      <c r="U1295">
        <v>0</v>
      </c>
      <c r="V1295">
        <v>9.4523053561131904E-3</v>
      </c>
      <c r="W1295">
        <v>6.9412539001017334E-2</v>
      </c>
      <c r="X1295">
        <v>1.0411344053322735E-2</v>
      </c>
      <c r="Y1295">
        <v>3.8137576924617885E-3</v>
      </c>
    </row>
    <row r="1296" spans="1:25" x14ac:dyDescent="0.25">
      <c r="A1296" s="1090"/>
      <c r="B1296" s="1448">
        <v>1046</v>
      </c>
      <c r="C1296" s="1094">
        <v>0.96068082106958408</v>
      </c>
      <c r="D1296" s="1094">
        <v>1.0393744502785287</v>
      </c>
      <c r="E1296" s="1094">
        <v>0.97411929551452792</v>
      </c>
      <c r="F1296" s="1094">
        <v>1.0235705792889827</v>
      </c>
      <c r="G1296" s="1094">
        <v>1.0003861985901614</v>
      </c>
      <c r="H1296" s="1094">
        <v>1.0414584274212073</v>
      </c>
      <c r="I1296" s="1094">
        <v>1.0300895975698863</v>
      </c>
      <c r="K1296">
        <v>4.6158148780557378</v>
      </c>
      <c r="L1296">
        <v>0</v>
      </c>
      <c r="M1296">
        <v>1.687586137034146E-3</v>
      </c>
      <c r="N1296">
        <v>0.13529024042155191</v>
      </c>
      <c r="O1296">
        <v>4.046382148580617E-2</v>
      </c>
      <c r="P1296">
        <v>1.9282591630807533E-2</v>
      </c>
      <c r="Q1296">
        <v>1.3065886451608217E-3</v>
      </c>
      <c r="R1296">
        <v>1.6810919637237031E-3</v>
      </c>
      <c r="S1296">
        <v>0.25251414010012868</v>
      </c>
      <c r="T1296">
        <v>4.0605032465498683</v>
      </c>
      <c r="U1296">
        <v>0</v>
      </c>
      <c r="V1296">
        <v>9.4523053561131956E-3</v>
      </c>
      <c r="W1296">
        <v>8.2021462563330899E-2</v>
      </c>
      <c r="X1296">
        <v>1.0236081241493436E-2</v>
      </c>
      <c r="Y1296">
        <v>4.75089423478309E-3</v>
      </c>
    </row>
    <row r="1297" spans="1:25" x14ac:dyDescent="0.25">
      <c r="A1297" s="1090"/>
      <c r="B1297" s="1448">
        <v>1047</v>
      </c>
      <c r="C1297" s="1094">
        <v>0.99380586818988703</v>
      </c>
      <c r="D1297" s="1094">
        <v>0.98630971591824002</v>
      </c>
      <c r="E1297" s="1094">
        <v>0.98585336352717001</v>
      </c>
      <c r="F1297" s="1094">
        <v>0.99622857163456957</v>
      </c>
      <c r="G1297" s="1094">
        <v>0.99803996781890925</v>
      </c>
      <c r="H1297" s="1094">
        <v>1.0095370140559841</v>
      </c>
      <c r="I1297" s="1094">
        <v>1.0047212361019566</v>
      </c>
      <c r="K1297">
        <v>4.473465980377715</v>
      </c>
      <c r="L1297">
        <v>0</v>
      </c>
      <c r="M1297">
        <v>1.5336209976228509E-3</v>
      </c>
      <c r="N1297">
        <v>0.12727408943731641</v>
      </c>
      <c r="O1297">
        <v>3.879574028447192E-2</v>
      </c>
      <c r="P1297">
        <v>1.8885930327760921E-2</v>
      </c>
      <c r="Q1297">
        <v>1.3029972587255629E-3</v>
      </c>
      <c r="R1297">
        <v>1.5273662945527427E-3</v>
      </c>
      <c r="S1297">
        <v>0.23498460606060789</v>
      </c>
      <c r="T1297">
        <v>3.9515880301671369</v>
      </c>
      <c r="U1297">
        <v>0</v>
      </c>
      <c r="V1297">
        <v>9.4523053561131852E-3</v>
      </c>
      <c r="W1297">
        <v>7.6543714575716251E-2</v>
      </c>
      <c r="X1297">
        <v>1.0328367855630063E-2</v>
      </c>
      <c r="Y1297">
        <v>4.316453757306318E-3</v>
      </c>
    </row>
    <row r="1298" spans="1:25" x14ac:dyDescent="0.25">
      <c r="A1298" s="1090"/>
      <c r="B1298" s="1448">
        <v>1048</v>
      </c>
      <c r="C1298" s="1094">
        <v>0.99250611545969647</v>
      </c>
      <c r="D1298" s="1094">
        <v>0.97630305057473843</v>
      </c>
      <c r="E1298" s="1094">
        <v>0.97565748080310477</v>
      </c>
      <c r="F1298" s="1094">
        <v>0.98543736200591059</v>
      </c>
      <c r="G1298" s="1094">
        <v>1.0341490163207854</v>
      </c>
      <c r="H1298" s="1094">
        <v>0.9626053735335971</v>
      </c>
      <c r="I1298" s="1094">
        <v>0.98498103814224813</v>
      </c>
      <c r="K1298">
        <v>4.4096319466602933</v>
      </c>
      <c r="L1298">
        <v>0</v>
      </c>
      <c r="M1298">
        <v>1.4858346980558932E-3</v>
      </c>
      <c r="N1298">
        <v>0.11960424932645496</v>
      </c>
      <c r="O1298">
        <v>3.8652766266247418E-2</v>
      </c>
      <c r="P1298">
        <v>1.8511768416079693E-2</v>
      </c>
      <c r="Q1298">
        <v>1.2984987287085611E-3</v>
      </c>
      <c r="R1298">
        <v>1.479410136413012E-3</v>
      </c>
      <c r="S1298">
        <v>0.22619416800284387</v>
      </c>
      <c r="T1298">
        <v>3.9091703906726245</v>
      </c>
      <c r="U1298">
        <v>0</v>
      </c>
      <c r="V1298">
        <v>9.4523053561131887E-3</v>
      </c>
      <c r="W1298">
        <v>7.2434983522703764E-2</v>
      </c>
      <c r="X1298">
        <v>1.0138314937037988E-2</v>
      </c>
      <c r="Y1298">
        <v>4.1809259931239661E-3</v>
      </c>
    </row>
    <row r="1299" spans="1:25" x14ac:dyDescent="0.25">
      <c r="A1299" s="1090"/>
      <c r="B1299" s="1448">
        <v>1049</v>
      </c>
      <c r="C1299" s="1094">
        <v>1.02965212745405</v>
      </c>
      <c r="D1299" s="1094">
        <v>1.0324600152906418</v>
      </c>
      <c r="E1299" s="1094">
        <v>1.0145123625971335</v>
      </c>
      <c r="F1299" s="1094">
        <v>0.98083578190648446</v>
      </c>
      <c r="G1299" s="1094">
        <v>0.97453094132234708</v>
      </c>
      <c r="H1299" s="1094">
        <v>1.0361154841722156</v>
      </c>
      <c r="I1299" s="1094">
        <v>0.96225438311801037</v>
      </c>
      <c r="K1299">
        <v>4.381989855859393</v>
      </c>
      <c r="L1299">
        <v>0</v>
      </c>
      <c r="M1299">
        <v>1.3826888766246851E-3</v>
      </c>
      <c r="N1299">
        <v>0.12492312282506861</v>
      </c>
      <c r="O1299">
        <v>3.6013252875067667E-2</v>
      </c>
      <c r="P1299">
        <v>1.8910503768771285E-2</v>
      </c>
      <c r="Q1299">
        <v>1.2655418436820147E-3</v>
      </c>
      <c r="R1299">
        <v>1.3771085215458331E-3</v>
      </c>
      <c r="S1299">
        <v>0.21380234366138576</v>
      </c>
      <c r="T1299">
        <v>3.8894614540009096</v>
      </c>
      <c r="U1299">
        <v>0</v>
      </c>
      <c r="V1299">
        <v>9.4523053561131956E-3</v>
      </c>
      <c r="W1299">
        <v>7.3688717566447667E-2</v>
      </c>
      <c r="X1299">
        <v>1.0586380497871289E-2</v>
      </c>
      <c r="Y1299">
        <v>3.8918138191505022E-3</v>
      </c>
    </row>
    <row r="1300" spans="1:25" x14ac:dyDescent="0.25">
      <c r="A1300" s="1090"/>
      <c r="B1300" s="1448">
        <v>1050</v>
      </c>
      <c r="C1300" s="1094">
        <v>0.99316746682506041</v>
      </c>
      <c r="D1300" s="1094">
        <v>1.0169305869510472</v>
      </c>
      <c r="E1300" s="1094">
        <v>1.0252708408388824</v>
      </c>
      <c r="F1300" s="1094">
        <v>1.0032842028459865</v>
      </c>
      <c r="G1300" s="1094">
        <v>0.95492988689893243</v>
      </c>
      <c r="H1300" s="1094">
        <v>0.9977109457213067</v>
      </c>
      <c r="I1300" s="1094">
        <v>0.97077850531561594</v>
      </c>
      <c r="K1300">
        <v>4.4926624903515169</v>
      </c>
      <c r="L1300">
        <v>0</v>
      </c>
      <c r="M1300">
        <v>1.3884791243000069E-3</v>
      </c>
      <c r="N1300">
        <v>0.12949539538708291</v>
      </c>
      <c r="O1300">
        <v>3.8348623707144827E-2</v>
      </c>
      <c r="P1300">
        <v>1.9523992967564466E-2</v>
      </c>
      <c r="Q1300">
        <v>1.3320833818423871E-3</v>
      </c>
      <c r="R1300">
        <v>1.3827893752803042E-3</v>
      </c>
      <c r="S1300">
        <v>0.22530010944016007</v>
      </c>
      <c r="T1300">
        <v>3.9780726608644241</v>
      </c>
      <c r="U1300">
        <v>0</v>
      </c>
      <c r="V1300">
        <v>9.4523053561131887E-3</v>
      </c>
      <c r="W1300">
        <v>7.5839732749654873E-2</v>
      </c>
      <c r="X1300">
        <v>1.1395407901033062E-2</v>
      </c>
      <c r="Y1300">
        <v>3.907868345516782E-3</v>
      </c>
    </row>
    <row r="1301" spans="1:25" x14ac:dyDescent="0.25">
      <c r="A1301" s="1090"/>
      <c r="B1301" s="1448">
        <v>1051</v>
      </c>
      <c r="C1301" s="1094">
        <v>0.99627105972127961</v>
      </c>
      <c r="D1301" s="1094">
        <v>1.0046093753061618</v>
      </c>
      <c r="E1301" s="1094">
        <v>1.0156473362583378</v>
      </c>
      <c r="F1301" s="1094">
        <v>1.0168842245496772</v>
      </c>
      <c r="G1301" s="1094">
        <v>0.97332291537885285</v>
      </c>
      <c r="H1301" s="1094">
        <v>0.9553186835923253</v>
      </c>
      <c r="I1301" s="1094">
        <v>1.0354674582915213</v>
      </c>
      <c r="K1301">
        <v>4.554856823309577</v>
      </c>
      <c r="L1301">
        <v>0</v>
      </c>
      <c r="M1301">
        <v>1.3775214637598006E-3</v>
      </c>
      <c r="N1301">
        <v>0.12485160555407122</v>
      </c>
      <c r="O1301">
        <v>3.9004290234814616E-2</v>
      </c>
      <c r="P1301">
        <v>1.9701096311217529E-2</v>
      </c>
      <c r="Q1301">
        <v>1.3236048041803353E-3</v>
      </c>
      <c r="R1301">
        <v>1.3717046547156849E-3</v>
      </c>
      <c r="S1301">
        <v>0.23926253302078113</v>
      </c>
      <c r="T1301">
        <v>4.032366353310529</v>
      </c>
      <c r="U1301">
        <v>0</v>
      </c>
      <c r="V1301">
        <v>9.4523053561131904E-3</v>
      </c>
      <c r="W1301">
        <v>7.3590632520943264E-2</v>
      </c>
      <c r="X1301">
        <v>1.1433676927049465E-2</v>
      </c>
      <c r="Y1301">
        <v>3.8765420789227869E-3</v>
      </c>
    </row>
    <row r="1302" spans="1:25" x14ac:dyDescent="0.25">
      <c r="A1302" s="1090"/>
      <c r="B1302" s="1448">
        <v>1052</v>
      </c>
      <c r="C1302" s="1094">
        <v>1.0194010874726551</v>
      </c>
      <c r="D1302" s="1094">
        <v>0.98271505980843521</v>
      </c>
      <c r="E1302" s="1094">
        <v>0.98888344841836229</v>
      </c>
      <c r="F1302" s="1094">
        <v>1.0297950990373261</v>
      </c>
      <c r="G1302" s="1094">
        <v>1.0061674366993525</v>
      </c>
      <c r="H1302" s="1094">
        <v>0.99293472572567376</v>
      </c>
      <c r="I1302" s="1094">
        <v>0.99757743251625586</v>
      </c>
      <c r="K1302">
        <v>4.6031954191732831</v>
      </c>
      <c r="L1302">
        <v>0</v>
      </c>
      <c r="M1302">
        <v>1.5124288218909729E-3</v>
      </c>
      <c r="N1302">
        <v>0.12665683301803349</v>
      </c>
      <c r="O1302">
        <v>3.9132021036277151E-2</v>
      </c>
      <c r="P1302">
        <v>1.9513943702026817E-2</v>
      </c>
      <c r="Q1302">
        <v>1.2754727046296308E-3</v>
      </c>
      <c r="R1302">
        <v>1.5063610170523826E-3</v>
      </c>
      <c r="S1302">
        <v>0.23160154061356894</v>
      </c>
      <c r="T1302">
        <v>4.0846116987716385</v>
      </c>
      <c r="U1302">
        <v>0</v>
      </c>
      <c r="V1302">
        <v>9.4523053561131921E-3</v>
      </c>
      <c r="W1302">
        <v>7.6015310860820001E-2</v>
      </c>
      <c r="X1302">
        <v>1.0685269675599393E-2</v>
      </c>
      <c r="Y1302">
        <v>4.2570912394132264E-3</v>
      </c>
    </row>
    <row r="1303" spans="1:25" x14ac:dyDescent="0.25">
      <c r="A1303" s="1090"/>
      <c r="B1303" s="1448">
        <v>1053</v>
      </c>
      <c r="C1303" s="1094">
        <v>0.97857240440053239</v>
      </c>
      <c r="D1303" s="1094">
        <v>0.98153934884079364</v>
      </c>
      <c r="E1303" s="1094">
        <v>1.0398969558462372</v>
      </c>
      <c r="F1303" s="1094">
        <v>1.0213908035197448</v>
      </c>
      <c r="G1303" s="1094">
        <v>1.0197134187353274</v>
      </c>
      <c r="H1303" s="1094">
        <v>1.0000776312340045</v>
      </c>
      <c r="I1303" s="1094">
        <v>0.97558505719482447</v>
      </c>
      <c r="K1303">
        <v>4.5893189100937457</v>
      </c>
      <c r="L1303">
        <v>0</v>
      </c>
      <c r="M1303">
        <v>1.4139850339811232E-3</v>
      </c>
      <c r="N1303">
        <v>0.13771176214439795</v>
      </c>
      <c r="O1303">
        <v>4.0082317706582792E-2</v>
      </c>
      <c r="P1303">
        <v>2.0112219826884763E-2</v>
      </c>
      <c r="Q1303">
        <v>1.3881837226188745E-3</v>
      </c>
      <c r="R1303">
        <v>1.40830654091383E-3</v>
      </c>
      <c r="S1303">
        <v>0.2352784820676273</v>
      </c>
      <c r="T1303">
        <v>4.0493064682751809</v>
      </c>
      <c r="U1303">
        <v>0</v>
      </c>
      <c r="V1303">
        <v>9.4523053561131973E-3</v>
      </c>
      <c r="W1303">
        <v>7.9875537497938146E-2</v>
      </c>
      <c r="X1303">
        <v>1.2137330185723598E-2</v>
      </c>
      <c r="Y1303">
        <v>3.9799818037405633E-3</v>
      </c>
    </row>
    <row r="1304" spans="1:25" x14ac:dyDescent="0.25">
      <c r="A1304" s="1090"/>
      <c r="B1304" s="1448">
        <v>1054</v>
      </c>
      <c r="C1304" s="1094">
        <v>0.97952929292135693</v>
      </c>
      <c r="D1304" s="1094">
        <v>1.0088374547862449</v>
      </c>
      <c r="E1304" s="1094">
        <v>0.97067649681170576</v>
      </c>
      <c r="F1304" s="1094">
        <v>0.9796361655819501</v>
      </c>
      <c r="G1304" s="1094">
        <v>1.0336289743384319</v>
      </c>
      <c r="H1304" s="1094">
        <v>0.99236181041860794</v>
      </c>
      <c r="I1304" s="1094">
        <v>1.004081888990153</v>
      </c>
      <c r="K1304">
        <v>4.3970095479291746</v>
      </c>
      <c r="L1304">
        <v>0</v>
      </c>
      <c r="M1304">
        <v>1.5388497613000372E-3</v>
      </c>
      <c r="N1304">
        <v>0.12206630796759105</v>
      </c>
      <c r="O1304">
        <v>3.8461017796704605E-2</v>
      </c>
      <c r="P1304">
        <v>1.8368684525958037E-2</v>
      </c>
      <c r="Q1304">
        <v>1.2929350703556675E-3</v>
      </c>
      <c r="R1304">
        <v>1.5323574254910008E-3</v>
      </c>
      <c r="S1304">
        <v>0.23265314217756697</v>
      </c>
      <c r="T1304">
        <v>3.8863456434647761</v>
      </c>
      <c r="U1304">
        <v>0</v>
      </c>
      <c r="V1304">
        <v>9.4523053561132026E-3</v>
      </c>
      <c r="W1304">
        <v>7.4179957502575139E-2</v>
      </c>
      <c r="X1304">
        <v>9.8654873289459964E-3</v>
      </c>
      <c r="Y1304">
        <v>4.3305590743926564E-3</v>
      </c>
    </row>
    <row r="1305" spans="1:25" x14ac:dyDescent="0.25">
      <c r="A1305" s="1090"/>
      <c r="B1305" s="1448">
        <v>1055</v>
      </c>
      <c r="C1305" s="1094">
        <v>0.97096322876195462</v>
      </c>
      <c r="D1305" s="1094">
        <v>1.0015737253383019</v>
      </c>
      <c r="E1305" s="1094">
        <v>1.0149436789341328</v>
      </c>
      <c r="F1305" s="1094">
        <v>0.99779204925725218</v>
      </c>
      <c r="G1305" s="1094">
        <v>1.013843595637187</v>
      </c>
      <c r="H1305" s="1094">
        <v>1.0085954530329873</v>
      </c>
      <c r="I1305" s="1094">
        <v>0.99208136699704108</v>
      </c>
      <c r="K1305">
        <v>4.4891610089545706</v>
      </c>
      <c r="L1305">
        <v>0</v>
      </c>
      <c r="M1305">
        <v>1.468299603780158E-3</v>
      </c>
      <c r="N1305">
        <v>0.132822005816227</v>
      </c>
      <c r="O1305">
        <v>3.9322062639218738E-2</v>
      </c>
      <c r="P1305">
        <v>1.9330357926536652E-2</v>
      </c>
      <c r="Q1305">
        <v>1.3589372926761914E-3</v>
      </c>
      <c r="R1305">
        <v>1.4623150699073926E-3</v>
      </c>
      <c r="S1305">
        <v>0.23655549533436143</v>
      </c>
      <c r="T1305">
        <v>3.9566845213157542</v>
      </c>
      <c r="U1305">
        <v>0</v>
      </c>
      <c r="V1305">
        <v>9.4523053561131852E-3</v>
      </c>
      <c r="W1305">
        <v>7.832544187314476E-2</v>
      </c>
      <c r="X1305">
        <v>1.1183251904378234E-2</v>
      </c>
      <c r="Y1305">
        <v>4.1326140300324997E-3</v>
      </c>
    </row>
    <row r="1306" spans="1:25" x14ac:dyDescent="0.25">
      <c r="A1306" s="1090"/>
      <c r="B1306" s="1448">
        <v>1056</v>
      </c>
      <c r="C1306" s="1094">
        <v>0.97714566245336532</v>
      </c>
      <c r="D1306" s="1094">
        <v>0.97672521464620266</v>
      </c>
      <c r="E1306" s="1094">
        <v>0.9993733998442309</v>
      </c>
      <c r="F1306" s="1094">
        <v>1.0317252031416919</v>
      </c>
      <c r="G1306" s="1094">
        <v>0.96298390174791304</v>
      </c>
      <c r="H1306" s="1094">
        <v>1.0024099365566439</v>
      </c>
      <c r="I1306" s="1094">
        <v>1.0191573390104225</v>
      </c>
      <c r="K1306">
        <v>4.6430616187102451</v>
      </c>
      <c r="L1306">
        <v>0</v>
      </c>
      <c r="M1306">
        <v>1.564848025628418E-3</v>
      </c>
      <c r="N1306">
        <v>0.13519167152859299</v>
      </c>
      <c r="O1306">
        <v>4.0924201459586647E-2</v>
      </c>
      <c r="P1306">
        <v>1.9777189110243929E-2</v>
      </c>
      <c r="Q1306">
        <v>1.3459783420581514E-3</v>
      </c>
      <c r="R1306">
        <v>1.5586408479210101E-3</v>
      </c>
      <c r="S1306">
        <v>0.24839404313321625</v>
      </c>
      <c r="T1306">
        <v>4.0918540020259515</v>
      </c>
      <c r="U1306">
        <v>0</v>
      </c>
      <c r="V1306">
        <v>9.4523053561131783E-3</v>
      </c>
      <c r="W1306">
        <v>8.0562137459607872E-2</v>
      </c>
      <c r="X1306">
        <v>1.1161459439759245E-2</v>
      </c>
      <c r="Y1306">
        <v>4.4048380328242384E-3</v>
      </c>
    </row>
    <row r="1307" spans="1:25" x14ac:dyDescent="0.25">
      <c r="A1307" s="1090"/>
      <c r="B1307" s="1448">
        <v>1057</v>
      </c>
      <c r="C1307" s="1094">
        <v>0.95514513937493328</v>
      </c>
      <c r="D1307" s="1094">
        <v>0.99447642942152237</v>
      </c>
      <c r="E1307" s="1094">
        <v>1.0080991917014104</v>
      </c>
      <c r="F1307" s="1094">
        <v>1.027501473180658</v>
      </c>
      <c r="G1307" s="1094">
        <v>1.0293835332481154</v>
      </c>
      <c r="H1307" s="1094">
        <v>1.0244095324828693</v>
      </c>
      <c r="I1307" s="1094">
        <v>1.0003192059101984</v>
      </c>
      <c r="K1307">
        <v>4.6359818253992833</v>
      </c>
      <c r="L1307">
        <v>0</v>
      </c>
      <c r="M1307">
        <v>1.5881878417804531E-3</v>
      </c>
      <c r="N1307">
        <v>0.14081051283862828</v>
      </c>
      <c r="O1307">
        <v>4.1331497005435064E-2</v>
      </c>
      <c r="P1307">
        <v>1.9831133335843139E-2</v>
      </c>
      <c r="Q1307">
        <v>1.3773339156146736E-3</v>
      </c>
      <c r="R1307">
        <v>1.5819981343758304E-3</v>
      </c>
      <c r="S1307">
        <v>0.24917500000858128</v>
      </c>
      <c r="T1307">
        <v>4.0747617594641516</v>
      </c>
      <c r="U1307">
        <v>0</v>
      </c>
      <c r="V1307">
        <v>9.452305356113206E-3</v>
      </c>
      <c r="W1307">
        <v>8.341829931765421E-2</v>
      </c>
      <c r="X1307">
        <v>1.1359326357069302E-2</v>
      </c>
      <c r="Y1307">
        <v>4.4708475075900238E-3</v>
      </c>
    </row>
    <row r="1308" spans="1:25" x14ac:dyDescent="0.25">
      <c r="A1308" s="1090"/>
      <c r="B1308" s="1448">
        <v>1058</v>
      </c>
      <c r="C1308" s="1094">
        <v>0.96051730186821693</v>
      </c>
      <c r="D1308" s="1094">
        <v>1.0030886606025438</v>
      </c>
      <c r="E1308" s="1094">
        <v>1.0425500204239089</v>
      </c>
      <c r="F1308" s="1094">
        <v>0.98504214470317197</v>
      </c>
      <c r="G1308" s="1094">
        <v>1.0160979321376338</v>
      </c>
      <c r="H1308" s="1094">
        <v>0.96822402830136245</v>
      </c>
      <c r="I1308" s="1094">
        <v>1.0008892079875482</v>
      </c>
      <c r="K1308">
        <v>4.4315232567779184</v>
      </c>
      <c r="L1308">
        <v>0</v>
      </c>
      <c r="M1308">
        <v>1.3261350943072098E-3</v>
      </c>
      <c r="N1308">
        <v>0.13013480416598808</v>
      </c>
      <c r="O1308">
        <v>3.9023127228848369E-2</v>
      </c>
      <c r="P1308">
        <v>1.9476907336532717E-2</v>
      </c>
      <c r="Q1308">
        <v>1.4051545664200775E-3</v>
      </c>
      <c r="R1308">
        <v>1.3204320507971634E-3</v>
      </c>
      <c r="S1308">
        <v>0.23591795686816702</v>
      </c>
      <c r="T1308">
        <v>3.9051046146789306</v>
      </c>
      <c r="U1308">
        <v>0</v>
      </c>
      <c r="V1308">
        <v>9.4523053561131939E-3</v>
      </c>
      <c r="W1308">
        <v>7.5349233929805942E-2</v>
      </c>
      <c r="X1308">
        <v>1.1933213904848656E-2</v>
      </c>
      <c r="Y1308">
        <v>3.7316417857709153E-3</v>
      </c>
    </row>
    <row r="1309" spans="1:25" x14ac:dyDescent="0.25">
      <c r="A1309" s="1090"/>
      <c r="B1309" s="1448">
        <v>1059</v>
      </c>
      <c r="C1309" s="1094">
        <v>1.0097034053850944</v>
      </c>
      <c r="D1309" s="1094">
        <v>0.98705417358688996</v>
      </c>
      <c r="E1309" s="1094">
        <v>1.0031413782410952</v>
      </c>
      <c r="F1309" s="1094">
        <v>1.0395560605232403</v>
      </c>
      <c r="G1309" s="1094">
        <v>1.0119582096545887</v>
      </c>
      <c r="H1309" s="1094">
        <v>1.0018595195122291</v>
      </c>
      <c r="I1309" s="1094">
        <v>0.97686609619651954</v>
      </c>
      <c r="K1309">
        <v>4.6491970256669681</v>
      </c>
      <c r="L1309">
        <v>0</v>
      </c>
      <c r="M1309">
        <v>1.5065921783773003E-3</v>
      </c>
      <c r="N1309">
        <v>0.13162357761131777</v>
      </c>
      <c r="O1309">
        <v>3.9710865364852216E-2</v>
      </c>
      <c r="P1309">
        <v>1.9893550895961336E-2</v>
      </c>
      <c r="Q1309">
        <v>1.301300085733214E-3</v>
      </c>
      <c r="R1309">
        <v>1.5006576612378512E-3</v>
      </c>
      <c r="S1309">
        <v>0.23082483217042926</v>
      </c>
      <c r="T1309">
        <v>4.1227623523068964</v>
      </c>
      <c r="U1309">
        <v>0</v>
      </c>
      <c r="V1309">
        <v>9.4523053561131852E-3</v>
      </c>
      <c r="W1309">
        <v>7.823654572362515E-2</v>
      </c>
      <c r="X1309">
        <v>1.1156657548728348E-2</v>
      </c>
      <c r="Y1309">
        <v>4.2409731204507434E-3</v>
      </c>
    </row>
    <row r="1310" spans="1:25" x14ac:dyDescent="0.25">
      <c r="A1310" s="1090"/>
      <c r="B1310" s="1448">
        <v>1060</v>
      </c>
      <c r="C1310" s="1094">
        <v>1.004557734330322</v>
      </c>
      <c r="D1310" s="1094">
        <v>1.000174738827075</v>
      </c>
      <c r="E1310" s="1094">
        <v>0.99176587285130946</v>
      </c>
      <c r="F1310" s="1094">
        <v>0.98511364733295792</v>
      </c>
      <c r="G1310" s="1094">
        <v>1.0136829812619248</v>
      </c>
      <c r="H1310" s="1094">
        <v>1.021336072071988</v>
      </c>
      <c r="I1310" s="1094">
        <v>1.0168935814623057</v>
      </c>
      <c r="K1310">
        <v>4.4236784600204029</v>
      </c>
      <c r="L1310">
        <v>0</v>
      </c>
      <c r="M1310">
        <v>1.4907866642929338E-3</v>
      </c>
      <c r="N1310">
        <v>0.1259078377086201</v>
      </c>
      <c r="O1310">
        <v>3.7701230911744384E-2</v>
      </c>
      <c r="P1310">
        <v>1.8762728541279347E-2</v>
      </c>
      <c r="Q1310">
        <v>1.2884320922066136E-3</v>
      </c>
      <c r="R1310">
        <v>1.4847093708193046E-3</v>
      </c>
      <c r="S1310">
        <v>0.23341048557704275</v>
      </c>
      <c r="T1310">
        <v>3.9072771396975394</v>
      </c>
      <c r="U1310">
        <v>0</v>
      </c>
      <c r="V1310">
        <v>9.4523053561131939E-3</v>
      </c>
      <c r="W1310">
        <v>7.5417748630945095E-2</v>
      </c>
      <c r="X1310">
        <v>1.0270726764247989E-2</v>
      </c>
      <c r="Y1310">
        <v>4.1959020341335567E-3</v>
      </c>
    </row>
    <row r="1311" spans="1:25" x14ac:dyDescent="0.25">
      <c r="A1311" s="1090"/>
      <c r="B1311" s="1448">
        <v>1061</v>
      </c>
      <c r="C1311" s="1094">
        <v>1.0090656913291673</v>
      </c>
      <c r="D1311" s="1094">
        <v>1.0154498587482288</v>
      </c>
      <c r="E1311" s="1094">
        <v>0.99011099529512048</v>
      </c>
      <c r="F1311" s="1094">
        <v>1.0100475334534311</v>
      </c>
      <c r="G1311" s="1094">
        <v>0.98826733766711561</v>
      </c>
      <c r="H1311" s="1094">
        <v>1.0186435192397838</v>
      </c>
      <c r="I1311" s="1094">
        <v>1.0280925417684121</v>
      </c>
      <c r="K1311">
        <v>4.530279481205044</v>
      </c>
      <c r="L1311">
        <v>0</v>
      </c>
      <c r="M1311">
        <v>1.5136090652411135E-3</v>
      </c>
      <c r="N1311">
        <v>0.12722111059112531</v>
      </c>
      <c r="O1311">
        <v>3.8261462713662292E-2</v>
      </c>
      <c r="P1311">
        <v>1.9205363267930407E-2</v>
      </c>
      <c r="Q1311">
        <v>1.273105625941339E-3</v>
      </c>
      <c r="R1311">
        <v>1.5075745270955075E-3</v>
      </c>
      <c r="S1311">
        <v>0.23764259953536795</v>
      </c>
      <c r="T1311">
        <v>4.0062368749518322</v>
      </c>
      <c r="U1311">
        <v>0</v>
      </c>
      <c r="V1311">
        <v>9.4523053561131939E-3</v>
      </c>
      <c r="W1311">
        <v>7.6290196503562252E-2</v>
      </c>
      <c r="X1311">
        <v>1.0441976486209051E-2</v>
      </c>
      <c r="Y1311">
        <v>4.2605207114422075E-3</v>
      </c>
    </row>
    <row r="1312" spans="1:25" x14ac:dyDescent="0.25">
      <c r="A1312" s="1090"/>
      <c r="B1312" s="1448">
        <v>1062</v>
      </c>
      <c r="C1312" s="1094">
        <v>0.9859141277400314</v>
      </c>
      <c r="D1312" s="1094">
        <v>0.97078920673897062</v>
      </c>
      <c r="E1312" s="1094">
        <v>1.0205246116454652</v>
      </c>
      <c r="F1312" s="1094">
        <v>1.0104038527584198</v>
      </c>
      <c r="G1312" s="1094">
        <v>1.0244105759907614</v>
      </c>
      <c r="H1312" s="1094">
        <v>0.97369499526060443</v>
      </c>
      <c r="I1312" s="1094">
        <v>0.98540840912728045</v>
      </c>
      <c r="K1312">
        <v>4.5315123590248936</v>
      </c>
      <c r="L1312">
        <v>0</v>
      </c>
      <c r="M1312">
        <v>1.414562152271024E-3</v>
      </c>
      <c r="N1312">
        <v>0.13007944629519</v>
      </c>
      <c r="O1312">
        <v>3.9668167198907041E-2</v>
      </c>
      <c r="P1312">
        <v>1.9622774045831699E-2</v>
      </c>
      <c r="Q1312">
        <v>1.3615709661519962E-3</v>
      </c>
      <c r="R1312">
        <v>1.4086642295150734E-3</v>
      </c>
      <c r="S1312">
        <v>0.23290347329931596</v>
      </c>
      <c r="T1312">
        <v>4.0064830017678741</v>
      </c>
      <c r="U1312">
        <v>0</v>
      </c>
      <c r="V1312">
        <v>9.4523053561131904E-3</v>
      </c>
      <c r="W1312">
        <v>7.6422789438434224E-2</v>
      </c>
      <c r="X1312">
        <v>1.154373592079668E-2</v>
      </c>
      <c r="Y1312">
        <v>3.9809926590359092E-3</v>
      </c>
    </row>
    <row r="1313" spans="1:25" x14ac:dyDescent="0.25">
      <c r="A1313" s="1090"/>
      <c r="B1313" s="1448">
        <v>1063</v>
      </c>
      <c r="C1313" s="1094">
        <v>1.0078614677282212</v>
      </c>
      <c r="D1313" s="1094">
        <v>0.98888625035600164</v>
      </c>
      <c r="E1313" s="1094">
        <v>1.0415830767531109</v>
      </c>
      <c r="F1313" s="1094">
        <v>0.97374428994260953</v>
      </c>
      <c r="G1313" s="1094">
        <v>1.028555274728167</v>
      </c>
      <c r="H1313" s="1094">
        <v>1.0035048478667616</v>
      </c>
      <c r="I1313" s="1094">
        <v>0.98587558196719927</v>
      </c>
      <c r="K1313">
        <v>4.3674467089833167</v>
      </c>
      <c r="L1313">
        <v>0</v>
      </c>
      <c r="M1313">
        <v>1.3050104362262557E-3</v>
      </c>
      <c r="N1313">
        <v>0.12770982731761202</v>
      </c>
      <c r="O1313">
        <v>3.6980248701608834E-2</v>
      </c>
      <c r="P1313">
        <v>1.9194268529766054E-2</v>
      </c>
      <c r="Q1313">
        <v>1.3457215524062848E-3</v>
      </c>
      <c r="R1313">
        <v>1.2995329891470769E-3</v>
      </c>
      <c r="S1313">
        <v>0.22328415812004063</v>
      </c>
      <c r="T1313">
        <v>3.8603504721409823</v>
      </c>
      <c r="U1313">
        <v>0</v>
      </c>
      <c r="V1313">
        <v>9.4523053561131904E-3</v>
      </c>
      <c r="W1313">
        <v>7.3992138036749477E-2</v>
      </c>
      <c r="X1313">
        <v>1.1470467233138557E-2</v>
      </c>
      <c r="Y1313">
        <v>3.6725794419798946E-3</v>
      </c>
    </row>
    <row r="1314" spans="1:25" x14ac:dyDescent="0.25">
      <c r="A1314" s="1090"/>
      <c r="B1314" s="1448">
        <v>1064</v>
      </c>
      <c r="C1314" s="1094">
        <v>0.99178476130878757</v>
      </c>
      <c r="D1314" s="1094">
        <v>1.0085066255026114</v>
      </c>
      <c r="E1314" s="1094">
        <v>0.98715604240991228</v>
      </c>
      <c r="F1314" s="1094">
        <v>0.9877392900279085</v>
      </c>
      <c r="G1314" s="1094">
        <v>0.98741273307162103</v>
      </c>
      <c r="H1314" s="1094">
        <v>1.0179144085747356</v>
      </c>
      <c r="I1314" s="1094">
        <v>0.99214216430318902</v>
      </c>
      <c r="K1314">
        <v>4.4327941625340408</v>
      </c>
      <c r="L1314">
        <v>0</v>
      </c>
      <c r="M1314">
        <v>1.5185699453952432E-3</v>
      </c>
      <c r="N1314">
        <v>0.1265127382120117</v>
      </c>
      <c r="O1314">
        <v>3.819307389231081E-2</v>
      </c>
      <c r="P1314">
        <v>1.8731179570005585E-2</v>
      </c>
      <c r="Q1314">
        <v>1.2955390246296994E-3</v>
      </c>
      <c r="R1314">
        <v>1.5123750249708932E-3</v>
      </c>
      <c r="S1314">
        <v>0.23023774462622212</v>
      </c>
      <c r="T1314">
        <v>3.9178655688627377</v>
      </c>
      <c r="U1314">
        <v>0</v>
      </c>
      <c r="V1314">
        <v>9.4523053561131939E-3</v>
      </c>
      <c r="W1314">
        <v>7.6018254707509392E-2</v>
      </c>
      <c r="X1314">
        <v>1.021986591798377E-2</v>
      </c>
      <c r="Y1314">
        <v>4.2740872849387204E-3</v>
      </c>
    </row>
    <row r="1315" spans="1:25" x14ac:dyDescent="0.25">
      <c r="A1315" s="1090"/>
      <c r="B1315" s="1448">
        <v>1065</v>
      </c>
      <c r="C1315" s="1094">
        <v>0.95501891223156732</v>
      </c>
      <c r="D1315" s="1094">
        <v>0.99833431891904023</v>
      </c>
      <c r="E1315" s="1094">
        <v>0.97793770433149951</v>
      </c>
      <c r="F1315" s="1094">
        <v>1.0339239574991517</v>
      </c>
      <c r="G1315" s="1094">
        <v>0.97840418208459345</v>
      </c>
      <c r="H1315" s="1094">
        <v>1.0071218647215139</v>
      </c>
      <c r="I1315" s="1094">
        <v>1.0028039731642457</v>
      </c>
      <c r="K1315">
        <v>4.6554760338911638</v>
      </c>
      <c r="L1315">
        <v>0</v>
      </c>
      <c r="M1315">
        <v>1.6716518561843746E-3</v>
      </c>
      <c r="N1315">
        <v>0.13552790339885482</v>
      </c>
      <c r="O1315">
        <v>4.1755063493856361E-2</v>
      </c>
      <c r="P1315">
        <v>1.950690170820038E-2</v>
      </c>
      <c r="Q1315">
        <v>1.3401319693667662E-3</v>
      </c>
      <c r="R1315">
        <v>1.6650660294690272E-3</v>
      </c>
      <c r="S1315">
        <v>0.24918006019762431</v>
      </c>
      <c r="T1315">
        <v>4.1014229867186298</v>
      </c>
      <c r="U1315">
        <v>0</v>
      </c>
      <c r="V1315">
        <v>9.4523053561131765E-3</v>
      </c>
      <c r="W1315">
        <v>8.195029360874409E-2</v>
      </c>
      <c r="X1315">
        <v>1.0641369545434652E-2</v>
      </c>
      <c r="Y1315">
        <v>4.7056037210571741E-3</v>
      </c>
    </row>
    <row r="1316" spans="1:25" x14ac:dyDescent="0.25">
      <c r="A1316" s="1090"/>
      <c r="B1316" s="1448">
        <v>1066</v>
      </c>
      <c r="C1316" s="1094">
        <v>1.0192569146251156</v>
      </c>
      <c r="D1316" s="1094">
        <v>1.0239443459656208</v>
      </c>
      <c r="E1316" s="1094">
        <v>1.0329090076180285</v>
      </c>
      <c r="F1316" s="1094">
        <v>0.95683250685125909</v>
      </c>
      <c r="G1316" s="1094">
        <v>0.98325176201480669</v>
      </c>
      <c r="H1316" s="1094">
        <v>1.0052248799450769</v>
      </c>
      <c r="I1316" s="1094">
        <v>1.0032409620281204</v>
      </c>
      <c r="K1316">
        <v>4.285555922355007</v>
      </c>
      <c r="L1316">
        <v>0</v>
      </c>
      <c r="M1316">
        <v>1.2759219556098434E-3</v>
      </c>
      <c r="N1316">
        <v>0.12169545129397186</v>
      </c>
      <c r="O1316">
        <v>3.5490139476778496E-2</v>
      </c>
      <c r="P1316">
        <v>1.8747415952618543E-2</v>
      </c>
      <c r="Q1316">
        <v>1.3027683025130046E-3</v>
      </c>
      <c r="R1316">
        <v>1.2704816758340545E-3</v>
      </c>
      <c r="S1316">
        <v>0.21981299764711693</v>
      </c>
      <c r="T1316">
        <v>3.7936149988860657</v>
      </c>
      <c r="U1316">
        <v>0</v>
      </c>
      <c r="V1316">
        <v>9.4523053561131852E-3</v>
      </c>
      <c r="W1316">
        <v>7.0911790504591524E-2</v>
      </c>
      <c r="X1316">
        <v>1.0943017002421E-2</v>
      </c>
      <c r="Y1316">
        <v>3.5904782125944445E-3</v>
      </c>
    </row>
    <row r="1317" spans="1:25" x14ac:dyDescent="0.25">
      <c r="A1317" s="1090"/>
      <c r="B1317" s="1448">
        <v>1067</v>
      </c>
      <c r="C1317" s="1094">
        <v>1.0041344397026841</v>
      </c>
      <c r="D1317" s="1094">
        <v>1.0134729329209777</v>
      </c>
      <c r="E1317" s="1094">
        <v>0.9627968284277707</v>
      </c>
      <c r="F1317" s="1094">
        <v>1.026822578707514</v>
      </c>
      <c r="G1317" s="1094">
        <v>0.97497231161612763</v>
      </c>
      <c r="H1317" s="1094">
        <v>1.0134111899688911</v>
      </c>
      <c r="I1317" s="1094">
        <v>1.011866915218153</v>
      </c>
      <c r="K1317">
        <v>4.5984920952659678</v>
      </c>
      <c r="L1317">
        <v>0</v>
      </c>
      <c r="M1317">
        <v>1.6302600531258957E-3</v>
      </c>
      <c r="N1317">
        <v>0.12636085492307564</v>
      </c>
      <c r="O1317">
        <v>3.9308405158414592E-2</v>
      </c>
      <c r="P1317">
        <v>1.9108232704928872E-2</v>
      </c>
      <c r="Q1317">
        <v>1.2502881141736766E-3</v>
      </c>
      <c r="R1317">
        <v>1.6238331914529185E-3</v>
      </c>
      <c r="S1317">
        <v>0.23743371459446116</v>
      </c>
      <c r="T1317">
        <v>4.0738534604271877</v>
      </c>
      <c r="U1317">
        <v>0</v>
      </c>
      <c r="V1317">
        <v>9.4523053561131904E-3</v>
      </c>
      <c r="W1317">
        <v>7.7209235707313473E-2</v>
      </c>
      <c r="X1317">
        <v>9.9329485691255753E-3</v>
      </c>
      <c r="Y1317">
        <v>4.5890765728453875E-3</v>
      </c>
    </row>
    <row r="1318" spans="1:25" x14ac:dyDescent="0.25">
      <c r="A1318" s="1090"/>
      <c r="B1318" s="1448">
        <v>1068</v>
      </c>
      <c r="C1318" s="1094">
        <v>1.0142390045414917</v>
      </c>
      <c r="D1318" s="1094">
        <v>0.98899514361814134</v>
      </c>
      <c r="E1318" s="1094">
        <v>0.97191570547646344</v>
      </c>
      <c r="F1318" s="1094">
        <v>1.0083960152874647</v>
      </c>
      <c r="G1318" s="1094">
        <v>1.0068906571734184</v>
      </c>
      <c r="H1318" s="1094">
        <v>0.9962484859973042</v>
      </c>
      <c r="I1318" s="1094">
        <v>0.99548698018288617</v>
      </c>
      <c r="K1318">
        <v>4.5092938528819131</v>
      </c>
      <c r="L1318">
        <v>0</v>
      </c>
      <c r="M1318">
        <v>1.5438602803548584E-3</v>
      </c>
      <c r="N1318">
        <v>0.12293196585125746</v>
      </c>
      <c r="O1318">
        <v>3.8531838660127965E-2</v>
      </c>
      <c r="P1318">
        <v>1.8876937464312901E-2</v>
      </c>
      <c r="Q1318">
        <v>1.2600112302121145E-3</v>
      </c>
      <c r="R1318">
        <v>1.5375565059017075E-3</v>
      </c>
      <c r="S1318">
        <v>0.22882117872831484</v>
      </c>
      <c r="T1318">
        <v>4.0003915016694167</v>
      </c>
      <c r="U1318">
        <v>0</v>
      </c>
      <c r="V1318">
        <v>9.4523053561132008E-3</v>
      </c>
      <c r="W1318">
        <v>7.4642241925367975E-2</v>
      </c>
      <c r="X1318">
        <v>1.0046923698673223E-2</v>
      </c>
      <c r="Y1318">
        <v>4.345252072564326E-3</v>
      </c>
    </row>
    <row r="1319" spans="1:25" x14ac:dyDescent="0.25">
      <c r="A1319" s="1090"/>
      <c r="B1319" s="1448">
        <v>1069</v>
      </c>
      <c r="C1319" s="1094">
        <v>1.0030912313649729</v>
      </c>
      <c r="D1319" s="1094">
        <v>1.0055269371201101</v>
      </c>
      <c r="E1319" s="1094">
        <v>1.0138451155236785</v>
      </c>
      <c r="F1319" s="1094">
        <v>0.96443644008259599</v>
      </c>
      <c r="G1319" s="1094">
        <v>1.0243595926026123</v>
      </c>
      <c r="H1319" s="1094">
        <v>0.97299770880541792</v>
      </c>
      <c r="I1319" s="1094">
        <v>0.97295041278138372</v>
      </c>
      <c r="K1319">
        <v>4.3118545044235717</v>
      </c>
      <c r="L1319">
        <v>0</v>
      </c>
      <c r="M1319">
        <v>1.3264466872302612E-3</v>
      </c>
      <c r="N1319">
        <v>0.119565128482033</v>
      </c>
      <c r="O1319">
        <v>3.6739532769314416E-2</v>
      </c>
      <c r="P1319">
        <v>1.8615780322923551E-2</v>
      </c>
      <c r="Q1319">
        <v>1.3121161611888131E-3</v>
      </c>
      <c r="R1319">
        <v>1.3206495267727111E-3</v>
      </c>
      <c r="S1319">
        <v>0.21669926686952776</v>
      </c>
      <c r="T1319">
        <v>3.8244549155958167</v>
      </c>
      <c r="U1319">
        <v>0</v>
      </c>
      <c r="V1319">
        <v>9.4523053561131956E-3</v>
      </c>
      <c r="W1319">
        <v>7.0559693430382125E-2</v>
      </c>
      <c r="X1319">
        <v>1.0729306207245309E-2</v>
      </c>
      <c r="Y1319">
        <v>3.7322563894813194E-3</v>
      </c>
    </row>
    <row r="1320" spans="1:25" x14ac:dyDescent="0.25">
      <c r="A1320" s="1090"/>
      <c r="B1320" s="1448">
        <v>1070</v>
      </c>
      <c r="C1320" s="1094">
        <v>0.99712721119444536</v>
      </c>
      <c r="D1320" s="1094">
        <v>0.97081946639487671</v>
      </c>
      <c r="E1320" s="1094">
        <v>1.0270652323405389</v>
      </c>
      <c r="F1320" s="1094">
        <v>1.0151410711682616</v>
      </c>
      <c r="G1320" s="1094">
        <v>0.986463776650647</v>
      </c>
      <c r="H1320" s="1094">
        <v>1.0158679512683728</v>
      </c>
      <c r="I1320" s="1094">
        <v>1.0423088082812118</v>
      </c>
      <c r="K1320">
        <v>4.5734176353751934</v>
      </c>
      <c r="L1320">
        <v>0</v>
      </c>
      <c r="M1320">
        <v>1.4459022697512823E-3</v>
      </c>
      <c r="N1320">
        <v>0.13558474123420103</v>
      </c>
      <c r="O1320">
        <v>3.9359058821594517E-2</v>
      </c>
      <c r="P1320">
        <v>1.9871677702914876E-2</v>
      </c>
      <c r="Q1320">
        <v>1.353696607118143E-3</v>
      </c>
      <c r="R1320">
        <v>1.4401508046814244E-3</v>
      </c>
      <c r="S1320">
        <v>0.24777788676053727</v>
      </c>
      <c r="T1320">
        <v>4.025017268719532</v>
      </c>
      <c r="U1320">
        <v>0</v>
      </c>
      <c r="V1320">
        <v>9.4523053561131904E-3</v>
      </c>
      <c r="W1320">
        <v>7.9311436998202672E-2</v>
      </c>
      <c r="X1320">
        <v>1.1625338515707441E-2</v>
      </c>
      <c r="Y1320">
        <v>4.0699761243423119E-3</v>
      </c>
    </row>
    <row r="1321" spans="1:25" x14ac:dyDescent="0.25">
      <c r="A1321" s="1090"/>
      <c r="B1321" s="1448">
        <v>1071</v>
      </c>
      <c r="C1321" s="1094">
        <v>1.0343115860667529</v>
      </c>
      <c r="D1321" s="1094">
        <v>0.98625894363174338</v>
      </c>
      <c r="E1321" s="1094">
        <v>0.97144484621108218</v>
      </c>
      <c r="F1321" s="1094">
        <v>0.99463993473605028</v>
      </c>
      <c r="G1321" s="1094">
        <v>0.97885933223763644</v>
      </c>
      <c r="H1321" s="1094">
        <v>0.98551062015645685</v>
      </c>
      <c r="I1321" s="1094">
        <v>1.0212432218087153</v>
      </c>
      <c r="K1321">
        <v>4.4431393559156236</v>
      </c>
      <c r="L1321">
        <v>0</v>
      </c>
      <c r="M1321">
        <v>1.4803341406983666E-3</v>
      </c>
      <c r="N1321">
        <v>0.11769695295031421</v>
      </c>
      <c r="O1321">
        <v>3.7313064224301876E-2</v>
      </c>
      <c r="P1321">
        <v>1.8621187862056344E-2</v>
      </c>
      <c r="Q1321">
        <v>1.2364204079672559E-3</v>
      </c>
      <c r="R1321">
        <v>1.474139735803916E-3</v>
      </c>
      <c r="S1321">
        <v>0.22745350824239971</v>
      </c>
      <c r="T1321">
        <v>3.9458380580487225</v>
      </c>
      <c r="U1321">
        <v>0</v>
      </c>
      <c r="V1321">
        <v>9.4523053561131921E-3</v>
      </c>
      <c r="W1321">
        <v>7.1486818565441437E-2</v>
      </c>
      <c r="X1321">
        <v>9.8812032245743642E-3</v>
      </c>
      <c r="Y1321">
        <v>4.1660314386266087E-3</v>
      </c>
    </row>
    <row r="1322" spans="1:25" x14ac:dyDescent="0.25">
      <c r="A1322" s="1090"/>
      <c r="B1322" s="1448">
        <v>1072</v>
      </c>
      <c r="C1322" s="1094">
        <v>0.97828656762920019</v>
      </c>
      <c r="D1322" s="1094">
        <v>1.0090019152987781</v>
      </c>
      <c r="E1322" s="1094">
        <v>0.99734833455025718</v>
      </c>
      <c r="F1322" s="1094">
        <v>1.0278079720729834</v>
      </c>
      <c r="G1322" s="1094">
        <v>1.0262864463448627</v>
      </c>
      <c r="H1322" s="1094">
        <v>0.96617523781603531</v>
      </c>
      <c r="I1322" s="1094">
        <v>0.97206909866091251</v>
      </c>
      <c r="K1322">
        <v>4.5971729750824544</v>
      </c>
      <c r="L1322">
        <v>0</v>
      </c>
      <c r="M1322">
        <v>1.4877647155031981E-3</v>
      </c>
      <c r="N1322">
        <v>0.12774213709462748</v>
      </c>
      <c r="O1322">
        <v>4.0209691559651657E-2</v>
      </c>
      <c r="P1322">
        <v>1.959791140682798E-2</v>
      </c>
      <c r="Q1322">
        <v>1.3247347521475952E-3</v>
      </c>
      <c r="R1322">
        <v>1.4816187346331662E-3</v>
      </c>
      <c r="S1322">
        <v>0.23094165104912451</v>
      </c>
      <c r="T1322">
        <v>4.0763974669052692</v>
      </c>
      <c r="U1322">
        <v>0</v>
      </c>
      <c r="V1322">
        <v>9.4523053561132026E-3</v>
      </c>
      <c r="W1322">
        <v>7.6227257676830446E-2</v>
      </c>
      <c r="X1322">
        <v>1.1098797602412941E-2</v>
      </c>
      <c r="Y1322">
        <v>4.1871676603126183E-3</v>
      </c>
    </row>
    <row r="1323" spans="1:25" x14ac:dyDescent="0.25">
      <c r="A1323" s="1090"/>
      <c r="B1323" s="1448">
        <v>1073</v>
      </c>
      <c r="C1323" s="1094">
        <v>1.0362765818040605</v>
      </c>
      <c r="D1323" s="1094">
        <v>0.97874152050954022</v>
      </c>
      <c r="E1323" s="1094">
        <v>1.0037419363702069</v>
      </c>
      <c r="F1323" s="1094">
        <v>1.0146346604009975</v>
      </c>
      <c r="G1323" s="1094">
        <v>1.0047414103025143</v>
      </c>
      <c r="H1323" s="1094">
        <v>0.96045593716935196</v>
      </c>
      <c r="I1323" s="1094">
        <v>1.0184369879590813</v>
      </c>
      <c r="K1323">
        <v>4.5268647394833934</v>
      </c>
      <c r="L1323">
        <v>0</v>
      </c>
      <c r="M1323">
        <v>1.3766006395511804E-3</v>
      </c>
      <c r="N1323">
        <v>0.12044829924812765</v>
      </c>
      <c r="O1323">
        <v>3.7888879161792809E-2</v>
      </c>
      <c r="P1323">
        <v>1.9438939953060001E-2</v>
      </c>
      <c r="Q1323">
        <v>1.2728810687539958E-3</v>
      </c>
      <c r="R1323">
        <v>1.370806043619982E-3</v>
      </c>
      <c r="S1323">
        <v>0.22807652908476878</v>
      </c>
      <c r="T1323">
        <v>4.0239037185336448</v>
      </c>
      <c r="U1323">
        <v>0</v>
      </c>
      <c r="V1323">
        <v>9.4523053561131869E-3</v>
      </c>
      <c r="W1323">
        <v>7.1565016954780666E-2</v>
      </c>
      <c r="X1323">
        <v>1.0949962182922886E-2</v>
      </c>
      <c r="Y1323">
        <v>3.8740025353606192E-3</v>
      </c>
    </row>
    <row r="1324" spans="1:25" x14ac:dyDescent="0.25">
      <c r="A1324" s="1090"/>
      <c r="B1324" s="1448">
        <v>1074</v>
      </c>
      <c r="C1324" s="1094">
        <v>1.0083804402874019</v>
      </c>
      <c r="D1324" s="1094">
        <v>1.0261893135340592</v>
      </c>
      <c r="E1324" s="1094">
        <v>1.0111961382427945</v>
      </c>
      <c r="F1324" s="1094">
        <v>1.0472799692251398</v>
      </c>
      <c r="G1324" s="1094">
        <v>0.9872901484145703</v>
      </c>
      <c r="H1324" s="1094">
        <v>1.0267328784153062</v>
      </c>
      <c r="I1324" s="1094">
        <v>0.98011996711975136</v>
      </c>
      <c r="K1324">
        <v>4.6858887695331859</v>
      </c>
      <c r="L1324">
        <v>0</v>
      </c>
      <c r="M1324">
        <v>1.5076079854065324E-3</v>
      </c>
      <c r="N1324">
        <v>0.13490861344327615</v>
      </c>
      <c r="O1324">
        <v>3.9383283782942209E-2</v>
      </c>
      <c r="P1324">
        <v>2.0158397381679505E-2</v>
      </c>
      <c r="Q1324">
        <v>1.2917445828952078E-3</v>
      </c>
      <c r="R1324">
        <v>1.501855901309629E-3</v>
      </c>
      <c r="S1324">
        <v>0.23230888848808895</v>
      </c>
      <c r="T1324">
        <v>4.1530743987953942</v>
      </c>
      <c r="U1324">
        <v>0</v>
      </c>
      <c r="V1324">
        <v>9.4523053561131887E-3</v>
      </c>
      <c r="W1324">
        <v>7.9755898497613456E-2</v>
      </c>
      <c r="X1324">
        <v>1.1316631850904478E-2</v>
      </c>
      <c r="Y1324">
        <v>4.2443594383748898E-3</v>
      </c>
    </row>
    <row r="1325" spans="1:25" x14ac:dyDescent="0.25">
      <c r="A1325" s="1090"/>
      <c r="B1325" s="1448">
        <v>1075</v>
      </c>
      <c r="C1325" s="1094">
        <v>0.97106714548626039</v>
      </c>
      <c r="D1325" s="1094">
        <v>0.98742333425952578</v>
      </c>
      <c r="E1325" s="1094">
        <v>1.003352842494813</v>
      </c>
      <c r="F1325" s="1094">
        <v>0.99091178704341254</v>
      </c>
      <c r="G1325" s="1094">
        <v>1.0012745636350446</v>
      </c>
      <c r="H1325" s="1094">
        <v>1.0086456246984237</v>
      </c>
      <c r="I1325" s="1094">
        <v>0.9872928770060112</v>
      </c>
      <c r="K1325">
        <v>4.4588057583434901</v>
      </c>
      <c r="L1325">
        <v>0</v>
      </c>
      <c r="M1325">
        <v>1.5027432835030992E-3</v>
      </c>
      <c r="N1325">
        <v>0.13134785245643096</v>
      </c>
      <c r="O1325">
        <v>3.9351345816706129E-2</v>
      </c>
      <c r="P1325">
        <v>1.9037366100254992E-2</v>
      </c>
      <c r="Q1325">
        <v>1.3531177944284224E-3</v>
      </c>
      <c r="R1325">
        <v>1.4965763184273488E-3</v>
      </c>
      <c r="S1325">
        <v>0.23531533980039443</v>
      </c>
      <c r="T1325">
        <v>3.9298366708747823</v>
      </c>
      <c r="U1325">
        <v>0</v>
      </c>
      <c r="V1325">
        <v>9.4523053561131852E-3</v>
      </c>
      <c r="W1325">
        <v>7.806152270177584E-2</v>
      </c>
      <c r="X1325">
        <v>1.0826965473606859E-2</v>
      </c>
      <c r="Y1325">
        <v>4.2294389340724785E-3</v>
      </c>
    </row>
    <row r="1326" spans="1:25" x14ac:dyDescent="0.25">
      <c r="A1326" s="1090"/>
      <c r="B1326" s="1448">
        <v>1076</v>
      </c>
      <c r="C1326" s="1094">
        <v>1.0137883664027667</v>
      </c>
      <c r="D1326" s="1094">
        <v>0.99049047694479997</v>
      </c>
      <c r="E1326" s="1094">
        <v>0.98523986648200124</v>
      </c>
      <c r="F1326" s="1094">
        <v>1.0054377580192366</v>
      </c>
      <c r="G1326" s="1094">
        <v>0.98229244429596174</v>
      </c>
      <c r="H1326" s="1094">
        <v>1.0380318322866608</v>
      </c>
      <c r="I1326" s="1094">
        <v>0.99648201723427143</v>
      </c>
      <c r="K1326">
        <v>4.5094870089263184</v>
      </c>
      <c r="L1326">
        <v>0</v>
      </c>
      <c r="M1326">
        <v>1.5594289091620161E-3</v>
      </c>
      <c r="N1326">
        <v>0.12919979785232952</v>
      </c>
      <c r="O1326">
        <v>3.83219070194349E-2</v>
      </c>
      <c r="P1326">
        <v>1.9027002005143501E-2</v>
      </c>
      <c r="Q1326">
        <v>1.2744784590950325E-3</v>
      </c>
      <c r="R1326">
        <v>1.5532999604391841E-3</v>
      </c>
      <c r="S1326">
        <v>0.23173417778659092</v>
      </c>
      <c r="T1326">
        <v>3.9881403614726394</v>
      </c>
      <c r="U1326">
        <v>0</v>
      </c>
      <c r="V1326">
        <v>9.4523053561132095E-3</v>
      </c>
      <c r="W1326">
        <v>7.7734395653795627E-2</v>
      </c>
      <c r="X1326">
        <v>1.021896799284836E-2</v>
      </c>
      <c r="Y1326">
        <v>4.3897442770431281E-3</v>
      </c>
    </row>
    <row r="1327" spans="1:25" x14ac:dyDescent="0.25">
      <c r="A1327" s="1090"/>
      <c r="B1327" s="1448">
        <v>1077</v>
      </c>
      <c r="C1327" s="1094">
        <v>1.0087824327592498</v>
      </c>
      <c r="D1327" s="1094">
        <v>1.0097642868628234</v>
      </c>
      <c r="E1327" s="1094">
        <v>1.0268995880945762</v>
      </c>
      <c r="F1327" s="1094">
        <v>0.97089007535589544</v>
      </c>
      <c r="G1327" s="1094">
        <v>1.0148077614553885</v>
      </c>
      <c r="H1327" s="1094">
        <v>0.997842597144046</v>
      </c>
      <c r="I1327" s="1094">
        <v>0.98953416549782469</v>
      </c>
      <c r="K1327">
        <v>4.3486796409495234</v>
      </c>
      <c r="L1327">
        <v>0</v>
      </c>
      <c r="M1327">
        <v>1.3223911226022365E-3</v>
      </c>
      <c r="N1327">
        <v>0.12391035237725288</v>
      </c>
      <c r="O1327">
        <v>3.6628724061489017E-2</v>
      </c>
      <c r="P1327">
        <v>1.8933887011682676E-2</v>
      </c>
      <c r="Q1327">
        <v>1.3169860623538372E-3</v>
      </c>
      <c r="R1327">
        <v>1.3167928885629556E-3</v>
      </c>
      <c r="S1327">
        <v>0.22163004648185766</v>
      </c>
      <c r="T1327">
        <v>3.8495688579026486</v>
      </c>
      <c r="U1327">
        <v>0</v>
      </c>
      <c r="V1327">
        <v>9.4523053561131973E-3</v>
      </c>
      <c r="W1327">
        <v>7.24903733162999E-2</v>
      </c>
      <c r="X1327">
        <v>1.1032349378401174E-2</v>
      </c>
      <c r="Y1327">
        <v>3.7213572354601512E-3</v>
      </c>
    </row>
    <row r="1328" spans="1:25" x14ac:dyDescent="0.25">
      <c r="A1328" s="1090"/>
      <c r="B1328" s="1448">
        <v>1078</v>
      </c>
      <c r="C1328" s="1094">
        <v>0.96555439079289174</v>
      </c>
      <c r="D1328" s="1094">
        <v>1.0318903325152819</v>
      </c>
      <c r="E1328" s="1094">
        <v>1.0328203631637838</v>
      </c>
      <c r="F1328" s="1094">
        <v>0.97699361561308229</v>
      </c>
      <c r="G1328" s="1094">
        <v>1.0005782871493589</v>
      </c>
      <c r="H1328" s="1094">
        <v>0.99726801038848079</v>
      </c>
      <c r="I1328" s="1094">
        <v>1.0002531312273966</v>
      </c>
      <c r="K1328">
        <v>4.395719530307753</v>
      </c>
      <c r="L1328">
        <v>0</v>
      </c>
      <c r="M1328">
        <v>1.3603030896478499E-3</v>
      </c>
      <c r="N1328">
        <v>0.12971667568504289</v>
      </c>
      <c r="O1328">
        <v>3.8135945197502505E-2</v>
      </c>
      <c r="P1328">
        <v>1.9182327802200083E-2</v>
      </c>
      <c r="Q1328">
        <v>1.3708783466328449E-3</v>
      </c>
      <c r="R1328">
        <v>1.3545768864049279E-3</v>
      </c>
      <c r="S1328">
        <v>0.23346389573154264</v>
      </c>
      <c r="T1328">
        <v>3.8735522801941933</v>
      </c>
      <c r="U1328">
        <v>0</v>
      </c>
      <c r="V1328">
        <v>9.4523053561131973E-3</v>
      </c>
      <c r="W1328">
        <v>7.5590177343028947E-2</v>
      </c>
      <c r="X1328">
        <v>1.1432633156702317E-2</v>
      </c>
      <c r="Y1328">
        <v>3.828137698033337E-3</v>
      </c>
    </row>
    <row r="1329" spans="1:25" x14ac:dyDescent="0.25">
      <c r="A1329" s="1090"/>
      <c r="B1329" s="1448">
        <v>1079</v>
      </c>
      <c r="C1329" s="1094">
        <v>0.98965740194613327</v>
      </c>
      <c r="D1329" s="1094">
        <v>0.98876166951635924</v>
      </c>
      <c r="E1329" s="1094">
        <v>0.9998918076301474</v>
      </c>
      <c r="F1329" s="1094">
        <v>0.99081462681220633</v>
      </c>
      <c r="G1329" s="1094">
        <v>1.0023140520980101</v>
      </c>
      <c r="H1329" s="1094">
        <v>0.97678237856953443</v>
      </c>
      <c r="I1329" s="1094">
        <v>1.0048961050829182</v>
      </c>
      <c r="K1329">
        <v>4.4436036605373896</v>
      </c>
      <c r="L1329">
        <v>0</v>
      </c>
      <c r="M1329">
        <v>1.4374638120407653E-3</v>
      </c>
      <c r="N1329">
        <v>0.12434359499245742</v>
      </c>
      <c r="O1329">
        <v>3.8611356968331866E-2</v>
      </c>
      <c r="P1329">
        <v>1.8974241926984214E-2</v>
      </c>
      <c r="Q1329">
        <v>1.3230547382844465E-3</v>
      </c>
      <c r="R1329">
        <v>1.4313717149614074E-3</v>
      </c>
      <c r="S1329">
        <v>0.23245794658425964</v>
      </c>
      <c r="T1329">
        <v>3.9295818299200662</v>
      </c>
      <c r="U1329">
        <v>0</v>
      </c>
      <c r="V1329">
        <v>9.4523053561131973E-3</v>
      </c>
      <c r="W1329">
        <v>7.4071690530070108E-2</v>
      </c>
      <c r="X1329">
        <v>1.0748565871359845E-2</v>
      </c>
      <c r="Y1329">
        <v>4.0451657465417528E-3</v>
      </c>
    </row>
    <row r="1330" spans="1:25" x14ac:dyDescent="0.25">
      <c r="A1330" s="1090"/>
      <c r="B1330" s="1448">
        <v>1080</v>
      </c>
      <c r="C1330" s="1094">
        <v>1.004517615613862</v>
      </c>
      <c r="D1330" s="1094">
        <v>1.0194348814560983</v>
      </c>
      <c r="E1330" s="1094">
        <v>1.0164900897834335</v>
      </c>
      <c r="F1330" s="1094">
        <v>0.96639522677338385</v>
      </c>
      <c r="G1330" s="1094">
        <v>0.99958384929670985</v>
      </c>
      <c r="H1330" s="1094">
        <v>1.0177803051046239</v>
      </c>
      <c r="I1330" s="1094">
        <v>1.0126503788924219</v>
      </c>
      <c r="K1330">
        <v>4.3388306761924378</v>
      </c>
      <c r="L1330">
        <v>0</v>
      </c>
      <c r="M1330">
        <v>1.37303405800873E-3</v>
      </c>
      <c r="N1330">
        <v>0.12476228662586543</v>
      </c>
      <c r="O1330">
        <v>3.6543058656303411E-2</v>
      </c>
      <c r="P1330">
        <v>1.873875067676092E-2</v>
      </c>
      <c r="Q1330">
        <v>1.3060021075043191E-3</v>
      </c>
      <c r="R1330">
        <v>1.3673089038509076E-3</v>
      </c>
      <c r="S1330">
        <v>0.22786349786669413</v>
      </c>
      <c r="T1330">
        <v>3.8321258339236972</v>
      </c>
      <c r="U1330">
        <v>0</v>
      </c>
      <c r="V1330">
        <v>9.4523053561131973E-3</v>
      </c>
      <c r="W1330">
        <v>7.3496563800738435E-2</v>
      </c>
      <c r="X1330">
        <v>1.0683982981537058E-2</v>
      </c>
      <c r="Y1330">
        <v>3.8641193513792244E-3</v>
      </c>
    </row>
    <row r="1331" spans="1:25" x14ac:dyDescent="0.25">
      <c r="A1331" s="1090"/>
      <c r="B1331" s="1448">
        <v>1081</v>
      </c>
      <c r="C1331" s="1094">
        <v>0.98781658923736237</v>
      </c>
      <c r="D1331" s="1094">
        <v>0.97174716523740068</v>
      </c>
      <c r="E1331" s="1094">
        <v>1.036777215271242</v>
      </c>
      <c r="F1331" s="1094">
        <v>0.99626926494620627</v>
      </c>
      <c r="G1331" s="1094">
        <v>0.99959868738686763</v>
      </c>
      <c r="H1331" s="1094">
        <v>1.0063299355974891</v>
      </c>
      <c r="I1331" s="1094">
        <v>0.99818630196443414</v>
      </c>
      <c r="K1331">
        <v>4.4825430868102529</v>
      </c>
      <c r="L1331">
        <v>0</v>
      </c>
      <c r="M1331">
        <v>1.3896597778678479E-3</v>
      </c>
      <c r="N1331">
        <v>0.13409073717793446</v>
      </c>
      <c r="O1331">
        <v>3.8908214702215886E-2</v>
      </c>
      <c r="P1331">
        <v>1.9604189145568281E-2</v>
      </c>
      <c r="Q1331">
        <v>1.3771208872250986E-3</v>
      </c>
      <c r="R1331">
        <v>1.3839743739158218E-3</v>
      </c>
      <c r="S1331">
        <v>0.23570679629564731</v>
      </c>
      <c r="T1331">
        <v>3.9498281923265322</v>
      </c>
      <c r="U1331">
        <v>0</v>
      </c>
      <c r="V1331">
        <v>9.4523053561131869E-3</v>
      </c>
      <c r="W1331">
        <v>7.7935238404076984E-2</v>
      </c>
      <c r="X1331">
        <v>1.1734760676760828E-2</v>
      </c>
      <c r="Y1331">
        <v>3.9112172421311214E-3</v>
      </c>
    </row>
    <row r="1332" spans="1:25" x14ac:dyDescent="0.25">
      <c r="A1332" s="1090"/>
      <c r="B1332" s="1448">
        <v>1082</v>
      </c>
      <c r="C1332" s="1094">
        <v>0.99626370146109244</v>
      </c>
      <c r="D1332" s="1094">
        <v>1.0439526696038526</v>
      </c>
      <c r="E1332" s="1094">
        <v>0.99591447587673665</v>
      </c>
      <c r="F1332" s="1094">
        <v>0.99007681022505756</v>
      </c>
      <c r="G1332" s="1094">
        <v>1.0072833326608537</v>
      </c>
      <c r="H1332" s="1094">
        <v>1.0144844102622552</v>
      </c>
      <c r="I1332" s="1094">
        <v>1.0142646839868226</v>
      </c>
      <c r="K1332">
        <v>4.4402024446366006</v>
      </c>
      <c r="L1332">
        <v>0</v>
      </c>
      <c r="M1332">
        <v>1.4622905033342033E-3</v>
      </c>
      <c r="N1332">
        <v>0.1250284096871889</v>
      </c>
      <c r="O1332">
        <v>3.7529704786212724E-2</v>
      </c>
      <c r="P1332">
        <v>1.8903322171840937E-2</v>
      </c>
      <c r="Q1332">
        <v>1.2816526856196939E-3</v>
      </c>
      <c r="R1332">
        <v>1.4563190756910029E-3</v>
      </c>
      <c r="S1332">
        <v>0.23200180046658783</v>
      </c>
      <c r="T1332">
        <v>3.9268057521480433</v>
      </c>
      <c r="U1332">
        <v>0</v>
      </c>
      <c r="V1332">
        <v>9.4523053561131904E-3</v>
      </c>
      <c r="W1332">
        <v>7.4680405514672546E-2</v>
      </c>
      <c r="X1332">
        <v>1.0409394355360702E-2</v>
      </c>
      <c r="Y1332">
        <v>4.1156688926044785E-3</v>
      </c>
    </row>
    <row r="1333" spans="1:25" x14ac:dyDescent="0.25">
      <c r="A1333" s="1090"/>
      <c r="B1333" s="1448">
        <v>1083</v>
      </c>
      <c r="C1333" s="1094">
        <v>0.98599049377914538</v>
      </c>
      <c r="D1333" s="1094">
        <v>1.0219783562337763</v>
      </c>
      <c r="E1333" s="1094">
        <v>1.0142720848147413</v>
      </c>
      <c r="F1333" s="1094">
        <v>1.0167820158510503</v>
      </c>
      <c r="G1333" s="1094">
        <v>1.0028869690813471</v>
      </c>
      <c r="H1333" s="1094">
        <v>0.99638191151009081</v>
      </c>
      <c r="I1333" s="1094">
        <v>1.0361344727626869</v>
      </c>
      <c r="K1333">
        <v>4.5685168893596941</v>
      </c>
      <c r="L1333">
        <v>0</v>
      </c>
      <c r="M1333">
        <v>1.4458396795619447E-3</v>
      </c>
      <c r="N1333">
        <v>0.13053407603011974</v>
      </c>
      <c r="O1333">
        <v>3.9147412985129457E-2</v>
      </c>
      <c r="P1333">
        <v>1.9701177425915768E-2</v>
      </c>
      <c r="Q1333">
        <v>1.3267170231389062E-3</v>
      </c>
      <c r="R1333">
        <v>1.439985413093831E-3</v>
      </c>
      <c r="S1333">
        <v>0.24396374865570775</v>
      </c>
      <c r="T1333">
        <v>4.0320139126022916</v>
      </c>
      <c r="U1333">
        <v>0</v>
      </c>
      <c r="V1333">
        <v>9.4523053561132026E-3</v>
      </c>
      <c r="W1333">
        <v>7.7010848747516653E-2</v>
      </c>
      <c r="X1333">
        <v>1.1303036085135181E-2</v>
      </c>
      <c r="Y1333">
        <v>4.0695087150887238E-3</v>
      </c>
    </row>
    <row r="1334" spans="1:25" x14ac:dyDescent="0.25">
      <c r="A1334" s="1090"/>
      <c r="B1334" s="1448">
        <v>1084</v>
      </c>
      <c r="C1334" s="1094">
        <v>0.98694949494643736</v>
      </c>
      <c r="D1334" s="1094">
        <v>1.0182969666599138</v>
      </c>
      <c r="E1334" s="1094">
        <v>1.045224663699672</v>
      </c>
      <c r="F1334" s="1094">
        <v>0.97824005942588854</v>
      </c>
      <c r="G1334" s="1094">
        <v>0.98322710930325696</v>
      </c>
      <c r="H1334" s="1094">
        <v>1.0110436016857682</v>
      </c>
      <c r="I1334" s="1094">
        <v>0.995950760258001</v>
      </c>
      <c r="K1334">
        <v>4.3971130870642039</v>
      </c>
      <c r="L1334">
        <v>0</v>
      </c>
      <c r="M1334">
        <v>1.3228751476004486E-3</v>
      </c>
      <c r="N1334">
        <v>0.13086458277388244</v>
      </c>
      <c r="O1334">
        <v>3.7471259950411749E-2</v>
      </c>
      <c r="P1334">
        <v>1.9357121822465871E-2</v>
      </c>
      <c r="Q1334">
        <v>1.3623494749788968E-3</v>
      </c>
      <c r="R1334">
        <v>1.3173893403997715E-3</v>
      </c>
      <c r="S1334">
        <v>0.22955428475146497</v>
      </c>
      <c r="T1334">
        <v>3.8780409180231858</v>
      </c>
      <c r="U1334">
        <v>0</v>
      </c>
      <c r="V1334">
        <v>9.4523053561131817E-3</v>
      </c>
      <c r="W1334">
        <v>7.5638921410448451E-2</v>
      </c>
      <c r="X1334">
        <v>1.165378645456636E-2</v>
      </c>
      <c r="Y1334">
        <v>3.7230428538879358E-3</v>
      </c>
    </row>
    <row r="1335" spans="1:25" x14ac:dyDescent="0.25">
      <c r="A1335" s="1090"/>
      <c r="B1335" s="1448">
        <v>1085</v>
      </c>
      <c r="C1335" s="1094">
        <v>0.9772242780968694</v>
      </c>
      <c r="D1335" s="1094">
        <v>1.0337373868437547</v>
      </c>
      <c r="E1335" s="1094">
        <v>1.001415302902964</v>
      </c>
      <c r="F1335" s="1094">
        <v>1.0112750481072525</v>
      </c>
      <c r="G1335" s="1094">
        <v>1.0053917680966471</v>
      </c>
      <c r="H1335" s="1094">
        <v>1.0014939386219233</v>
      </c>
      <c r="I1335" s="1094">
        <v>1.0015955000953389</v>
      </c>
      <c r="K1335">
        <v>4.5385525672635394</v>
      </c>
      <c r="L1335">
        <v>0</v>
      </c>
      <c r="M1335">
        <v>1.4916179564659722E-3</v>
      </c>
      <c r="N1335">
        <v>0.12963622226382604</v>
      </c>
      <c r="O1335">
        <v>3.9195551293032697E-2</v>
      </c>
      <c r="P1335">
        <v>1.9384164684954949E-2</v>
      </c>
      <c r="Q1335">
        <v>1.3179769537347494E-3</v>
      </c>
      <c r="R1335">
        <v>1.4855765718882199E-3</v>
      </c>
      <c r="S1335">
        <v>0.23665927765294867</v>
      </c>
      <c r="T1335">
        <v>4.0106694369829006</v>
      </c>
      <c r="U1335">
        <v>0</v>
      </c>
      <c r="V1335">
        <v>9.4523053561131973E-3</v>
      </c>
      <c r="W1335">
        <v>7.7145076305144528E-2</v>
      </c>
      <c r="X1335">
        <v>1.0900244344894233E-2</v>
      </c>
      <c r="Y1335">
        <v>4.1983528105619802E-3</v>
      </c>
    </row>
    <row r="1336" spans="1:25" x14ac:dyDescent="0.25">
      <c r="A1336" s="1090"/>
      <c r="B1336" s="1448">
        <v>1086</v>
      </c>
      <c r="C1336" s="1094">
        <v>1.010659137336809</v>
      </c>
      <c r="D1336" s="1094">
        <v>1.0159483826251074</v>
      </c>
      <c r="E1336" s="1094">
        <v>1.0284091646197178</v>
      </c>
      <c r="F1336" s="1094">
        <v>0.98023206851066047</v>
      </c>
      <c r="G1336" s="1094">
        <v>0.99254108974917798</v>
      </c>
      <c r="H1336" s="1094">
        <v>0.97119709946256694</v>
      </c>
      <c r="I1336" s="1094">
        <v>1.0003963669950446</v>
      </c>
      <c r="K1336">
        <v>4.383147120400487</v>
      </c>
      <c r="L1336">
        <v>0</v>
      </c>
      <c r="M1336">
        <v>1.2897107462804E-3</v>
      </c>
      <c r="N1336">
        <v>0.1213796501078204</v>
      </c>
      <c r="O1336">
        <v>3.681243005560212E-2</v>
      </c>
      <c r="P1336">
        <v>1.9131565390737383E-2</v>
      </c>
      <c r="Q1336">
        <v>1.3130021125734516E-3</v>
      </c>
      <c r="R1336">
        <v>1.2841543047729825E-3</v>
      </c>
      <c r="S1336">
        <v>0.22272517463381677</v>
      </c>
      <c r="T1336">
        <v>3.8865541773853165</v>
      </c>
      <c r="U1336">
        <v>0</v>
      </c>
      <c r="V1336">
        <v>9.4523053561131904E-3</v>
      </c>
      <c r="W1336">
        <v>7.0938782470292588E-2</v>
      </c>
      <c r="X1336">
        <v>1.1216471223889914E-2</v>
      </c>
      <c r="Y1336">
        <v>3.6291181058316939E-3</v>
      </c>
    </row>
    <row r="1337" spans="1:25" x14ac:dyDescent="0.25">
      <c r="A1337" s="1090"/>
      <c r="B1337" s="1448">
        <v>1087</v>
      </c>
      <c r="C1337" s="1094">
        <v>0.98393477023588505</v>
      </c>
      <c r="D1337" s="1094">
        <v>1.0070580736617034</v>
      </c>
      <c r="E1337" s="1094">
        <v>0.99003873001233267</v>
      </c>
      <c r="F1337" s="1094">
        <v>0.95343212949140244</v>
      </c>
      <c r="G1337" s="1094">
        <v>1.0361258922602017</v>
      </c>
      <c r="H1337" s="1094">
        <v>0.99581488182833755</v>
      </c>
      <c r="I1337" s="1094">
        <v>1.0198168408932595</v>
      </c>
      <c r="K1337">
        <v>4.2864820290801768</v>
      </c>
      <c r="L1337">
        <v>0</v>
      </c>
      <c r="M1337">
        <v>1.4377504333237658E-3</v>
      </c>
      <c r="N1337">
        <v>0.12077885119984128</v>
      </c>
      <c r="O1337">
        <v>3.7162921923991642E-2</v>
      </c>
      <c r="P1337">
        <v>1.8162226608732256E-2</v>
      </c>
      <c r="Q1337">
        <v>1.3098817423185254E-3</v>
      </c>
      <c r="R1337">
        <v>1.4315402453244047E-3</v>
      </c>
      <c r="S1337">
        <v>0.23139720190450211</v>
      </c>
      <c r="T1337">
        <v>3.7816810510505201</v>
      </c>
      <c r="U1337">
        <v>0</v>
      </c>
      <c r="V1337">
        <v>9.4523053561131956E-3</v>
      </c>
      <c r="W1337">
        <v>7.2430552986788715E-2</v>
      </c>
      <c r="X1337">
        <v>1.0067604469153306E-2</v>
      </c>
      <c r="Y1337">
        <v>4.0456420262142663E-3</v>
      </c>
    </row>
    <row r="1338" spans="1:25" x14ac:dyDescent="0.25">
      <c r="A1338" s="1090"/>
      <c r="B1338" s="1448">
        <v>1088</v>
      </c>
      <c r="C1338" s="1094">
        <v>0.99368236624026318</v>
      </c>
      <c r="D1338" s="1094">
        <v>1.0345241245976584</v>
      </c>
      <c r="E1338" s="1094">
        <v>1.013485519178603</v>
      </c>
      <c r="F1338" s="1094">
        <v>1.0079690891980688</v>
      </c>
      <c r="G1338" s="1094">
        <v>1.0031202371625243</v>
      </c>
      <c r="H1338" s="1094">
        <v>0.99339322694540588</v>
      </c>
      <c r="I1338" s="1094">
        <v>0.99222272652106314</v>
      </c>
      <c r="K1338">
        <v>4.5125767115600697</v>
      </c>
      <c r="L1338">
        <v>0</v>
      </c>
      <c r="M1338">
        <v>1.4134377002819609E-3</v>
      </c>
      <c r="N1338">
        <v>0.12730591592216922</v>
      </c>
      <c r="O1338">
        <v>3.832563626796838E-2</v>
      </c>
      <c r="P1338">
        <v>1.946235612951603E-2</v>
      </c>
      <c r="Q1338">
        <v>1.3091628850321552E-3</v>
      </c>
      <c r="R1338">
        <v>1.4076474280713012E-3</v>
      </c>
      <c r="S1338">
        <v>0.2293850322085165</v>
      </c>
      <c r="T1338">
        <v>3.9970965431605348</v>
      </c>
      <c r="U1338">
        <v>0</v>
      </c>
      <c r="V1338">
        <v>9.4523053561131817E-3</v>
      </c>
      <c r="W1338">
        <v>7.5145904356968191E-2</v>
      </c>
      <c r="X1338">
        <v>1.1121526444938542E-2</v>
      </c>
      <c r="Y1338">
        <v>3.9781191005266925E-3</v>
      </c>
    </row>
    <row r="1339" spans="1:25" x14ac:dyDescent="0.25">
      <c r="A1339" s="1090"/>
      <c r="B1339" s="1448">
        <v>1089</v>
      </c>
      <c r="C1339" s="1094">
        <v>1.0142379994957422</v>
      </c>
      <c r="D1339" s="1094">
        <v>0.98453574975744929</v>
      </c>
      <c r="E1339" s="1094">
        <v>0.99837189389192471</v>
      </c>
      <c r="F1339" s="1094">
        <v>1.0052734173867579</v>
      </c>
      <c r="G1339" s="1094">
        <v>1.043679071642545</v>
      </c>
      <c r="H1339" s="1094">
        <v>0.99979297637377262</v>
      </c>
      <c r="I1339" s="1094">
        <v>0.9820365301417</v>
      </c>
      <c r="K1339">
        <v>4.4970729864963603</v>
      </c>
      <c r="L1339">
        <v>0</v>
      </c>
      <c r="M1339">
        <v>1.463706784524719E-3</v>
      </c>
      <c r="N1339">
        <v>0.12606456827898924</v>
      </c>
      <c r="O1339">
        <v>3.83013363114642E-2</v>
      </c>
      <c r="P1339">
        <v>1.91834309573699E-2</v>
      </c>
      <c r="Q1339">
        <v>1.2915191025492068E-3</v>
      </c>
      <c r="R1339">
        <v>1.457733051830249E-3</v>
      </c>
      <c r="S1339">
        <v>0.22583054478310502</v>
      </c>
      <c r="T1339">
        <v>3.9869837636944747</v>
      </c>
      <c r="U1339">
        <v>0</v>
      </c>
      <c r="V1339">
        <v>9.4523053561131991E-3</v>
      </c>
      <c r="W1339">
        <v>7.5174107197215748E-2</v>
      </c>
      <c r="X1339">
        <v>1.0677719650642414E-2</v>
      </c>
      <c r="Y1339">
        <v>4.1196648971259598E-3</v>
      </c>
    </row>
    <row r="1340" spans="1:25" x14ac:dyDescent="0.25">
      <c r="A1340" s="1090"/>
      <c r="B1340" s="1448">
        <v>1090</v>
      </c>
      <c r="C1340" s="1094">
        <v>0.99240762974925256</v>
      </c>
      <c r="D1340" s="1094">
        <v>1.0035650715646343</v>
      </c>
      <c r="E1340" s="1094">
        <v>1.0072146475941204</v>
      </c>
      <c r="F1340" s="1094">
        <v>1.0256525186279761</v>
      </c>
      <c r="G1340" s="1094">
        <v>0.98201404339300458</v>
      </c>
      <c r="H1340" s="1094">
        <v>1.0357693463470978</v>
      </c>
      <c r="I1340" s="1094">
        <v>0.98327420763245521</v>
      </c>
      <c r="K1340">
        <v>4.605521291946447</v>
      </c>
      <c r="L1340">
        <v>0</v>
      </c>
      <c r="M1340">
        <v>1.5400011468776136E-3</v>
      </c>
      <c r="N1340">
        <v>0.13618594573737272</v>
      </c>
      <c r="O1340">
        <v>3.9570056472995357E-2</v>
      </c>
      <c r="P1340">
        <v>1.9723026373573378E-2</v>
      </c>
      <c r="Q1340">
        <v>1.3198071233923878E-3</v>
      </c>
      <c r="R1340">
        <v>1.5340544071512279E-3</v>
      </c>
      <c r="S1340">
        <v>0.2356735557014267</v>
      </c>
      <c r="T1340">
        <v>4.0674637805791249</v>
      </c>
      <c r="U1340">
        <v>0</v>
      </c>
      <c r="V1340">
        <v>9.4523053561131939E-3</v>
      </c>
      <c r="W1340">
        <v>8.0726632640199456E-2</v>
      </c>
      <c r="X1340">
        <v>1.1076773827849476E-2</v>
      </c>
      <c r="Y1340">
        <v>4.3353548741228787E-3</v>
      </c>
    </row>
    <row r="1341" spans="1:25" x14ac:dyDescent="0.25">
      <c r="A1341" s="1090"/>
      <c r="B1341" s="1448">
        <v>1091</v>
      </c>
      <c r="C1341" s="1094">
        <v>1.0399821479928875</v>
      </c>
      <c r="D1341" s="1094">
        <v>0.98489079003857039</v>
      </c>
      <c r="E1341" s="1094">
        <v>1.0076048249733751</v>
      </c>
      <c r="F1341" s="1094">
        <v>0.98405651500257196</v>
      </c>
      <c r="G1341" s="1094">
        <v>0.9842024484480848</v>
      </c>
      <c r="H1341" s="1094">
        <v>0.99990936731654168</v>
      </c>
      <c r="I1341" s="1094">
        <v>1.0331573817494644</v>
      </c>
      <c r="K1341">
        <v>4.4046786583673763</v>
      </c>
      <c r="L1341">
        <v>0</v>
      </c>
      <c r="M1341">
        <v>1.3705086102115927E-3</v>
      </c>
      <c r="N1341">
        <v>0.12130005949729593</v>
      </c>
      <c r="O1341">
        <v>3.6499194021278936E-2</v>
      </c>
      <c r="P1341">
        <v>1.8940697933693372E-2</v>
      </c>
      <c r="Q1341">
        <v>1.2693523915396213E-3</v>
      </c>
      <c r="R1341">
        <v>1.364795812261002E-3</v>
      </c>
      <c r="S1341">
        <v>0.22838838972366912</v>
      </c>
      <c r="T1341">
        <v>3.9024905785196569</v>
      </c>
      <c r="U1341">
        <v>0</v>
      </c>
      <c r="V1341">
        <v>9.4523053561131869E-3</v>
      </c>
      <c r="W1341">
        <v>7.1883895726534447E-2</v>
      </c>
      <c r="X1341">
        <v>1.0602880832863662E-2</v>
      </c>
      <c r="Y1341">
        <v>3.8570171626806835E-3</v>
      </c>
    </row>
    <row r="1342" spans="1:25" x14ac:dyDescent="0.25">
      <c r="A1342" s="1090"/>
      <c r="B1342" s="1448">
        <v>1092</v>
      </c>
      <c r="C1342" s="1094">
        <v>1.0125942403562984</v>
      </c>
      <c r="D1342" s="1094">
        <v>1.0359082909157002</v>
      </c>
      <c r="E1342" s="1094">
        <v>0.96826674979867278</v>
      </c>
      <c r="F1342" s="1094">
        <v>1.0087109842188824</v>
      </c>
      <c r="G1342" s="1094">
        <v>1.0253044748087177</v>
      </c>
      <c r="H1342" s="1094">
        <v>1.0232914787512188</v>
      </c>
      <c r="I1342" s="1094">
        <v>1.0037332082240955</v>
      </c>
      <c r="K1342">
        <v>4.5125932550435541</v>
      </c>
      <c r="L1342">
        <v>0</v>
      </c>
      <c r="M1342">
        <v>1.5716300234211813E-3</v>
      </c>
      <c r="N1342">
        <v>0.12380803899117304</v>
      </c>
      <c r="O1342">
        <v>3.7921875827243566E-2</v>
      </c>
      <c r="P1342">
        <v>1.8835552875520446E-2</v>
      </c>
      <c r="Q1342">
        <v>1.2349349489889432E-3</v>
      </c>
      <c r="R1342">
        <v>1.5653843937763594E-3</v>
      </c>
      <c r="S1342">
        <v>0.22997028173905762</v>
      </c>
      <c r="T1342">
        <v>4.0017832181466639</v>
      </c>
      <c r="U1342">
        <v>0</v>
      </c>
      <c r="V1342">
        <v>9.4523053561131783E-3</v>
      </c>
      <c r="W1342">
        <v>7.5363629633652451E-2</v>
      </c>
      <c r="X1342">
        <v>9.8057673465310018E-3</v>
      </c>
      <c r="Y1342">
        <v>4.4238958082568267E-3</v>
      </c>
    </row>
    <row r="1343" spans="1:25" x14ac:dyDescent="0.25">
      <c r="A1343" s="1090"/>
      <c r="B1343" s="1448">
        <v>1093</v>
      </c>
      <c r="C1343" s="1094">
        <v>0.98475703605755249</v>
      </c>
      <c r="D1343" s="1094">
        <v>1.0232862279580117</v>
      </c>
      <c r="E1343" s="1094">
        <v>1.0085265621375883</v>
      </c>
      <c r="F1343" s="1094">
        <v>0.98124111996613639</v>
      </c>
      <c r="G1343" s="1094">
        <v>1.0226119535164466</v>
      </c>
      <c r="H1343" s="1094">
        <v>1.0079555892432963</v>
      </c>
      <c r="I1343" s="1094">
        <v>1.0237417764255974</v>
      </c>
      <c r="K1343">
        <v>4.4120816970887438</v>
      </c>
      <c r="L1343">
        <v>0</v>
      </c>
      <c r="M1343">
        <v>1.4299884485244241E-3</v>
      </c>
      <c r="N1343">
        <v>0.12691311842430619</v>
      </c>
      <c r="O1343">
        <v>3.7846032587415646E-2</v>
      </c>
      <c r="P1343">
        <v>1.8938971657599411E-2</v>
      </c>
      <c r="Q1343">
        <v>1.321224734835369E-3</v>
      </c>
      <c r="R1343">
        <v>1.4240584037497177E-3</v>
      </c>
      <c r="S1343">
        <v>0.23638738176522084</v>
      </c>
      <c r="T1343">
        <v>3.8912912099144195</v>
      </c>
      <c r="U1343">
        <v>0</v>
      </c>
      <c r="V1343">
        <v>9.4523053561131852E-3</v>
      </c>
      <c r="W1343">
        <v>7.5163678480592494E-2</v>
      </c>
      <c r="X1343">
        <v>1.0749206442300988E-2</v>
      </c>
      <c r="Y1343">
        <v>4.0244977707126189E-3</v>
      </c>
    </row>
    <row r="1344" spans="1:25" x14ac:dyDescent="0.25">
      <c r="A1344" s="1090"/>
      <c r="B1344" s="1448">
        <v>1094</v>
      </c>
      <c r="C1344" s="1094">
        <v>0.98869020185311518</v>
      </c>
      <c r="D1344" s="1094">
        <v>0.9725240181545376</v>
      </c>
      <c r="E1344" s="1094">
        <v>0.98768173854851748</v>
      </c>
      <c r="F1344" s="1094">
        <v>1.0067524869958469</v>
      </c>
      <c r="G1344" s="1094">
        <v>0.99085782228366392</v>
      </c>
      <c r="H1344" s="1094">
        <v>1.028685935677323</v>
      </c>
      <c r="I1344" s="1094">
        <v>1.0215821030269228</v>
      </c>
      <c r="K1344">
        <v>4.5345818569192007</v>
      </c>
      <c r="L1344">
        <v>0</v>
      </c>
      <c r="M1344">
        <v>1.5901620186616293E-3</v>
      </c>
      <c r="N1344">
        <v>0.13269961440522265</v>
      </c>
      <c r="O1344">
        <v>3.9618032815772947E-2</v>
      </c>
      <c r="P1344">
        <v>1.9142454267894904E-2</v>
      </c>
      <c r="Q1344">
        <v>1.3192172127036471E-3</v>
      </c>
      <c r="R1344">
        <v>1.5838637026687682E-3</v>
      </c>
      <c r="S1344">
        <v>0.24444439780243493</v>
      </c>
      <c r="T1344">
        <v>3.9932610918792606</v>
      </c>
      <c r="U1344">
        <v>0</v>
      </c>
      <c r="V1344">
        <v>9.4523053561132008E-3</v>
      </c>
      <c r="W1344">
        <v>7.970722106514283E-2</v>
      </c>
      <c r="X1344">
        <v>1.0467700684629972E-2</v>
      </c>
      <c r="Y1344">
        <v>4.4761197460152675E-3</v>
      </c>
    </row>
    <row r="1345" spans="1:25" x14ac:dyDescent="0.25">
      <c r="A1345" s="1090"/>
      <c r="B1345" s="1448">
        <v>1095</v>
      </c>
      <c r="C1345" s="1094">
        <v>0.96864237203071346</v>
      </c>
      <c r="D1345" s="1094">
        <v>1.0083614808379977</v>
      </c>
      <c r="E1345" s="1094">
        <v>0.96398421762048148</v>
      </c>
      <c r="F1345" s="1094">
        <v>1.0330726101442262</v>
      </c>
      <c r="G1345" s="1094">
        <v>0.97296916639813402</v>
      </c>
      <c r="H1345" s="1094">
        <v>1.0186587907727829</v>
      </c>
      <c r="I1345" s="1094">
        <v>0.99512335389360707</v>
      </c>
      <c r="K1345">
        <v>4.6424915443359751</v>
      </c>
      <c r="L1345">
        <v>0</v>
      </c>
      <c r="M1345">
        <v>1.7082520566024588E-3</v>
      </c>
      <c r="N1345">
        <v>0.13287976910370611</v>
      </c>
      <c r="O1345">
        <v>4.1071124153666837E-2</v>
      </c>
      <c r="P1345">
        <v>1.926370389990641E-2</v>
      </c>
      <c r="Q1345">
        <v>1.3000775856661499E-3</v>
      </c>
      <c r="R1345">
        <v>1.7015927956225774E-3</v>
      </c>
      <c r="S1345">
        <v>0.24385625759460905</v>
      </c>
      <c r="T1345">
        <v>4.0986025192323865</v>
      </c>
      <c r="U1345">
        <v>0</v>
      </c>
      <c r="V1345">
        <v>9.4523053561132043E-3</v>
      </c>
      <c r="W1345">
        <v>8.1125656398261858E-2</v>
      </c>
      <c r="X1345">
        <v>1.0137959121738732E-2</v>
      </c>
      <c r="Y1345">
        <v>4.8088311508937814E-3</v>
      </c>
    </row>
    <row r="1346" spans="1:25" x14ac:dyDescent="0.25">
      <c r="A1346" s="1090"/>
      <c r="B1346" s="1448">
        <v>1096</v>
      </c>
      <c r="C1346" s="1094">
        <v>1.0127770388309354</v>
      </c>
      <c r="D1346" s="1094">
        <v>0.97802183315078461</v>
      </c>
      <c r="E1346" s="1094">
        <v>0.99518402492440838</v>
      </c>
      <c r="F1346" s="1094">
        <v>0.98890270231492194</v>
      </c>
      <c r="G1346" s="1094">
        <v>1.0300622778648625</v>
      </c>
      <c r="H1346" s="1094">
        <v>1.0019963931616174</v>
      </c>
      <c r="I1346" s="1094">
        <v>1.0299073096755442</v>
      </c>
      <c r="K1346">
        <v>4.438276318746218</v>
      </c>
      <c r="L1346">
        <v>0</v>
      </c>
      <c r="M1346">
        <v>1.4588217200087617E-3</v>
      </c>
      <c r="N1346">
        <v>0.12445509737749647</v>
      </c>
      <c r="O1346">
        <v>3.7853830912836145E-2</v>
      </c>
      <c r="P1346">
        <v>1.888661534006144E-2</v>
      </c>
      <c r="Q1346">
        <v>1.2932755527544101E-3</v>
      </c>
      <c r="R1346">
        <v>1.4527830799519121E-3</v>
      </c>
      <c r="S1346">
        <v>0.23522336778266237</v>
      </c>
      <c r="T1346">
        <v>3.9221766164892946</v>
      </c>
      <c r="U1346">
        <v>0</v>
      </c>
      <c r="V1346">
        <v>9.4523053561131973E-3</v>
      </c>
      <c r="W1346">
        <v>7.4374782085706609E-2</v>
      </c>
      <c r="X1346">
        <v>1.0460790590662176E-2</v>
      </c>
      <c r="Y1346">
        <v>4.1056758986853046E-3</v>
      </c>
    </row>
    <row r="1347" spans="1:25" x14ac:dyDescent="0.25">
      <c r="A1347" s="1090"/>
      <c r="B1347" s="1448">
        <v>1097</v>
      </c>
      <c r="C1347" s="1094">
        <v>1.0280264643453936</v>
      </c>
      <c r="D1347" s="1094">
        <v>0.97588436142826351</v>
      </c>
      <c r="E1347" s="1094">
        <v>0.98755139361718713</v>
      </c>
      <c r="F1347" s="1094">
        <v>0.97339668427828419</v>
      </c>
      <c r="G1347" s="1094">
        <v>1.041548763201281</v>
      </c>
      <c r="H1347" s="1094">
        <v>0.96141121522599038</v>
      </c>
      <c r="I1347" s="1094">
        <v>0.99727150440604129</v>
      </c>
      <c r="K1347">
        <v>4.3444732403662334</v>
      </c>
      <c r="L1347">
        <v>0</v>
      </c>
      <c r="M1347">
        <v>1.3806107482719867E-3</v>
      </c>
      <c r="N1347">
        <v>0.11511918705197859</v>
      </c>
      <c r="O1347">
        <v>3.6789752527923325E-2</v>
      </c>
      <c r="P1347">
        <v>1.8430787488314806E-2</v>
      </c>
      <c r="Q1347">
        <v>1.2668469097704238E-3</v>
      </c>
      <c r="R1347">
        <v>1.3745601244254655E-3</v>
      </c>
      <c r="S1347">
        <v>0.21924940777750757</v>
      </c>
      <c r="T1347">
        <v>3.8609609115942245</v>
      </c>
      <c r="U1347">
        <v>0</v>
      </c>
      <c r="V1347">
        <v>9.4523053561132043E-3</v>
      </c>
      <c r="W1347">
        <v>6.9153522118825167E-2</v>
      </c>
      <c r="X1347">
        <v>1.0171958311087886E-2</v>
      </c>
      <c r="Y1347">
        <v>3.8846118543274266E-3</v>
      </c>
    </row>
    <row r="1348" spans="1:25" x14ac:dyDescent="0.25">
      <c r="A1348" s="1090"/>
      <c r="B1348" s="1448">
        <v>1098</v>
      </c>
      <c r="C1348" s="1094">
        <v>1.0018885301958207</v>
      </c>
      <c r="D1348" s="1094">
        <v>1.0185332981008208</v>
      </c>
      <c r="E1348" s="1094">
        <v>0.96853784749830441</v>
      </c>
      <c r="F1348" s="1094">
        <v>0.96284871208776801</v>
      </c>
      <c r="G1348" s="1094">
        <v>1.0210985368273273</v>
      </c>
      <c r="H1348" s="1094">
        <v>0.97778848170794763</v>
      </c>
      <c r="I1348" s="1094">
        <v>0.98520015615184331</v>
      </c>
      <c r="K1348">
        <v>4.3028208917128383</v>
      </c>
      <c r="L1348">
        <v>0</v>
      </c>
      <c r="M1348">
        <v>1.4580723190595103E-3</v>
      </c>
      <c r="N1348">
        <v>0.11491072982352599</v>
      </c>
      <c r="O1348">
        <v>3.6831106922501217E-2</v>
      </c>
      <c r="P1348">
        <v>1.7982178814198113E-2</v>
      </c>
      <c r="Q1348">
        <v>1.2569022969502622E-3</v>
      </c>
      <c r="R1348">
        <v>1.4517207064875018E-3</v>
      </c>
      <c r="S1348">
        <v>0.21893017488685307</v>
      </c>
      <c r="T1348">
        <v>3.8198271823364958</v>
      </c>
      <c r="U1348">
        <v>0</v>
      </c>
      <c r="V1348">
        <v>9.4523053561131956E-3</v>
      </c>
      <c r="W1348">
        <v>6.9934623079581537E-2</v>
      </c>
      <c r="X1348">
        <v>9.5993662590231309E-3</v>
      </c>
      <c r="Y1348">
        <v>4.1026735501665046E-3</v>
      </c>
    </row>
    <row r="1349" spans="1:25" x14ac:dyDescent="0.25">
      <c r="A1349" s="1090"/>
      <c r="B1349" s="1448">
        <v>1099</v>
      </c>
      <c r="C1349" s="1094">
        <v>0.99644196885841485</v>
      </c>
      <c r="D1349" s="1094">
        <v>1.011628989184667</v>
      </c>
      <c r="E1349" s="1094">
        <v>0.98995826623329364</v>
      </c>
      <c r="F1349" s="1094">
        <v>1.008142389988024</v>
      </c>
      <c r="G1349" s="1094">
        <v>1.0087370853970374</v>
      </c>
      <c r="H1349" s="1094">
        <v>0.97789426220970743</v>
      </c>
      <c r="I1349" s="1094">
        <v>0.99218454819270474</v>
      </c>
      <c r="K1349">
        <v>4.5088663741074129</v>
      </c>
      <c r="L1349">
        <v>0</v>
      </c>
      <c r="M1349">
        <v>1.4713926177722363E-3</v>
      </c>
      <c r="N1349">
        <v>0.12359517132807396</v>
      </c>
      <c r="O1349">
        <v>3.8732521549464272E-2</v>
      </c>
      <c r="P1349">
        <v>1.9130613792413372E-2</v>
      </c>
      <c r="Q1349">
        <v>1.2910098180332402E-3</v>
      </c>
      <c r="R1349">
        <v>1.4652704416196303E-3</v>
      </c>
      <c r="S1349">
        <v>0.22912606346693062</v>
      </c>
      <c r="T1349">
        <v>3.9986862354157764</v>
      </c>
      <c r="U1349">
        <v>0</v>
      </c>
      <c r="V1349">
        <v>9.4523053561131973E-3</v>
      </c>
      <c r="W1349">
        <v>7.412354640962944E-2</v>
      </c>
      <c r="X1349">
        <v>1.059406301100467E-2</v>
      </c>
      <c r="Y1349">
        <v>4.1409661361232414E-3</v>
      </c>
    </row>
    <row r="1350" spans="1:25" x14ac:dyDescent="0.25">
      <c r="A1350" s="1090"/>
      <c r="B1350" s="1448">
        <v>1100</v>
      </c>
      <c r="C1350" s="1094">
        <v>1.0004453070597037</v>
      </c>
      <c r="D1350" s="1094">
        <v>0.97275243326456717</v>
      </c>
      <c r="E1350" s="1094">
        <v>1.0065999077064443</v>
      </c>
      <c r="F1350" s="1094">
        <v>0.97629265363715934</v>
      </c>
      <c r="G1350" s="1094">
        <v>0.98847462249594997</v>
      </c>
      <c r="H1350" s="1094">
        <v>0.97469068245586299</v>
      </c>
      <c r="I1350" s="1094">
        <v>0.99874881241356983</v>
      </c>
      <c r="K1350">
        <v>4.3761073626460139</v>
      </c>
      <c r="L1350">
        <v>0</v>
      </c>
      <c r="M1350">
        <v>1.3876158487847157E-3</v>
      </c>
      <c r="N1350">
        <v>0.12243180249351934</v>
      </c>
      <c r="O1350">
        <v>3.7836270887924184E-2</v>
      </c>
      <c r="P1350">
        <v>1.8781008228022932E-2</v>
      </c>
      <c r="Q1350">
        <v>1.3249414597215447E-3</v>
      </c>
      <c r="R1350">
        <v>1.3816350967753802E-3</v>
      </c>
      <c r="S1350">
        <v>0.22728922128488702</v>
      </c>
      <c r="T1350">
        <v>3.8717385250829977</v>
      </c>
      <c r="U1350">
        <v>0</v>
      </c>
      <c r="V1350">
        <v>9.4523053561131887E-3</v>
      </c>
      <c r="W1350">
        <v>7.2603639223389721E-2</v>
      </c>
      <c r="X1350">
        <v>1.0751023115110331E-2</v>
      </c>
      <c r="Y1350">
        <v>3.9046062663368733E-3</v>
      </c>
    </row>
    <row r="1351" spans="1:25" x14ac:dyDescent="0.25">
      <c r="A1351" s="1090"/>
      <c r="B1351" s="1448">
        <v>1101</v>
      </c>
      <c r="C1351" s="1094">
        <v>1.0016805217612399</v>
      </c>
      <c r="D1351" s="1094">
        <v>1.0346823980941602</v>
      </c>
      <c r="E1351" s="1094">
        <v>0.96676363720598757</v>
      </c>
      <c r="F1351" s="1094">
        <v>1.0064433544404801</v>
      </c>
      <c r="G1351" s="1094">
        <v>1.0259838972541373</v>
      </c>
      <c r="H1351" s="1094">
        <v>1.0205911314967251</v>
      </c>
      <c r="I1351" s="1094">
        <v>1.0031626819247792</v>
      </c>
      <c r="K1351">
        <v>4.5069936777461672</v>
      </c>
      <c r="L1351">
        <v>0</v>
      </c>
      <c r="M1351">
        <v>1.5867515056943327E-3</v>
      </c>
      <c r="N1351">
        <v>0.1244400266738714</v>
      </c>
      <c r="O1351">
        <v>3.8277162765564844E-2</v>
      </c>
      <c r="P1351">
        <v>1.8782590201293484E-2</v>
      </c>
      <c r="Q1351">
        <v>1.2473399068695867E-3</v>
      </c>
      <c r="R1351">
        <v>1.5804149124216816E-3</v>
      </c>
      <c r="S1351">
        <v>0.23186411261111226</v>
      </c>
      <c r="T1351">
        <v>3.9928455411402628</v>
      </c>
      <c r="U1351">
        <v>0</v>
      </c>
      <c r="V1351">
        <v>9.4523053561131852E-3</v>
      </c>
      <c r="W1351">
        <v>7.5827045850889119E-2</v>
      </c>
      <c r="X1351">
        <v>9.797516631990421E-3</v>
      </c>
      <c r="Y1351">
        <v>4.4663732014743216E-3</v>
      </c>
    </row>
    <row r="1352" spans="1:25" x14ac:dyDescent="0.25">
      <c r="A1352" s="1090"/>
      <c r="B1352" s="1448">
        <v>1102</v>
      </c>
      <c r="C1352" s="1094">
        <v>1.0288693031969884</v>
      </c>
      <c r="D1352" s="1094">
        <v>1.0084822562947955</v>
      </c>
      <c r="E1352" s="1094">
        <v>0.99904772903966621</v>
      </c>
      <c r="F1352" s="1094">
        <v>0.99474744836124185</v>
      </c>
      <c r="G1352" s="1094">
        <v>0.98027691069789891</v>
      </c>
      <c r="H1352" s="1094">
        <v>1.0286929583393765</v>
      </c>
      <c r="I1352" s="1094">
        <v>0.99848031533950143</v>
      </c>
      <c r="K1352">
        <v>4.45178226611218</v>
      </c>
      <c r="L1352">
        <v>0</v>
      </c>
      <c r="M1352">
        <v>1.4529950187575622E-3</v>
      </c>
      <c r="N1352">
        <v>0.12540203888360002</v>
      </c>
      <c r="O1352">
        <v>3.6999431445768428E-2</v>
      </c>
      <c r="P1352">
        <v>1.9000430835097615E-2</v>
      </c>
      <c r="Q1352">
        <v>1.2617041995894762E-3</v>
      </c>
      <c r="R1352">
        <v>1.4471708660548468E-3</v>
      </c>
      <c r="S1352">
        <v>0.22521632915983247</v>
      </c>
      <c r="T1352">
        <v>3.9452114266151979</v>
      </c>
      <c r="U1352">
        <v>0</v>
      </c>
      <c r="V1352">
        <v>9.4523053561131956E-3</v>
      </c>
      <c r="W1352">
        <v>7.4744851791530981E-2</v>
      </c>
      <c r="X1352">
        <v>1.0409756624411374E-2</v>
      </c>
      <c r="Y1352">
        <v>4.0898153537399359E-3</v>
      </c>
    </row>
    <row r="1353" spans="1:25" x14ac:dyDescent="0.25">
      <c r="A1353" s="1090"/>
      <c r="B1353" s="1448">
        <v>1103</v>
      </c>
      <c r="C1353" s="1094">
        <v>1.0408934877104414</v>
      </c>
      <c r="D1353" s="1094">
        <v>0.96758856310908936</v>
      </c>
      <c r="E1353" s="1094">
        <v>0.98967491191889212</v>
      </c>
      <c r="F1353" s="1094">
        <v>0.99824019644133011</v>
      </c>
      <c r="G1353" s="1094">
        <v>0.97289865886396609</v>
      </c>
      <c r="H1353" s="1094">
        <v>1.0319435560137324</v>
      </c>
      <c r="I1353" s="1094">
        <v>0.97523487521019614</v>
      </c>
      <c r="K1353">
        <v>4.4631411847959503</v>
      </c>
      <c r="L1353">
        <v>0</v>
      </c>
      <c r="M1353">
        <v>1.4992014827464204E-3</v>
      </c>
      <c r="N1353">
        <v>0.12584793247038403</v>
      </c>
      <c r="O1353">
        <v>3.7375655380165386E-2</v>
      </c>
      <c r="P1353">
        <v>1.8912455327862635E-2</v>
      </c>
      <c r="Q1353">
        <v>1.2577702806858566E-3</v>
      </c>
      <c r="R1353">
        <v>1.4932319202922829E-3</v>
      </c>
      <c r="S1353">
        <v>0.22096428016352479</v>
      </c>
      <c r="T1353">
        <v>3.9594210955902138</v>
      </c>
      <c r="U1353">
        <v>0</v>
      </c>
      <c r="V1353">
        <v>9.4523053561132026E-3</v>
      </c>
      <c r="W1353">
        <v>7.5489147497390857E-2</v>
      </c>
      <c r="X1353">
        <v>1.0206524882447955E-2</v>
      </c>
      <c r="Y1353">
        <v>4.2199874096100652E-3</v>
      </c>
    </row>
    <row r="1354" spans="1:25" x14ac:dyDescent="0.25">
      <c r="A1354" s="1090"/>
      <c r="B1354" s="1448">
        <v>1104</v>
      </c>
      <c r="C1354" s="1094">
        <v>0.99972998289171811</v>
      </c>
      <c r="D1354" s="1094">
        <v>0.97922148029387446</v>
      </c>
      <c r="E1354" s="1094">
        <v>1.0080444751661648</v>
      </c>
      <c r="F1354" s="1094">
        <v>0.96851686111975088</v>
      </c>
      <c r="G1354" s="1094">
        <v>1.0137625157974959</v>
      </c>
      <c r="H1354" s="1094">
        <v>0.97400927943392301</v>
      </c>
      <c r="I1354" s="1094">
        <v>1.0154557824397445</v>
      </c>
      <c r="K1354">
        <v>4.3449473901301339</v>
      </c>
      <c r="L1354">
        <v>0</v>
      </c>
      <c r="M1354">
        <v>1.3688121516756326E-3</v>
      </c>
      <c r="N1354">
        <v>0.12128590915555668</v>
      </c>
      <c r="O1354">
        <v>3.745262025722082E-2</v>
      </c>
      <c r="P1354">
        <v>1.8669907110154454E-2</v>
      </c>
      <c r="Q1354">
        <v>1.3240093681720932E-3</v>
      </c>
      <c r="R1354">
        <v>1.3628611194338456E-3</v>
      </c>
      <c r="S1354">
        <v>0.22950907442224905</v>
      </c>
      <c r="T1354">
        <v>3.8408485412897075</v>
      </c>
      <c r="U1354">
        <v>0</v>
      </c>
      <c r="V1354">
        <v>9.4523053561132026E-3</v>
      </c>
      <c r="W1354">
        <v>7.1854268500438537E-2</v>
      </c>
      <c r="X1354">
        <v>1.0705156129712458E-2</v>
      </c>
      <c r="Y1354">
        <v>3.8515495730443304E-3</v>
      </c>
    </row>
    <row r="1355" spans="1:25" x14ac:dyDescent="0.25">
      <c r="A1355" s="1090"/>
      <c r="B1355" s="1448">
        <v>1105</v>
      </c>
      <c r="C1355" s="1094">
        <v>1.0075374247717799</v>
      </c>
      <c r="D1355" s="1094">
        <v>1.0134098667155831</v>
      </c>
      <c r="E1355" s="1094">
        <v>1.0314079026474077</v>
      </c>
      <c r="F1355" s="1094">
        <v>0.97664672324650992</v>
      </c>
      <c r="G1355" s="1094">
        <v>1.0050571741369729</v>
      </c>
      <c r="H1355" s="1094">
        <v>1.0051503478275075</v>
      </c>
      <c r="I1355" s="1094">
        <v>0.9904845676901024</v>
      </c>
      <c r="K1355">
        <v>4.3766384348038692</v>
      </c>
      <c r="L1355">
        <v>0</v>
      </c>
      <c r="M1355">
        <v>1.3269491479600383E-3</v>
      </c>
      <c r="N1355">
        <v>0.12601287482764539</v>
      </c>
      <c r="O1355">
        <v>3.6808324276902026E-2</v>
      </c>
      <c r="P1355">
        <v>1.9109161411927648E-2</v>
      </c>
      <c r="Q1355">
        <v>1.3217177286487748E-3</v>
      </c>
      <c r="R1355">
        <v>1.3214051916905709E-3</v>
      </c>
      <c r="S1355">
        <v>0.22328447372152968</v>
      </c>
      <c r="T1355">
        <v>3.8722286354521525</v>
      </c>
      <c r="U1355">
        <v>0</v>
      </c>
      <c r="V1355">
        <v>9.4523053561131973E-3</v>
      </c>
      <c r="W1355">
        <v>7.3500479154719439E-2</v>
      </c>
      <c r="X1355">
        <v>1.1191614874263824E-2</v>
      </c>
      <c r="Y1355">
        <v>3.7343919562314765E-3</v>
      </c>
    </row>
    <row r="1356" spans="1:25" x14ac:dyDescent="0.25">
      <c r="A1356" s="1090"/>
      <c r="B1356" s="1448">
        <v>1106</v>
      </c>
      <c r="C1356" s="1094">
        <v>0.99491436046185</v>
      </c>
      <c r="D1356" s="1094">
        <v>0.99768455324361949</v>
      </c>
      <c r="E1356" s="1094">
        <v>1.000634136071936</v>
      </c>
      <c r="F1356" s="1094">
        <v>1.0066070757163896</v>
      </c>
      <c r="G1356" s="1094">
        <v>1.0129208231201972</v>
      </c>
      <c r="H1356" s="1094">
        <v>1.0348374936335323</v>
      </c>
      <c r="I1356" s="1094">
        <v>1.003123363803615</v>
      </c>
      <c r="K1356">
        <v>4.5250708142124489</v>
      </c>
      <c r="L1356">
        <v>0</v>
      </c>
      <c r="M1356">
        <v>1.5309823793405429E-3</v>
      </c>
      <c r="N1356">
        <v>0.13276476722957425</v>
      </c>
      <c r="O1356">
        <v>3.8874382062122591E-2</v>
      </c>
      <c r="P1356">
        <v>1.9290885809138462E-2</v>
      </c>
      <c r="Q1356">
        <v>1.3121775135173702E-3</v>
      </c>
      <c r="R1356">
        <v>1.524953641688122E-3</v>
      </c>
      <c r="S1356">
        <v>0.23712259465173327</v>
      </c>
      <c r="T1356">
        <v>3.9921864063138499</v>
      </c>
      <c r="U1356">
        <v>0</v>
      </c>
      <c r="V1356">
        <v>9.4523053561131852E-3</v>
      </c>
      <c r="W1356">
        <v>7.9048533965698387E-2</v>
      </c>
      <c r="X1356">
        <v>1.071515463224015E-2</v>
      </c>
      <c r="Y1356">
        <v>4.3096354161135672E-3</v>
      </c>
    </row>
    <row r="1357" spans="1:25" x14ac:dyDescent="0.25">
      <c r="A1357" s="1090"/>
      <c r="B1357" s="1448">
        <v>1107</v>
      </c>
      <c r="C1357" s="1094">
        <v>1.024730708485784</v>
      </c>
      <c r="D1357" s="1094">
        <v>1.0034704783550865</v>
      </c>
      <c r="E1357" s="1094">
        <v>1.0386580446603817</v>
      </c>
      <c r="F1357" s="1094">
        <v>0.9721837108272825</v>
      </c>
      <c r="G1357" s="1094">
        <v>1.0240455530465913</v>
      </c>
      <c r="H1357" s="1094">
        <v>1.0330867544210833</v>
      </c>
      <c r="I1357" s="1094">
        <v>0.98413764687215166</v>
      </c>
      <c r="K1357">
        <v>4.3576522968966636</v>
      </c>
      <c r="L1357">
        <v>0</v>
      </c>
      <c r="M1357">
        <v>1.319704926887464E-3</v>
      </c>
      <c r="N1357">
        <v>0.12805129296837173</v>
      </c>
      <c r="O1357">
        <v>3.612028010049214E-2</v>
      </c>
      <c r="P1357">
        <v>1.9110535023849406E-2</v>
      </c>
      <c r="Q1357">
        <v>1.3126278557472411E-3</v>
      </c>
      <c r="R1357">
        <v>1.3143158128622332E-3</v>
      </c>
      <c r="S1357">
        <v>0.22009189288991779</v>
      </c>
      <c r="T1357">
        <v>3.8542698033853933</v>
      </c>
      <c r="U1357">
        <v>0</v>
      </c>
      <c r="V1357">
        <v>9.4523053561131817E-3</v>
      </c>
      <c r="W1357">
        <v>7.4332863785775208E-2</v>
      </c>
      <c r="X1357">
        <v>1.1201727814615953E-2</v>
      </c>
      <c r="Y1357">
        <v>3.7143568304141262E-3</v>
      </c>
    </row>
    <row r="1358" spans="1:25" x14ac:dyDescent="0.25">
      <c r="A1358" s="1090"/>
      <c r="B1358" s="1448">
        <v>1108</v>
      </c>
      <c r="C1358" s="1094">
        <v>1.0134572066871099</v>
      </c>
      <c r="D1358" s="1094">
        <v>1.0138941465206495</v>
      </c>
      <c r="E1358" s="1094">
        <v>1.0161747024494154</v>
      </c>
      <c r="F1358" s="1094">
        <v>0.99780041359778304</v>
      </c>
      <c r="G1358" s="1094">
        <v>0.99604473982139696</v>
      </c>
      <c r="H1358" s="1094">
        <v>1.0070643617831607</v>
      </c>
      <c r="I1358" s="1094">
        <v>1.0148232670707462</v>
      </c>
      <c r="K1358">
        <v>4.4711557257347625</v>
      </c>
      <c r="L1358">
        <v>0</v>
      </c>
      <c r="M1358">
        <v>1.3941305640297885E-3</v>
      </c>
      <c r="N1358">
        <v>0.12657221188580747</v>
      </c>
      <c r="O1358">
        <v>3.7481530616846975E-2</v>
      </c>
      <c r="P1358">
        <v>1.9321580649092791E-2</v>
      </c>
      <c r="Q1358">
        <v>1.2969600307975431E-3</v>
      </c>
      <c r="R1358">
        <v>1.3884397387860894E-3</v>
      </c>
      <c r="S1358">
        <v>0.23086203955401113</v>
      </c>
      <c r="T1358">
        <v>3.9566712711762411</v>
      </c>
      <c r="U1358">
        <v>0</v>
      </c>
      <c r="V1358">
        <v>9.4523053561131869E-3</v>
      </c>
      <c r="W1358">
        <v>7.4578498541309282E-2</v>
      </c>
      <c r="X1358">
        <v>1.1001182045615872E-2</v>
      </c>
      <c r="Y1358">
        <v>3.9238367041689775E-3</v>
      </c>
    </row>
    <row r="1359" spans="1:25" x14ac:dyDescent="0.25">
      <c r="A1359" s="1090"/>
      <c r="B1359" s="1448">
        <v>1109</v>
      </c>
      <c r="C1359" s="1094">
        <v>0.99548828129290301</v>
      </c>
      <c r="D1359" s="1094">
        <v>1.0304817220777873</v>
      </c>
      <c r="E1359" s="1094">
        <v>0.99216221143728978</v>
      </c>
      <c r="F1359" s="1094">
        <v>1.0066407678186817</v>
      </c>
      <c r="G1359" s="1094">
        <v>1.0227904119282045</v>
      </c>
      <c r="H1359" s="1094">
        <v>0.9955795313122372</v>
      </c>
      <c r="I1359" s="1094">
        <v>0.97840404783383017</v>
      </c>
      <c r="K1359">
        <v>4.5016114169413219</v>
      </c>
      <c r="L1359">
        <v>0</v>
      </c>
      <c r="M1359">
        <v>1.4793238035523649E-3</v>
      </c>
      <c r="N1359">
        <v>0.12508455094852503</v>
      </c>
      <c r="O1359">
        <v>3.8411918059477176E-2</v>
      </c>
      <c r="P1359">
        <v>1.9120864485908155E-2</v>
      </c>
      <c r="Q1359">
        <v>1.2851765556238695E-3</v>
      </c>
      <c r="R1359">
        <v>1.4732689846483835E-3</v>
      </c>
      <c r="S1359">
        <v>0.22600163077514257</v>
      </c>
      <c r="T1359">
        <v>3.9926453611443131</v>
      </c>
      <c r="U1359">
        <v>0</v>
      </c>
      <c r="V1359">
        <v>9.4523053561132043E-3</v>
      </c>
      <c r="W1359">
        <v>7.4904429142756426E-2</v>
      </c>
      <c r="X1359">
        <v>1.0547664662979357E-2</v>
      </c>
      <c r="Y1359">
        <v>4.1635706293823675E-3</v>
      </c>
    </row>
    <row r="1360" spans="1:25" x14ac:dyDescent="0.25">
      <c r="A1360" s="1090"/>
      <c r="B1360" s="1448">
        <v>1110</v>
      </c>
      <c r="C1360" s="1094">
        <v>1.0312994712342283</v>
      </c>
      <c r="D1360" s="1094">
        <v>1.0308218620807661</v>
      </c>
      <c r="E1360" s="1094">
        <v>0.99029635118316928</v>
      </c>
      <c r="F1360" s="1094">
        <v>1.0020869023673413</v>
      </c>
      <c r="G1360" s="1094">
        <v>1.0006701637526239</v>
      </c>
      <c r="H1360" s="1094">
        <v>0.99720604232259513</v>
      </c>
      <c r="I1360" s="1094">
        <v>0.99737858395020718</v>
      </c>
      <c r="K1360">
        <v>4.4696224940789646</v>
      </c>
      <c r="L1360">
        <v>0</v>
      </c>
      <c r="M1360">
        <v>1.4292536265203143E-3</v>
      </c>
      <c r="N1360">
        <v>0.12018272050460808</v>
      </c>
      <c r="O1360">
        <v>3.6917763516224111E-2</v>
      </c>
      <c r="P1360">
        <v>1.8993844470169136E-2</v>
      </c>
      <c r="Q1360">
        <v>1.2383928891290734E-3</v>
      </c>
      <c r="R1360">
        <v>1.4233868524975203E-3</v>
      </c>
      <c r="S1360">
        <v>0.22179549546662733</v>
      </c>
      <c r="T1360">
        <v>3.9746548441454221</v>
      </c>
      <c r="U1360">
        <v>0</v>
      </c>
      <c r="V1360">
        <v>9.4523053561131921E-3</v>
      </c>
      <c r="W1360">
        <v>7.2060423670644372E-2</v>
      </c>
      <c r="X1360">
        <v>1.0309970918445046E-2</v>
      </c>
      <c r="Y1360">
        <v>4.0225999156033969E-3</v>
      </c>
    </row>
    <row r="1361" spans="1:25" x14ac:dyDescent="0.25">
      <c r="A1361" s="1090"/>
      <c r="B1361" s="1448">
        <v>1111</v>
      </c>
      <c r="C1361" s="1094">
        <v>0.99518529424614388</v>
      </c>
      <c r="D1361" s="1094">
        <v>0.9898324387388262</v>
      </c>
      <c r="E1361" s="1094">
        <v>1.0217220569166559</v>
      </c>
      <c r="F1361" s="1094">
        <v>1.0034377529104108</v>
      </c>
      <c r="G1361" s="1094">
        <v>0.96430064483412314</v>
      </c>
      <c r="H1361" s="1094">
        <v>0.9841309164771822</v>
      </c>
      <c r="I1361" s="1094">
        <v>1.0220978441807826</v>
      </c>
      <c r="K1361">
        <v>4.5047116544060133</v>
      </c>
      <c r="L1361">
        <v>0</v>
      </c>
      <c r="M1361">
        <v>1.3922633462308779E-3</v>
      </c>
      <c r="N1361">
        <v>0.12848527027508097</v>
      </c>
      <c r="O1361">
        <v>3.8717238466758744E-2</v>
      </c>
      <c r="P1361">
        <v>1.9533918959411683E-2</v>
      </c>
      <c r="Q1361">
        <v>1.3398015645646245E-3</v>
      </c>
      <c r="R1361">
        <v>1.3864802447216111E-3</v>
      </c>
      <c r="S1361">
        <v>0.23762860948789782</v>
      </c>
      <c r="T1361">
        <v>3.9788155360390838</v>
      </c>
      <c r="U1361">
        <v>0</v>
      </c>
      <c r="V1361">
        <v>9.4523053561131991E-3</v>
      </c>
      <c r="W1361">
        <v>7.542599579261007E-2</v>
      </c>
      <c r="X1361">
        <v>1.1400462541652152E-2</v>
      </c>
      <c r="Y1361">
        <v>3.9182990243424674E-3</v>
      </c>
    </row>
    <row r="1362" spans="1:25" x14ac:dyDescent="0.25">
      <c r="A1362" s="1090"/>
      <c r="B1362" s="1448">
        <v>1112</v>
      </c>
      <c r="C1362" s="1094">
        <v>0.96066594732936161</v>
      </c>
      <c r="D1362" s="1094">
        <v>1.0107291802059608</v>
      </c>
      <c r="E1362" s="1094">
        <v>0.98675032609457858</v>
      </c>
      <c r="F1362" s="1094">
        <v>1.0183564676796371</v>
      </c>
      <c r="G1362" s="1094">
        <v>1.0079028220587709</v>
      </c>
      <c r="H1362" s="1094">
        <v>0.97593209793983826</v>
      </c>
      <c r="I1362" s="1094">
        <v>1.0039489177359227</v>
      </c>
      <c r="K1362">
        <v>4.5736448370540748</v>
      </c>
      <c r="L1362">
        <v>0</v>
      </c>
      <c r="M1362">
        <v>1.5494563244455876E-3</v>
      </c>
      <c r="N1362">
        <v>0.12892443837600207</v>
      </c>
      <c r="O1362">
        <v>4.0619642528548001E-2</v>
      </c>
      <c r="P1362">
        <v>1.9325622628009992E-2</v>
      </c>
      <c r="Q1362">
        <v>1.3358596894382589E-3</v>
      </c>
      <c r="R1362">
        <v>1.5430609105281398E-3</v>
      </c>
      <c r="S1362">
        <v>0.24203305956300963</v>
      </c>
      <c r="T1362">
        <v>4.039324365851078</v>
      </c>
      <c r="U1362">
        <v>0</v>
      </c>
      <c r="V1362">
        <v>9.4523053561131904E-3</v>
      </c>
      <c r="W1362">
        <v>7.7488818126705244E-2</v>
      </c>
      <c r="X1362">
        <v>1.0786312408806205E-2</v>
      </c>
      <c r="Y1362">
        <v>4.3608079402800374E-3</v>
      </c>
    </row>
    <row r="1363" spans="1:25" x14ac:dyDescent="0.25">
      <c r="A1363" s="1090"/>
      <c r="B1363" s="1448">
        <v>1113</v>
      </c>
      <c r="C1363" s="1094">
        <v>1.0203039654597075</v>
      </c>
      <c r="D1363" s="1094">
        <v>0.98791699273221678</v>
      </c>
      <c r="E1363" s="1094">
        <v>0.99269081536128712</v>
      </c>
      <c r="F1363" s="1094">
        <v>1.0290166782136021</v>
      </c>
      <c r="G1363" s="1094">
        <v>0.99291258743941602</v>
      </c>
      <c r="H1363" s="1094">
        <v>0.98363399606200608</v>
      </c>
      <c r="I1363" s="1094">
        <v>0.99953662046179659</v>
      </c>
      <c r="K1363">
        <v>4.5966937994320345</v>
      </c>
      <c r="L1363">
        <v>0</v>
      </c>
      <c r="M1363">
        <v>1.4807503891082639E-3</v>
      </c>
      <c r="N1363">
        <v>0.12540657948771394</v>
      </c>
      <c r="O1363">
        <v>3.8958968781463932E-2</v>
      </c>
      <c r="P1363">
        <v>1.9550899343135111E-2</v>
      </c>
      <c r="Q1363">
        <v>1.2758364526179126E-3</v>
      </c>
      <c r="R1363">
        <v>1.4747489862383654E-3</v>
      </c>
      <c r="S1363">
        <v>0.23064987593445116</v>
      </c>
      <c r="T1363">
        <v>4.0813742793014729</v>
      </c>
      <c r="U1363">
        <v>0</v>
      </c>
      <c r="V1363">
        <v>9.4523053561131852E-3</v>
      </c>
      <c r="W1363">
        <v>7.5070306112850455E-2</v>
      </c>
      <c r="X1363">
        <v>1.0792996838218724E-2</v>
      </c>
      <c r="Y1363">
        <v>4.1677532268684335E-3</v>
      </c>
    </row>
    <row r="1364" spans="1:25" x14ac:dyDescent="0.25">
      <c r="A1364" s="1090"/>
      <c r="B1364" s="1448">
        <v>1114</v>
      </c>
      <c r="C1364" s="1094">
        <v>0.97512674040761782</v>
      </c>
      <c r="D1364" s="1094">
        <v>0.99574771462691591</v>
      </c>
      <c r="E1364" s="1094">
        <v>1.0427591170895634</v>
      </c>
      <c r="F1364" s="1094">
        <v>0.98035996718316853</v>
      </c>
      <c r="G1364" s="1094">
        <v>1.0358628272039285</v>
      </c>
      <c r="H1364" s="1094">
        <v>0.97448404944257616</v>
      </c>
      <c r="I1364" s="1094">
        <v>0.99027282832977681</v>
      </c>
      <c r="K1364">
        <v>4.4041413605620905</v>
      </c>
      <c r="L1364">
        <v>0</v>
      </c>
      <c r="M1364">
        <v>1.3117579379603114E-3</v>
      </c>
      <c r="N1364">
        <v>0.12880442978965692</v>
      </c>
      <c r="O1364">
        <v>3.8366880919968704E-2</v>
      </c>
      <c r="P1364">
        <v>1.9365715916750049E-2</v>
      </c>
      <c r="Q1364">
        <v>1.388417177040856E-3</v>
      </c>
      <c r="R1364">
        <v>1.3061263049485058E-3</v>
      </c>
      <c r="S1364">
        <v>0.23017419462394084</v>
      </c>
      <c r="T1364">
        <v>3.886534930887489</v>
      </c>
      <c r="U1364">
        <v>0</v>
      </c>
      <c r="V1364">
        <v>9.4523053561131869E-3</v>
      </c>
      <c r="W1364">
        <v>7.4568695131594351E-2</v>
      </c>
      <c r="X1364">
        <v>1.1800209736735736E-2</v>
      </c>
      <c r="Y1364">
        <v>3.6912126558105818E-3</v>
      </c>
    </row>
    <row r="1365" spans="1:25" x14ac:dyDescent="0.25">
      <c r="A1365" s="1090"/>
      <c r="B1365" s="1448">
        <v>1115</v>
      </c>
      <c r="C1365" s="1094">
        <v>1.0069786871269846</v>
      </c>
      <c r="D1365" s="1094">
        <v>1.0078515773235046</v>
      </c>
      <c r="E1365" s="1094">
        <v>0.98026540571048204</v>
      </c>
      <c r="F1365" s="1094">
        <v>0.96020665911911951</v>
      </c>
      <c r="G1365" s="1094">
        <v>1.0104508485552799</v>
      </c>
      <c r="H1365" s="1094">
        <v>1.0102895463625219</v>
      </c>
      <c r="I1365" s="1094">
        <v>0.97722494905674551</v>
      </c>
      <c r="K1365">
        <v>4.2985574343626114</v>
      </c>
      <c r="L1365">
        <v>0</v>
      </c>
      <c r="M1365">
        <v>1.4646693522488031E-3</v>
      </c>
      <c r="N1365">
        <v>0.11953549156760135</v>
      </c>
      <c r="O1365">
        <v>3.6622605091142887E-2</v>
      </c>
      <c r="P1365">
        <v>1.8093566556701021E-2</v>
      </c>
      <c r="Q1365">
        <v>1.2687294808773047E-3</v>
      </c>
      <c r="R1365">
        <v>1.4584773395715988E-3</v>
      </c>
      <c r="S1365">
        <v>0.21865065194018299</v>
      </c>
      <c r="T1365">
        <v>3.8089114164699156</v>
      </c>
      <c r="U1365">
        <v>0</v>
      </c>
      <c r="V1365">
        <v>9.4523053561132043E-3</v>
      </c>
      <c r="W1365">
        <v>7.2164837181013575E-2</v>
      </c>
      <c r="X1365">
        <v>9.7422544206268221E-3</v>
      </c>
      <c r="Y1365">
        <v>4.1217683111066964E-3</v>
      </c>
    </row>
    <row r="1366" spans="1:25" x14ac:dyDescent="0.25">
      <c r="A1366" s="1090"/>
      <c r="B1366" s="1448">
        <v>1116</v>
      </c>
      <c r="C1366" s="1094">
        <v>1.0176845700090726</v>
      </c>
      <c r="D1366" s="1094">
        <v>0.99621900081638326</v>
      </c>
      <c r="E1366" s="1094">
        <v>0.99507174171965884</v>
      </c>
      <c r="F1366" s="1094">
        <v>0.97170394888873346</v>
      </c>
      <c r="G1366" s="1094">
        <v>1.0345754103778486</v>
      </c>
      <c r="H1366" s="1094">
        <v>1.0200895853720549</v>
      </c>
      <c r="I1366" s="1094">
        <v>1.0035138578427376</v>
      </c>
      <c r="K1366">
        <v>4.3561517715675384</v>
      </c>
      <c r="L1366">
        <v>0</v>
      </c>
      <c r="M1366">
        <v>1.4420735984990306E-3</v>
      </c>
      <c r="N1366">
        <v>0.12298555985934306</v>
      </c>
      <c r="O1366">
        <v>3.6744902324982398E-2</v>
      </c>
      <c r="P1366">
        <v>1.8531656750518558E-2</v>
      </c>
      <c r="Q1366">
        <v>1.2774599533660418E-3</v>
      </c>
      <c r="R1366">
        <v>1.4361068201112388E-3</v>
      </c>
      <c r="S1366">
        <v>0.22546422806070862</v>
      </c>
      <c r="T1366">
        <v>3.8539672468208126</v>
      </c>
      <c r="U1366">
        <v>0</v>
      </c>
      <c r="V1366">
        <v>9.4523053561131904E-3</v>
      </c>
      <c r="W1366">
        <v>7.3502177853587605E-2</v>
      </c>
      <c r="X1366">
        <v>1.0173653851289301E-2</v>
      </c>
      <c r="Y1366">
        <v>4.0585475152033531E-3</v>
      </c>
    </row>
    <row r="1367" spans="1:25" x14ac:dyDescent="0.25">
      <c r="A1367" s="1090"/>
      <c r="B1367" s="1448">
        <v>1117</v>
      </c>
      <c r="C1367" s="1094">
        <v>1.013603992154136</v>
      </c>
      <c r="D1367" s="1094">
        <v>1.0217478375116131</v>
      </c>
      <c r="E1367" s="1094">
        <v>0.99038646275293141</v>
      </c>
      <c r="F1367" s="1094">
        <v>1.0128688622638276</v>
      </c>
      <c r="G1367" s="1094">
        <v>0.99633411602647504</v>
      </c>
      <c r="H1367" s="1094">
        <v>1.0245645162821158</v>
      </c>
      <c r="I1367" s="1094">
        <v>1.0002920959244246</v>
      </c>
      <c r="K1367">
        <v>4.5346602355983805</v>
      </c>
      <c r="L1367">
        <v>0</v>
      </c>
      <c r="M1367">
        <v>1.5151749138731707E-3</v>
      </c>
      <c r="N1367">
        <v>0.12746114098081726</v>
      </c>
      <c r="O1367">
        <v>3.8100325141511494E-2</v>
      </c>
      <c r="P1367">
        <v>1.9228197076303973E-2</v>
      </c>
      <c r="Q1367">
        <v>1.2645751303488645E-3</v>
      </c>
      <c r="R1367">
        <v>1.50918570431778E-3</v>
      </c>
      <c r="S1367">
        <v>0.23063858604311363</v>
      </c>
      <c r="T1367">
        <v>4.0174166741341377</v>
      </c>
      <c r="U1367">
        <v>0</v>
      </c>
      <c r="V1367">
        <v>9.4523053561132026E-3</v>
      </c>
      <c r="W1367">
        <v>7.6419810756323953E-2</v>
      </c>
      <c r="X1367">
        <v>1.0419536167979136E-2</v>
      </c>
      <c r="Y1367">
        <v>4.2650740212799099E-3</v>
      </c>
    </row>
    <row r="1368" spans="1:25" x14ac:dyDescent="0.25">
      <c r="A1368" s="1090"/>
      <c r="B1368" s="1448">
        <v>1118</v>
      </c>
      <c r="C1368" s="1094">
        <v>0.98544197496725061</v>
      </c>
      <c r="D1368" s="1094">
        <v>0.9616113084754293</v>
      </c>
      <c r="E1368" s="1094">
        <v>0.9788594151383504</v>
      </c>
      <c r="F1368" s="1094">
        <v>0.97088330780489795</v>
      </c>
      <c r="G1368" s="1094">
        <v>1.0118888357793636</v>
      </c>
      <c r="H1368" s="1094">
        <v>1.0302033729731048</v>
      </c>
      <c r="I1368" s="1094">
        <v>0.99254272460135262</v>
      </c>
      <c r="K1368">
        <v>4.3724379381561</v>
      </c>
      <c r="L1368">
        <v>0</v>
      </c>
      <c r="M1368">
        <v>1.5769881997440987E-3</v>
      </c>
      <c r="N1368">
        <v>0.12818263327576632</v>
      </c>
      <c r="O1368">
        <v>3.8566303849778341E-2</v>
      </c>
      <c r="P1368">
        <v>1.8330489640465079E-2</v>
      </c>
      <c r="Q1368">
        <v>1.3194315991290691E-3</v>
      </c>
      <c r="R1368">
        <v>1.5705218132933765E-3</v>
      </c>
      <c r="S1368">
        <v>0.23347476720690929</v>
      </c>
      <c r="T1368">
        <v>3.8513156429606124</v>
      </c>
      <c r="U1368">
        <v>0</v>
      </c>
      <c r="V1368">
        <v>9.4523053561131939E-3</v>
      </c>
      <c r="W1368">
        <v>7.7459810342414684E-2</v>
      </c>
      <c r="X1368">
        <v>9.9046057633256704E-3</v>
      </c>
      <c r="Y1368">
        <v>4.4384145480353418E-3</v>
      </c>
    </row>
    <row r="1369" spans="1:25" x14ac:dyDescent="0.25">
      <c r="A1369" s="1090"/>
      <c r="B1369" s="1448">
        <v>1119</v>
      </c>
      <c r="C1369" s="1094">
        <v>0.97197883809172836</v>
      </c>
      <c r="D1369" s="1094">
        <v>0.99359581344272963</v>
      </c>
      <c r="E1369" s="1094">
        <v>1.0276375895628878</v>
      </c>
      <c r="F1369" s="1094">
        <v>0.99013813358402392</v>
      </c>
      <c r="G1369" s="1094">
        <v>1.0485626762538389</v>
      </c>
      <c r="H1369" s="1094">
        <v>0.98944818891056496</v>
      </c>
      <c r="I1369" s="1094">
        <v>1.0121122112978247</v>
      </c>
      <c r="K1369">
        <v>4.4569716004409008</v>
      </c>
      <c r="L1369">
        <v>0</v>
      </c>
      <c r="M1369">
        <v>1.3945947819344064E-3</v>
      </c>
      <c r="N1369">
        <v>0.13096758828543845</v>
      </c>
      <c r="O1369">
        <v>3.9015258794518913E-2</v>
      </c>
      <c r="P1369">
        <v>1.937847309883875E-2</v>
      </c>
      <c r="Q1369">
        <v>1.3765625692715236E-3</v>
      </c>
      <c r="R1369">
        <v>1.3887560560948416E-3</v>
      </c>
      <c r="S1369">
        <v>0.23891441074404357</v>
      </c>
      <c r="T1369">
        <v>3.9258597507850874</v>
      </c>
      <c r="U1369">
        <v>0</v>
      </c>
      <c r="V1369">
        <v>9.4523053561131817E-3</v>
      </c>
      <c r="W1369">
        <v>7.6581506908591765E-2</v>
      </c>
      <c r="X1369">
        <v>1.1506851983805248E-2</v>
      </c>
      <c r="Y1369">
        <v>3.9247306410331957E-3</v>
      </c>
    </row>
    <row r="1370" spans="1:25" x14ac:dyDescent="0.25">
      <c r="A1370" s="1090"/>
      <c r="B1370" s="1448">
        <v>1120</v>
      </c>
      <c r="C1370" s="1094">
        <v>1.0156927715353194</v>
      </c>
      <c r="D1370" s="1094">
        <v>1.0327756243265633</v>
      </c>
      <c r="E1370" s="1094">
        <v>1.0236006609590851</v>
      </c>
      <c r="F1370" s="1094">
        <v>1.0018345986182113</v>
      </c>
      <c r="G1370" s="1094">
        <v>1.0131379353501977</v>
      </c>
      <c r="H1370" s="1094">
        <v>0.98600674910196173</v>
      </c>
      <c r="I1370" s="1094">
        <v>1.0010784132067458</v>
      </c>
      <c r="K1370">
        <v>4.4765784139493094</v>
      </c>
      <c r="L1370">
        <v>0</v>
      </c>
      <c r="M1370">
        <v>1.3362773407967915E-3</v>
      </c>
      <c r="N1370">
        <v>0.12400593047972813</v>
      </c>
      <c r="O1370">
        <v>3.7224326014887836E-2</v>
      </c>
      <c r="P1370">
        <v>1.9472736164908713E-2</v>
      </c>
      <c r="Q1370">
        <v>1.2926876099553931E-3</v>
      </c>
      <c r="R1370">
        <v>1.3307285214291663E-3</v>
      </c>
      <c r="S1370">
        <v>0.22504530739944753</v>
      </c>
      <c r="T1370">
        <v>3.9723878609579066</v>
      </c>
      <c r="U1370">
        <v>0</v>
      </c>
      <c r="V1370">
        <v>9.4523053561131869E-3</v>
      </c>
      <c r="W1370">
        <v>7.2705477648361855E-2</v>
      </c>
      <c r="X1370">
        <v>1.1236590739494722E-2</v>
      </c>
      <c r="Y1370">
        <v>3.7607403978753011E-3</v>
      </c>
    </row>
    <row r="1371" spans="1:25" x14ac:dyDescent="0.25">
      <c r="A1371" s="1090"/>
      <c r="B1371" s="1448">
        <v>1121</v>
      </c>
      <c r="C1371" s="1094">
        <v>1.0105836545839708</v>
      </c>
      <c r="D1371" s="1094">
        <v>0.99982330032227917</v>
      </c>
      <c r="E1371" s="1094">
        <v>1.0195850383092888</v>
      </c>
      <c r="F1371" s="1094">
        <v>0.99581165950356776</v>
      </c>
      <c r="G1371" s="1094">
        <v>1.0011002615618034</v>
      </c>
      <c r="H1371" s="1094">
        <v>1.0229730067909848</v>
      </c>
      <c r="I1371" s="1094">
        <v>0.97283393650741823</v>
      </c>
      <c r="K1371">
        <v>4.4612675513905407</v>
      </c>
      <c r="L1371">
        <v>0</v>
      </c>
      <c r="M1371">
        <v>1.4150792883838453E-3</v>
      </c>
      <c r="N1371">
        <v>0.12978440260707086</v>
      </c>
      <c r="O1371">
        <v>3.7700342773987837E-2</v>
      </c>
      <c r="P1371">
        <v>1.9300088603626083E-2</v>
      </c>
      <c r="Q1371">
        <v>1.3117240743899632E-3</v>
      </c>
      <c r="R1371">
        <v>1.4093814708704821E-3</v>
      </c>
      <c r="S1371">
        <v>0.22373554456527378</v>
      </c>
      <c r="T1371">
        <v>3.9486568882606967</v>
      </c>
      <c r="U1371">
        <v>0</v>
      </c>
      <c r="V1371">
        <v>9.452305356113206E-3</v>
      </c>
      <c r="W1371">
        <v>7.6297231864129886E-2</v>
      </c>
      <c r="X1371">
        <v>1.1051701464894155E-2</v>
      </c>
      <c r="Y1371">
        <v>3.983019637865081E-3</v>
      </c>
    </row>
    <row r="1372" spans="1:25" x14ac:dyDescent="0.25">
      <c r="A1372" s="1090"/>
      <c r="B1372" s="1448">
        <v>1122</v>
      </c>
      <c r="C1372" s="1094">
        <v>1.0380897027812761</v>
      </c>
      <c r="D1372" s="1094">
        <v>0.99656156455953626</v>
      </c>
      <c r="E1372" s="1094">
        <v>0.98247701442256363</v>
      </c>
      <c r="F1372" s="1094">
        <v>0.99899994470032782</v>
      </c>
      <c r="G1372" s="1094">
        <v>1.0364226529587499</v>
      </c>
      <c r="H1372" s="1094">
        <v>1.0010907430846558</v>
      </c>
      <c r="I1372" s="1094">
        <v>0.96961144328143911</v>
      </c>
      <c r="K1372">
        <v>4.4525731136031474</v>
      </c>
      <c r="L1372">
        <v>0</v>
      </c>
      <c r="M1372">
        <v>1.4642709483695666E-3</v>
      </c>
      <c r="N1372">
        <v>0.12030496892115509</v>
      </c>
      <c r="O1372">
        <v>3.7112625699732324E-2</v>
      </c>
      <c r="P1372">
        <v>1.8803486403396536E-2</v>
      </c>
      <c r="Q1372">
        <v>1.2386380283953571E-3</v>
      </c>
      <c r="R1372">
        <v>1.4582653347517355E-3</v>
      </c>
      <c r="S1372">
        <v>0.21622331151320337</v>
      </c>
      <c r="T1372">
        <v>3.9627102520731468</v>
      </c>
      <c r="U1372">
        <v>0</v>
      </c>
      <c r="V1372">
        <v>9.4523053561132026E-3</v>
      </c>
      <c r="W1372">
        <v>7.2519513582844086E-2</v>
      </c>
      <c r="X1372">
        <v>1.0092848469473011E-2</v>
      </c>
      <c r="Y1372">
        <v>4.1211691692999595E-3</v>
      </c>
    </row>
    <row r="1373" spans="1:25" x14ac:dyDescent="0.25">
      <c r="A1373" s="1090"/>
      <c r="B1373" s="1448">
        <v>1123</v>
      </c>
      <c r="C1373" s="1094">
        <v>1.0056922323267787</v>
      </c>
      <c r="D1373" s="1094">
        <v>1.001727847211221</v>
      </c>
      <c r="E1373" s="1094">
        <v>0.99328105863489879</v>
      </c>
      <c r="F1373" s="1094">
        <v>0.99705790589976373</v>
      </c>
      <c r="G1373" s="1094">
        <v>1.0025595257984752</v>
      </c>
      <c r="H1373" s="1094">
        <v>0.98173935774072196</v>
      </c>
      <c r="I1373" s="1094">
        <v>0.97914871875212306</v>
      </c>
      <c r="K1373">
        <v>4.4559349251009275</v>
      </c>
      <c r="L1373">
        <v>0</v>
      </c>
      <c r="M1373">
        <v>1.4431501023075947E-3</v>
      </c>
      <c r="N1373">
        <v>0.12241931673856399</v>
      </c>
      <c r="O1373">
        <v>3.8081359688441091E-2</v>
      </c>
      <c r="P1373">
        <v>1.8952520404019159E-2</v>
      </c>
      <c r="Q1373">
        <v>1.2878593725564416E-3</v>
      </c>
      <c r="R1373">
        <v>1.4371027356769816E-3</v>
      </c>
      <c r="S1373">
        <v>0.22331205788081351</v>
      </c>
      <c r="T1373">
        <v>3.9545941655421397</v>
      </c>
      <c r="U1373">
        <v>0</v>
      </c>
      <c r="V1373">
        <v>9.4523053561131991E-3</v>
      </c>
      <c r="W1373">
        <v>7.3252716574905008E-2</v>
      </c>
      <c r="X1373">
        <v>1.0527308861373997E-2</v>
      </c>
      <c r="Y1373">
        <v>4.0613620486266988E-3</v>
      </c>
    </row>
    <row r="1374" spans="1:25" x14ac:dyDescent="0.25">
      <c r="A1374" s="1090"/>
      <c r="B1374" s="1448">
        <v>1124</v>
      </c>
      <c r="C1374" s="1094">
        <v>0.97672137498794487</v>
      </c>
      <c r="D1374" s="1094">
        <v>1.0369248765699572</v>
      </c>
      <c r="E1374" s="1094">
        <v>0.98333754566571485</v>
      </c>
      <c r="F1374" s="1094">
        <v>0.96220106895522417</v>
      </c>
      <c r="G1374" s="1094">
        <v>1.0049493749240743</v>
      </c>
      <c r="H1374" s="1094">
        <v>1.0238269483997626</v>
      </c>
      <c r="I1374" s="1094">
        <v>0.99710073259382415</v>
      </c>
      <c r="K1374">
        <v>4.3253182616467445</v>
      </c>
      <c r="L1374">
        <v>0</v>
      </c>
      <c r="M1374">
        <v>1.5063473006954897E-3</v>
      </c>
      <c r="N1374">
        <v>0.12407065822996359</v>
      </c>
      <c r="O1374">
        <v>3.7387164854539044E-2</v>
      </c>
      <c r="P1374">
        <v>1.821873025890525E-2</v>
      </c>
      <c r="Q1374">
        <v>1.296686944299665E-3</v>
      </c>
      <c r="R1374">
        <v>1.5000762634205013E-3</v>
      </c>
      <c r="S1374">
        <v>0.2293288796543155</v>
      </c>
      <c r="T1374">
        <v>3.8167091983502237</v>
      </c>
      <c r="U1374">
        <v>0</v>
      </c>
      <c r="V1374">
        <v>9.4523053561131939E-3</v>
      </c>
      <c r="W1374">
        <v>7.4745467098814952E-2</v>
      </c>
      <c r="X1374">
        <v>9.8761118910119898E-3</v>
      </c>
      <c r="Y1374">
        <v>4.2393300458312888E-3</v>
      </c>
    </row>
    <row r="1375" spans="1:25" x14ac:dyDescent="0.25">
      <c r="A1375" s="1090"/>
      <c r="B1375" s="1448">
        <v>1125</v>
      </c>
      <c r="C1375" s="1094">
        <v>1.01158192739084</v>
      </c>
      <c r="D1375" s="1094">
        <v>0.97195446394705753</v>
      </c>
      <c r="E1375" s="1094">
        <v>0.9828089406475542</v>
      </c>
      <c r="F1375" s="1094">
        <v>0.9945832819121132</v>
      </c>
      <c r="G1375" s="1094">
        <v>0.99459865824523852</v>
      </c>
      <c r="H1375" s="1094">
        <v>0.96707597671554457</v>
      </c>
      <c r="I1375" s="1094">
        <v>0.97326840703245365</v>
      </c>
      <c r="K1375">
        <v>4.440880217212829</v>
      </c>
      <c r="L1375">
        <v>0</v>
      </c>
      <c r="M1375">
        <v>1.4587019329100229E-3</v>
      </c>
      <c r="N1375">
        <v>0.11994585570891429</v>
      </c>
      <c r="O1375">
        <v>3.8295597679426863E-2</v>
      </c>
      <c r="P1375">
        <v>1.8752165197629286E-2</v>
      </c>
      <c r="Q1375">
        <v>1.2842407176540834E-3</v>
      </c>
      <c r="R1375">
        <v>1.4524813405663742E-3</v>
      </c>
      <c r="S1375">
        <v>0.22127400533174019</v>
      </c>
      <c r="T1375">
        <v>3.9451780986310592</v>
      </c>
      <c r="U1375">
        <v>0</v>
      </c>
      <c r="V1375">
        <v>9.4523053561131817E-3</v>
      </c>
      <c r="W1375">
        <v>7.2286629891453735E-2</v>
      </c>
      <c r="X1375">
        <v>1.0312716131037142E-2</v>
      </c>
      <c r="Y1375">
        <v>4.1048231601450635E-3</v>
      </c>
    </row>
    <row r="1376" spans="1:25" x14ac:dyDescent="0.25">
      <c r="A1376" s="1090"/>
      <c r="B1376" s="1448">
        <v>1126</v>
      </c>
      <c r="C1376" s="1094">
        <v>1.0002841484010867</v>
      </c>
      <c r="D1376" s="1094">
        <v>0.99018952695700369</v>
      </c>
      <c r="E1376" s="1094">
        <v>1.0152590422778087</v>
      </c>
      <c r="F1376" s="1094">
        <v>1.0067433633542329</v>
      </c>
      <c r="G1376" s="1094">
        <v>1.0021015805979649</v>
      </c>
      <c r="H1376" s="1094">
        <v>1.0163517392546768</v>
      </c>
      <c r="I1376" s="1094">
        <v>1.0008637024996472</v>
      </c>
      <c r="K1376">
        <v>4.5202083307707088</v>
      </c>
      <c r="L1376">
        <v>0</v>
      </c>
      <c r="M1376">
        <v>1.4547243546659601E-3</v>
      </c>
      <c r="N1376">
        <v>0.13172572565836502</v>
      </c>
      <c r="O1376">
        <v>3.8686161895817257E-2</v>
      </c>
      <c r="P1376">
        <v>1.948846219749981E-2</v>
      </c>
      <c r="Q1376">
        <v>1.3255035947716206E-3</v>
      </c>
      <c r="R1376">
        <v>1.448892503031491E-3</v>
      </c>
      <c r="S1376">
        <v>0.23446372071334298</v>
      </c>
      <c r="T1376">
        <v>3.9921684196833711</v>
      </c>
      <c r="U1376">
        <v>0</v>
      </c>
      <c r="V1376">
        <v>9.4523053561131921E-3</v>
      </c>
      <c r="W1376">
        <v>7.7662576185881516E-2</v>
      </c>
      <c r="X1376">
        <v>1.1146606505901574E-2</v>
      </c>
      <c r="Y1376">
        <v>4.0946808312766984E-3</v>
      </c>
    </row>
    <row r="1377" spans="1:25" x14ac:dyDescent="0.25">
      <c r="A1377" s="1090"/>
      <c r="B1377" s="1448">
        <v>1127</v>
      </c>
      <c r="C1377" s="1094">
        <v>1.0201653489392051</v>
      </c>
      <c r="D1377" s="1094">
        <v>1.0256897995278986</v>
      </c>
      <c r="E1377" s="1094">
        <v>0.9517389722926789</v>
      </c>
      <c r="F1377" s="1094">
        <v>0.98358350671342976</v>
      </c>
      <c r="G1377" s="1094">
        <v>0.97743052870699809</v>
      </c>
      <c r="H1377" s="1094">
        <v>1.0271299107586755</v>
      </c>
      <c r="I1377" s="1094">
        <v>1.0188865296373255</v>
      </c>
      <c r="K1377">
        <v>4.4031367919559861</v>
      </c>
      <c r="L1377">
        <v>0</v>
      </c>
      <c r="M1377">
        <v>1.5869860095743121E-3</v>
      </c>
      <c r="N1377">
        <v>0.11901537312421406</v>
      </c>
      <c r="O1377">
        <v>3.6956156453800855E-2</v>
      </c>
      <c r="P1377">
        <v>1.8156670205423005E-2</v>
      </c>
      <c r="Q1377">
        <v>1.212886385017146E-3</v>
      </c>
      <c r="R1377">
        <v>1.5805430799517475E-3</v>
      </c>
      <c r="S1377">
        <v>0.22871920662047598</v>
      </c>
      <c r="T1377">
        <v>3.9027279690689451</v>
      </c>
      <c r="U1377">
        <v>0</v>
      </c>
      <c r="V1377">
        <v>9.4523053561131939E-3</v>
      </c>
      <c r="W1377">
        <v>7.3282717760129804E-2</v>
      </c>
      <c r="X1377">
        <v>9.153214498786498E-3</v>
      </c>
      <c r="Y1377">
        <v>4.4667354126994149E-3</v>
      </c>
    </row>
    <row r="1378" spans="1:25" x14ac:dyDescent="0.25">
      <c r="A1378" s="1090"/>
      <c r="B1378" s="1448">
        <v>1128</v>
      </c>
      <c r="C1378" s="1094">
        <v>1.0113337671980258</v>
      </c>
      <c r="D1378" s="1094">
        <v>0.96646481143726137</v>
      </c>
      <c r="E1378" s="1094">
        <v>0.99033537965921947</v>
      </c>
      <c r="F1378" s="1094">
        <v>0.99272746396788414</v>
      </c>
      <c r="G1378" s="1094">
        <v>1.0084435846181417</v>
      </c>
      <c r="H1378" s="1094">
        <v>0.98269660537832393</v>
      </c>
      <c r="I1378" s="1094">
        <v>0.99164988884993466</v>
      </c>
      <c r="K1378">
        <v>4.4431104171554319</v>
      </c>
      <c r="L1378">
        <v>0</v>
      </c>
      <c r="M1378">
        <v>1.4599532315321254E-3</v>
      </c>
      <c r="N1378">
        <v>0.12276609523748525</v>
      </c>
      <c r="O1378">
        <v>3.8268930925386219E-2</v>
      </c>
      <c r="P1378">
        <v>1.8849298622569319E-2</v>
      </c>
      <c r="Q1378">
        <v>1.2958728257727883E-3</v>
      </c>
      <c r="R1378">
        <v>1.4538148619126865E-3</v>
      </c>
      <c r="S1378">
        <v>0.22678945233266359</v>
      </c>
      <c r="T1378">
        <v>3.9375302967729668</v>
      </c>
      <c r="U1378">
        <v>0</v>
      </c>
      <c r="V1378">
        <v>9.4523053561131887E-3</v>
      </c>
      <c r="W1378">
        <v>7.360743626760749E-2</v>
      </c>
      <c r="X1378">
        <v>1.0448275391206397E-2</v>
      </c>
      <c r="Y1378">
        <v>4.1085917932792808E-3</v>
      </c>
    </row>
    <row r="1379" spans="1:25" x14ac:dyDescent="0.25">
      <c r="A1379" s="1090"/>
      <c r="B1379" s="1448">
        <v>1129</v>
      </c>
      <c r="C1379" s="1094">
        <v>1.019757998426829</v>
      </c>
      <c r="D1379" s="1094">
        <v>0.98411559802500981</v>
      </c>
      <c r="E1379" s="1094">
        <v>1.0211322873104232</v>
      </c>
      <c r="F1379" s="1094">
        <v>1.0008954577227893</v>
      </c>
      <c r="G1379" s="1094">
        <v>0.96858011286438794</v>
      </c>
      <c r="H1379" s="1094">
        <v>0.99617406946663178</v>
      </c>
      <c r="I1379" s="1094">
        <v>1.0199551739138959</v>
      </c>
      <c r="K1379">
        <v>4.4855173746278592</v>
      </c>
      <c r="L1379">
        <v>0</v>
      </c>
      <c r="M1379">
        <v>1.3767679839914186E-3</v>
      </c>
      <c r="N1379">
        <v>0.126838872023186</v>
      </c>
      <c r="O1379">
        <v>3.7779990062986032E-2</v>
      </c>
      <c r="P1379">
        <v>1.9454628195767546E-2</v>
      </c>
      <c r="Q1379">
        <v>1.3098965209653625E-3</v>
      </c>
      <c r="R1379">
        <v>1.3711040910535373E-3</v>
      </c>
      <c r="S1379">
        <v>0.23234915689369073</v>
      </c>
      <c r="T1379">
        <v>3.96875710998204</v>
      </c>
      <c r="U1379">
        <v>0</v>
      </c>
      <c r="V1379">
        <v>9.4523053561131956E-3</v>
      </c>
      <c r="W1379">
        <v>7.4488752931567814E-2</v>
      </c>
      <c r="X1379">
        <v>1.1217481714314734E-2</v>
      </c>
      <c r="Y1379">
        <v>3.8748448401626917E-3</v>
      </c>
    </row>
    <row r="1380" spans="1:25" x14ac:dyDescent="0.25">
      <c r="A1380" s="1090"/>
      <c r="B1380" s="1448">
        <v>1130</v>
      </c>
      <c r="C1380" s="1094">
        <v>0.97201489353574155</v>
      </c>
      <c r="D1380" s="1094">
        <v>1.0383761910530036</v>
      </c>
      <c r="E1380" s="1094">
        <v>1.0270930447669182</v>
      </c>
      <c r="F1380" s="1094">
        <v>1.0048366639779427</v>
      </c>
      <c r="G1380" s="1094">
        <v>1.0257938975767542</v>
      </c>
      <c r="H1380" s="1094">
        <v>0.99663460279708915</v>
      </c>
      <c r="I1380" s="1094">
        <v>0.99963148994268969</v>
      </c>
      <c r="K1380">
        <v>4.5130983082606217</v>
      </c>
      <c r="L1380">
        <v>0</v>
      </c>
      <c r="M1380">
        <v>1.402136582822846E-3</v>
      </c>
      <c r="N1380">
        <v>0.1314759704605479</v>
      </c>
      <c r="O1380">
        <v>3.8904760854405765E-2</v>
      </c>
      <c r="P1380">
        <v>1.962660489646845E-2</v>
      </c>
      <c r="Q1380">
        <v>1.3518318249948465E-3</v>
      </c>
      <c r="R1380">
        <v>1.3963935130147369E-3</v>
      </c>
      <c r="S1380">
        <v>0.23573895573116566</v>
      </c>
      <c r="T1380">
        <v>3.9841594174758521</v>
      </c>
      <c r="U1380">
        <v>0</v>
      </c>
      <c r="V1380">
        <v>9.4523053561131991E-3</v>
      </c>
      <c r="W1380">
        <v>7.6906557459553437E-2</v>
      </c>
      <c r="X1380">
        <v>1.1541332593943122E-2</v>
      </c>
      <c r="Y1380">
        <v>3.9463146773810716E-3</v>
      </c>
    </row>
    <row r="1381" spans="1:25" x14ac:dyDescent="0.25">
      <c r="A1381" s="1090"/>
      <c r="B1381" s="1448">
        <v>1131</v>
      </c>
      <c r="C1381" s="1094">
        <v>1.0103126968963985</v>
      </c>
      <c r="D1381" s="1094">
        <v>1.0261848068621573</v>
      </c>
      <c r="E1381" s="1094">
        <v>1.0194701860109203</v>
      </c>
      <c r="F1381" s="1094">
        <v>0.98916497062669673</v>
      </c>
      <c r="G1381" s="1094">
        <v>0.99768758364920385</v>
      </c>
      <c r="H1381" s="1094">
        <v>0.98690544690582827</v>
      </c>
      <c r="I1381" s="1094">
        <v>0.97613722831737038</v>
      </c>
      <c r="K1381">
        <v>4.4187301132389853</v>
      </c>
      <c r="L1381">
        <v>0</v>
      </c>
      <c r="M1381">
        <v>1.3427543632856212E-3</v>
      </c>
      <c r="N1381">
        <v>0.12308761901453977</v>
      </c>
      <c r="O1381">
        <v>3.7071599596004666E-2</v>
      </c>
      <c r="P1381">
        <v>1.9155905990638274E-2</v>
      </c>
      <c r="Q1381">
        <v>1.2983619981512433E-3</v>
      </c>
      <c r="R1381">
        <v>1.3371126706678233E-3</v>
      </c>
      <c r="S1381">
        <v>0.21919577181698352</v>
      </c>
      <c r="T1381">
        <v>3.9223052918760213</v>
      </c>
      <c r="U1381">
        <v>0</v>
      </c>
      <c r="V1381">
        <v>9.4523053561131869E-3</v>
      </c>
      <c r="W1381">
        <v>7.2365892020656103E-2</v>
      </c>
      <c r="X1381">
        <v>1.1024224771465464E-2</v>
      </c>
      <c r="Y1381">
        <v>3.7787824910304828E-3</v>
      </c>
    </row>
    <row r="1382" spans="1:25" x14ac:dyDescent="0.25">
      <c r="A1382" s="1090"/>
      <c r="B1382" s="1448">
        <v>1132</v>
      </c>
      <c r="C1382" s="1094">
        <v>1.0096705969934736</v>
      </c>
      <c r="D1382" s="1094">
        <v>1.0150303730710888</v>
      </c>
      <c r="E1382" s="1094">
        <v>0.99618136119336431</v>
      </c>
      <c r="F1382" s="1094">
        <v>1.0086718441557347</v>
      </c>
      <c r="G1382" s="1094">
        <v>0.98109553542997352</v>
      </c>
      <c r="H1382" s="1094">
        <v>1.0131711056751538</v>
      </c>
      <c r="I1382" s="1094">
        <v>0.99768054299855724</v>
      </c>
      <c r="K1382">
        <v>4.516094109556037</v>
      </c>
      <c r="L1382">
        <v>0</v>
      </c>
      <c r="M1382">
        <v>1.4837142997945775E-3</v>
      </c>
      <c r="N1382">
        <v>0.12696946403744563</v>
      </c>
      <c r="O1382">
        <v>3.8151424876260435E-2</v>
      </c>
      <c r="P1382">
        <v>1.9231945696480852E-2</v>
      </c>
      <c r="Q1382">
        <v>1.2792200106758679E-3</v>
      </c>
      <c r="R1382">
        <v>1.4777589189652544E-3</v>
      </c>
      <c r="S1382">
        <v>0.22987820365622746</v>
      </c>
      <c r="T1382">
        <v>4.0005464116606584</v>
      </c>
      <c r="U1382">
        <v>0</v>
      </c>
      <c r="V1382">
        <v>9.4523053561131939E-3</v>
      </c>
      <c r="W1382">
        <v>7.5826096250308048E-2</v>
      </c>
      <c r="X1382">
        <v>1.0588733866140912E-2</v>
      </c>
      <c r="Y1382">
        <v>4.1762595265521152E-3</v>
      </c>
    </row>
    <row r="1383" spans="1:25" x14ac:dyDescent="0.25">
      <c r="A1383" s="1090"/>
      <c r="B1383" s="1448">
        <v>1133</v>
      </c>
      <c r="C1383" s="1094">
        <v>0.99016660551531277</v>
      </c>
      <c r="D1383" s="1094">
        <v>1.0269825610601968</v>
      </c>
      <c r="E1383" s="1094">
        <v>0.98825464128753115</v>
      </c>
      <c r="F1383" s="1094">
        <v>1.0096881420015587</v>
      </c>
      <c r="G1383" s="1094">
        <v>1.0246364378969046</v>
      </c>
      <c r="H1383" s="1094">
        <v>0.99550320580326734</v>
      </c>
      <c r="I1383" s="1094">
        <v>1.0104769463613388</v>
      </c>
      <c r="K1383">
        <v>4.5251865776751785</v>
      </c>
      <c r="L1383">
        <v>0</v>
      </c>
      <c r="M1383">
        <v>1.5059983911794822E-3</v>
      </c>
      <c r="N1383">
        <v>0.12587464532804843</v>
      </c>
      <c r="O1383">
        <v>3.8815036434960093E-2</v>
      </c>
      <c r="P1383">
        <v>1.9162248866011047E-2</v>
      </c>
      <c r="Q1383">
        <v>1.2894902074825573E-3</v>
      </c>
      <c r="R1383">
        <v>1.499852451166203E-3</v>
      </c>
      <c r="S1383">
        <v>0.23538052260839523</v>
      </c>
      <c r="T1383">
        <v>4.0048831439492227</v>
      </c>
      <c r="U1383">
        <v>0</v>
      </c>
      <c r="V1383">
        <v>9.4523053561132026E-3</v>
      </c>
      <c r="W1383">
        <v>7.5578231116534875E-2</v>
      </c>
      <c r="X1383">
        <v>1.0518402213105021E-2</v>
      </c>
      <c r="Y1383">
        <v>4.2386975353133844E-3</v>
      </c>
    </row>
    <row r="1384" spans="1:25" x14ac:dyDescent="0.25">
      <c r="A1384" s="1090"/>
      <c r="B1384" s="1448">
        <v>1134</v>
      </c>
      <c r="C1384" s="1094">
        <v>1.035123173678425</v>
      </c>
      <c r="D1384" s="1094">
        <v>1.0092860547613876</v>
      </c>
      <c r="E1384" s="1094">
        <v>1.0177393021697627</v>
      </c>
      <c r="F1384" s="1094">
        <v>0.99028023990530945</v>
      </c>
      <c r="G1384" s="1094">
        <v>1.0080597453176607</v>
      </c>
      <c r="H1384" s="1094">
        <v>1.0097177500004633</v>
      </c>
      <c r="I1384" s="1094">
        <v>1.0203185522219895</v>
      </c>
      <c r="K1384">
        <v>4.430976810037949</v>
      </c>
      <c r="L1384">
        <v>0</v>
      </c>
      <c r="M1384">
        <v>1.3562640061834711E-3</v>
      </c>
      <c r="N1384">
        <v>0.12370327779658834</v>
      </c>
      <c r="O1384">
        <v>3.6476593370715106E-2</v>
      </c>
      <c r="P1384">
        <v>1.9186428904886105E-2</v>
      </c>
      <c r="Q1384">
        <v>1.2738181257150238E-3</v>
      </c>
      <c r="R1384">
        <v>1.3507005421793227E-3</v>
      </c>
      <c r="S1384">
        <v>0.22660022600826224</v>
      </c>
      <c r="T1384">
        <v>3.9267923118404195</v>
      </c>
      <c r="U1384">
        <v>0</v>
      </c>
      <c r="V1384">
        <v>9.4523053561131973E-3</v>
      </c>
      <c r="W1384">
        <v>7.2811916356387285E-2</v>
      </c>
      <c r="X1384">
        <v>1.0868312889554558E-2</v>
      </c>
      <c r="Y1384">
        <v>3.8171828533068953E-3</v>
      </c>
    </row>
    <row r="1385" spans="1:25" x14ac:dyDescent="0.25">
      <c r="A1385" s="1090"/>
      <c r="B1385" s="1448">
        <v>1135</v>
      </c>
      <c r="C1385" s="1094">
        <v>1.0040503574750779</v>
      </c>
      <c r="D1385" s="1094">
        <v>0.98000270901804587</v>
      </c>
      <c r="E1385" s="1094">
        <v>0.99446217821683591</v>
      </c>
      <c r="F1385" s="1094">
        <v>0.98865136507785478</v>
      </c>
      <c r="G1385" s="1094">
        <v>1.0081208043501273</v>
      </c>
      <c r="H1385" s="1094">
        <v>0.9523062953925423</v>
      </c>
      <c r="I1385" s="1094">
        <v>0.96658570798149102</v>
      </c>
      <c r="K1385">
        <v>4.4126142677366067</v>
      </c>
      <c r="L1385">
        <v>0</v>
      </c>
      <c r="M1385">
        <v>1.399166215413803E-3</v>
      </c>
      <c r="N1385">
        <v>0.11908467261140268</v>
      </c>
      <c r="O1385">
        <v>3.81471656072013E-2</v>
      </c>
      <c r="P1385">
        <v>1.8798017038466522E-2</v>
      </c>
      <c r="Q1385">
        <v>1.3026518721875151E-3</v>
      </c>
      <c r="R1385">
        <v>1.3930707668469015E-3</v>
      </c>
      <c r="S1385">
        <v>0.21888936543751336</v>
      </c>
      <c r="T1385">
        <v>3.9212070104776768</v>
      </c>
      <c r="U1385">
        <v>0</v>
      </c>
      <c r="V1385">
        <v>9.4523053561131956E-3</v>
      </c>
      <c r="W1385">
        <v>7.1200249086057002E-2</v>
      </c>
      <c r="X1385">
        <v>1.0602001355520895E-2</v>
      </c>
      <c r="Y1385">
        <v>3.9369243430311006E-3</v>
      </c>
    </row>
    <row r="1386" spans="1:25" x14ac:dyDescent="0.25">
      <c r="A1386" s="1090"/>
      <c r="B1386" s="1448">
        <v>1136</v>
      </c>
      <c r="C1386" s="1094">
        <v>1.0038978353333001</v>
      </c>
      <c r="D1386" s="1094">
        <v>1.0382547316518087</v>
      </c>
      <c r="E1386" s="1094">
        <v>0.9604335605478298</v>
      </c>
      <c r="F1386" s="1094">
        <v>0.98762860172952804</v>
      </c>
      <c r="G1386" s="1094">
        <v>0.98415806580235909</v>
      </c>
      <c r="H1386" s="1094">
        <v>1.0063208905756635</v>
      </c>
      <c r="I1386" s="1094">
        <v>1.0200888234879717</v>
      </c>
      <c r="K1386">
        <v>4.4220873607303268</v>
      </c>
      <c r="L1386">
        <v>0</v>
      </c>
      <c r="M1386">
        <v>1.5503461961841013E-3</v>
      </c>
      <c r="N1386">
        <v>0.11930375396301819</v>
      </c>
      <c r="O1386">
        <v>3.7468851026065078E-2</v>
      </c>
      <c r="P1386">
        <v>1.835870035489387E-2</v>
      </c>
      <c r="Q1386">
        <v>1.2359881045678487E-3</v>
      </c>
      <c r="R1386">
        <v>1.5439480691039607E-3</v>
      </c>
      <c r="S1386">
        <v>0.23093651445634505</v>
      </c>
      <c r="T1386">
        <v>3.9184443843203103</v>
      </c>
      <c r="U1386">
        <v>0</v>
      </c>
      <c r="V1386">
        <v>9.4523053561131956E-3</v>
      </c>
      <c r="W1386">
        <v>7.3016815166723537E-2</v>
      </c>
      <c r="X1386">
        <v>9.5131309912223194E-3</v>
      </c>
      <c r="Y1386">
        <v>4.3633151181466587E-3</v>
      </c>
    </row>
    <row r="1387" spans="1:25" x14ac:dyDescent="0.25">
      <c r="A1387" s="1090"/>
      <c r="B1387" s="1448">
        <v>1137</v>
      </c>
      <c r="C1387" s="1094">
        <v>0.98315322659958726</v>
      </c>
      <c r="D1387" s="1094">
        <v>0.97384588525856941</v>
      </c>
      <c r="E1387" s="1094">
        <v>0.99746321873093513</v>
      </c>
      <c r="F1387" s="1094">
        <v>0.97909452136042441</v>
      </c>
      <c r="G1387" s="1094">
        <v>1.0015072731818144</v>
      </c>
      <c r="H1387" s="1094">
        <v>1.0231103819355976</v>
      </c>
      <c r="I1387" s="1094">
        <v>0.99510042851787717</v>
      </c>
      <c r="K1387">
        <v>4.4083116149250774</v>
      </c>
      <c r="L1387">
        <v>0</v>
      </c>
      <c r="M1387">
        <v>1.5146080830533407E-3</v>
      </c>
      <c r="N1387">
        <v>0.13009602208434226</v>
      </c>
      <c r="O1387">
        <v>3.865805941327375E-2</v>
      </c>
      <c r="P1387">
        <v>1.8738428119839275E-2</v>
      </c>
      <c r="Q1387">
        <v>1.3371414289838127E-3</v>
      </c>
      <c r="R1387">
        <v>1.5084066543027659E-3</v>
      </c>
      <c r="S1387">
        <v>0.23447669252923389</v>
      </c>
      <c r="T1387">
        <v>3.8831903692632994</v>
      </c>
      <c r="U1387">
        <v>0</v>
      </c>
      <c r="V1387">
        <v>9.4523053561132026E-3</v>
      </c>
      <c r="W1387">
        <v>7.7625847503541026E-2</v>
      </c>
      <c r="X1387">
        <v>1.0480078288737428E-2</v>
      </c>
      <c r="Y1387">
        <v>4.262872366459826E-3</v>
      </c>
    </row>
    <row r="1388" spans="1:25" x14ac:dyDescent="0.25">
      <c r="A1388" s="1090"/>
      <c r="B1388" s="1448">
        <v>1138</v>
      </c>
      <c r="C1388" s="1094">
        <v>0.98419235449978437</v>
      </c>
      <c r="D1388" s="1094">
        <v>1.0410909967182076</v>
      </c>
      <c r="E1388" s="1094">
        <v>1.0146565462145007</v>
      </c>
      <c r="F1388" s="1094">
        <v>0.99142702359576906</v>
      </c>
      <c r="G1388" s="1094">
        <v>0.98967859936181612</v>
      </c>
      <c r="H1388" s="1094">
        <v>1.0221265150629395</v>
      </c>
      <c r="I1388" s="1094">
        <v>0.98265090496122798</v>
      </c>
      <c r="K1388">
        <v>4.4493284083793654</v>
      </c>
      <c r="L1388">
        <v>0</v>
      </c>
      <c r="M1388">
        <v>1.4371370969766312E-3</v>
      </c>
      <c r="N1388">
        <v>0.12989630313485517</v>
      </c>
      <c r="O1388">
        <v>3.795595330928532E-2</v>
      </c>
      <c r="P1388">
        <v>1.9173164289046439E-2</v>
      </c>
      <c r="Q1388">
        <v>1.3197571828050467E-3</v>
      </c>
      <c r="R1388">
        <v>1.4313201644777834E-3</v>
      </c>
      <c r="S1388">
        <v>0.22848963803359904</v>
      </c>
      <c r="T1388">
        <v>3.9314551556971313</v>
      </c>
      <c r="U1388">
        <v>0</v>
      </c>
      <c r="V1388">
        <v>9.4523053561131904E-3</v>
      </c>
      <c r="W1388">
        <v>7.6614866890689221E-2</v>
      </c>
      <c r="X1388">
        <v>1.0932061357399067E-2</v>
      </c>
      <c r="Y1388">
        <v>4.0450200609393376E-3</v>
      </c>
    </row>
    <row r="1389" spans="1:25" x14ac:dyDescent="0.25">
      <c r="A1389" s="1090"/>
      <c r="B1389" s="1448">
        <v>1139</v>
      </c>
      <c r="C1389" s="1094">
        <v>1.009099458028484</v>
      </c>
      <c r="D1389" s="1094">
        <v>0.98109223433523851</v>
      </c>
      <c r="E1389" s="1094">
        <v>1.0110468824028356</v>
      </c>
      <c r="F1389" s="1094">
        <v>0.99911592979032127</v>
      </c>
      <c r="G1389" s="1094">
        <v>1.0122423079524707</v>
      </c>
      <c r="H1389" s="1094">
        <v>1.007844529241511</v>
      </c>
      <c r="I1389" s="1094">
        <v>0.98349633934093739</v>
      </c>
      <c r="K1389">
        <v>4.4770325262456758</v>
      </c>
      <c r="L1389">
        <v>0</v>
      </c>
      <c r="M1389">
        <v>1.4371226568827232E-3</v>
      </c>
      <c r="N1389">
        <v>0.12851110044972086</v>
      </c>
      <c r="O1389">
        <v>3.8227345929522843E-2</v>
      </c>
      <c r="P1389">
        <v>1.9256884071783487E-2</v>
      </c>
      <c r="Q1389">
        <v>1.3140714706705075E-3</v>
      </c>
      <c r="R1389">
        <v>1.431268565889118E-3</v>
      </c>
      <c r="S1389">
        <v>0.22722001098820593</v>
      </c>
      <c r="T1389">
        <v>3.9620816077969265</v>
      </c>
      <c r="U1389">
        <v>0</v>
      </c>
      <c r="V1389">
        <v>9.4523053561131991E-3</v>
      </c>
      <c r="W1389">
        <v>7.5981394097211219E-2</v>
      </c>
      <c r="X1389">
        <v>1.0948785937124547E-2</v>
      </c>
      <c r="Y1389">
        <v>4.0448742393884036E-3</v>
      </c>
    </row>
    <row r="1390" spans="1:25" x14ac:dyDescent="0.25">
      <c r="A1390" s="1090"/>
      <c r="B1390" s="1448">
        <v>1140</v>
      </c>
      <c r="C1390" s="1094">
        <v>0.98891895289838505</v>
      </c>
      <c r="D1390" s="1094">
        <v>0.98465949019119758</v>
      </c>
      <c r="E1390" s="1094">
        <v>0.96564622851908277</v>
      </c>
      <c r="F1390" s="1094">
        <v>1.0173161590133788</v>
      </c>
      <c r="G1390" s="1094">
        <v>1.029470539382914</v>
      </c>
      <c r="H1390" s="1094">
        <v>1.0159716810873292</v>
      </c>
      <c r="I1390" s="1094">
        <v>0.96505834051390604</v>
      </c>
      <c r="K1390">
        <v>4.5590573052412395</v>
      </c>
      <c r="L1390">
        <v>0</v>
      </c>
      <c r="M1390">
        <v>1.6534073248110565E-3</v>
      </c>
      <c r="N1390">
        <v>0.12924098150061161</v>
      </c>
      <c r="O1390">
        <v>3.9982415553960191E-2</v>
      </c>
      <c r="P1390">
        <v>1.8952527796548258E-2</v>
      </c>
      <c r="Q1390">
        <v>1.2874689571785718E-3</v>
      </c>
      <c r="R1390">
        <v>1.646845127728944E-3</v>
      </c>
      <c r="S1390">
        <v>0.23066421279562144</v>
      </c>
      <c r="T1390">
        <v>4.0360250341925257</v>
      </c>
      <c r="U1390">
        <v>0</v>
      </c>
      <c r="V1390">
        <v>9.4523053561131939E-3</v>
      </c>
      <c r="W1390">
        <v>7.8813374010137438E-2</v>
      </c>
      <c r="X1390">
        <v>9.9914372139827887E-3</v>
      </c>
      <c r="Y1390">
        <v>4.6541100616396599E-3</v>
      </c>
    </row>
    <row r="1391" spans="1:25" x14ac:dyDescent="0.25">
      <c r="A1391" s="1090"/>
      <c r="B1391" s="1448">
        <v>1141</v>
      </c>
      <c r="C1391" s="1094">
        <v>0.992456452448788</v>
      </c>
      <c r="D1391" s="1094">
        <v>1.018653925241112</v>
      </c>
      <c r="E1391" s="1094">
        <v>1.0035902157419017</v>
      </c>
      <c r="F1391" s="1094">
        <v>1.046953737033945</v>
      </c>
      <c r="G1391" s="1094">
        <v>1.0334600848862745</v>
      </c>
      <c r="H1391" s="1094">
        <v>0.97147850282141268</v>
      </c>
      <c r="I1391" s="1094">
        <v>0.97962324064992867</v>
      </c>
      <c r="K1391">
        <v>4.6765755049101205</v>
      </c>
      <c r="L1391">
        <v>0</v>
      </c>
      <c r="M1391">
        <v>1.4766817743377717E-3</v>
      </c>
      <c r="N1391">
        <v>0.12916982478652961</v>
      </c>
      <c r="O1391">
        <v>4.017557659864688E-2</v>
      </c>
      <c r="P1391">
        <v>2.003965467855854E-2</v>
      </c>
      <c r="Q1391">
        <v>1.3078328808471009E-3</v>
      </c>
      <c r="R1391">
        <v>1.4707253893197453E-3</v>
      </c>
      <c r="S1391">
        <v>0.23208236487988398</v>
      </c>
      <c r="T1391">
        <v>4.1520828397075302</v>
      </c>
      <c r="U1391">
        <v>0</v>
      </c>
      <c r="V1391">
        <v>9.4523053561131852E-3</v>
      </c>
      <c r="W1391">
        <v>7.6754809943447092E-2</v>
      </c>
      <c r="X1391">
        <v>1.1359870228793253E-2</v>
      </c>
      <c r="Y1391">
        <v>4.1563822347893192E-3</v>
      </c>
    </row>
    <row r="1392" spans="1:25" x14ac:dyDescent="0.25">
      <c r="A1392" s="1090"/>
      <c r="B1392" s="1448">
        <v>1142</v>
      </c>
      <c r="C1392" s="1094">
        <v>1.0057479907583566</v>
      </c>
      <c r="D1392" s="1094">
        <v>1.0047172853365349</v>
      </c>
      <c r="E1392" s="1094">
        <v>0.99929897866643691</v>
      </c>
      <c r="F1392" s="1094">
        <v>1.0204816809936481</v>
      </c>
      <c r="G1392" s="1094">
        <v>1.0208166741725608</v>
      </c>
      <c r="H1392" s="1094">
        <v>1.0092236950480677</v>
      </c>
      <c r="I1392" s="1094">
        <v>1.0157762014295297</v>
      </c>
      <c r="K1392">
        <v>4.5751125883016055</v>
      </c>
      <c r="L1392">
        <v>0</v>
      </c>
      <c r="M1392">
        <v>1.4972835181764101E-3</v>
      </c>
      <c r="N1392">
        <v>0.12932392334560461</v>
      </c>
      <c r="O1392">
        <v>3.8885591668721645E-2</v>
      </c>
      <c r="P1392">
        <v>1.9522702640265416E-2</v>
      </c>
      <c r="Q1392">
        <v>1.2929207494271578E-3</v>
      </c>
      <c r="R1392">
        <v>1.4913197084028054E-3</v>
      </c>
      <c r="S1392">
        <v>0.23725175290192058</v>
      </c>
      <c r="T1392">
        <v>4.0472647391383454</v>
      </c>
      <c r="U1392">
        <v>0</v>
      </c>
      <c r="V1392">
        <v>9.4523053561131869E-3</v>
      </c>
      <c r="W1392">
        <v>7.7069362856056547E-2</v>
      </c>
      <c r="X1392">
        <v>1.0840670102104627E-2</v>
      </c>
      <c r="Y1392">
        <v>4.2145833528199287E-3</v>
      </c>
    </row>
    <row r="1393" spans="1:25" x14ac:dyDescent="0.25">
      <c r="A1393" s="1090"/>
      <c r="B1393" s="1448">
        <v>1143</v>
      </c>
      <c r="C1393" s="1094">
        <v>1.0226353586266408</v>
      </c>
      <c r="D1393" s="1094">
        <v>0.99571959473621485</v>
      </c>
      <c r="E1393" s="1094">
        <v>0.97644160945328395</v>
      </c>
      <c r="F1393" s="1094">
        <v>0.98620354421464063</v>
      </c>
      <c r="G1393" s="1094">
        <v>1.0448930096999449</v>
      </c>
      <c r="H1393" s="1094">
        <v>0.97809278852551873</v>
      </c>
      <c r="I1393" s="1094">
        <v>1.0276025919546008</v>
      </c>
      <c r="K1393">
        <v>4.4098131304476533</v>
      </c>
      <c r="L1393">
        <v>0</v>
      </c>
      <c r="M1393">
        <v>1.4524974046511638E-3</v>
      </c>
      <c r="N1393">
        <v>0.11720161218316565</v>
      </c>
      <c r="O1393">
        <v>3.7243384492616362E-2</v>
      </c>
      <c r="P1393">
        <v>1.8548526499076446E-2</v>
      </c>
      <c r="Q1393">
        <v>1.2512073905757396E-3</v>
      </c>
      <c r="R1393">
        <v>1.4463212172677899E-3</v>
      </c>
      <c r="S1393">
        <v>0.22893529895923814</v>
      </c>
      <c r="T1393">
        <v>3.9121799968509521</v>
      </c>
      <c r="U1393">
        <v>0</v>
      </c>
      <c r="V1393">
        <v>9.4523053561131921E-3</v>
      </c>
      <c r="W1393">
        <v>7.0941667985638224E-2</v>
      </c>
      <c r="X1393">
        <v>9.9778927362585406E-3</v>
      </c>
      <c r="Y1393">
        <v>4.0874141814000965E-3</v>
      </c>
    </row>
    <row r="1394" spans="1:25" x14ac:dyDescent="0.25">
      <c r="A1394" s="1090"/>
      <c r="B1394" s="1448">
        <v>1144</v>
      </c>
      <c r="C1394" s="1094">
        <v>0.99220544703603908</v>
      </c>
      <c r="D1394" s="1094">
        <v>0.98592408131646125</v>
      </c>
      <c r="E1394" s="1094">
        <v>1.0410890645355984</v>
      </c>
      <c r="F1394" s="1094">
        <v>0.96327896685309189</v>
      </c>
      <c r="G1394" s="1094">
        <v>0.97122588219692918</v>
      </c>
      <c r="H1394" s="1094">
        <v>0.97943449508469016</v>
      </c>
      <c r="I1394" s="1094">
        <v>1.006517403713554</v>
      </c>
      <c r="K1394">
        <v>4.3273073752101174</v>
      </c>
      <c r="L1394">
        <v>0</v>
      </c>
      <c r="M1394">
        <v>1.2828383838221326E-3</v>
      </c>
      <c r="N1394">
        <v>0.12533813970822977</v>
      </c>
      <c r="O1394">
        <v>3.7207992068989455E-2</v>
      </c>
      <c r="P1394">
        <v>1.9016624963286939E-2</v>
      </c>
      <c r="Q1394">
        <v>1.3680326684938386E-3</v>
      </c>
      <c r="R1394">
        <v>1.2772619929910421E-3</v>
      </c>
      <c r="S1394">
        <v>0.22831291987079699</v>
      </c>
      <c r="T1394">
        <v>3.818879083545089</v>
      </c>
      <c r="U1394">
        <v>0</v>
      </c>
      <c r="V1394">
        <v>9.4523053561131904E-3</v>
      </c>
      <c r="W1394">
        <v>7.2641619883501402E-2</v>
      </c>
      <c r="X1394">
        <v>1.1486593629912979E-2</v>
      </c>
      <c r="Y1394">
        <v>3.6096399065328189E-3</v>
      </c>
    </row>
    <row r="1395" spans="1:25" x14ac:dyDescent="0.25">
      <c r="A1395" s="1090"/>
      <c r="B1395" s="1448">
        <v>1145</v>
      </c>
      <c r="C1395" s="1094">
        <v>1.0345918515981687</v>
      </c>
      <c r="D1395" s="1094">
        <v>1.0005529433907032</v>
      </c>
      <c r="E1395" s="1094">
        <v>0.98348385292030649</v>
      </c>
      <c r="F1395" s="1094">
        <v>0.97834371492540817</v>
      </c>
      <c r="G1395" s="1094">
        <v>0.96903831982185307</v>
      </c>
      <c r="H1395" s="1094">
        <v>1.0237686133620905</v>
      </c>
      <c r="I1395" s="1094">
        <v>1.0181012999945449</v>
      </c>
      <c r="K1395">
        <v>4.3799188271698855</v>
      </c>
      <c r="L1395">
        <v>0</v>
      </c>
      <c r="M1395">
        <v>1.4661098452571197E-3</v>
      </c>
      <c r="N1395">
        <v>0.12081718449580935</v>
      </c>
      <c r="O1395">
        <v>3.6403352788145625E-2</v>
      </c>
      <c r="P1395">
        <v>1.8493462259721247E-2</v>
      </c>
      <c r="Q1395">
        <v>1.2419230841246621E-3</v>
      </c>
      <c r="R1395">
        <v>1.460106263295731E-3</v>
      </c>
      <c r="S1395">
        <v>0.22600265786197046</v>
      </c>
      <c r="T1395">
        <v>3.8807358348379379</v>
      </c>
      <c r="U1395">
        <v>0</v>
      </c>
      <c r="V1395">
        <v>9.4523053561131904E-3</v>
      </c>
      <c r="W1395">
        <v>7.2778156784579773E-2</v>
      </c>
      <c r="X1395">
        <v>9.8735815095287154E-3</v>
      </c>
      <c r="Y1395">
        <v>4.1263717739135376E-3</v>
      </c>
    </row>
    <row r="1396" spans="1:25" x14ac:dyDescent="0.25">
      <c r="A1396" s="1090"/>
      <c r="B1396" s="1448">
        <v>1146</v>
      </c>
      <c r="C1396" s="1094">
        <v>1.0304572724249508</v>
      </c>
      <c r="D1396" s="1094">
        <v>1.0145668524993738</v>
      </c>
      <c r="E1396" s="1094">
        <v>0.97287696057654172</v>
      </c>
      <c r="F1396" s="1094">
        <v>1.0399707987192599</v>
      </c>
      <c r="G1396" s="1094">
        <v>1.0130455866443882</v>
      </c>
      <c r="H1396" s="1094">
        <v>0.99237237229673347</v>
      </c>
      <c r="I1396" s="1094">
        <v>1.0152103606441887</v>
      </c>
      <c r="K1396">
        <v>4.6394167214946878</v>
      </c>
      <c r="L1396">
        <v>0</v>
      </c>
      <c r="M1396">
        <v>1.5418841655146639E-3</v>
      </c>
      <c r="N1396">
        <v>0.12313886789703613</v>
      </c>
      <c r="O1396">
        <v>3.8708962325132226E-2</v>
      </c>
      <c r="P1396">
        <v>1.9465152474018699E-2</v>
      </c>
      <c r="Q1396">
        <v>1.2286106394275758E-3</v>
      </c>
      <c r="R1396">
        <v>1.5357550042838012E-3</v>
      </c>
      <c r="S1396">
        <v>0.23247018725532623</v>
      </c>
      <c r="T1396">
        <v>4.1256127329354646</v>
      </c>
      <c r="U1396">
        <v>0</v>
      </c>
      <c r="V1396">
        <v>9.4523053561132026E-3</v>
      </c>
      <c r="W1396">
        <v>7.47183884639218E-2</v>
      </c>
      <c r="X1396">
        <v>1.0287482418019725E-2</v>
      </c>
      <c r="Y1396">
        <v>4.3401608914539792E-3</v>
      </c>
    </row>
    <row r="1397" spans="1:25" x14ac:dyDescent="0.25">
      <c r="A1397" s="1090"/>
      <c r="B1397" s="1448">
        <v>1147</v>
      </c>
      <c r="C1397" s="1094">
        <v>0.98271791132954367</v>
      </c>
      <c r="D1397" s="1094">
        <v>1.0069077637121533</v>
      </c>
      <c r="E1397" s="1094">
        <v>0.99326967661354493</v>
      </c>
      <c r="F1397" s="1094">
        <v>1.0163669153268797</v>
      </c>
      <c r="G1397" s="1094">
        <v>0.98940282031925608</v>
      </c>
      <c r="H1397" s="1094">
        <v>0.9992785537893516</v>
      </c>
      <c r="I1397" s="1094">
        <v>1.0386509388018073</v>
      </c>
      <c r="K1397">
        <v>4.5700578576756223</v>
      </c>
      <c r="L1397">
        <v>0</v>
      </c>
      <c r="M1397">
        <v>1.529145142344669E-3</v>
      </c>
      <c r="N1397">
        <v>0.12972944085712029</v>
      </c>
      <c r="O1397">
        <v>3.9644570169349372E-2</v>
      </c>
      <c r="P1397">
        <v>1.9404525607160401E-2</v>
      </c>
      <c r="Q1397">
        <v>1.3152382644991676E-3</v>
      </c>
      <c r="R1397">
        <v>1.5229690049997835E-3</v>
      </c>
      <c r="S1397">
        <v>0.24662772793702514</v>
      </c>
      <c r="T1397">
        <v>4.0311792226889107</v>
      </c>
      <c r="U1397">
        <v>0</v>
      </c>
      <c r="V1397">
        <v>9.4523053561131973E-3</v>
      </c>
      <c r="W1397">
        <v>7.7627515458174576E-2</v>
      </c>
      <c r="X1397">
        <v>1.0779460793299372E-2</v>
      </c>
      <c r="Y1397">
        <v>4.3040266813124794E-3</v>
      </c>
    </row>
    <row r="1398" spans="1:25" x14ac:dyDescent="0.25">
      <c r="A1398" s="1090"/>
      <c r="B1398" s="1448">
        <v>1148</v>
      </c>
      <c r="C1398" s="1094">
        <v>0.99694137029860619</v>
      </c>
      <c r="D1398" s="1094">
        <v>1.0151483782265742</v>
      </c>
      <c r="E1398" s="1094">
        <v>1.024992751838967</v>
      </c>
      <c r="F1398" s="1094">
        <v>1.0140412699766905</v>
      </c>
      <c r="G1398" s="1094">
        <v>1.029848919923348</v>
      </c>
      <c r="H1398" s="1094">
        <v>1.0154833732970066</v>
      </c>
      <c r="I1398" s="1094">
        <v>1.0061142913255121</v>
      </c>
      <c r="K1398">
        <v>4.551750261546732</v>
      </c>
      <c r="L1398">
        <v>0</v>
      </c>
      <c r="M1398">
        <v>1.4247318964601952E-3</v>
      </c>
      <c r="N1398">
        <v>0.13278247536036242</v>
      </c>
      <c r="O1398">
        <v>3.86421066254913E-2</v>
      </c>
      <c r="P1398">
        <v>1.976638230835143E-2</v>
      </c>
      <c r="Q1398">
        <v>1.3276607707035897E-3</v>
      </c>
      <c r="R1398">
        <v>1.4190563719713792E-3</v>
      </c>
      <c r="S1398">
        <v>0.2358029894528493</v>
      </c>
      <c r="T1398">
        <v>4.0207355827434581</v>
      </c>
      <c r="U1398">
        <v>0</v>
      </c>
      <c r="V1398">
        <v>9.4523053561131869E-3</v>
      </c>
      <c r="W1398">
        <v>7.7779201408804483E-2</v>
      </c>
      <c r="X1398">
        <v>1.1456871398066122E-2</v>
      </c>
      <c r="Y1398">
        <v>4.0103616470199737E-3</v>
      </c>
    </row>
    <row r="1399" spans="1:25" x14ac:dyDescent="0.25">
      <c r="A1399" s="1090"/>
      <c r="B1399" s="1448">
        <v>1149</v>
      </c>
      <c r="C1399" s="1094">
        <v>0.98885905597245938</v>
      </c>
      <c r="D1399" s="1094">
        <v>0.99017668319030072</v>
      </c>
      <c r="E1399" s="1094">
        <v>1.0089638281209667</v>
      </c>
      <c r="F1399" s="1094">
        <v>0.99755043430919998</v>
      </c>
      <c r="G1399" s="1094">
        <v>1.0149436338251239</v>
      </c>
      <c r="H1399" s="1094">
        <v>1.0354481166749288</v>
      </c>
      <c r="I1399" s="1094">
        <v>0.9658077677637974</v>
      </c>
      <c r="K1399">
        <v>4.4817589246654856</v>
      </c>
      <c r="L1399">
        <v>0</v>
      </c>
      <c r="M1399">
        <v>1.5054173894313862E-3</v>
      </c>
      <c r="N1399">
        <v>0.13380424705525121</v>
      </c>
      <c r="O1399">
        <v>3.8819853372681901E-2</v>
      </c>
      <c r="P1399">
        <v>1.9206750039489778E-2</v>
      </c>
      <c r="Q1399">
        <v>1.3336658053696702E-3</v>
      </c>
      <c r="R1399">
        <v>1.4994392507698977E-3</v>
      </c>
      <c r="S1399">
        <v>0.22886596572398119</v>
      </c>
      <c r="T1399">
        <v>3.9559522407399519</v>
      </c>
      <c r="U1399">
        <v>0</v>
      </c>
      <c r="V1399">
        <v>9.4523053561131973E-3</v>
      </c>
      <c r="W1399">
        <v>7.9221638004932274E-2</v>
      </c>
      <c r="X1399">
        <v>1.0870706906924762E-2</v>
      </c>
      <c r="Y1399">
        <v>4.2375297994470679E-3</v>
      </c>
    </row>
    <row r="1400" spans="1:25" x14ac:dyDescent="0.25">
      <c r="A1400" s="1090"/>
      <c r="B1400" s="1448">
        <v>1150</v>
      </c>
      <c r="C1400" s="1094">
        <v>0.98641398448871054</v>
      </c>
      <c r="D1400" s="1094">
        <v>1.0329468434140845</v>
      </c>
      <c r="E1400" s="1094">
        <v>1.0425476382719441</v>
      </c>
      <c r="F1400" s="1094">
        <v>0.96394597123760506</v>
      </c>
      <c r="G1400" s="1094">
        <v>0.99127963319979895</v>
      </c>
      <c r="H1400" s="1094">
        <v>0.99890738037917504</v>
      </c>
      <c r="I1400" s="1094">
        <v>1.0246363528593343</v>
      </c>
      <c r="K1400">
        <v>4.3348628919297063</v>
      </c>
      <c r="L1400">
        <v>0</v>
      </c>
      <c r="M1400">
        <v>1.2886271934740754E-3</v>
      </c>
      <c r="N1400">
        <v>0.12645847107570371</v>
      </c>
      <c r="O1400">
        <v>3.6751125913617087E-2</v>
      </c>
      <c r="P1400">
        <v>1.9066200343382439E-2</v>
      </c>
      <c r="Q1400">
        <v>1.3523021759769879E-3</v>
      </c>
      <c r="R1400">
        <v>1.2831386211870589E-3</v>
      </c>
      <c r="S1400">
        <v>0.23203793545155491</v>
      </c>
      <c r="T1400">
        <v>3.8214709544723502</v>
      </c>
      <c r="U1400">
        <v>0</v>
      </c>
      <c r="V1400">
        <v>9.4523053561131904E-3</v>
      </c>
      <c r="W1400">
        <v>7.3220718220646505E-2</v>
      </c>
      <c r="X1400">
        <v>1.1432119786171483E-2</v>
      </c>
      <c r="Y1400">
        <v>3.6262477064741019E-3</v>
      </c>
    </row>
    <row r="1401" spans="1:25" x14ac:dyDescent="0.25">
      <c r="A1401" s="1090"/>
      <c r="B1401" s="1448">
        <v>1151</v>
      </c>
      <c r="C1401" s="1094">
        <v>1.0213846005956173</v>
      </c>
      <c r="D1401" s="1094">
        <v>0.99970328375395345</v>
      </c>
      <c r="E1401" s="1094">
        <v>1.0106567858639286</v>
      </c>
      <c r="F1401" s="1094">
        <v>0.99223833362008707</v>
      </c>
      <c r="G1401" s="1094">
        <v>0.99958103639246121</v>
      </c>
      <c r="H1401" s="1094">
        <v>0.96324977548035018</v>
      </c>
      <c r="I1401" s="1094">
        <v>0.9731028801994186</v>
      </c>
      <c r="K1401">
        <v>4.4233939250159233</v>
      </c>
      <c r="L1401">
        <v>0</v>
      </c>
      <c r="M1401">
        <v>1.3387183499569742E-3</v>
      </c>
      <c r="N1401">
        <v>0.11954719032022687</v>
      </c>
      <c r="O1401">
        <v>3.7229296338070567E-2</v>
      </c>
      <c r="P1401">
        <v>1.9077756634323512E-2</v>
      </c>
      <c r="Q1401">
        <v>1.2881159095202151E-3</v>
      </c>
      <c r="R1401">
        <v>1.3329732578113455E-3</v>
      </c>
      <c r="S1401">
        <v>0.21662077096211474</v>
      </c>
      <c r="T1401">
        <v>3.9348225601475799</v>
      </c>
      <c r="U1401">
        <v>0</v>
      </c>
      <c r="V1401">
        <v>9.4523053561131904E-3</v>
      </c>
      <c r="W1401">
        <v>7.070003913743135E-2</v>
      </c>
      <c r="X1401">
        <v>1.0894551108418821E-2</v>
      </c>
      <c r="Y1401">
        <v>3.7670841942688566E-3</v>
      </c>
    </row>
    <row r="1402" spans="1:25" x14ac:dyDescent="0.25">
      <c r="A1402" s="1090"/>
      <c r="B1402" s="1448">
        <v>1152</v>
      </c>
      <c r="C1402" s="1094">
        <v>1.0219987482026982</v>
      </c>
      <c r="D1402" s="1094">
        <v>0.9923957182931975</v>
      </c>
      <c r="E1402" s="1094">
        <v>0.98257517476724088</v>
      </c>
      <c r="F1402" s="1094">
        <v>1.0255662556076541</v>
      </c>
      <c r="G1402" s="1094">
        <v>1.0368267624102021</v>
      </c>
      <c r="H1402" s="1094">
        <v>1.008025729404169</v>
      </c>
      <c r="I1402" s="1094">
        <v>1.0201882620111344</v>
      </c>
      <c r="K1402">
        <v>4.5905601753558836</v>
      </c>
      <c r="L1402">
        <v>0</v>
      </c>
      <c r="M1402">
        <v>1.5395520307844191E-3</v>
      </c>
      <c r="N1402">
        <v>0.12654386529714051</v>
      </c>
      <c r="O1402">
        <v>3.8763642667007214E-2</v>
      </c>
      <c r="P1402">
        <v>1.9367109827344377E-2</v>
      </c>
      <c r="Q1402">
        <v>1.260356989667409E-3</v>
      </c>
      <c r="R1402">
        <v>1.533442890807867E-3</v>
      </c>
      <c r="S1402">
        <v>0.23606981202980837</v>
      </c>
      <c r="T1402">
        <v>4.0680863641733271</v>
      </c>
      <c r="U1402">
        <v>0</v>
      </c>
      <c r="V1402">
        <v>9.45230535611318E-3</v>
      </c>
      <c r="W1402">
        <v>7.627518257226712E-2</v>
      </c>
      <c r="X1402">
        <v>1.0414018900935159E-2</v>
      </c>
      <c r="Y1402">
        <v>4.3336266822494758E-3</v>
      </c>
    </row>
    <row r="1403" spans="1:25" x14ac:dyDescent="0.25">
      <c r="A1403" s="1090"/>
      <c r="B1403" s="1448">
        <v>1153</v>
      </c>
      <c r="C1403" s="1094">
        <v>1.0308116330266646</v>
      </c>
      <c r="D1403" s="1094">
        <v>0.98037058289795964</v>
      </c>
      <c r="E1403" s="1094">
        <v>0.98310632828941258</v>
      </c>
      <c r="F1403" s="1094">
        <v>0.99572649842342276</v>
      </c>
      <c r="G1403" s="1094">
        <v>0.99072600971824698</v>
      </c>
      <c r="H1403" s="1094">
        <v>0.98819744694455414</v>
      </c>
      <c r="I1403" s="1094">
        <v>0.97279549608937121</v>
      </c>
      <c r="K1403">
        <v>4.4414625795813203</v>
      </c>
      <c r="L1403">
        <v>0</v>
      </c>
      <c r="M1403">
        <v>1.4584760113212668E-3</v>
      </c>
      <c r="N1403">
        <v>0.12004469550102666</v>
      </c>
      <c r="O1403">
        <v>3.749288055215115E-2</v>
      </c>
      <c r="P1403">
        <v>1.8762670282923912E-2</v>
      </c>
      <c r="Q1403">
        <v>1.2562681313945661E-3</v>
      </c>
      <c r="R1403">
        <v>1.4523962785972426E-3</v>
      </c>
      <c r="S1403">
        <v>0.21815006592921418</v>
      </c>
      <c r="T1403">
        <v>3.9497014846722496</v>
      </c>
      <c r="U1403">
        <v>0</v>
      </c>
      <c r="V1403">
        <v>9.4523053561131904E-3</v>
      </c>
      <c r="W1403">
        <v>7.2331487395336208E-2</v>
      </c>
      <c r="X1403">
        <v>1.0172218725107839E-2</v>
      </c>
      <c r="Y1403">
        <v>4.1045827685261237E-3</v>
      </c>
    </row>
    <row r="1404" spans="1:25" x14ac:dyDescent="0.25">
      <c r="A1404" s="1090"/>
      <c r="B1404" s="1448">
        <v>1154</v>
      </c>
      <c r="C1404" s="1094">
        <v>0.9888999461293152</v>
      </c>
      <c r="D1404" s="1094">
        <v>0.99365969820571798</v>
      </c>
      <c r="E1404" s="1094">
        <v>0.99565848252693867</v>
      </c>
      <c r="F1404" s="1094">
        <v>0.99286077227649105</v>
      </c>
      <c r="G1404" s="1094">
        <v>1.0029194998569415</v>
      </c>
      <c r="H1404" s="1094">
        <v>1.0029519847710511</v>
      </c>
      <c r="I1404" s="1094">
        <v>0.95583004259412851</v>
      </c>
      <c r="K1404">
        <v>4.4475203918274246</v>
      </c>
      <c r="L1404">
        <v>0</v>
      </c>
      <c r="M1404">
        <v>1.4904452502573968E-3</v>
      </c>
      <c r="N1404">
        <v>0.12733450774598204</v>
      </c>
      <c r="O1404">
        <v>3.8673517493565894E-2</v>
      </c>
      <c r="P1404">
        <v>1.8909708294393809E-2</v>
      </c>
      <c r="Q1404">
        <v>1.3166611512657278E-3</v>
      </c>
      <c r="R1404">
        <v>1.4843060562386421E-3</v>
      </c>
      <c r="S1404">
        <v>0.22315797351772051</v>
      </c>
      <c r="T1404">
        <v>3.9378570974932616</v>
      </c>
      <c r="U1404">
        <v>0</v>
      </c>
      <c r="V1404">
        <v>9.4523053561131869E-3</v>
      </c>
      <c r="W1404">
        <v>7.6071053475774364E-2</v>
      </c>
      <c r="X1404">
        <v>1.0558944257027835E-2</v>
      </c>
      <c r="Y1404">
        <v>4.1947622363369928E-3</v>
      </c>
    </row>
    <row r="1405" spans="1:25" x14ac:dyDescent="0.25">
      <c r="A1405" s="1090"/>
      <c r="B1405" s="1448">
        <v>1155</v>
      </c>
      <c r="C1405" s="1094">
        <v>1.032435978344771</v>
      </c>
      <c r="D1405" s="1094">
        <v>1.0170980193633177</v>
      </c>
      <c r="E1405" s="1094">
        <v>0.99870383312907052</v>
      </c>
      <c r="F1405" s="1094">
        <v>1.0010749848860905</v>
      </c>
      <c r="G1405" s="1094">
        <v>0.98806133971086751</v>
      </c>
      <c r="H1405" s="1094">
        <v>0.99258713479531457</v>
      </c>
      <c r="I1405" s="1094">
        <v>0.99315934526188243</v>
      </c>
      <c r="K1405">
        <v>4.465541864077144</v>
      </c>
      <c r="L1405">
        <v>0</v>
      </c>
      <c r="M1405">
        <v>1.4022427006462408E-3</v>
      </c>
      <c r="N1405">
        <v>0.12088402725384338</v>
      </c>
      <c r="O1405">
        <v>3.6982374117788125E-2</v>
      </c>
      <c r="P1405">
        <v>1.9090561546820029E-2</v>
      </c>
      <c r="Q1405">
        <v>1.2527047331845613E-3</v>
      </c>
      <c r="R1405">
        <v>1.3964541946902293E-3</v>
      </c>
      <c r="S1405">
        <v>0.22101365926701685</v>
      </c>
      <c r="T1405">
        <v>3.9703198274258709</v>
      </c>
      <c r="U1405">
        <v>0</v>
      </c>
      <c r="V1405">
        <v>9.4523053561131939E-3</v>
      </c>
      <c r="W1405">
        <v>7.2068689982664302E-2</v>
      </c>
      <c r="X1405">
        <v>1.0537016731368884E-2</v>
      </c>
      <c r="Y1405">
        <v>3.9464861684288402E-3</v>
      </c>
    </row>
    <row r="1406" spans="1:25" x14ac:dyDescent="0.25">
      <c r="A1406" s="1090"/>
      <c r="B1406" s="1448">
        <v>1156</v>
      </c>
      <c r="C1406" s="1094">
        <v>1.0033408702430304</v>
      </c>
      <c r="D1406" s="1094">
        <v>0.9814126826352807</v>
      </c>
      <c r="E1406" s="1094">
        <v>0.98822657334666475</v>
      </c>
      <c r="F1406" s="1094">
        <v>1.0028844733868925</v>
      </c>
      <c r="G1406" s="1094">
        <v>0.99885211131297402</v>
      </c>
      <c r="H1406" s="1094">
        <v>0.97910539032634136</v>
      </c>
      <c r="I1406" s="1094">
        <v>0.9875509072059272</v>
      </c>
      <c r="K1406">
        <v>4.4866824561661973</v>
      </c>
      <c r="L1406">
        <v>0</v>
      </c>
      <c r="M1406">
        <v>1.4786209822123489E-3</v>
      </c>
      <c r="N1406">
        <v>0.12356413575169596</v>
      </c>
      <c r="O1406">
        <v>3.8744508366741849E-2</v>
      </c>
      <c r="P1406">
        <v>1.9006255877404468E-2</v>
      </c>
      <c r="Q1406">
        <v>1.2958414154609123E-3</v>
      </c>
      <c r="R1406">
        <v>1.47244425710129E-3</v>
      </c>
      <c r="S1406">
        <v>0.22786009552218642</v>
      </c>
      <c r="T1406">
        <v>3.9778977728420002</v>
      </c>
      <c r="U1406">
        <v>0</v>
      </c>
      <c r="V1406">
        <v>9.4523053561131956E-3</v>
      </c>
      <c r="W1406">
        <v>7.4192363110170065E-2</v>
      </c>
      <c r="X1406">
        <v>1.0514114763162458E-2</v>
      </c>
      <c r="Y1406">
        <v>4.1612398863693145E-3</v>
      </c>
    </row>
    <row r="1407" spans="1:25" x14ac:dyDescent="0.25">
      <c r="A1407" s="1090"/>
      <c r="B1407" s="1448">
        <v>1157</v>
      </c>
      <c r="C1407" s="1094">
        <v>0.9957133402495989</v>
      </c>
      <c r="D1407" s="1094">
        <v>1.0032277777374259</v>
      </c>
      <c r="E1407" s="1094">
        <v>0.99742454005208181</v>
      </c>
      <c r="F1407" s="1094">
        <v>0.98704891106226122</v>
      </c>
      <c r="G1407" s="1094">
        <v>1.0288666135488926</v>
      </c>
      <c r="H1407" s="1094">
        <v>0.98538395220131603</v>
      </c>
      <c r="I1407" s="1094">
        <v>0.97375972015115198</v>
      </c>
      <c r="K1407">
        <v>4.4166532405663759</v>
      </c>
      <c r="L1407">
        <v>0</v>
      </c>
      <c r="M1407">
        <v>1.4349645563147449E-3</v>
      </c>
      <c r="N1407">
        <v>0.12322580253590595</v>
      </c>
      <c r="O1407">
        <v>3.8025966505201757E-2</v>
      </c>
      <c r="P1407">
        <v>1.8828819573593274E-2</v>
      </c>
      <c r="Q1407">
        <v>1.3046261588485605E-3</v>
      </c>
      <c r="R1407">
        <v>1.4289132341221622E-3</v>
      </c>
      <c r="S1407">
        <v>0.22295688491734883</v>
      </c>
      <c r="T1407">
        <v>3.9147397590692581</v>
      </c>
      <c r="U1407">
        <v>0</v>
      </c>
      <c r="V1407">
        <v>9.4523053561131921E-3</v>
      </c>
      <c r="W1407">
        <v>7.3528442308573652E-2</v>
      </c>
      <c r="X1407">
        <v>1.0558467571726503E-2</v>
      </c>
      <c r="Y1407">
        <v>4.038217891993913E-3</v>
      </c>
    </row>
    <row r="1408" spans="1:25" x14ac:dyDescent="0.25">
      <c r="A1408" s="1090"/>
      <c r="B1408" s="1448">
        <v>1158</v>
      </c>
      <c r="C1408" s="1094">
        <v>0.99546239684295768</v>
      </c>
      <c r="D1408" s="1094">
        <v>0.97763109181487795</v>
      </c>
      <c r="E1408" s="1094">
        <v>1.0068878754358335</v>
      </c>
      <c r="F1408" s="1094">
        <v>1.0082003831018012</v>
      </c>
      <c r="G1408" s="1094">
        <v>1.0070990882754578</v>
      </c>
      <c r="H1408" s="1094">
        <v>1.0009910631819154</v>
      </c>
      <c r="I1408" s="1094">
        <v>1.0048795401357933</v>
      </c>
      <c r="K1408">
        <v>4.526845877827177</v>
      </c>
      <c r="L1408">
        <v>0</v>
      </c>
      <c r="M1408">
        <v>1.474950691074006E-3</v>
      </c>
      <c r="N1408">
        <v>0.13028065832141089</v>
      </c>
      <c r="O1408">
        <v>3.9187915777776069E-2</v>
      </c>
      <c r="P1408">
        <v>1.9405666044573743E-2</v>
      </c>
      <c r="Q1408">
        <v>1.3292382636035218E-3</v>
      </c>
      <c r="R1408">
        <v>1.4689556582161867E-3</v>
      </c>
      <c r="S1408">
        <v>0.23650479905479929</v>
      </c>
      <c r="T1408">
        <v>3.9982657776827075</v>
      </c>
      <c r="U1408">
        <v>0</v>
      </c>
      <c r="V1408">
        <v>9.4523053561131973E-3</v>
      </c>
      <c r="W1408">
        <v>7.7243145339159699E-2</v>
      </c>
      <c r="X1408">
        <v>1.1030986180309087E-2</v>
      </c>
      <c r="Y1408">
        <v>4.1513808395780864E-3</v>
      </c>
    </row>
    <row r="1409" spans="1:25" x14ac:dyDescent="0.25">
      <c r="A1409" s="1090"/>
      <c r="B1409" s="1448">
        <v>1159</v>
      </c>
      <c r="C1409" s="1094">
        <v>1.0121456427518007</v>
      </c>
      <c r="D1409" s="1094">
        <v>0.99287484144338012</v>
      </c>
      <c r="E1409" s="1094">
        <v>1.0421447257949192</v>
      </c>
      <c r="F1409" s="1094">
        <v>0.97336940655104098</v>
      </c>
      <c r="G1409" s="1094">
        <v>0.99681383599805495</v>
      </c>
      <c r="H1409" s="1094">
        <v>0.98706343093646354</v>
      </c>
      <c r="I1409" s="1094">
        <v>0.99242171605857687</v>
      </c>
      <c r="K1409">
        <v>4.3601413313659831</v>
      </c>
      <c r="L1409">
        <v>0</v>
      </c>
      <c r="M1409">
        <v>1.2741327846154784E-3</v>
      </c>
      <c r="N1409">
        <v>0.12488616017099886</v>
      </c>
      <c r="O1409">
        <v>3.674658283528532E-2</v>
      </c>
      <c r="P1409">
        <v>1.9190266067331273E-2</v>
      </c>
      <c r="Q1409">
        <v>1.3384968351199246E-3</v>
      </c>
      <c r="R1409">
        <v>1.2686937748802491E-3</v>
      </c>
      <c r="S1409">
        <v>0.22228703334365335</v>
      </c>
      <c r="T1409">
        <v>3.8588438796968219</v>
      </c>
      <c r="U1409">
        <v>0</v>
      </c>
      <c r="V1409">
        <v>9.4523053561132008E-3</v>
      </c>
      <c r="W1409">
        <v>7.2329473650382892E-2</v>
      </c>
      <c r="X1409">
        <v>1.1487146952007699E-2</v>
      </c>
      <c r="Y1409">
        <v>3.5854254679992116E-3</v>
      </c>
    </row>
    <row r="1410" spans="1:25" x14ac:dyDescent="0.25">
      <c r="A1410" s="1090"/>
      <c r="B1410" s="1448">
        <v>1160</v>
      </c>
      <c r="C1410" s="1094">
        <v>1.0299442998181223</v>
      </c>
      <c r="D1410" s="1094">
        <v>0.97482104944974257</v>
      </c>
      <c r="E1410" s="1094">
        <v>1.0094648615072075</v>
      </c>
      <c r="F1410" s="1094">
        <v>1.0111589992505163</v>
      </c>
      <c r="G1410" s="1094">
        <v>0.99262758861142175</v>
      </c>
      <c r="H1410" s="1094">
        <v>0.96008419620174179</v>
      </c>
      <c r="I1410" s="1094">
        <v>1.0112957557485602</v>
      </c>
      <c r="K1410">
        <v>4.5140650523949288</v>
      </c>
      <c r="L1410">
        <v>0</v>
      </c>
      <c r="M1410">
        <v>1.3654485660960312E-3</v>
      </c>
      <c r="N1410">
        <v>0.1215127091864657</v>
      </c>
      <c r="O1410">
        <v>3.8013269144557639E-2</v>
      </c>
      <c r="P1410">
        <v>1.9455171954920265E-2</v>
      </c>
      <c r="Q1410">
        <v>1.2890453277635933E-3</v>
      </c>
      <c r="R1410">
        <v>1.3596790037882667E-3</v>
      </c>
      <c r="S1410">
        <v>0.2275946153065862</v>
      </c>
      <c r="T1410">
        <v>4.0099000639092592</v>
      </c>
      <c r="U1410">
        <v>0</v>
      </c>
      <c r="V1410">
        <v>9.4523053561131939E-3</v>
      </c>
      <c r="W1410">
        <v>7.1919965603218644E-2</v>
      </c>
      <c r="X1410">
        <v>1.1091119497064669E-2</v>
      </c>
      <c r="Y1410">
        <v>3.8425566712868876E-3</v>
      </c>
    </row>
    <row r="1411" spans="1:25" x14ac:dyDescent="0.25">
      <c r="A1411" s="1090"/>
      <c r="B1411" s="1448">
        <v>1161</v>
      </c>
      <c r="C1411" s="1094">
        <v>0.98769374164434509</v>
      </c>
      <c r="D1411" s="1094">
        <v>0.95583864262104001</v>
      </c>
      <c r="E1411" s="1094">
        <v>0.95637689657783331</v>
      </c>
      <c r="F1411" s="1094">
        <v>0.99512099933712039</v>
      </c>
      <c r="G1411" s="1094">
        <v>0.96505985573709285</v>
      </c>
      <c r="H1411" s="1094">
        <v>0.98300187007923523</v>
      </c>
      <c r="I1411" s="1094">
        <v>0.9905779644783792</v>
      </c>
      <c r="K1411">
        <v>4.4629935156964509</v>
      </c>
      <c r="L1411">
        <v>0</v>
      </c>
      <c r="M1411">
        <v>1.6167237394605365E-3</v>
      </c>
      <c r="N1411">
        <v>0.12291251763066563</v>
      </c>
      <c r="O1411">
        <v>3.9691543165458636E-2</v>
      </c>
      <c r="P1411">
        <v>1.8442434046407531E-2</v>
      </c>
      <c r="Q1411">
        <v>1.2938939077346797E-3</v>
      </c>
      <c r="R1411">
        <v>1.6099446169697033E-3</v>
      </c>
      <c r="S1411">
        <v>0.23315990323056723</v>
      </c>
      <c r="T1411">
        <v>3.9483275205497024</v>
      </c>
      <c r="U1411">
        <v>0</v>
      </c>
      <c r="V1411">
        <v>9.4523053561131817E-3</v>
      </c>
      <c r="W1411">
        <v>7.5437954018750517E-2</v>
      </c>
      <c r="X1411">
        <v>9.7323965125310601E-3</v>
      </c>
      <c r="Y1411">
        <v>4.5498264010133205E-3</v>
      </c>
    </row>
    <row r="1412" spans="1:25" x14ac:dyDescent="0.25">
      <c r="A1412" s="1090"/>
      <c r="B1412" s="1448">
        <v>1162</v>
      </c>
      <c r="C1412" s="1094">
        <v>1.0006157693377187</v>
      </c>
      <c r="D1412" s="1094">
        <v>1.0040093742069032</v>
      </c>
      <c r="E1412" s="1094">
        <v>1.0092842573394958</v>
      </c>
      <c r="F1412" s="1094">
        <v>0.98710082004196509</v>
      </c>
      <c r="G1412" s="1094">
        <v>1.007102464876245</v>
      </c>
      <c r="H1412" s="1094">
        <v>0.99821230498422719</v>
      </c>
      <c r="I1412" s="1094">
        <v>1.0038185635441885</v>
      </c>
      <c r="K1412">
        <v>4.4261642671503596</v>
      </c>
      <c r="L1412">
        <v>0</v>
      </c>
      <c r="M1412">
        <v>1.4104594619720183E-3</v>
      </c>
      <c r="N1412">
        <v>0.12545907936363723</v>
      </c>
      <c r="O1412">
        <v>3.7749621457057812E-2</v>
      </c>
      <c r="P1412">
        <v>1.9024929801696337E-2</v>
      </c>
      <c r="Q1412">
        <v>1.3110601425610376E-3</v>
      </c>
      <c r="R1412">
        <v>1.4045882260305472E-3</v>
      </c>
      <c r="S1412">
        <v>0.22962852151801696</v>
      </c>
      <c r="T1412">
        <v>3.9145005655640532</v>
      </c>
      <c r="U1412">
        <v>0</v>
      </c>
      <c r="V1412">
        <v>9.4523053561131939E-3</v>
      </c>
      <c r="W1412">
        <v>7.4264718680144642E-2</v>
      </c>
      <c r="X1412">
        <v>1.0809862941018341E-2</v>
      </c>
      <c r="Y1412">
        <v>3.9694735620004942E-3</v>
      </c>
    </row>
    <row r="1413" spans="1:25" x14ac:dyDescent="0.25">
      <c r="A1413" s="1090"/>
      <c r="B1413" s="1448">
        <v>1163</v>
      </c>
      <c r="C1413" s="1094">
        <v>1.0157039333555691</v>
      </c>
      <c r="D1413" s="1094">
        <v>0.9779878846457507</v>
      </c>
      <c r="E1413" s="1094">
        <v>1.0046521684787528</v>
      </c>
      <c r="F1413" s="1094">
        <v>1.0238602673741524</v>
      </c>
      <c r="G1413" s="1094">
        <v>1.0356852304142548</v>
      </c>
      <c r="H1413" s="1094">
        <v>0.99212069491102972</v>
      </c>
      <c r="I1413" s="1094">
        <v>1.0158398991749373</v>
      </c>
      <c r="K1413">
        <v>4.5855118553326104</v>
      </c>
      <c r="L1413">
        <v>0</v>
      </c>
      <c r="M1413">
        <v>1.4615697203369947E-3</v>
      </c>
      <c r="N1413">
        <v>0.1282500961664251</v>
      </c>
      <c r="O1413">
        <v>3.9013446676953278E-2</v>
      </c>
      <c r="P1413">
        <v>1.9655346745495531E-2</v>
      </c>
      <c r="Q1413">
        <v>1.3000740233385494E-3</v>
      </c>
      <c r="R1413">
        <v>1.4556672679932976E-3</v>
      </c>
      <c r="S1413">
        <v>0.23605412227691819</v>
      </c>
      <c r="T1413">
        <v>4.0604558104474364</v>
      </c>
      <c r="U1413">
        <v>0</v>
      </c>
      <c r="V1413">
        <v>9.4523053561131817E-3</v>
      </c>
      <c r="W1413">
        <v>7.6153766184977864E-2</v>
      </c>
      <c r="X1413">
        <v>1.1068963073010874E-2</v>
      </c>
      <c r="Y1413">
        <v>4.1138268342876001E-3</v>
      </c>
    </row>
    <row r="1414" spans="1:25" x14ac:dyDescent="0.25">
      <c r="A1414" s="1090"/>
      <c r="B1414" s="1448">
        <v>1164</v>
      </c>
      <c r="C1414" s="1094">
        <v>1.0089383497996804</v>
      </c>
      <c r="D1414" s="1094">
        <v>0.9977359200325443</v>
      </c>
      <c r="E1414" s="1094">
        <v>1.0293228881499326</v>
      </c>
      <c r="F1414" s="1094">
        <v>0.97308173573189427</v>
      </c>
      <c r="G1414" s="1094">
        <v>0.99716954977809058</v>
      </c>
      <c r="H1414" s="1094">
        <v>1.0053408787536797</v>
      </c>
      <c r="I1414" s="1094">
        <v>1.0260818061470707</v>
      </c>
      <c r="K1414">
        <v>4.3708317098099307</v>
      </c>
      <c r="L1414">
        <v>0</v>
      </c>
      <c r="M1414">
        <v>1.3346739762270651E-3</v>
      </c>
      <c r="N1414">
        <v>0.12596577393603842</v>
      </c>
      <c r="O1414">
        <v>3.6865978241911845E-2</v>
      </c>
      <c r="P1414">
        <v>1.9053302045155884E-2</v>
      </c>
      <c r="Q1414">
        <v>1.3258116644002389E-3</v>
      </c>
      <c r="R1414">
        <v>1.3290784634945388E-3</v>
      </c>
      <c r="S1414">
        <v>0.23153789576767045</v>
      </c>
      <c r="T1414">
        <v>3.8581702104406621</v>
      </c>
      <c r="U1414">
        <v>0</v>
      </c>
      <c r="V1414">
        <v>9.4523053561132008E-3</v>
      </c>
      <c r="W1414">
        <v>7.3574511596562447E-2</v>
      </c>
      <c r="X1414">
        <v>1.1135439065968379E-2</v>
      </c>
      <c r="Y1414">
        <v>3.7560772081760801E-3</v>
      </c>
    </row>
    <row r="1415" spans="1:25" x14ac:dyDescent="0.25">
      <c r="A1415" s="1090"/>
      <c r="B1415" s="1448">
        <v>1165</v>
      </c>
      <c r="C1415" s="1094">
        <v>0.99787914748394024</v>
      </c>
      <c r="D1415" s="1094">
        <v>0.98763773498009622</v>
      </c>
      <c r="E1415" s="1094">
        <v>1.0095519845572052</v>
      </c>
      <c r="F1415" s="1094">
        <v>0.97700378066637095</v>
      </c>
      <c r="G1415" s="1094">
        <v>1.0026522186954665</v>
      </c>
      <c r="H1415" s="1094">
        <v>0.9913723415062341</v>
      </c>
      <c r="I1415" s="1094">
        <v>0.98328611464748172</v>
      </c>
      <c r="K1415">
        <v>4.379271186806128</v>
      </c>
      <c r="L1415">
        <v>0</v>
      </c>
      <c r="M1415">
        <v>1.3987113046723674E-3</v>
      </c>
      <c r="N1415">
        <v>0.12450377103335329</v>
      </c>
      <c r="O1415">
        <v>3.7711334885177597E-2</v>
      </c>
      <c r="P1415">
        <v>1.8822294311960103E-2</v>
      </c>
      <c r="Q1415">
        <v>1.3236315232370687E-3</v>
      </c>
      <c r="R1415">
        <v>1.3927884680987419E-3</v>
      </c>
      <c r="S1415">
        <v>0.22462709395099753</v>
      </c>
      <c r="T1415">
        <v>3.874449283557007</v>
      </c>
      <c r="U1415">
        <v>0</v>
      </c>
      <c r="V1415">
        <v>9.4523053561131904E-3</v>
      </c>
      <c r="W1415">
        <v>7.3685980049454675E-2</v>
      </c>
      <c r="X1415">
        <v>1.0765288430185326E-2</v>
      </c>
      <c r="Y1415">
        <v>3.9361265452163112E-3</v>
      </c>
    </row>
    <row r="1416" spans="1:25" x14ac:dyDescent="0.25">
      <c r="A1416" s="1090"/>
      <c r="B1416" s="1448">
        <v>1166</v>
      </c>
      <c r="C1416" s="1094">
        <v>0.99182395690940206</v>
      </c>
      <c r="D1416" s="1094">
        <v>1.0108741326057422</v>
      </c>
      <c r="E1416" s="1094">
        <v>0.99398313495400492</v>
      </c>
      <c r="F1416" s="1094">
        <v>0.98045279723774792</v>
      </c>
      <c r="G1416" s="1094">
        <v>1.0242334641452806</v>
      </c>
      <c r="H1416" s="1094">
        <v>0.9629500929621011</v>
      </c>
      <c r="I1416" s="1094">
        <v>1.007792744690978</v>
      </c>
      <c r="K1416">
        <v>4.3895473759255994</v>
      </c>
      <c r="L1416">
        <v>0</v>
      </c>
      <c r="M1416">
        <v>1.4043188811813938E-3</v>
      </c>
      <c r="N1416">
        <v>0.1193550919051458</v>
      </c>
      <c r="O1416">
        <v>3.782822014443505E-2</v>
      </c>
      <c r="P1416">
        <v>1.8687147413448138E-2</v>
      </c>
      <c r="Q1416">
        <v>1.3019142697525241E-3</v>
      </c>
      <c r="R1416">
        <v>1.3982182272979583E-3</v>
      </c>
      <c r="S1416">
        <v>0.22839449931554023</v>
      </c>
      <c r="T1416">
        <v>3.8887076380361072</v>
      </c>
      <c r="U1416">
        <v>0</v>
      </c>
      <c r="V1416">
        <v>9.4523053561131887E-3</v>
      </c>
      <c r="W1416">
        <v>7.1385131353056991E-2</v>
      </c>
      <c r="X1416">
        <v>1.0490057326627682E-2</v>
      </c>
      <c r="Y1416">
        <v>3.9514714592558016E-3</v>
      </c>
    </row>
    <row r="1417" spans="1:25" x14ac:dyDescent="0.25">
      <c r="A1417" s="1090"/>
      <c r="B1417" s="1448">
        <v>1167</v>
      </c>
      <c r="C1417" s="1094">
        <v>0.97756179981858682</v>
      </c>
      <c r="D1417" s="1094">
        <v>0.97014626070460408</v>
      </c>
      <c r="E1417" s="1094">
        <v>0.97338815238022425</v>
      </c>
      <c r="F1417" s="1094">
        <v>0.98758490464710114</v>
      </c>
      <c r="G1417" s="1094">
        <v>0.98931512999105053</v>
      </c>
      <c r="H1417" s="1094">
        <v>0.97180957963244563</v>
      </c>
      <c r="I1417" s="1094">
        <v>0.98905379337407029</v>
      </c>
      <c r="K1417">
        <v>4.4305947563779906</v>
      </c>
      <c r="L1417">
        <v>0</v>
      </c>
      <c r="M1417">
        <v>1.5374465162053313E-3</v>
      </c>
      <c r="N1417">
        <v>0.12293409491035147</v>
      </c>
      <c r="O1417">
        <v>3.9444698635980394E-2</v>
      </c>
      <c r="P1417">
        <v>1.8544426030483997E-2</v>
      </c>
      <c r="Q1417">
        <v>1.3190795198476132E-3</v>
      </c>
      <c r="R1417">
        <v>1.5308760128880891E-3</v>
      </c>
      <c r="S1417">
        <v>0.23209210027959851</v>
      </c>
      <c r="T1417">
        <v>3.9177759676109067</v>
      </c>
      <c r="U1417">
        <v>0</v>
      </c>
      <c r="V1417">
        <v>9.4523053561131869E-3</v>
      </c>
      <c r="W1417">
        <v>7.4567892502084829E-2</v>
      </c>
      <c r="X1417">
        <v>1.0144389546664228E-2</v>
      </c>
      <c r="Y1417">
        <v>4.3263724892763254E-3</v>
      </c>
    </row>
    <row r="1418" spans="1:25" x14ac:dyDescent="0.25">
      <c r="A1418" s="1090"/>
      <c r="B1418" s="1448">
        <v>1168</v>
      </c>
      <c r="C1418" s="1094">
        <v>1.000718362132331</v>
      </c>
      <c r="D1418" s="1094">
        <v>1.0298019890951315</v>
      </c>
      <c r="E1418" s="1094">
        <v>0.99705088349064619</v>
      </c>
      <c r="F1418" s="1094">
        <v>0.99539267844041401</v>
      </c>
      <c r="G1418" s="1094">
        <v>0.99020646002874368</v>
      </c>
      <c r="H1418" s="1094">
        <v>1.0002160655739307</v>
      </c>
      <c r="I1418" s="1094">
        <v>1.0366840426293313</v>
      </c>
      <c r="K1418">
        <v>4.4650768183872405</v>
      </c>
      <c r="L1418">
        <v>0</v>
      </c>
      <c r="M1418">
        <v>1.4474132343373078E-3</v>
      </c>
      <c r="N1418">
        <v>0.12416937589321328</v>
      </c>
      <c r="O1418">
        <v>3.7761202082866971E-2</v>
      </c>
      <c r="P1418">
        <v>1.9036686056744665E-2</v>
      </c>
      <c r="Q1418">
        <v>1.2841848644611438E-3</v>
      </c>
      <c r="R1418">
        <v>1.4414501265353832E-3</v>
      </c>
      <c r="S1418">
        <v>0.23680374222863096</v>
      </c>
      <c r="T1418">
        <v>3.9478462004897117</v>
      </c>
      <c r="U1418">
        <v>0</v>
      </c>
      <c r="V1418">
        <v>9.4523053561131904E-3</v>
      </c>
      <c r="W1418">
        <v>7.4110218419255955E-2</v>
      </c>
      <c r="X1418">
        <v>1.0545217996943817E-2</v>
      </c>
      <c r="Y1418">
        <v>4.07364810710013E-3</v>
      </c>
    </row>
    <row r="1419" spans="1:25" x14ac:dyDescent="0.25">
      <c r="A1419" s="1090"/>
      <c r="B1419" s="1448">
        <v>1169</v>
      </c>
      <c r="C1419" s="1094">
        <v>0.96591146356845436</v>
      </c>
      <c r="D1419" s="1094">
        <v>1.0211111835017401</v>
      </c>
      <c r="E1419" s="1094">
        <v>1.0233131006462455</v>
      </c>
      <c r="F1419" s="1094">
        <v>1.0080672852764863</v>
      </c>
      <c r="G1419" s="1094">
        <v>0.9856413236898407</v>
      </c>
      <c r="H1419" s="1094">
        <v>0.96148665191288196</v>
      </c>
      <c r="I1419" s="1094">
        <v>0.95572986140549965</v>
      </c>
      <c r="K1419">
        <v>4.512230403058215</v>
      </c>
      <c r="L1419">
        <v>0</v>
      </c>
      <c r="M1419">
        <v>1.3858130212427878E-3</v>
      </c>
      <c r="N1419">
        <v>0.12848320170215269</v>
      </c>
      <c r="O1419">
        <v>3.9567723408879617E-2</v>
      </c>
      <c r="P1419">
        <v>1.9586599991026625E-2</v>
      </c>
      <c r="Q1419">
        <v>1.3651688087682717E-3</v>
      </c>
      <c r="R1419">
        <v>1.3799480923852069E-3</v>
      </c>
      <c r="S1419">
        <v>0.2258084135435576</v>
      </c>
      <c r="T1419">
        <v>3.997112082566201</v>
      </c>
      <c r="U1419">
        <v>0</v>
      </c>
      <c r="V1419">
        <v>9.4523053561131852E-3</v>
      </c>
      <c r="W1419">
        <v>7.5344942384045516E-2</v>
      </c>
      <c r="X1419">
        <v>1.1615991563195311E-2</v>
      </c>
      <c r="Y1419">
        <v>3.8998386631335495E-3</v>
      </c>
    </row>
    <row r="1420" spans="1:25" x14ac:dyDescent="0.25">
      <c r="A1420" s="1090"/>
      <c r="B1420" s="1448">
        <v>1170</v>
      </c>
      <c r="C1420" s="1094">
        <v>1.0414790663288751</v>
      </c>
      <c r="D1420" s="1094">
        <v>0.97250612246465362</v>
      </c>
      <c r="E1420" s="1094">
        <v>0.97475323754184096</v>
      </c>
      <c r="F1420" s="1094">
        <v>0.98078483663805083</v>
      </c>
      <c r="G1420" s="1094">
        <v>1.0108380832253008</v>
      </c>
      <c r="H1420" s="1094">
        <v>0.98834120662843195</v>
      </c>
      <c r="I1420" s="1094">
        <v>1.0040533146344692</v>
      </c>
      <c r="K1420">
        <v>4.3788424567286448</v>
      </c>
      <c r="L1420">
        <v>0</v>
      </c>
      <c r="M1420">
        <v>1.4519971667594556E-3</v>
      </c>
      <c r="N1420">
        <v>0.1165779982378185</v>
      </c>
      <c r="O1420">
        <v>3.6724381945048228E-2</v>
      </c>
      <c r="P1420">
        <v>1.8394372933512693E-2</v>
      </c>
      <c r="Q1420">
        <v>1.238394936282632E-3</v>
      </c>
      <c r="R1420">
        <v>1.4458535112019933E-3</v>
      </c>
      <c r="S1420">
        <v>0.2211708307624472</v>
      </c>
      <c r="T1420">
        <v>3.8907482850591979</v>
      </c>
      <c r="U1420">
        <v>0</v>
      </c>
      <c r="V1420">
        <v>9.4523053561131939E-3</v>
      </c>
      <c r="W1420">
        <v>7.0646115671320314E-2</v>
      </c>
      <c r="X1420">
        <v>9.8098230741086746E-3</v>
      </c>
      <c r="Y1420">
        <v>4.0860924083504866E-3</v>
      </c>
    </row>
    <row r="1421" spans="1:25" x14ac:dyDescent="0.25">
      <c r="A1421" s="1090"/>
      <c r="B1421" s="1448">
        <v>1171</v>
      </c>
      <c r="C1421" s="1094">
        <v>1.0402884445153711</v>
      </c>
      <c r="D1421" s="1094">
        <v>1.0027574539025847</v>
      </c>
      <c r="E1421" s="1094">
        <v>0.97843458210726708</v>
      </c>
      <c r="F1421" s="1094">
        <v>0.99246183505518448</v>
      </c>
      <c r="G1421" s="1094">
        <v>0.97849568326751868</v>
      </c>
      <c r="H1421" s="1094">
        <v>0.99017264985268794</v>
      </c>
      <c r="I1421" s="1094">
        <v>0.99738890052760765</v>
      </c>
      <c r="K1421">
        <v>4.4248976467375671</v>
      </c>
      <c r="L1421">
        <v>0</v>
      </c>
      <c r="M1421">
        <v>1.4444725354476756E-3</v>
      </c>
      <c r="N1421">
        <v>0.11725476069765647</v>
      </c>
      <c r="O1421">
        <v>3.6727071548982353E-2</v>
      </c>
      <c r="P1421">
        <v>1.8646382919130712E-2</v>
      </c>
      <c r="Q1421">
        <v>1.228641941240506E-3</v>
      </c>
      <c r="R1421">
        <v>1.4384435025731016E-3</v>
      </c>
      <c r="S1421">
        <v>0.219763593039942</v>
      </c>
      <c r="T1421">
        <v>3.9369299179526895</v>
      </c>
      <c r="U1421">
        <v>0</v>
      </c>
      <c r="V1421">
        <v>9.4523053561131869E-3</v>
      </c>
      <c r="W1421">
        <v>7.0876824270447197E-2</v>
      </c>
      <c r="X1421">
        <v>9.9590268860015752E-3</v>
      </c>
      <c r="Y1421">
        <v>4.0651511582378433E-3</v>
      </c>
    </row>
    <row r="1422" spans="1:25" x14ac:dyDescent="0.25">
      <c r="A1422" s="1090"/>
      <c r="B1422" s="1448">
        <v>1172</v>
      </c>
      <c r="C1422" s="1094">
        <v>0.99648474393452047</v>
      </c>
      <c r="D1422" s="1094">
        <v>0.95499966774727674</v>
      </c>
      <c r="E1422" s="1094">
        <v>0.96743587916126961</v>
      </c>
      <c r="F1422" s="1094">
        <v>1.0057973455281712</v>
      </c>
      <c r="G1422" s="1094">
        <v>0.98659559468025315</v>
      </c>
      <c r="H1422" s="1094">
        <v>1.0119992733439274</v>
      </c>
      <c r="I1422" s="1094">
        <v>0.97329314236888975</v>
      </c>
      <c r="K1422">
        <v>4.5110465167235487</v>
      </c>
      <c r="L1422">
        <v>0</v>
      </c>
      <c r="M1422">
        <v>1.6297766624886688E-3</v>
      </c>
      <c r="N1422">
        <v>0.12806501870267972</v>
      </c>
      <c r="O1422">
        <v>3.9699897713542015E-2</v>
      </c>
      <c r="P1422">
        <v>1.8776762643670782E-2</v>
      </c>
      <c r="Q1422">
        <v>1.2954493876884995E-3</v>
      </c>
      <c r="R1422">
        <v>1.6232087960650207E-3</v>
      </c>
      <c r="S1422">
        <v>0.23095529382007732</v>
      </c>
      <c r="T1422">
        <v>3.9902564805106198</v>
      </c>
      <c r="U1422">
        <v>0</v>
      </c>
      <c r="V1422">
        <v>9.4523053561131973E-3</v>
      </c>
      <c r="W1422">
        <v>7.7999669654126094E-2</v>
      </c>
      <c r="X1422">
        <v>9.9648948176422215E-3</v>
      </c>
      <c r="Y1422">
        <v>4.5873119838088557E-3</v>
      </c>
    </row>
    <row r="1423" spans="1:25" x14ac:dyDescent="0.25">
      <c r="A1423" s="1090"/>
      <c r="B1423" s="1448">
        <v>1173</v>
      </c>
      <c r="C1423" s="1094">
        <v>0.98323729915750646</v>
      </c>
      <c r="D1423" s="1094">
        <v>1.004157484282385</v>
      </c>
      <c r="E1423" s="1094">
        <v>1.0028026027699615</v>
      </c>
      <c r="F1423" s="1094">
        <v>1.0394464116972428</v>
      </c>
      <c r="G1423" s="1094">
        <v>1.0085269467590141</v>
      </c>
      <c r="H1423" s="1094">
        <v>1.0253211772673443</v>
      </c>
      <c r="I1423" s="1094">
        <v>0.9649950032662401</v>
      </c>
      <c r="K1423">
        <v>4.6628608493495713</v>
      </c>
      <c r="L1423">
        <v>0</v>
      </c>
      <c r="M1423">
        <v>1.5734911383482755E-3</v>
      </c>
      <c r="N1423">
        <v>0.13734269515914127</v>
      </c>
      <c r="O1423">
        <v>4.049869415603654E-2</v>
      </c>
      <c r="P1423">
        <v>1.9904534867691233E-2</v>
      </c>
      <c r="Q1423">
        <v>1.3267916898050086E-3</v>
      </c>
      <c r="R1423">
        <v>1.5674342926125949E-3</v>
      </c>
      <c r="S1423">
        <v>0.2347542680005992</v>
      </c>
      <c r="T1423">
        <v>4.1223408876403589</v>
      </c>
      <c r="U1423">
        <v>0</v>
      </c>
      <c r="V1423">
        <v>9.4523053561131835E-3</v>
      </c>
      <c r="W1423">
        <v>8.1654623731548165E-2</v>
      </c>
      <c r="X1423">
        <v>1.11624166151438E-2</v>
      </c>
      <c r="Y1423">
        <v>4.4296889788704007E-3</v>
      </c>
    </row>
    <row r="1424" spans="1:25" x14ac:dyDescent="0.25">
      <c r="A1424" s="1090"/>
      <c r="B1424" s="1448">
        <v>1174</v>
      </c>
      <c r="C1424" s="1094">
        <v>1.0027769214267681</v>
      </c>
      <c r="D1424" s="1094">
        <v>1.0313190929008869</v>
      </c>
      <c r="E1424" s="1094">
        <v>1.0080989443774098</v>
      </c>
      <c r="F1424" s="1094">
        <v>1.009532901828013</v>
      </c>
      <c r="G1424" s="1094">
        <v>1.0150482312100944</v>
      </c>
      <c r="H1424" s="1094">
        <v>1.0063446066825652</v>
      </c>
      <c r="I1424" s="1094">
        <v>1.0086788738845058</v>
      </c>
      <c r="K1424">
        <v>4.5224424674352557</v>
      </c>
      <c r="L1424">
        <v>0</v>
      </c>
      <c r="M1424">
        <v>1.4390957976771731E-3</v>
      </c>
      <c r="N1424">
        <v>0.12757378216254331</v>
      </c>
      <c r="O1424">
        <v>3.812104465403042E-2</v>
      </c>
      <c r="P1424">
        <v>1.9428788140546285E-2</v>
      </c>
      <c r="Q1424">
        <v>1.2929590321169139E-3</v>
      </c>
      <c r="R1424">
        <v>1.4332852648314737E-3</v>
      </c>
      <c r="S1424">
        <v>0.23251649303799463</v>
      </c>
      <c r="T1424">
        <v>4.0035038200837771</v>
      </c>
      <c r="U1424">
        <v>0</v>
      </c>
      <c r="V1424">
        <v>9.4523053561131921E-3</v>
      </c>
      <c r="W1424">
        <v>7.5576670378944305E-2</v>
      </c>
      <c r="X1424">
        <v>1.0931841537466505E-2</v>
      </c>
      <c r="Y1424">
        <v>4.0505735845671803E-3</v>
      </c>
    </row>
    <row r="1425" spans="1:25" x14ac:dyDescent="0.25">
      <c r="A1425" s="1090"/>
      <c r="B1425" s="1448">
        <v>1175</v>
      </c>
      <c r="C1425" s="1094">
        <v>1.0159001546785964</v>
      </c>
      <c r="D1425" s="1094">
        <v>0.9930251840678459</v>
      </c>
      <c r="E1425" s="1094">
        <v>0.97713865078335871</v>
      </c>
      <c r="F1425" s="1094">
        <v>1.0244873641996843</v>
      </c>
      <c r="G1425" s="1094">
        <v>1.0179974960884479</v>
      </c>
      <c r="H1425" s="1094">
        <v>0.98394672786297321</v>
      </c>
      <c r="I1425" s="1094">
        <v>0.9618362467778373</v>
      </c>
      <c r="K1425">
        <v>4.5677142310651693</v>
      </c>
      <c r="L1425">
        <v>0</v>
      </c>
      <c r="M1425">
        <v>1.5271607337550594E-3</v>
      </c>
      <c r="N1425">
        <v>0.12350402363182926</v>
      </c>
      <c r="O1425">
        <v>3.8983064626103341E-2</v>
      </c>
      <c r="P1425">
        <v>1.9205941807968977E-2</v>
      </c>
      <c r="Q1425">
        <v>1.2616331924538123E-3</v>
      </c>
      <c r="R1425">
        <v>1.5209459535640434E-3</v>
      </c>
      <c r="S1425">
        <v>0.22192516619510902</v>
      </c>
      <c r="T1425">
        <v>4.0640209360663375</v>
      </c>
      <c r="U1425">
        <v>0</v>
      </c>
      <c r="V1425">
        <v>9.4523053561131939E-3</v>
      </c>
      <c r="W1425">
        <v>7.472072167985773E-2</v>
      </c>
      <c r="X1425">
        <v>1.0348343906082295E-2</v>
      </c>
      <c r="Y1425">
        <v>4.2983093835024079E-3</v>
      </c>
    </row>
    <row r="1426" spans="1:25" x14ac:dyDescent="0.25">
      <c r="A1426" s="1090"/>
      <c r="B1426" s="1448">
        <v>1176</v>
      </c>
      <c r="C1426" s="1094">
        <v>0.99721823061144321</v>
      </c>
      <c r="D1426" s="1094">
        <v>1.0462414960800557</v>
      </c>
      <c r="E1426" s="1094">
        <v>0.99164357507127887</v>
      </c>
      <c r="F1426" s="1094">
        <v>0.99197571571913801</v>
      </c>
      <c r="G1426" s="1094">
        <v>1.0049552173465695</v>
      </c>
      <c r="H1426" s="1094">
        <v>0.9837766920828952</v>
      </c>
      <c r="I1426" s="1094">
        <v>0.99381502452497594</v>
      </c>
      <c r="K1426">
        <v>4.4342021345928728</v>
      </c>
      <c r="L1426">
        <v>0</v>
      </c>
      <c r="M1426">
        <v>1.4309337612757485E-3</v>
      </c>
      <c r="N1426">
        <v>0.1207936677976353</v>
      </c>
      <c r="O1426">
        <v>3.7561417672979207E-2</v>
      </c>
      <c r="P1426">
        <v>1.8846018564927205E-2</v>
      </c>
      <c r="Q1426">
        <v>1.2746121128060133E-3</v>
      </c>
      <c r="R1426">
        <v>1.4249194737583988E-3</v>
      </c>
      <c r="S1426">
        <v>0.22499529955376293</v>
      </c>
      <c r="T1426">
        <v>3.9344989455500161</v>
      </c>
      <c r="U1426">
        <v>0</v>
      </c>
      <c r="V1426">
        <v>9.4523053561131817E-3</v>
      </c>
      <c r="W1426">
        <v>7.2360418054134734E-2</v>
      </c>
      <c r="X1426">
        <v>1.0398532997720243E-2</v>
      </c>
      <c r="Y1426">
        <v>4.0269312202967367E-3</v>
      </c>
    </row>
    <row r="1427" spans="1:25" x14ac:dyDescent="0.25">
      <c r="A1427" s="1090"/>
      <c r="B1427" s="1448">
        <v>1177</v>
      </c>
      <c r="C1427" s="1094">
        <v>0.9829401791118435</v>
      </c>
      <c r="D1427" s="1094">
        <v>1.0121971804395711</v>
      </c>
      <c r="E1427" s="1094">
        <v>1.0032748523118307</v>
      </c>
      <c r="F1427" s="1094">
        <v>1.0056422004519114</v>
      </c>
      <c r="G1427" s="1094">
        <v>1.0186449759281944</v>
      </c>
      <c r="H1427" s="1094">
        <v>1.0001583437568298</v>
      </c>
      <c r="I1427" s="1094">
        <v>0.99333979567836272</v>
      </c>
      <c r="K1427">
        <v>4.5123960956396418</v>
      </c>
      <c r="L1427">
        <v>0</v>
      </c>
      <c r="M1427">
        <v>1.4794011618241237E-3</v>
      </c>
      <c r="N1427">
        <v>0.12928107211289602</v>
      </c>
      <c r="O1427">
        <v>3.9065341699621274E-2</v>
      </c>
      <c r="P1427">
        <v>1.9295851763361533E-2</v>
      </c>
      <c r="Q1427">
        <v>1.3235005198207589E-3</v>
      </c>
      <c r="R1427">
        <v>1.4733677866373867E-3</v>
      </c>
      <c r="S1427">
        <v>0.23382091196817767</v>
      </c>
      <c r="T1427">
        <v>3.9882586962161732</v>
      </c>
      <c r="U1427">
        <v>0</v>
      </c>
      <c r="V1427">
        <v>9.4523053561131973E-3</v>
      </c>
      <c r="W1427">
        <v>7.6837252647349308E-2</v>
      </c>
      <c r="X1427">
        <v>1.0903346879964778E-2</v>
      </c>
      <c r="Y1427">
        <v>4.1638498513464671E-3</v>
      </c>
    </row>
    <row r="1428" spans="1:25" x14ac:dyDescent="0.25">
      <c r="A1428" s="1090"/>
      <c r="B1428" s="1448">
        <v>1178</v>
      </c>
      <c r="C1428" s="1094">
        <v>0.97739355616504331</v>
      </c>
      <c r="D1428" s="1094">
        <v>1.0101324217450756</v>
      </c>
      <c r="E1428" s="1094">
        <v>1.025732502990474</v>
      </c>
      <c r="F1428" s="1094">
        <v>1.0125446672467171</v>
      </c>
      <c r="G1428" s="1094">
        <v>0.9992943394367042</v>
      </c>
      <c r="H1428" s="1094">
        <v>0.98881491272728461</v>
      </c>
      <c r="I1428" s="1094">
        <v>1.0001897000843227</v>
      </c>
      <c r="K1428">
        <v>4.5468164107496394</v>
      </c>
      <c r="L1428">
        <v>0</v>
      </c>
      <c r="M1428">
        <v>1.4135720301415458E-3</v>
      </c>
      <c r="N1428">
        <v>0.13201588987382451</v>
      </c>
      <c r="O1428">
        <v>3.9429571547564199E-2</v>
      </c>
      <c r="P1428">
        <v>1.9755555506395909E-2</v>
      </c>
      <c r="Q1428">
        <v>1.3577465167700822E-3</v>
      </c>
      <c r="R1428">
        <v>1.4077805782841404E-3</v>
      </c>
      <c r="S1428">
        <v>0.23713106124558453</v>
      </c>
      <c r="T1428">
        <v>4.0147732929091617</v>
      </c>
      <c r="U1428">
        <v>0</v>
      </c>
      <c r="V1428">
        <v>9.4523053561131783E-3</v>
      </c>
      <c r="W1428">
        <v>7.7292166666918516E-2</v>
      </c>
      <c r="X1428">
        <v>1.1636117185974803E-2</v>
      </c>
      <c r="Y1428">
        <v>3.978495393193714E-3</v>
      </c>
    </row>
    <row r="1429" spans="1:25" x14ac:dyDescent="0.25">
      <c r="A1429" s="1090"/>
      <c r="B1429" s="1448">
        <v>1179</v>
      </c>
      <c r="C1429" s="1094">
        <v>0.97700411258485742</v>
      </c>
      <c r="D1429" s="1094">
        <v>0.99631442378776003</v>
      </c>
      <c r="E1429" s="1094">
        <v>0.98316615962772425</v>
      </c>
      <c r="F1429" s="1094">
        <v>1.025391323502953</v>
      </c>
      <c r="G1429" s="1094">
        <v>1.0069575314458439</v>
      </c>
      <c r="H1429" s="1094">
        <v>0.9825514130203159</v>
      </c>
      <c r="I1429" s="1094">
        <v>1.0127203432559602</v>
      </c>
      <c r="K1429">
        <v>4.6023573824487514</v>
      </c>
      <c r="L1429">
        <v>0</v>
      </c>
      <c r="M1429">
        <v>1.565072803833909E-3</v>
      </c>
      <c r="N1429">
        <v>0.12885389529514962</v>
      </c>
      <c r="O1429">
        <v>4.0473822441377448E-2</v>
      </c>
      <c r="P1429">
        <v>1.9402607206295924E-2</v>
      </c>
      <c r="Q1429">
        <v>1.3169986010528637E-3</v>
      </c>
      <c r="R1429">
        <v>1.558700296104196E-3</v>
      </c>
      <c r="S1429">
        <v>0.2427602122466152</v>
      </c>
      <c r="T1429">
        <v>4.0673691960325149</v>
      </c>
      <c r="U1429">
        <v>0</v>
      </c>
      <c r="V1429">
        <v>9.4523053561131869E-3</v>
      </c>
      <c r="W1429">
        <v>7.7636189016691753E-2</v>
      </c>
      <c r="X1429">
        <v>1.0693522722741452E-2</v>
      </c>
      <c r="Y1429">
        <v>4.4050060379285756E-3</v>
      </c>
    </row>
    <row r="1430" spans="1:25" x14ac:dyDescent="0.25">
      <c r="A1430" s="1090"/>
      <c r="B1430" s="1448">
        <v>1180</v>
      </c>
      <c r="C1430" s="1094">
        <v>1.0064610411179353</v>
      </c>
      <c r="D1430" s="1094">
        <v>0.98845130640732093</v>
      </c>
      <c r="E1430" s="1094">
        <v>0.99542451700961587</v>
      </c>
      <c r="F1430" s="1094">
        <v>0.96194284472668967</v>
      </c>
      <c r="G1430" s="1094">
        <v>1.0150847305121413</v>
      </c>
      <c r="H1430" s="1094">
        <v>0.99220300127108996</v>
      </c>
      <c r="I1430" s="1094">
        <v>0.96847630637324389</v>
      </c>
      <c r="K1430">
        <v>4.3043995728473083</v>
      </c>
      <c r="L1430">
        <v>0</v>
      </c>
      <c r="M1430">
        <v>1.407463622752271E-3</v>
      </c>
      <c r="N1430">
        <v>0.12014024733734222</v>
      </c>
      <c r="O1430">
        <v>3.6894453279984613E-2</v>
      </c>
      <c r="P1430">
        <v>1.8323068600074714E-2</v>
      </c>
      <c r="Q1430">
        <v>1.2961493140299612E-3</v>
      </c>
      <c r="R1430">
        <v>1.4014158768297141E-3</v>
      </c>
      <c r="S1430">
        <v>0.21710133643131696</v>
      </c>
      <c r="T1430">
        <v>3.8152398525159477</v>
      </c>
      <c r="U1430">
        <v>0</v>
      </c>
      <c r="V1430">
        <v>9.4523053561131852E-3</v>
      </c>
      <c r="W1430">
        <v>7.17845070445748E-2</v>
      </c>
      <c r="X1430">
        <v>1.0213192452886795E-2</v>
      </c>
      <c r="Y1430">
        <v>3.960508260961536E-3</v>
      </c>
    </row>
    <row r="1431" spans="1:25" x14ac:dyDescent="0.25">
      <c r="A1431" s="1090"/>
      <c r="B1431" s="1448">
        <v>1181</v>
      </c>
      <c r="C1431" s="1094">
        <v>0.96184006881312101</v>
      </c>
      <c r="D1431" s="1094">
        <v>0.97999614711818672</v>
      </c>
      <c r="E1431" s="1094">
        <v>1.0049995139022743</v>
      </c>
      <c r="F1431" s="1094">
        <v>1.0195882504720504</v>
      </c>
      <c r="G1431" s="1094">
        <v>0.96341727491974527</v>
      </c>
      <c r="H1431" s="1094">
        <v>1.0000229803062453</v>
      </c>
      <c r="I1431" s="1094">
        <v>1.0042849411281569</v>
      </c>
      <c r="K1431">
        <v>4.5933207301354146</v>
      </c>
      <c r="L1431">
        <v>0</v>
      </c>
      <c r="M1431">
        <v>1.546843676659885E-3</v>
      </c>
      <c r="N1431">
        <v>0.13587451824482907</v>
      </c>
      <c r="O1431">
        <v>4.0990134348694265E-2</v>
      </c>
      <c r="P1431">
        <v>1.9629469690458302E-2</v>
      </c>
      <c r="Q1431">
        <v>1.372160393626212E-3</v>
      </c>
      <c r="R1431">
        <v>1.5406203516231695E-3</v>
      </c>
      <c r="S1431">
        <v>0.2462315806412447</v>
      </c>
      <c r="T1431">
        <v>4.0435002630279788</v>
      </c>
      <c r="U1431">
        <v>0</v>
      </c>
      <c r="V1431">
        <v>9.4523053561131956E-3</v>
      </c>
      <c r="W1431">
        <v>8.0662203440820784E-2</v>
      </c>
      <c r="X1431">
        <v>1.1260407582196489E-2</v>
      </c>
      <c r="Y1431">
        <v>4.3539107344867326E-3</v>
      </c>
    </row>
    <row r="1432" spans="1:25" x14ac:dyDescent="0.25">
      <c r="A1432" s="1090"/>
      <c r="B1432" s="1448">
        <v>1182</v>
      </c>
      <c r="C1432" s="1094">
        <v>0.99953043059733038</v>
      </c>
      <c r="D1432" s="1094">
        <v>0.97929576301731647</v>
      </c>
      <c r="E1432" s="1094">
        <v>0.95421480154616434</v>
      </c>
      <c r="F1432" s="1094">
        <v>1.0249213664253385</v>
      </c>
      <c r="G1432" s="1094">
        <v>1.0302206955534898</v>
      </c>
      <c r="H1432" s="1094">
        <v>1.0165680004742368</v>
      </c>
      <c r="I1432" s="1094">
        <v>1.0098658041715263</v>
      </c>
      <c r="K1432">
        <v>4.5978294580555206</v>
      </c>
      <c r="L1432">
        <v>0</v>
      </c>
      <c r="M1432">
        <v>1.6926159724284795E-3</v>
      </c>
      <c r="N1432">
        <v>0.12789067744992605</v>
      </c>
      <c r="O1432">
        <v>4.0021416586549209E-2</v>
      </c>
      <c r="P1432">
        <v>1.8963437296842391E-2</v>
      </c>
      <c r="Q1432">
        <v>1.2638198375263896E-3</v>
      </c>
      <c r="R1432">
        <v>1.6859517205158752E-3</v>
      </c>
      <c r="S1432">
        <v>0.24046856339170342</v>
      </c>
      <c r="T1432">
        <v>4.0666522356012198</v>
      </c>
      <c r="U1432">
        <v>0</v>
      </c>
      <c r="V1432">
        <v>9.4523053561131852E-3</v>
      </c>
      <c r="W1432">
        <v>7.8611659799258368E-2</v>
      </c>
      <c r="X1432">
        <v>9.7473787097936658E-3</v>
      </c>
      <c r="Y1432">
        <v>4.7646282785026479E-3</v>
      </c>
    </row>
    <row r="1433" spans="1:25" x14ac:dyDescent="0.25">
      <c r="A1433" s="1090"/>
      <c r="B1433" s="1448">
        <v>1183</v>
      </c>
      <c r="C1433" s="1094">
        <v>0.98476008468432907</v>
      </c>
      <c r="D1433" s="1094">
        <v>1.0160728024332035</v>
      </c>
      <c r="E1433" s="1094">
        <v>0.99534504703902682</v>
      </c>
      <c r="F1433" s="1094">
        <v>0.99769777293883222</v>
      </c>
      <c r="G1433" s="1094">
        <v>1.0321071906361625</v>
      </c>
      <c r="H1433" s="1094">
        <v>0.97812668661457758</v>
      </c>
      <c r="I1433" s="1094">
        <v>1.0014009189548776</v>
      </c>
      <c r="K1433">
        <v>4.4706962367268881</v>
      </c>
      <c r="L1433">
        <v>0</v>
      </c>
      <c r="M1433">
        <v>1.4546766496765157E-3</v>
      </c>
      <c r="N1433">
        <v>0.12415276394010938</v>
      </c>
      <c r="O1433">
        <v>3.8680821509797632E-2</v>
      </c>
      <c r="P1433">
        <v>1.903268731746028E-2</v>
      </c>
      <c r="Q1433">
        <v>1.3100988971966562E-3</v>
      </c>
      <c r="R1433">
        <v>1.4485623759029366E-3</v>
      </c>
      <c r="S1433">
        <v>0.23206811302587438</v>
      </c>
      <c r="T1433">
        <v>3.9570534111409921</v>
      </c>
      <c r="U1433">
        <v>0</v>
      </c>
      <c r="V1433">
        <v>9.4523053561131939E-3</v>
      </c>
      <c r="W1433">
        <v>7.4186006457158407E-2</v>
      </c>
      <c r="X1433">
        <v>1.0672395489150416E-2</v>
      </c>
      <c r="Y1433">
        <v>4.0937478668073906E-3</v>
      </c>
    </row>
    <row r="1434" spans="1:25" x14ac:dyDescent="0.25">
      <c r="A1434" s="1090"/>
      <c r="B1434" s="1448">
        <v>1184</v>
      </c>
      <c r="C1434" s="1094">
        <v>1.0281661699712592</v>
      </c>
      <c r="D1434" s="1094">
        <v>0.9594741202899183</v>
      </c>
      <c r="E1434" s="1094">
        <v>1.0025132143495279</v>
      </c>
      <c r="F1434" s="1094">
        <v>1.0136420730646056</v>
      </c>
      <c r="G1434" s="1094">
        <v>0.97278192009064479</v>
      </c>
      <c r="H1434" s="1094">
        <v>1.0093380748654306</v>
      </c>
      <c r="I1434" s="1094">
        <v>0.97274689371668976</v>
      </c>
      <c r="K1434">
        <v>4.5326239063723257</v>
      </c>
      <c r="L1434">
        <v>0</v>
      </c>
      <c r="M1434">
        <v>1.4720902276039434E-3</v>
      </c>
      <c r="N1434">
        <v>0.12836114420952632</v>
      </c>
      <c r="O1434">
        <v>3.8463473594197259E-2</v>
      </c>
      <c r="P1434">
        <v>1.938655652076695E-2</v>
      </c>
      <c r="Q1434">
        <v>1.2918071205626721E-3</v>
      </c>
      <c r="R1434">
        <v>1.4661880298672992E-3</v>
      </c>
      <c r="S1434">
        <v>0.22436475508163103</v>
      </c>
      <c r="T1434">
        <v>4.0200146079927244</v>
      </c>
      <c r="U1434">
        <v>0</v>
      </c>
      <c r="V1434">
        <v>9.4523053561131991E-3</v>
      </c>
      <c r="W1434">
        <v>7.6329705506664305E-2</v>
      </c>
      <c r="X1434">
        <v>1.082189387730341E-2</v>
      </c>
      <c r="Y1434">
        <v>4.1435593105657005E-3</v>
      </c>
    </row>
    <row r="1435" spans="1:25" x14ac:dyDescent="0.25">
      <c r="A1435" s="1090"/>
      <c r="B1435" s="1448">
        <v>1185</v>
      </c>
      <c r="C1435" s="1094">
        <v>1.0056177174073098</v>
      </c>
      <c r="D1435" s="1094">
        <v>1.0058700672660523</v>
      </c>
      <c r="E1435" s="1094">
        <v>1.0017062487892301</v>
      </c>
      <c r="F1435" s="1094">
        <v>0.99222010259372539</v>
      </c>
      <c r="G1435" s="1094">
        <v>1.0098717604044258</v>
      </c>
      <c r="H1435" s="1094">
        <v>1.0003107293803313</v>
      </c>
      <c r="I1435" s="1094">
        <v>0.98074274374581405</v>
      </c>
      <c r="K1435">
        <v>4.4404282947277967</v>
      </c>
      <c r="L1435">
        <v>0</v>
      </c>
      <c r="M1435">
        <v>1.4353548123619095E-3</v>
      </c>
      <c r="N1435">
        <v>0.12484365392537923</v>
      </c>
      <c r="O1435">
        <v>3.7779966139984689E-2</v>
      </c>
      <c r="P1435">
        <v>1.898663449053576E-2</v>
      </c>
      <c r="Q1435">
        <v>1.2951637101036469E-3</v>
      </c>
      <c r="R1435">
        <v>1.4294231149574652E-3</v>
      </c>
      <c r="S1435">
        <v>0.22404129716571664</v>
      </c>
      <c r="T1435">
        <v>3.935087431412041</v>
      </c>
      <c r="U1435">
        <v>0</v>
      </c>
      <c r="V1435">
        <v>9.4523053561131956E-3</v>
      </c>
      <c r="W1435">
        <v>7.4278479800271455E-2</v>
      </c>
      <c r="X1435">
        <v>1.062963557089051E-2</v>
      </c>
      <c r="Y1435">
        <v>4.0396588541620386E-3</v>
      </c>
    </row>
    <row r="1436" spans="1:25" x14ac:dyDescent="0.25">
      <c r="A1436" s="1090"/>
      <c r="B1436" s="1448">
        <v>1186</v>
      </c>
      <c r="C1436" s="1094">
        <v>0.97489752266353558</v>
      </c>
      <c r="D1436" s="1094">
        <v>1.0285247048493675</v>
      </c>
      <c r="E1436" s="1094">
        <v>0.99602633319237155</v>
      </c>
      <c r="F1436" s="1094">
        <v>1.0135763784997958</v>
      </c>
      <c r="G1436" s="1094">
        <v>0.9944188218875587</v>
      </c>
      <c r="H1436" s="1094">
        <v>0.99427226162803795</v>
      </c>
      <c r="I1436" s="1094">
        <v>1.0043218252376285</v>
      </c>
      <c r="K1436">
        <v>4.5487076025480784</v>
      </c>
      <c r="L1436">
        <v>0</v>
      </c>
      <c r="M1436">
        <v>1.5077835993294469E-3</v>
      </c>
      <c r="N1436">
        <v>0.12896260539375887</v>
      </c>
      <c r="O1436">
        <v>3.9496247625644153E-2</v>
      </c>
      <c r="P1436">
        <v>1.9354951018568309E-2</v>
      </c>
      <c r="Q1436">
        <v>1.3176918674579338E-3</v>
      </c>
      <c r="R1436">
        <v>1.5016462943214281E-3</v>
      </c>
      <c r="S1436">
        <v>0.23803196465980442</v>
      </c>
      <c r="T1436">
        <v>4.0200045382297516</v>
      </c>
      <c r="U1436">
        <v>0</v>
      </c>
      <c r="V1436">
        <v>9.4523053561131869E-3</v>
      </c>
      <c r="W1436">
        <v>7.702449073759346E-2</v>
      </c>
      <c r="X1436">
        <v>1.0825177891370575E-2</v>
      </c>
      <c r="Y1436">
        <v>4.243767073023496E-3</v>
      </c>
    </row>
    <row r="1437" spans="1:25" x14ac:dyDescent="0.25">
      <c r="A1437" s="1090"/>
      <c r="B1437" s="1448">
        <v>1187</v>
      </c>
      <c r="C1437" s="1094">
        <v>0.99233940436427448</v>
      </c>
      <c r="D1437" s="1094">
        <v>1.0330936478504569</v>
      </c>
      <c r="E1437" s="1094">
        <v>0.98915789247192243</v>
      </c>
      <c r="F1437" s="1094">
        <v>1.004062512307591</v>
      </c>
      <c r="G1437" s="1094">
        <v>0.96257061085378437</v>
      </c>
      <c r="H1437" s="1094">
        <v>1.003212913813867</v>
      </c>
      <c r="I1437" s="1094">
        <v>1.0151509833021657</v>
      </c>
      <c r="K1437">
        <v>4.5017330824147876</v>
      </c>
      <c r="L1437">
        <v>0</v>
      </c>
      <c r="M1437">
        <v>1.4995159037904542E-3</v>
      </c>
      <c r="N1437">
        <v>0.12567008997384557</v>
      </c>
      <c r="O1437">
        <v>3.8416783241546508E-2</v>
      </c>
      <c r="P1437">
        <v>1.9073779734906111E-2</v>
      </c>
      <c r="Q1437">
        <v>1.2846181653071323E-3</v>
      </c>
      <c r="R1437">
        <v>1.4934095628050307E-3</v>
      </c>
      <c r="S1437">
        <v>0.2352332031147864</v>
      </c>
      <c r="T1437">
        <v>3.9825346068890877</v>
      </c>
      <c r="U1437">
        <v>0</v>
      </c>
      <c r="V1437">
        <v>9.4523053561131835E-3</v>
      </c>
      <c r="W1437">
        <v>7.5409006141010024E-2</v>
      </c>
      <c r="X1437">
        <v>1.0444306698258686E-2</v>
      </c>
      <c r="Y1437">
        <v>4.2204894409134559E-3</v>
      </c>
    </row>
    <row r="1438" spans="1:25" x14ac:dyDescent="0.25">
      <c r="A1438" s="1090"/>
      <c r="B1438" s="1448">
        <v>1188</v>
      </c>
      <c r="C1438" s="1094">
        <v>0.98281545945316184</v>
      </c>
      <c r="D1438" s="1094">
        <v>0.99591859185671072</v>
      </c>
      <c r="E1438" s="1094">
        <v>0.98095627572707589</v>
      </c>
      <c r="F1438" s="1094">
        <v>1.0201395974027216</v>
      </c>
      <c r="G1438" s="1094">
        <v>0.96872084798713343</v>
      </c>
      <c r="H1438" s="1094">
        <v>1.0140802519568413</v>
      </c>
      <c r="I1438" s="1094">
        <v>1.0371061864393842</v>
      </c>
      <c r="K1438">
        <v>4.5911405326467234</v>
      </c>
      <c r="L1438">
        <v>0</v>
      </c>
      <c r="M1438">
        <v>1.6052379275635798E-3</v>
      </c>
      <c r="N1438">
        <v>0.13131107023890612</v>
      </c>
      <c r="O1438">
        <v>4.0050525509443775E-2</v>
      </c>
      <c r="P1438">
        <v>1.9304588343301829E-2</v>
      </c>
      <c r="Q1438">
        <v>1.3069132769520557E-3</v>
      </c>
      <c r="R1438">
        <v>1.5988726215662155E-3</v>
      </c>
      <c r="S1438">
        <v>0.24888218304266069</v>
      </c>
      <c r="T1438">
        <v>4.0466240339213897</v>
      </c>
      <c r="U1438">
        <v>0</v>
      </c>
      <c r="V1438">
        <v>9.4523053561132043E-3</v>
      </c>
      <c r="W1438">
        <v>7.9236379474267815E-2</v>
      </c>
      <c r="X1438">
        <v>1.046036269298457E-2</v>
      </c>
      <c r="Y1438">
        <v>4.5185360966962032E-3</v>
      </c>
    </row>
    <row r="1439" spans="1:25" x14ac:dyDescent="0.25">
      <c r="A1439" s="1090"/>
      <c r="B1439" s="1448">
        <v>1189</v>
      </c>
      <c r="C1439" s="1094">
        <v>1.0055031860269783</v>
      </c>
      <c r="D1439" s="1094">
        <v>1.0016746985707869</v>
      </c>
      <c r="E1439" s="1094">
        <v>0.98953756213682298</v>
      </c>
      <c r="F1439" s="1094">
        <v>0.98833016591666367</v>
      </c>
      <c r="G1439" s="1094">
        <v>1.0132760106740248</v>
      </c>
      <c r="H1439" s="1094">
        <v>0.96558515742110873</v>
      </c>
      <c r="I1439" s="1094">
        <v>1.0287202203233938</v>
      </c>
      <c r="K1439">
        <v>4.4242264277302779</v>
      </c>
      <c r="L1439">
        <v>0</v>
      </c>
      <c r="M1439">
        <v>1.4184479265654385E-3</v>
      </c>
      <c r="N1439">
        <v>0.11898295026364507</v>
      </c>
      <c r="O1439">
        <v>3.7781125716021151E-2</v>
      </c>
      <c r="P1439">
        <v>1.8783130735359279E-2</v>
      </c>
      <c r="Q1439">
        <v>1.2839801696616613E-3</v>
      </c>
      <c r="R1439">
        <v>1.4123514857015502E-3</v>
      </c>
      <c r="S1439">
        <v>0.23204464753259274</v>
      </c>
      <c r="T1439">
        <v>3.9201191344126971</v>
      </c>
      <c r="U1439">
        <v>0</v>
      </c>
      <c r="V1439">
        <v>9.4523053561131869E-3</v>
      </c>
      <c r="W1439">
        <v>7.137790074246729E-2</v>
      </c>
      <c r="X1439">
        <v>1.0415936116054984E-2</v>
      </c>
      <c r="Y1439">
        <v>3.991413126527588E-3</v>
      </c>
    </row>
    <row r="1440" spans="1:25" x14ac:dyDescent="0.25">
      <c r="A1440" s="1090"/>
      <c r="B1440" s="1448">
        <v>1190</v>
      </c>
      <c r="C1440" s="1094">
        <v>1.0056817776235223</v>
      </c>
      <c r="D1440" s="1094">
        <v>0.97085321105889455</v>
      </c>
      <c r="E1440" s="1094">
        <v>1.0043222204326185</v>
      </c>
      <c r="F1440" s="1094">
        <v>0.99396207936672076</v>
      </c>
      <c r="G1440" s="1094">
        <v>0.99672538012196454</v>
      </c>
      <c r="H1440" s="1094">
        <v>0.98503625608696255</v>
      </c>
      <c r="I1440" s="1094">
        <v>0.99801651015766379</v>
      </c>
      <c r="K1440">
        <v>4.4540455099405198</v>
      </c>
      <c r="L1440">
        <v>0</v>
      </c>
      <c r="M1440">
        <v>1.4281347926186885E-3</v>
      </c>
      <c r="N1440">
        <v>0.12517486326097854</v>
      </c>
      <c r="O1440">
        <v>3.8366097572089697E-2</v>
      </c>
      <c r="P1440">
        <v>1.9079915922996828E-2</v>
      </c>
      <c r="Q1440">
        <v>1.3165099247067454E-3</v>
      </c>
      <c r="R1440">
        <v>1.4221518755701595E-3</v>
      </c>
      <c r="S1440">
        <v>0.22957495429142899</v>
      </c>
      <c r="T1440">
        <v>3.941897139545814</v>
      </c>
      <c r="U1440">
        <v>0</v>
      </c>
      <c r="V1440">
        <v>9.4523053561132026E-3</v>
      </c>
      <c r="W1440">
        <v>7.4344247052203716E-2</v>
      </c>
      <c r="X1440">
        <v>1.0826350154711955E-2</v>
      </c>
      <c r="Y1440">
        <v>4.019109776520648E-3</v>
      </c>
    </row>
    <row r="1441" spans="1:25" x14ac:dyDescent="0.25">
      <c r="A1441" s="1090"/>
      <c r="B1441" s="1448">
        <v>1191</v>
      </c>
      <c r="C1441" s="1094">
        <v>1.0027587279362504</v>
      </c>
      <c r="D1441" s="1094">
        <v>1.0013800396282964</v>
      </c>
      <c r="E1441" s="1094">
        <v>1.0340418278584587</v>
      </c>
      <c r="F1441" s="1094">
        <v>0.99576859989246713</v>
      </c>
      <c r="G1441" s="1094">
        <v>0.9814440840650277</v>
      </c>
      <c r="H1441" s="1094">
        <v>0.9863666168387677</v>
      </c>
      <c r="I1441" s="1094">
        <v>1.0068274646067357</v>
      </c>
      <c r="K1441">
        <v>4.4637490068913399</v>
      </c>
      <c r="L1441">
        <v>0</v>
      </c>
      <c r="M1441">
        <v>1.3328025799075902E-3</v>
      </c>
      <c r="N1441">
        <v>0.12755820810457555</v>
      </c>
      <c r="O1441">
        <v>3.7870362834157692E-2</v>
      </c>
      <c r="P1441">
        <v>1.9532292189572868E-2</v>
      </c>
      <c r="Q1441">
        <v>1.3373286580518628E-3</v>
      </c>
      <c r="R1441">
        <v>1.3272366453332639E-3</v>
      </c>
      <c r="S1441">
        <v>0.23047051268679261</v>
      </c>
      <c r="T1441">
        <v>3.9479451660556659</v>
      </c>
      <c r="U1441">
        <v>0</v>
      </c>
      <c r="V1441">
        <v>9.4523053561131921E-3</v>
      </c>
      <c r="W1441">
        <v>7.4272396451823985E-2</v>
      </c>
      <c r="X1441">
        <v>1.1565128399723207E-2</v>
      </c>
      <c r="Y1441">
        <v>3.7508720894361531E-3</v>
      </c>
    </row>
    <row r="1442" spans="1:25" x14ac:dyDescent="0.25">
      <c r="A1442" s="1090"/>
      <c r="B1442" s="1448">
        <v>1192</v>
      </c>
      <c r="C1442" s="1094">
        <v>0.98671911782785349</v>
      </c>
      <c r="D1442" s="1094">
        <v>1.0018230064498037</v>
      </c>
      <c r="E1442" s="1094">
        <v>0.98265677149438213</v>
      </c>
      <c r="F1442" s="1094">
        <v>0.99051284831646991</v>
      </c>
      <c r="G1442" s="1094">
        <v>1.0296527767406809</v>
      </c>
      <c r="H1442" s="1094">
        <v>1.0201301733611026</v>
      </c>
      <c r="I1442" s="1094">
        <v>1.014904325957199</v>
      </c>
      <c r="K1442">
        <v>4.454103119602757</v>
      </c>
      <c r="L1442">
        <v>0</v>
      </c>
      <c r="M1442">
        <v>1.5526592624077093E-3</v>
      </c>
      <c r="N1442">
        <v>0.12764043984409768</v>
      </c>
      <c r="O1442">
        <v>3.8630385814484615E-2</v>
      </c>
      <c r="P1442">
        <v>1.8751879232689082E-2</v>
      </c>
      <c r="Q1442">
        <v>1.3005847479610694E-3</v>
      </c>
      <c r="R1442">
        <v>1.5463566583514509E-3</v>
      </c>
      <c r="S1442">
        <v>0.23783004776010652</v>
      </c>
      <c r="T1442">
        <v>3.9290378427270913</v>
      </c>
      <c r="U1442">
        <v>0</v>
      </c>
      <c r="V1442">
        <v>9.4523053561132043E-3</v>
      </c>
      <c r="W1442">
        <v>7.6931857104860599E-2</v>
      </c>
      <c r="X1442">
        <v>1.0163957644158998E-2</v>
      </c>
      <c r="Y1442">
        <v>4.3701219752471559E-3</v>
      </c>
    </row>
    <row r="1443" spans="1:25" x14ac:dyDescent="0.25">
      <c r="A1443" s="1090"/>
      <c r="B1443" s="1448">
        <v>1193</v>
      </c>
      <c r="C1443" s="1094">
        <v>0.96998651715668083</v>
      </c>
      <c r="D1443" s="1094">
        <v>1.0051725889784515</v>
      </c>
      <c r="E1443" s="1094">
        <v>1.0159951006639392</v>
      </c>
      <c r="F1443" s="1094">
        <v>0.97736831507277055</v>
      </c>
      <c r="G1443" s="1094">
        <v>0.98270959502929889</v>
      </c>
      <c r="H1443" s="1094">
        <v>0.98768549936618899</v>
      </c>
      <c r="I1443" s="1094">
        <v>1.0064744908518271</v>
      </c>
      <c r="K1443">
        <v>4.3965273093853821</v>
      </c>
      <c r="L1443">
        <v>0</v>
      </c>
      <c r="M1443">
        <v>1.4048241753451946E-3</v>
      </c>
      <c r="N1443">
        <v>0.12745396257229985</v>
      </c>
      <c r="O1443">
        <v>3.8493413646522999E-2</v>
      </c>
      <c r="P1443">
        <v>1.8965341265094048E-2</v>
      </c>
      <c r="Q1443">
        <v>1.3595679958461504E-3</v>
      </c>
      <c r="R1443">
        <v>1.3988554660666586E-3</v>
      </c>
      <c r="S1443">
        <v>0.23503809455368427</v>
      </c>
      <c r="T1443">
        <v>3.8756565924335113</v>
      </c>
      <c r="U1443">
        <v>0</v>
      </c>
      <c r="V1443">
        <v>9.4523053561131852E-3</v>
      </c>
      <c r="W1443">
        <v>7.5107058839348165E-2</v>
      </c>
      <c r="X1443">
        <v>1.1053669087572845E-2</v>
      </c>
      <c r="Y1443">
        <v>3.9532723446670257E-3</v>
      </c>
    </row>
    <row r="1444" spans="1:25" x14ac:dyDescent="0.25">
      <c r="A1444" s="1090"/>
      <c r="B1444" s="1448">
        <v>1194</v>
      </c>
      <c r="C1444" s="1094">
        <v>0.97362136849505587</v>
      </c>
      <c r="D1444" s="1094">
        <v>0.98773465434388785</v>
      </c>
      <c r="E1444" s="1094">
        <v>0.98720706991041396</v>
      </c>
      <c r="F1444" s="1094">
        <v>1.0074900721826863</v>
      </c>
      <c r="G1444" s="1094">
        <v>0.96207265159403066</v>
      </c>
      <c r="H1444" s="1094">
        <v>1.0123620203718373</v>
      </c>
      <c r="I1444" s="1094">
        <v>1.0362228029906635</v>
      </c>
      <c r="K1444">
        <v>4.5416026860935661</v>
      </c>
      <c r="L1444">
        <v>0</v>
      </c>
      <c r="M1444">
        <v>1.5820442134030542E-3</v>
      </c>
      <c r="N1444">
        <v>0.13182839407704722</v>
      </c>
      <c r="O1444">
        <v>4.0014908941858385E-2</v>
      </c>
      <c r="P1444">
        <v>1.9171122785222879E-2</v>
      </c>
      <c r="Q1444">
        <v>1.330798699605798E-3</v>
      </c>
      <c r="R1444">
        <v>1.5756816536212635E-3</v>
      </c>
      <c r="S1444">
        <v>0.2493827496160792</v>
      </c>
      <c r="T1444">
        <v>3.9962050298045093</v>
      </c>
      <c r="U1444">
        <v>0</v>
      </c>
      <c r="V1444">
        <v>9.4523053561131887E-3</v>
      </c>
      <c r="W1444">
        <v>7.9209540033368109E-2</v>
      </c>
      <c r="X1444">
        <v>1.0561202688807433E-2</v>
      </c>
      <c r="Y1444">
        <v>4.452996650737122E-3</v>
      </c>
    </row>
    <row r="1445" spans="1:25" x14ac:dyDescent="0.25">
      <c r="A1445" s="1090"/>
      <c r="B1445" s="1448">
        <v>1195</v>
      </c>
      <c r="C1445" s="1094">
        <v>1.0392587267871978</v>
      </c>
      <c r="D1445" s="1094">
        <v>1.0011898726124639</v>
      </c>
      <c r="E1445" s="1094">
        <v>1.0075683862045637</v>
      </c>
      <c r="F1445" s="1094">
        <v>0.99011656520829461</v>
      </c>
      <c r="G1445" s="1094">
        <v>0.98519525506903627</v>
      </c>
      <c r="H1445" s="1094">
        <v>1.0225640175153592</v>
      </c>
      <c r="I1445" s="1094">
        <v>1.0233696023922156</v>
      </c>
      <c r="K1445">
        <v>4.4327904182558209</v>
      </c>
      <c r="L1445">
        <v>0</v>
      </c>
      <c r="M1445">
        <v>1.4020098526977209E-3</v>
      </c>
      <c r="N1445">
        <v>0.12408936288034914</v>
      </c>
      <c r="O1445">
        <v>3.6509278726215226E-2</v>
      </c>
      <c r="P1445">
        <v>1.9047677125285292E-2</v>
      </c>
      <c r="Q1445">
        <v>1.2618843781888008E-3</v>
      </c>
      <c r="R1445">
        <v>1.3963300521452862E-3</v>
      </c>
      <c r="S1445">
        <v>0.22785209644286489</v>
      </c>
      <c r="T1445">
        <v>3.9265243971550068</v>
      </c>
      <c r="U1445">
        <v>0</v>
      </c>
      <c r="V1445">
        <v>9.4523053561131869E-3</v>
      </c>
      <c r="W1445">
        <v>7.3538672754760268E-2</v>
      </c>
      <c r="X1445">
        <v>1.057428790546968E-2</v>
      </c>
      <c r="Y1445">
        <v>3.9461353321189954E-3</v>
      </c>
    </row>
    <row r="1446" spans="1:25" x14ac:dyDescent="0.25">
      <c r="A1446" s="1090"/>
      <c r="B1446" s="1448">
        <v>1196</v>
      </c>
      <c r="C1446" s="1094">
        <v>0.98303307501703407</v>
      </c>
      <c r="D1446" s="1094">
        <v>1.0005418611634629</v>
      </c>
      <c r="E1446" s="1094">
        <v>1.0138883217036059</v>
      </c>
      <c r="F1446" s="1094">
        <v>0.95914974932693398</v>
      </c>
      <c r="G1446" s="1094">
        <v>0.99625575547450562</v>
      </c>
      <c r="H1446" s="1094">
        <v>0.99114406482958428</v>
      </c>
      <c r="I1446" s="1094">
        <v>1.0118195342018108</v>
      </c>
      <c r="K1446">
        <v>4.3126045971453619</v>
      </c>
      <c r="L1446">
        <v>0</v>
      </c>
      <c r="M1446">
        <v>1.3738326514015639E-3</v>
      </c>
      <c r="N1446">
        <v>0.12385933419177206</v>
      </c>
      <c r="O1446">
        <v>3.7357580936831142E-2</v>
      </c>
      <c r="P1446">
        <v>1.8584936825105092E-2</v>
      </c>
      <c r="Q1446">
        <v>1.3416026490895474E-3</v>
      </c>
      <c r="R1446">
        <v>1.3679059724369075E-3</v>
      </c>
      <c r="S1446">
        <v>0.23082399730686112</v>
      </c>
      <c r="T1446">
        <v>3.8034890735216482</v>
      </c>
      <c r="U1446">
        <v>0</v>
      </c>
      <c r="V1446">
        <v>9.4523053561131991E-3</v>
      </c>
      <c r="W1446">
        <v>7.3091744556280758E-2</v>
      </c>
      <c r="X1446">
        <v>1.0744141767836099E-2</v>
      </c>
      <c r="Y1446">
        <v>3.8658067127872904E-3</v>
      </c>
    </row>
    <row r="1447" spans="1:25" x14ac:dyDescent="0.25">
      <c r="A1447" s="1090"/>
      <c r="B1447" s="1448">
        <v>1197</v>
      </c>
      <c r="C1447" s="1094">
        <v>0.98567618259520162</v>
      </c>
      <c r="D1447" s="1094">
        <v>0.97374176258465361</v>
      </c>
      <c r="E1447" s="1094">
        <v>0.99874744100717794</v>
      </c>
      <c r="F1447" s="1094">
        <v>0.98258843021789055</v>
      </c>
      <c r="G1447" s="1094">
        <v>1.0162662474124529</v>
      </c>
      <c r="H1447" s="1094">
        <v>0.97957074996767213</v>
      </c>
      <c r="I1447" s="1094">
        <v>1.018804193693766</v>
      </c>
      <c r="K1447">
        <v>4.4158987902633342</v>
      </c>
      <c r="L1447">
        <v>0</v>
      </c>
      <c r="M1447">
        <v>1.4477229755905292E-3</v>
      </c>
      <c r="N1447">
        <v>0.12480420484334735</v>
      </c>
      <c r="O1447">
        <v>3.8689481668035645E-2</v>
      </c>
      <c r="P1447">
        <v>1.8828991246949499E-2</v>
      </c>
      <c r="Q1447">
        <v>1.3352464596005954E-3</v>
      </c>
      <c r="R1447">
        <v>1.441553857532337E-3</v>
      </c>
      <c r="S1447">
        <v>0.23664023954412033</v>
      </c>
      <c r="T1447">
        <v>3.8969994766713669</v>
      </c>
      <c r="U1447">
        <v>0</v>
      </c>
      <c r="V1447">
        <v>9.4523053561131904E-3</v>
      </c>
      <c r="W1447">
        <v>7.4403628238698533E-2</v>
      </c>
      <c r="X1447">
        <v>1.0677444094342039E-2</v>
      </c>
      <c r="Y1447">
        <v>4.0739412588170097E-3</v>
      </c>
    </row>
    <row r="1448" spans="1:25" x14ac:dyDescent="0.25">
      <c r="A1448" s="1090"/>
      <c r="B1448" s="1448">
        <v>1198</v>
      </c>
      <c r="C1448" s="1094">
        <v>1.0268480837006568</v>
      </c>
      <c r="D1448" s="1094">
        <v>0.9535603781642874</v>
      </c>
      <c r="E1448" s="1094">
        <v>1.0137543855755971</v>
      </c>
      <c r="F1448" s="1094">
        <v>1.0077064959821849</v>
      </c>
      <c r="G1448" s="1094">
        <v>1.038420430674966</v>
      </c>
      <c r="H1448" s="1094">
        <v>1.0069060702183326</v>
      </c>
      <c r="I1448" s="1094">
        <v>1.010684818716769</v>
      </c>
      <c r="K1448">
        <v>4.5176032069845116</v>
      </c>
      <c r="L1448">
        <v>0</v>
      </c>
      <c r="M1448">
        <v>1.4311451357258398E-3</v>
      </c>
      <c r="N1448">
        <v>0.12901040487018764</v>
      </c>
      <c r="O1448">
        <v>3.8304835081688436E-2</v>
      </c>
      <c r="P1448">
        <v>1.9476850320587161E-2</v>
      </c>
      <c r="Q1448">
        <v>1.3091555505818711E-3</v>
      </c>
      <c r="R1448">
        <v>1.4253595022158045E-3</v>
      </c>
      <c r="S1448">
        <v>0.23275192201049977</v>
      </c>
      <c r="T1448">
        <v>3.9960449823607114</v>
      </c>
      <c r="U1448">
        <v>0</v>
      </c>
      <c r="V1448">
        <v>9.4523053561131869E-3</v>
      </c>
      <c r="W1448">
        <v>7.6138316969247652E-2</v>
      </c>
      <c r="X1448">
        <v>1.1092045324092791E-2</v>
      </c>
      <c r="Y1448">
        <v>4.0281747743119494E-3</v>
      </c>
    </row>
    <row r="1449" spans="1:25" x14ac:dyDescent="0.25">
      <c r="A1449" s="1090"/>
      <c r="B1449" s="1448">
        <v>1199</v>
      </c>
      <c r="C1449" s="1094">
        <v>1.0202501421113677</v>
      </c>
      <c r="D1449" s="1094">
        <v>1.011769967151585</v>
      </c>
      <c r="E1449" s="1094">
        <v>1.0159177750224255</v>
      </c>
      <c r="F1449" s="1094">
        <v>1.0018660410487397</v>
      </c>
      <c r="G1449" s="1094">
        <v>0.98745393759143707</v>
      </c>
      <c r="H1449" s="1094">
        <v>1.0047745441416325</v>
      </c>
      <c r="I1449" s="1094">
        <v>0.95971046742154253</v>
      </c>
      <c r="K1449">
        <v>4.47294078223256</v>
      </c>
      <c r="L1449">
        <v>0</v>
      </c>
      <c r="M1449">
        <v>1.3892238237832879E-3</v>
      </c>
      <c r="N1449">
        <v>0.12603178171071378</v>
      </c>
      <c r="O1449">
        <v>3.741678249619472E-2</v>
      </c>
      <c r="P1449">
        <v>1.9330421493610882E-2</v>
      </c>
      <c r="Q1449">
        <v>1.289124959172131E-3</v>
      </c>
      <c r="R1449">
        <v>1.3835630748257248E-3</v>
      </c>
      <c r="S1449">
        <v>0.21744467803225381</v>
      </c>
      <c r="T1449">
        <v>3.9728028089694876</v>
      </c>
      <c r="U1449">
        <v>0</v>
      </c>
      <c r="V1449">
        <v>9.4523053561131852E-3</v>
      </c>
      <c r="W1449">
        <v>7.4272824940616974E-2</v>
      </c>
      <c r="X1449">
        <v>1.0995660143854577E-2</v>
      </c>
      <c r="Y1449">
        <v>3.9100548795013073E-3</v>
      </c>
    </row>
    <row r="1450" spans="1:25" x14ac:dyDescent="0.25">
      <c r="A1450" s="1090"/>
      <c r="B1450" s="1448">
        <v>1200</v>
      </c>
      <c r="C1450" s="1094">
        <v>1.0192345638639537</v>
      </c>
      <c r="D1450" s="1094">
        <v>0.96886097229456336</v>
      </c>
      <c r="E1450" s="1094">
        <v>1.014458071023157</v>
      </c>
      <c r="F1450" s="1094">
        <v>0.99852300897213353</v>
      </c>
      <c r="G1450" s="1094">
        <v>1.0060961275931866</v>
      </c>
      <c r="H1450" s="1094">
        <v>0.9535540880283857</v>
      </c>
      <c r="I1450" s="1094">
        <v>1.0309796197793801</v>
      </c>
      <c r="K1450">
        <v>4.467798259963943</v>
      </c>
      <c r="L1450">
        <v>0</v>
      </c>
      <c r="M1450">
        <v>1.342462300685084E-3</v>
      </c>
      <c r="N1450">
        <v>0.1212361168054987</v>
      </c>
      <c r="O1450">
        <v>3.7991763530826853E-2</v>
      </c>
      <c r="P1450">
        <v>1.9317894795255992E-2</v>
      </c>
      <c r="Q1450">
        <v>1.3113468485378816E-3</v>
      </c>
      <c r="R1450">
        <v>1.3366790410618311E-3</v>
      </c>
      <c r="S1450">
        <v>0.23242964320263856</v>
      </c>
      <c r="T1450">
        <v>3.9596014301734748</v>
      </c>
      <c r="U1450">
        <v>0</v>
      </c>
      <c r="V1450">
        <v>9.4523053561131973E-3</v>
      </c>
      <c r="W1450">
        <v>7.1516452603131872E-2</v>
      </c>
      <c r="X1450">
        <v>1.1169532887427476E-2</v>
      </c>
      <c r="Y1450">
        <v>3.7775570206578951E-3</v>
      </c>
    </row>
    <row r="1451" spans="1:25" x14ac:dyDescent="0.25">
      <c r="A1451" s="1090"/>
      <c r="B1451" s="1448">
        <v>1201</v>
      </c>
      <c r="C1451" s="1094">
        <v>1.0024649108344106</v>
      </c>
      <c r="D1451" s="1094">
        <v>1.0136180756027109</v>
      </c>
      <c r="E1451" s="1094">
        <v>1.0262415420513873</v>
      </c>
      <c r="F1451" s="1094">
        <v>0.97152126507045899</v>
      </c>
      <c r="G1451" s="1094">
        <v>0.99126517217475918</v>
      </c>
      <c r="H1451" s="1094">
        <v>0.98177317846955448</v>
      </c>
      <c r="I1451" s="1094">
        <v>1.0344169047323539</v>
      </c>
      <c r="K1451">
        <v>4.3594204730846959</v>
      </c>
      <c r="L1451">
        <v>0</v>
      </c>
      <c r="M1451">
        <v>1.3099688786508013E-3</v>
      </c>
      <c r="N1451">
        <v>0.12249955976864867</v>
      </c>
      <c r="O1451">
        <v>3.683173566436411E-2</v>
      </c>
      <c r="P1451">
        <v>1.8983515300976573E-2</v>
      </c>
      <c r="Q1451">
        <v>1.3225342916132758E-3</v>
      </c>
      <c r="R1451">
        <v>1.3043361098918627E-3</v>
      </c>
      <c r="S1451">
        <v>0.23175849586690794</v>
      </c>
      <c r="T1451">
        <v>3.8520955461249127</v>
      </c>
      <c r="U1451">
        <v>0</v>
      </c>
      <c r="V1451">
        <v>9.4523053561131748E-3</v>
      </c>
      <c r="W1451">
        <v>7.1696340280517148E-2</v>
      </c>
      <c r="X1451">
        <v>1.1099919771497232E-2</v>
      </c>
      <c r="Y1451">
        <v>3.6861534279055801E-3</v>
      </c>
    </row>
    <row r="1452" spans="1:25" x14ac:dyDescent="0.25">
      <c r="A1452" s="1090"/>
      <c r="B1452" s="1448">
        <v>1202</v>
      </c>
      <c r="C1452" s="1094">
        <v>1.0332902482311803</v>
      </c>
      <c r="D1452" s="1094">
        <v>0.9999940723903773</v>
      </c>
      <c r="E1452" s="1094">
        <v>1.0298780009019033</v>
      </c>
      <c r="F1452" s="1094">
        <v>1.0074537290628744</v>
      </c>
      <c r="G1452" s="1094">
        <v>1.0142546378737076</v>
      </c>
      <c r="H1452" s="1094">
        <v>0.96844869085694696</v>
      </c>
      <c r="I1452" s="1094">
        <v>1.0175600949497481</v>
      </c>
      <c r="K1452">
        <v>4.4979609631287598</v>
      </c>
      <c r="L1452">
        <v>0</v>
      </c>
      <c r="M1452">
        <v>1.296854898155774E-3</v>
      </c>
      <c r="N1452">
        <v>0.12259601426100342</v>
      </c>
      <c r="O1452">
        <v>3.7231248065405939E-2</v>
      </c>
      <c r="P1452">
        <v>1.9671528702938989E-2</v>
      </c>
      <c r="Q1452">
        <v>1.2939997099600746E-3</v>
      </c>
      <c r="R1452">
        <v>1.2914026015150542E-3</v>
      </c>
      <c r="S1452">
        <v>0.22657983455237357</v>
      </c>
      <c r="T1452">
        <v>3.9944306844652586</v>
      </c>
      <c r="U1452">
        <v>0</v>
      </c>
      <c r="V1452">
        <v>9.4523053561131939E-3</v>
      </c>
      <c r="W1452">
        <v>7.1579962432163177E-2</v>
      </c>
      <c r="X1452">
        <v>1.1481235534377051E-2</v>
      </c>
      <c r="Y1452">
        <v>3.6496023458060679E-3</v>
      </c>
    </row>
    <row r="1453" spans="1:25" x14ac:dyDescent="0.25">
      <c r="A1453" s="1090"/>
      <c r="B1453" s="1448">
        <v>1203</v>
      </c>
      <c r="C1453" s="1094">
        <v>1.016807966092828</v>
      </c>
      <c r="D1453" s="1094">
        <v>0.9734486065391601</v>
      </c>
      <c r="E1453" s="1094">
        <v>0.96371291776362522</v>
      </c>
      <c r="F1453" s="1094">
        <v>1.0144978598425598</v>
      </c>
      <c r="G1453" s="1094">
        <v>1.0175969479889253</v>
      </c>
      <c r="H1453" s="1094">
        <v>1.0171848205488931</v>
      </c>
      <c r="I1453" s="1094">
        <v>1.0342514384106183</v>
      </c>
      <c r="K1453">
        <v>4.5515404374589021</v>
      </c>
      <c r="L1453">
        <v>0</v>
      </c>
      <c r="M1453">
        <v>1.6194497148716519E-3</v>
      </c>
      <c r="N1453">
        <v>0.12586089972038692</v>
      </c>
      <c r="O1453">
        <v>3.8969379620828228E-2</v>
      </c>
      <c r="P1453">
        <v>1.8920532073238721E-2</v>
      </c>
      <c r="Q1453">
        <v>1.2557747435732486E-3</v>
      </c>
      <c r="R1453">
        <v>1.6130121954177742E-3</v>
      </c>
      <c r="S1453">
        <v>0.24090508396866869</v>
      </c>
      <c r="T1453">
        <v>4.0249198958093064</v>
      </c>
      <c r="U1453">
        <v>0</v>
      </c>
      <c r="V1453">
        <v>9.4523053561131939E-3</v>
      </c>
      <c r="W1453">
        <v>7.6854944218635354E-2</v>
      </c>
      <c r="X1453">
        <v>9.849563855698306E-3</v>
      </c>
      <c r="Y1453">
        <v>4.5584956119061049E-3</v>
      </c>
    </row>
    <row r="1454" spans="1:25" x14ac:dyDescent="0.25">
      <c r="A1454" s="1090"/>
      <c r="B1454" s="1448">
        <v>1204</v>
      </c>
      <c r="C1454" s="1094">
        <v>0.97323840309877663</v>
      </c>
      <c r="D1454" s="1094">
        <v>0.99186121959576767</v>
      </c>
      <c r="E1454" s="1094">
        <v>0.98433108091724253</v>
      </c>
      <c r="F1454" s="1094">
        <v>1.0025871407119591</v>
      </c>
      <c r="G1454" s="1094">
        <v>0.96801244663409058</v>
      </c>
      <c r="H1454" s="1094">
        <v>1.0094261449810249</v>
      </c>
      <c r="I1454" s="1094">
        <v>0.9869809676211212</v>
      </c>
      <c r="K1454">
        <v>4.5063580239462064</v>
      </c>
      <c r="L1454">
        <v>0</v>
      </c>
      <c r="M1454">
        <v>1.5773150708271607E-3</v>
      </c>
      <c r="N1454">
        <v>0.13031379964880785</v>
      </c>
      <c r="O1454">
        <v>3.9789830991421131E-2</v>
      </c>
      <c r="P1454">
        <v>1.8983860509157933E-2</v>
      </c>
      <c r="Q1454">
        <v>1.3258023170924223E-3</v>
      </c>
      <c r="R1454">
        <v>1.5709220958383351E-3</v>
      </c>
      <c r="S1454">
        <v>0.23631469127295804</v>
      </c>
      <c r="T1454">
        <v>3.9768681398694881</v>
      </c>
      <c r="U1454">
        <v>0</v>
      </c>
      <c r="V1454">
        <v>9.4523053561131887E-3</v>
      </c>
      <c r="W1454">
        <v>7.8453320224955325E-2</v>
      </c>
      <c r="X1454">
        <v>1.0423120954133776E-2</v>
      </c>
      <c r="Y1454">
        <v>4.439545777067521E-3</v>
      </c>
    </row>
    <row r="1455" spans="1:25" x14ac:dyDescent="0.25">
      <c r="A1455" s="1090"/>
      <c r="B1455" s="1448">
        <v>1205</v>
      </c>
      <c r="C1455" s="1094">
        <v>1.0314069731119042</v>
      </c>
      <c r="D1455" s="1094">
        <v>0.96939431067286008</v>
      </c>
      <c r="E1455" s="1094">
        <v>0.99159727973927103</v>
      </c>
      <c r="F1455" s="1094">
        <v>0.98878211617039669</v>
      </c>
      <c r="G1455" s="1094">
        <v>0.98840656752263101</v>
      </c>
      <c r="H1455" s="1094">
        <v>0.96916082548936</v>
      </c>
      <c r="I1455" s="1094">
        <v>1.0043078421074718</v>
      </c>
      <c r="K1455">
        <v>4.4154482327947937</v>
      </c>
      <c r="L1455">
        <v>0</v>
      </c>
      <c r="M1455">
        <v>1.400810012712458E-3</v>
      </c>
      <c r="N1455">
        <v>0.11822535724222102</v>
      </c>
      <c r="O1455">
        <v>3.7321394223504271E-2</v>
      </c>
      <c r="P1455">
        <v>1.878092884015296E-2</v>
      </c>
      <c r="Q1455">
        <v>1.2704964439201887E-3</v>
      </c>
      <c r="R1455">
        <v>1.3948143221851391E-3</v>
      </c>
      <c r="S1455">
        <v>0.22340633336941193</v>
      </c>
      <c r="T1455">
        <v>3.9218338393642802</v>
      </c>
      <c r="U1455">
        <v>0</v>
      </c>
      <c r="V1455">
        <v>9.4523053561131869E-3</v>
      </c>
      <c r="W1455">
        <v>7.0824122175084742E-2</v>
      </c>
      <c r="X1455">
        <v>1.0397599707101687E-2</v>
      </c>
      <c r="Y1455">
        <v>3.941851763531113E-3</v>
      </c>
    </row>
    <row r="1456" spans="1:25" x14ac:dyDescent="0.25">
      <c r="A1456" s="1090"/>
      <c r="B1456" s="1448">
        <v>1206</v>
      </c>
      <c r="C1456" s="1094">
        <v>1.0229234901177544</v>
      </c>
      <c r="D1456" s="1094">
        <v>0.99633256420678928</v>
      </c>
      <c r="E1456" s="1094">
        <v>1.004417683661011</v>
      </c>
      <c r="F1456" s="1094">
        <v>0.97031103341021785</v>
      </c>
      <c r="G1456" s="1094">
        <v>1.0005379300116786</v>
      </c>
      <c r="H1456" s="1094">
        <v>0.97022551898219311</v>
      </c>
      <c r="I1456" s="1094">
        <v>1.0094913765737741</v>
      </c>
      <c r="K1456">
        <v>4.3366119690444425</v>
      </c>
      <c r="L1456">
        <v>0</v>
      </c>
      <c r="M1456">
        <v>1.3359932728300133E-3</v>
      </c>
      <c r="N1456">
        <v>0.11711218405361189</v>
      </c>
      <c r="O1456">
        <v>3.644168778445557E-2</v>
      </c>
      <c r="P1456">
        <v>1.8617671950586882E-2</v>
      </c>
      <c r="Q1456">
        <v>1.2810813194749793E-3</v>
      </c>
      <c r="R1456">
        <v>1.3301730080775844E-3</v>
      </c>
      <c r="S1456">
        <v>0.22179576541869678</v>
      </c>
      <c r="T1456">
        <v>3.8480972945317258</v>
      </c>
      <c r="U1456">
        <v>0</v>
      </c>
      <c r="V1456">
        <v>9.4523053561131956E-3</v>
      </c>
      <c r="W1456">
        <v>6.9551160966234399E-2</v>
      </c>
      <c r="X1456">
        <v>1.0509467453558729E-2</v>
      </c>
      <c r="Y1456">
        <v>3.7591704747322926E-3</v>
      </c>
    </row>
    <row r="1457" spans="1:25" x14ac:dyDescent="0.25">
      <c r="A1457" s="1090"/>
      <c r="B1457" s="1448">
        <v>1207</v>
      </c>
      <c r="C1457" s="1094">
        <v>1.0376121409384125</v>
      </c>
      <c r="D1457" s="1094">
        <v>0.97825946690467314</v>
      </c>
      <c r="E1457" s="1094">
        <v>0.9788617304172812</v>
      </c>
      <c r="F1457" s="1094">
        <v>1.0076756237525157</v>
      </c>
      <c r="G1457" s="1094">
        <v>0.98509013135189949</v>
      </c>
      <c r="H1457" s="1094">
        <v>0.97880483423710962</v>
      </c>
      <c r="I1457" s="1094">
        <v>0.99954541757610016</v>
      </c>
      <c r="K1457">
        <v>4.4941335463720318</v>
      </c>
      <c r="L1457">
        <v>0</v>
      </c>
      <c r="M1457">
        <v>1.466561950219526E-3</v>
      </c>
      <c r="N1457">
        <v>0.11920066580143246</v>
      </c>
      <c r="O1457">
        <v>3.7755112783340011E-2</v>
      </c>
      <c r="P1457">
        <v>1.8941180970756474E-2</v>
      </c>
      <c r="Q1457">
        <v>1.2445202504393761E-3</v>
      </c>
      <c r="R1457">
        <v>1.4604627378032599E-3</v>
      </c>
      <c r="S1457">
        <v>0.22392287551799037</v>
      </c>
      <c r="T1457">
        <v>3.9972639084868322</v>
      </c>
      <c r="U1457">
        <v>0</v>
      </c>
      <c r="V1457">
        <v>9.4523053561131904E-3</v>
      </c>
      <c r="W1457">
        <v>7.203195996117473E-2</v>
      </c>
      <c r="X1457">
        <v>1.0199737258281518E-2</v>
      </c>
      <c r="Y1457">
        <v>4.1273791980873534E-3</v>
      </c>
    </row>
    <row r="1458" spans="1:25" x14ac:dyDescent="0.25">
      <c r="A1458" s="1090"/>
      <c r="B1458" s="1448">
        <v>1208</v>
      </c>
      <c r="C1458" s="1094">
        <v>0.97799805459263667</v>
      </c>
      <c r="D1458" s="1094">
        <v>0.96963857402858844</v>
      </c>
      <c r="E1458" s="1094">
        <v>0.99633629767059284</v>
      </c>
      <c r="F1458" s="1094">
        <v>0.99907445284644614</v>
      </c>
      <c r="G1458" s="1094">
        <v>1.0129771125589866</v>
      </c>
      <c r="H1458" s="1094">
        <v>0.9848741963747778</v>
      </c>
      <c r="I1458" s="1094">
        <v>0.95478159660814654</v>
      </c>
      <c r="K1458">
        <v>4.4790548626922115</v>
      </c>
      <c r="L1458">
        <v>0</v>
      </c>
      <c r="M1458">
        <v>1.501623046406322E-3</v>
      </c>
      <c r="N1458">
        <v>0.12854104902314509</v>
      </c>
      <c r="O1458">
        <v>3.9731602238019192E-2</v>
      </c>
      <c r="P1458">
        <v>1.9047041456093695E-2</v>
      </c>
      <c r="Q1458">
        <v>1.3452172559632793E-3</v>
      </c>
      <c r="R1458">
        <v>1.4953632919712031E-3</v>
      </c>
      <c r="S1458">
        <v>0.22669845834677504</v>
      </c>
      <c r="T1458">
        <v>3.9624757881615893</v>
      </c>
      <c r="U1458">
        <v>0</v>
      </c>
      <c r="V1458">
        <v>9.4523053561131869E-3</v>
      </c>
      <c r="W1458">
        <v>7.6756587340457566E-2</v>
      </c>
      <c r="X1458">
        <v>1.0787062439792707E-2</v>
      </c>
      <c r="Y1458">
        <v>4.2260108286972251E-3</v>
      </c>
    </row>
    <row r="1459" spans="1:25" x14ac:dyDescent="0.25">
      <c r="A1459" s="1090"/>
      <c r="B1459" s="1448">
        <v>1209</v>
      </c>
      <c r="C1459" s="1094">
        <v>0.97212717986374453</v>
      </c>
      <c r="D1459" s="1094">
        <v>1.0035360537916198</v>
      </c>
      <c r="E1459" s="1094">
        <v>0.9596407842961403</v>
      </c>
      <c r="F1459" s="1094">
        <v>1.0323400792795472</v>
      </c>
      <c r="G1459" s="1094">
        <v>1.0348028131698348</v>
      </c>
      <c r="H1459" s="1094">
        <v>1.0090011506621801</v>
      </c>
      <c r="I1459" s="1094">
        <v>0.95862710997870004</v>
      </c>
      <c r="K1459">
        <v>4.6260318611454263</v>
      </c>
      <c r="L1459">
        <v>0</v>
      </c>
      <c r="M1459">
        <v>1.7034529508413011E-3</v>
      </c>
      <c r="N1459">
        <v>0.13080206374368683</v>
      </c>
      <c r="O1459">
        <v>4.1004830061939009E-2</v>
      </c>
      <c r="P1459">
        <v>1.9141719457035446E-2</v>
      </c>
      <c r="Q1459">
        <v>1.2929638840405849E-3</v>
      </c>
      <c r="R1459">
        <v>1.6967440999900026E-3</v>
      </c>
      <c r="S1459">
        <v>0.23354784296701736</v>
      </c>
      <c r="T1459">
        <v>4.0958702066618535</v>
      </c>
      <c r="U1459">
        <v>0</v>
      </c>
      <c r="V1459">
        <v>9.4523053561131887E-3</v>
      </c>
      <c r="W1459">
        <v>8.0098153363758376E-2</v>
      </c>
      <c r="X1459">
        <v>1.0033356133979474E-2</v>
      </c>
      <c r="Y1459">
        <v>4.7951283668557255E-3</v>
      </c>
    </row>
    <row r="1460" spans="1:25" x14ac:dyDescent="0.25">
      <c r="A1460" s="1090"/>
      <c r="B1460" s="1448">
        <v>1210</v>
      </c>
      <c r="C1460" s="1094">
        <v>1.0226655783319958</v>
      </c>
      <c r="D1460" s="1094">
        <v>0.99560319865465452</v>
      </c>
      <c r="E1460" s="1094">
        <v>0.97988130964837061</v>
      </c>
      <c r="F1460" s="1094">
        <v>0.96374272523653326</v>
      </c>
      <c r="G1460" s="1094">
        <v>0.96902385962933735</v>
      </c>
      <c r="H1460" s="1094">
        <v>0.9810280403416376</v>
      </c>
      <c r="I1460" s="1094">
        <v>0.99161862488645147</v>
      </c>
      <c r="K1460">
        <v>4.3045356679516527</v>
      </c>
      <c r="L1460">
        <v>0</v>
      </c>
      <c r="M1460">
        <v>1.4135972869618323E-3</v>
      </c>
      <c r="N1460">
        <v>0.11522320052041178</v>
      </c>
      <c r="O1460">
        <v>3.6373577716456711E-2</v>
      </c>
      <c r="P1460">
        <v>1.8147204430623884E-2</v>
      </c>
      <c r="Q1460">
        <v>1.2549747863066572E-3</v>
      </c>
      <c r="R1460">
        <v>1.4074654190549009E-3</v>
      </c>
      <c r="S1460">
        <v>0.2177576363050647</v>
      </c>
      <c r="T1460">
        <v>3.8229523831009162</v>
      </c>
      <c r="U1460">
        <v>0</v>
      </c>
      <c r="V1460">
        <v>9.4523053561131852E-3</v>
      </c>
      <c r="W1460">
        <v>6.957976862654161E-2</v>
      </c>
      <c r="X1460">
        <v>9.8231442479748167E-3</v>
      </c>
      <c r="Y1460">
        <v>3.9776047291506141E-3</v>
      </c>
    </row>
    <row r="1461" spans="1:25" x14ac:dyDescent="0.25">
      <c r="A1461" s="1090"/>
      <c r="B1461" s="1448">
        <v>1211</v>
      </c>
      <c r="C1461" s="1094">
        <v>0.97757378532889538</v>
      </c>
      <c r="D1461" s="1094">
        <v>0.98614498168156783</v>
      </c>
      <c r="E1461" s="1094">
        <v>1.0151912899141162</v>
      </c>
      <c r="F1461" s="1094">
        <v>1.016671030138204</v>
      </c>
      <c r="G1461" s="1094">
        <v>1.0162831305085336</v>
      </c>
      <c r="H1461" s="1094">
        <v>1.0245301330338827</v>
      </c>
      <c r="I1461" s="1094">
        <v>1.0203886314657826</v>
      </c>
      <c r="K1461">
        <v>4.583391978642374</v>
      </c>
      <c r="L1461">
        <v>0</v>
      </c>
      <c r="M1461">
        <v>1.5179336161589728E-3</v>
      </c>
      <c r="N1461">
        <v>0.13743153628950378</v>
      </c>
      <c r="O1461">
        <v>4.0041235581038781E-2</v>
      </c>
      <c r="P1461">
        <v>1.972716881023099E-2</v>
      </c>
      <c r="Q1461">
        <v>1.3584410547734572E-3</v>
      </c>
      <c r="R1461">
        <v>1.5119556501589537E-3</v>
      </c>
      <c r="S1461">
        <v>0.24719255452168964</v>
      </c>
      <c r="T1461">
        <v>4.031538471985165</v>
      </c>
      <c r="U1461">
        <v>0</v>
      </c>
      <c r="V1461">
        <v>9.4523053561131921E-3</v>
      </c>
      <c r="W1461">
        <v>8.1030268411627568E-2</v>
      </c>
      <c r="X1461">
        <v>1.1353072498527616E-2</v>
      </c>
      <c r="Y1461">
        <v>4.2729020997024289E-3</v>
      </c>
    </row>
    <row r="1462" spans="1:25" x14ac:dyDescent="0.25">
      <c r="A1462" s="1090"/>
      <c r="B1462" s="1448">
        <v>1212</v>
      </c>
      <c r="C1462" s="1094">
        <v>1.0190094033849204</v>
      </c>
      <c r="D1462" s="1094">
        <v>0.99174309365399194</v>
      </c>
      <c r="E1462" s="1094">
        <v>1.024835096357068</v>
      </c>
      <c r="F1462" s="1094">
        <v>0.9835158547126418</v>
      </c>
      <c r="G1462" s="1094">
        <v>1.0226273121232994</v>
      </c>
      <c r="H1462" s="1094">
        <v>1.0079711563409912</v>
      </c>
      <c r="I1462" s="1094">
        <v>1.0449803625611549</v>
      </c>
      <c r="K1462">
        <v>4.4175325998358934</v>
      </c>
      <c r="L1462">
        <v>0</v>
      </c>
      <c r="M1462">
        <v>1.3551176248267302E-3</v>
      </c>
      <c r="N1462">
        <v>0.12621619227090267</v>
      </c>
      <c r="O1462">
        <v>3.7011990021502718E-2</v>
      </c>
      <c r="P1462">
        <v>1.9203313161125411E-2</v>
      </c>
      <c r="Q1462">
        <v>1.3109101513354177E-3</v>
      </c>
      <c r="R1462">
        <v>1.3495110928623498E-3</v>
      </c>
      <c r="S1462">
        <v>0.23578610409901163</v>
      </c>
      <c r="T1462">
        <v>3.8997062789119172</v>
      </c>
      <c r="U1462">
        <v>0</v>
      </c>
      <c r="V1462">
        <v>9.4523053561132008E-3</v>
      </c>
      <c r="W1462">
        <v>7.3940655493257887E-2</v>
      </c>
      <c r="X1462">
        <v>1.1096635523959926E-2</v>
      </c>
      <c r="Y1462">
        <v>3.8138213787269706E-3</v>
      </c>
    </row>
    <row r="1463" spans="1:25" x14ac:dyDescent="0.25">
      <c r="A1463" s="1090"/>
      <c r="B1463" s="1448">
        <v>1213</v>
      </c>
      <c r="C1463" s="1094">
        <v>0.99920537054819558</v>
      </c>
      <c r="D1463" s="1094">
        <v>1.0114222136610611</v>
      </c>
      <c r="E1463" s="1094">
        <v>1.0366026048081562</v>
      </c>
      <c r="F1463" s="1094">
        <v>1.0275213594612111</v>
      </c>
      <c r="G1463" s="1094">
        <v>1.0354495606538616</v>
      </c>
      <c r="H1463" s="1094">
        <v>0.95938961935548006</v>
      </c>
      <c r="I1463" s="1094">
        <v>1.0071874920837927</v>
      </c>
      <c r="K1463">
        <v>4.5958248216448618</v>
      </c>
      <c r="L1463">
        <v>0</v>
      </c>
      <c r="M1463">
        <v>1.3296988907364235E-3</v>
      </c>
      <c r="N1463">
        <v>0.12822978582109879</v>
      </c>
      <c r="O1463">
        <v>3.9042626315866275E-2</v>
      </c>
      <c r="P1463">
        <v>2.0170551141245482E-2</v>
      </c>
      <c r="Q1463">
        <v>1.3396101902392172E-3</v>
      </c>
      <c r="R1463">
        <v>1.3241654943311793E-3</v>
      </c>
      <c r="S1463">
        <v>0.23353447656095186</v>
      </c>
      <c r="T1463">
        <v>4.0737375533722453</v>
      </c>
      <c r="U1463">
        <v>0</v>
      </c>
      <c r="V1463">
        <v>9.4523053561131904E-3</v>
      </c>
      <c r="W1463">
        <v>7.4537359800280714E-2</v>
      </c>
      <c r="X1463">
        <v>1.2043893700991105E-2</v>
      </c>
      <c r="Y1463">
        <v>3.7421927822329738E-3</v>
      </c>
    </row>
    <row r="1464" spans="1:25" x14ac:dyDescent="0.25">
      <c r="A1464" s="1090"/>
      <c r="B1464" s="1448">
        <v>1214</v>
      </c>
      <c r="C1464" s="1094">
        <v>0.99026981225706112</v>
      </c>
      <c r="D1464" s="1094">
        <v>0.97439095180116775</v>
      </c>
      <c r="E1464" s="1094">
        <v>0.98900401198165033</v>
      </c>
      <c r="F1464" s="1094">
        <v>0.98474017657781998</v>
      </c>
      <c r="G1464" s="1094">
        <v>0.99074166996137358</v>
      </c>
      <c r="H1464" s="1094">
        <v>0.97333657544325736</v>
      </c>
      <c r="I1464" s="1094">
        <v>1.0044497397908962</v>
      </c>
      <c r="K1464">
        <v>4.4168629272626871</v>
      </c>
      <c r="L1464">
        <v>0</v>
      </c>
      <c r="M1464">
        <v>1.4642879795056878E-3</v>
      </c>
      <c r="N1464">
        <v>0.12263625892763066</v>
      </c>
      <c r="O1464">
        <v>3.8651209245388049E-2</v>
      </c>
      <c r="P1464">
        <v>1.8711408861512346E-2</v>
      </c>
      <c r="Q1464">
        <v>1.3176062935583606E-3</v>
      </c>
      <c r="R1464">
        <v>1.4580219732043252E-3</v>
      </c>
      <c r="S1464">
        <v>0.23203773255146712</v>
      </c>
      <c r="T1464">
        <v>3.9058998904722042</v>
      </c>
      <c r="U1464">
        <v>0</v>
      </c>
      <c r="V1464">
        <v>9.4523053561132008E-3</v>
      </c>
      <c r="W1464">
        <v>7.3596250567431576E-2</v>
      </c>
      <c r="X1464">
        <v>1.044604958269265E-2</v>
      </c>
      <c r="Y1464">
        <v>4.1204814109872022E-3</v>
      </c>
    </row>
    <row r="1465" spans="1:25" x14ac:dyDescent="0.25">
      <c r="A1465" s="1090"/>
      <c r="B1465" s="1448">
        <v>1215</v>
      </c>
      <c r="C1465" s="1094">
        <v>1.0013408967231214</v>
      </c>
      <c r="D1465" s="1094">
        <v>1.0108673155617767</v>
      </c>
      <c r="E1465" s="1094">
        <v>0.98932337503897338</v>
      </c>
      <c r="F1465" s="1094">
        <v>0.98371779554142702</v>
      </c>
      <c r="G1465" s="1094">
        <v>1.0009340017338468</v>
      </c>
      <c r="H1465" s="1094">
        <v>0.96491838995520995</v>
      </c>
      <c r="I1465" s="1094">
        <v>0.9954669166865403</v>
      </c>
      <c r="K1465">
        <v>4.3966916739327759</v>
      </c>
      <c r="L1465">
        <v>0</v>
      </c>
      <c r="M1465">
        <v>1.4122136822466028E-3</v>
      </c>
      <c r="N1465">
        <v>0.11838205244164163</v>
      </c>
      <c r="O1465">
        <v>3.762482285414339E-2</v>
      </c>
      <c r="P1465">
        <v>1.8661731623452468E-2</v>
      </c>
      <c r="Q1465">
        <v>1.2843771581998562E-3</v>
      </c>
      <c r="R1465">
        <v>1.4061114820156219E-3</v>
      </c>
      <c r="S1465">
        <v>0.22410068133118394</v>
      </c>
      <c r="T1465">
        <v>3.9018326639180714</v>
      </c>
      <c r="U1465">
        <v>0</v>
      </c>
      <c r="V1465">
        <v>9.4523053561131904E-3</v>
      </c>
      <c r="W1465">
        <v>7.1027777574570475E-2</v>
      </c>
      <c r="X1465">
        <v>1.035758547592173E-2</v>
      </c>
      <c r="Y1465">
        <v>3.9737783997094087E-3</v>
      </c>
    </row>
    <row r="1466" spans="1:25" x14ac:dyDescent="0.25">
      <c r="A1466" s="1090"/>
      <c r="B1466" s="1448">
        <v>1216</v>
      </c>
      <c r="C1466" s="1094">
        <v>0.99803371373764738</v>
      </c>
      <c r="D1466" s="1094">
        <v>1.0149214831832643</v>
      </c>
      <c r="E1466" s="1094">
        <v>1.0018969899485159</v>
      </c>
      <c r="F1466" s="1094">
        <v>0.97123920569802247</v>
      </c>
      <c r="G1466" s="1094">
        <v>1.0157291112459741</v>
      </c>
      <c r="H1466" s="1094">
        <v>0.99176441579495167</v>
      </c>
      <c r="I1466" s="1094">
        <v>0.9829885844507058</v>
      </c>
      <c r="K1466">
        <v>4.3485828970580283</v>
      </c>
      <c r="L1466">
        <v>0</v>
      </c>
      <c r="M1466">
        <v>1.3981276006664197E-3</v>
      </c>
      <c r="N1466">
        <v>0.12165915306385673</v>
      </c>
      <c r="O1466">
        <v>3.7127559564532397E-2</v>
      </c>
      <c r="P1466">
        <v>1.8600063219450038E-2</v>
      </c>
      <c r="Q1466">
        <v>1.3005500207701195E-3</v>
      </c>
      <c r="R1466">
        <v>1.3921745994867139E-3</v>
      </c>
      <c r="S1466">
        <v>0.22180459123537408</v>
      </c>
      <c r="T1466">
        <v>3.8518713616317273</v>
      </c>
      <c r="U1466">
        <v>0</v>
      </c>
      <c r="V1466">
        <v>9.4523053561131852E-3</v>
      </c>
      <c r="W1466">
        <v>7.2374471413464869E-2</v>
      </c>
      <c r="X1466">
        <v>1.0464402848269119E-2</v>
      </c>
      <c r="Y1466">
        <v>3.934391705652066E-3</v>
      </c>
    </row>
    <row r="1467" spans="1:25" x14ac:dyDescent="0.25">
      <c r="A1467" s="1090"/>
      <c r="B1467" s="1448">
        <v>1217</v>
      </c>
      <c r="C1467" s="1094">
        <v>1.0055365420511813</v>
      </c>
      <c r="D1467" s="1094">
        <v>0.98279063907310105</v>
      </c>
      <c r="E1467" s="1094">
        <v>1.0162648325913979</v>
      </c>
      <c r="F1467" s="1094">
        <v>0.99327470823159059</v>
      </c>
      <c r="G1467" s="1094">
        <v>1.0151241781286116</v>
      </c>
      <c r="H1467" s="1094">
        <v>0.97721429567566842</v>
      </c>
      <c r="I1467" s="1094">
        <v>0.96583106272422126</v>
      </c>
      <c r="K1467">
        <v>4.4407137586829482</v>
      </c>
      <c r="L1467">
        <v>0</v>
      </c>
      <c r="M1467">
        <v>1.3740654723735997E-3</v>
      </c>
      <c r="N1467">
        <v>0.12476578002856673</v>
      </c>
      <c r="O1467">
        <v>3.8076425963083978E-2</v>
      </c>
      <c r="P1467">
        <v>1.9193423245550952E-2</v>
      </c>
      <c r="Q1467">
        <v>1.3236708183911154E-3</v>
      </c>
      <c r="R1467">
        <v>1.3682589940204122E-3</v>
      </c>
      <c r="S1467">
        <v>0.22069834518075446</v>
      </c>
      <c r="T1467">
        <v>3.9387216865161068</v>
      </c>
      <c r="U1467">
        <v>0</v>
      </c>
      <c r="V1467">
        <v>9.4523053561131852E-3</v>
      </c>
      <c r="W1467">
        <v>7.3509689003658757E-2</v>
      </c>
      <c r="X1467">
        <v>1.111143467034216E-2</v>
      </c>
      <c r="Y1467">
        <v>3.8668043787341974E-3</v>
      </c>
    </row>
    <row r="1468" spans="1:25" x14ac:dyDescent="0.25">
      <c r="A1468" s="1090"/>
      <c r="B1468" s="1448">
        <v>1218</v>
      </c>
      <c r="C1468" s="1094">
        <v>0.99656001386026494</v>
      </c>
      <c r="D1468" s="1094">
        <v>0.96860273322444612</v>
      </c>
      <c r="E1468" s="1094">
        <v>1.0098232518533665</v>
      </c>
      <c r="F1468" s="1094">
        <v>0.98964386521271519</v>
      </c>
      <c r="G1468" s="1094">
        <v>0.98975099950057455</v>
      </c>
      <c r="H1468" s="1094">
        <v>0.98614035646401077</v>
      </c>
      <c r="I1468" s="1094">
        <v>1.0338285172914643</v>
      </c>
      <c r="K1468">
        <v>4.4490984052206999</v>
      </c>
      <c r="L1468">
        <v>0</v>
      </c>
      <c r="M1468">
        <v>1.4213343083918403E-3</v>
      </c>
      <c r="N1468">
        <v>0.12662320233927468</v>
      </c>
      <c r="O1468">
        <v>3.8546836735488053E-2</v>
      </c>
      <c r="P1468">
        <v>1.9124096696696347E-2</v>
      </c>
      <c r="Q1468">
        <v>1.3360500640219374E-3</v>
      </c>
      <c r="R1468">
        <v>1.4153607025366619E-3</v>
      </c>
      <c r="S1468">
        <v>0.23955108956926432</v>
      </c>
      <c r="T1468">
        <v>3.9245651857469617</v>
      </c>
      <c r="U1468">
        <v>0</v>
      </c>
      <c r="V1468">
        <v>9.4523053561131991E-3</v>
      </c>
      <c r="W1468">
        <v>7.4926690023382758E-2</v>
      </c>
      <c r="X1468">
        <v>1.0979004892301639E-2</v>
      </c>
      <c r="Y1468">
        <v>3.999917403046449E-3</v>
      </c>
    </row>
    <row r="1469" spans="1:25" x14ac:dyDescent="0.25">
      <c r="A1469" s="1090"/>
      <c r="B1469" s="1448">
        <v>1219</v>
      </c>
      <c r="C1469" s="1094">
        <v>1.0060440011033038</v>
      </c>
      <c r="D1469" s="1094">
        <v>1.0113291548291339</v>
      </c>
      <c r="E1469" s="1094">
        <v>0.99963001060415602</v>
      </c>
      <c r="F1469" s="1094">
        <v>1.000815520897425</v>
      </c>
      <c r="G1469" s="1094">
        <v>0.99832047882767416</v>
      </c>
      <c r="H1469" s="1094">
        <v>0.97264972006704697</v>
      </c>
      <c r="I1469" s="1094">
        <v>1.0003915281051534</v>
      </c>
      <c r="K1469">
        <v>4.4736891927033113</v>
      </c>
      <c r="L1469">
        <v>0</v>
      </c>
      <c r="M1469">
        <v>1.4102178116562215E-3</v>
      </c>
      <c r="N1469">
        <v>0.12189515062163113</v>
      </c>
      <c r="O1469">
        <v>3.8022840659771087E-2</v>
      </c>
      <c r="P1469">
        <v>1.9127579480295066E-2</v>
      </c>
      <c r="Q1469">
        <v>1.2895194443926835E-3</v>
      </c>
      <c r="R1469">
        <v>1.4042755224600982E-3</v>
      </c>
      <c r="S1469">
        <v>0.22731692383021487</v>
      </c>
      <c r="T1469">
        <v>3.9692554658437471</v>
      </c>
      <c r="U1469">
        <v>0</v>
      </c>
      <c r="V1469">
        <v>9.4523053561131939E-3</v>
      </c>
      <c r="W1469">
        <v>7.2625999591355531E-2</v>
      </c>
      <c r="X1469">
        <v>1.0740760327149705E-2</v>
      </c>
      <c r="Y1469">
        <v>3.9685898378366159E-3</v>
      </c>
    </row>
    <row r="1470" spans="1:25" x14ac:dyDescent="0.25">
      <c r="A1470" s="1090"/>
      <c r="B1470" s="1448">
        <v>1220</v>
      </c>
      <c r="C1470" s="1094">
        <v>0.99943627814833225</v>
      </c>
      <c r="D1470" s="1094">
        <v>1.0030152188361421</v>
      </c>
      <c r="E1470" s="1094">
        <v>1.0308364303786306</v>
      </c>
      <c r="F1470" s="1094">
        <v>1.0260829302054566</v>
      </c>
      <c r="G1470" s="1094">
        <v>0.98149030153138717</v>
      </c>
      <c r="H1470" s="1094">
        <v>0.98951661887323483</v>
      </c>
      <c r="I1470" s="1094">
        <v>1.0298642280070307</v>
      </c>
      <c r="K1470">
        <v>4.6043446396804653</v>
      </c>
      <c r="L1470">
        <v>0</v>
      </c>
      <c r="M1470">
        <v>1.3906751123981388E-3</v>
      </c>
      <c r="N1470">
        <v>0.13185987801728608</v>
      </c>
      <c r="O1470">
        <v>3.9150107782731688E-2</v>
      </c>
      <c r="P1470">
        <v>2.0098229244577753E-2</v>
      </c>
      <c r="Q1470">
        <v>1.3372952082679255E-3</v>
      </c>
      <c r="R1470">
        <v>1.3850563321474278E-3</v>
      </c>
      <c r="S1470">
        <v>0.24151348226432046</v>
      </c>
      <c r="T1470">
        <v>4.0682562947212988</v>
      </c>
      <c r="U1470">
        <v>0</v>
      </c>
      <c r="V1470">
        <v>9.4523053561131973E-3</v>
      </c>
      <c r="W1470">
        <v>7.6939998274128035E-2</v>
      </c>
      <c r="X1470">
        <v>1.1828392653290533E-2</v>
      </c>
      <c r="Y1470">
        <v>3.914274938697242E-3</v>
      </c>
    </row>
    <row r="1471" spans="1:25" x14ac:dyDescent="0.25">
      <c r="A1471" s="1090"/>
      <c r="B1471" s="1448">
        <v>1221</v>
      </c>
      <c r="C1471" s="1094">
        <v>0.98931435827454184</v>
      </c>
      <c r="D1471" s="1094">
        <v>1.0004976050837715</v>
      </c>
      <c r="E1471" s="1094">
        <v>1.0123737020401147</v>
      </c>
      <c r="F1471" s="1094">
        <v>0.97054169032776727</v>
      </c>
      <c r="G1471" s="1094">
        <v>1.0076594456885331</v>
      </c>
      <c r="H1471" s="1094">
        <v>1.0006187535350006</v>
      </c>
      <c r="I1471" s="1094">
        <v>0.99094043617184469</v>
      </c>
      <c r="K1471">
        <v>4.3573751611377141</v>
      </c>
      <c r="L1471">
        <v>0</v>
      </c>
      <c r="M1471">
        <v>1.3989468810721678E-3</v>
      </c>
      <c r="N1471">
        <v>0.12557078672387015</v>
      </c>
      <c r="O1471">
        <v>3.7572161327566723E-2</v>
      </c>
      <c r="P1471">
        <v>1.8754775268376496E-2</v>
      </c>
      <c r="Q1471">
        <v>1.3313932373109154E-3</v>
      </c>
      <c r="R1471">
        <v>1.3930388746467739E-3</v>
      </c>
      <c r="S1471">
        <v>0.22710319663517528</v>
      </c>
      <c r="T1471">
        <v>3.8487192054069617</v>
      </c>
      <c r="U1471">
        <v>0</v>
      </c>
      <c r="V1471">
        <v>9.4523053561131783E-3</v>
      </c>
      <c r="W1471">
        <v>7.4176928941309395E-2</v>
      </c>
      <c r="X1471">
        <v>1.0763482034218692E-2</v>
      </c>
      <c r="Y1471">
        <v>3.9368342132386856E-3</v>
      </c>
    </row>
    <row r="1472" spans="1:25" x14ac:dyDescent="0.25">
      <c r="A1472" s="1090"/>
      <c r="B1472" s="1448">
        <v>1222</v>
      </c>
      <c r="C1472" s="1094">
        <v>0.99802768906270944</v>
      </c>
      <c r="D1472" s="1094">
        <v>1.0063689435003209</v>
      </c>
      <c r="E1472" s="1094">
        <v>1.012303577882109</v>
      </c>
      <c r="F1472" s="1094">
        <v>0.99737492425887408</v>
      </c>
      <c r="G1472" s="1094">
        <v>0.99019136299251176</v>
      </c>
      <c r="H1472" s="1094">
        <v>1.0133732800091029</v>
      </c>
      <c r="I1472" s="1094">
        <v>1.0078950333454177</v>
      </c>
      <c r="K1472">
        <v>4.4777263900799857</v>
      </c>
      <c r="L1472">
        <v>0</v>
      </c>
      <c r="M1472">
        <v>1.4399135421844997E-3</v>
      </c>
      <c r="N1472">
        <v>0.12924256213483415</v>
      </c>
      <c r="O1472">
        <v>3.8184855330859253E-2</v>
      </c>
      <c r="P1472">
        <v>1.9272891491656795E-2</v>
      </c>
      <c r="Q1472">
        <v>1.3166056145669203E-3</v>
      </c>
      <c r="R1472">
        <v>1.4340699423468369E-3</v>
      </c>
      <c r="S1472">
        <v>0.23376843900386915</v>
      </c>
      <c r="T1472">
        <v>3.9551300408079029</v>
      </c>
      <c r="U1472">
        <v>0</v>
      </c>
      <c r="V1472">
        <v>9.4523053561131991E-3</v>
      </c>
      <c r="W1472">
        <v>7.6349501300034497E-2</v>
      </c>
      <c r="X1472">
        <v>1.0962241496850786E-2</v>
      </c>
      <c r="Y1472">
        <v>4.0527911431328919E-3</v>
      </c>
    </row>
    <row r="1473" spans="1:25" x14ac:dyDescent="0.25">
      <c r="A1473" s="1090"/>
      <c r="B1473" s="1448">
        <v>1223</v>
      </c>
      <c r="C1473" s="1094">
        <v>0.96354789618870762</v>
      </c>
      <c r="D1473" s="1094">
        <v>1.030414431708307</v>
      </c>
      <c r="E1473" s="1094">
        <v>0.97994771502556066</v>
      </c>
      <c r="F1473" s="1094">
        <v>1.0013134559026646</v>
      </c>
      <c r="G1473" s="1094">
        <v>1.0062959470421819</v>
      </c>
      <c r="H1473" s="1094">
        <v>0.99970506635518785</v>
      </c>
      <c r="I1473" s="1094">
        <v>0.99170458136992901</v>
      </c>
      <c r="K1473">
        <v>4.4969184027494995</v>
      </c>
      <c r="L1473">
        <v>0</v>
      </c>
      <c r="M1473">
        <v>1.5663373103147443E-3</v>
      </c>
      <c r="N1473">
        <v>0.12772909057936549</v>
      </c>
      <c r="O1473">
        <v>3.9562152170152749E-2</v>
      </c>
      <c r="P1473">
        <v>1.8898267355677352E-2</v>
      </c>
      <c r="Q1473">
        <v>1.3138630724780086E-3</v>
      </c>
      <c r="R1473">
        <v>1.5599189762308451E-3</v>
      </c>
      <c r="S1473">
        <v>0.23613719936000688</v>
      </c>
      <c r="T1473">
        <v>3.9719845328316858</v>
      </c>
      <c r="U1473">
        <v>0</v>
      </c>
      <c r="V1473">
        <v>9.4523053561132026E-3</v>
      </c>
      <c r="W1473">
        <v>7.7128184008472156E-2</v>
      </c>
      <c r="X1473">
        <v>1.0310776228620913E-2</v>
      </c>
      <c r="Y1473">
        <v>4.4084501210083123E-3</v>
      </c>
    </row>
    <row r="1474" spans="1:25" x14ac:dyDescent="0.25">
      <c r="A1474" s="1090"/>
      <c r="B1474" s="1448">
        <v>1224</v>
      </c>
      <c r="C1474" s="1094">
        <v>0.96947913567386956</v>
      </c>
      <c r="D1474" s="1094">
        <v>1.0165149980637105</v>
      </c>
      <c r="E1474" s="1094">
        <v>0.97333123799479804</v>
      </c>
      <c r="F1474" s="1094">
        <v>0.95705972388858074</v>
      </c>
      <c r="G1474" s="1094">
        <v>0.98970920437255983</v>
      </c>
      <c r="H1474" s="1094">
        <v>0.98975297028008813</v>
      </c>
      <c r="I1474" s="1094">
        <v>1.0082457729787029</v>
      </c>
      <c r="K1474">
        <v>4.3018258570556736</v>
      </c>
      <c r="L1474">
        <v>0</v>
      </c>
      <c r="M1474">
        <v>1.5021549607681648E-3</v>
      </c>
      <c r="N1474">
        <v>0.12008516357205336</v>
      </c>
      <c r="O1474">
        <v>3.7831428782839877E-2</v>
      </c>
      <c r="P1474">
        <v>1.800177678609105E-2</v>
      </c>
      <c r="Q1474">
        <v>1.305402846144403E-3</v>
      </c>
      <c r="R1474">
        <v>1.4956514839160136E-3</v>
      </c>
      <c r="S1474">
        <v>0.23164848988460379</v>
      </c>
      <c r="T1474">
        <v>3.7966838530118898</v>
      </c>
      <c r="U1474">
        <v>0</v>
      </c>
      <c r="V1474">
        <v>9.4523053561131921E-3</v>
      </c>
      <c r="W1474">
        <v>7.2842675077507149E-2</v>
      </c>
      <c r="X1474">
        <v>9.7544399341448138E-3</v>
      </c>
      <c r="Y1474">
        <v>4.2268252811356729E-3</v>
      </c>
    </row>
    <row r="1475" spans="1:25" x14ac:dyDescent="0.25">
      <c r="A1475" s="1090"/>
      <c r="B1475" s="1448">
        <v>1225</v>
      </c>
      <c r="C1475" s="1094">
        <v>1.0028499326067228</v>
      </c>
      <c r="D1475" s="1094">
        <v>1.0094755159547322</v>
      </c>
      <c r="E1475" s="1094">
        <v>0.97593850325070308</v>
      </c>
      <c r="F1475" s="1094">
        <v>1.0404552545396142</v>
      </c>
      <c r="G1475" s="1094">
        <v>1.0064772410157878</v>
      </c>
      <c r="H1475" s="1094">
        <v>0.97427681072062733</v>
      </c>
      <c r="I1475" s="1094">
        <v>0.95470933184202833</v>
      </c>
      <c r="K1475">
        <v>4.6364855499250153</v>
      </c>
      <c r="L1475">
        <v>0</v>
      </c>
      <c r="M1475">
        <v>1.5493163698114213E-3</v>
      </c>
      <c r="N1475">
        <v>0.12485306662144308</v>
      </c>
      <c r="O1475">
        <v>3.9851631372486575E-2</v>
      </c>
      <c r="P1475">
        <v>1.9479454405659576E-2</v>
      </c>
      <c r="Q1475">
        <v>1.2683541609588311E-3</v>
      </c>
      <c r="R1475">
        <v>1.5430461864539722E-3</v>
      </c>
      <c r="S1475">
        <v>0.22368721352224999</v>
      </c>
      <c r="T1475">
        <v>4.1274117755431616</v>
      </c>
      <c r="U1475">
        <v>0</v>
      </c>
      <c r="V1475">
        <v>9.4523053561131939E-3</v>
      </c>
      <c r="W1475">
        <v>7.559918470798685E-2</v>
      </c>
      <c r="X1475">
        <v>1.052806808938503E-2</v>
      </c>
      <c r="Y1475">
        <v>4.360766328922309E-3</v>
      </c>
    </row>
    <row r="1476" spans="1:25" x14ac:dyDescent="0.25">
      <c r="A1476" s="1090"/>
      <c r="B1476" s="1448">
        <v>1226</v>
      </c>
      <c r="C1476" s="1094">
        <v>1.009642706732639</v>
      </c>
      <c r="D1476" s="1094">
        <v>1.0097305972264492</v>
      </c>
      <c r="E1476" s="1094">
        <v>0.99273031318684801</v>
      </c>
      <c r="F1476" s="1094">
        <v>1.0056983819959622</v>
      </c>
      <c r="G1476" s="1094">
        <v>0.9934523270709984</v>
      </c>
      <c r="H1476" s="1094">
        <v>0.99969219979707846</v>
      </c>
      <c r="I1476" s="1094">
        <v>1.0251483977571005</v>
      </c>
      <c r="K1476">
        <v>4.5061587012235123</v>
      </c>
      <c r="L1476">
        <v>0</v>
      </c>
      <c r="M1476">
        <v>1.4734379869504588E-3</v>
      </c>
      <c r="N1476">
        <v>0.12479851460541662</v>
      </c>
      <c r="O1476">
        <v>3.8143238888372316E-2</v>
      </c>
      <c r="P1476">
        <v>1.91530456768635E-2</v>
      </c>
      <c r="Q1476">
        <v>1.2781376082025347E-3</v>
      </c>
      <c r="R1476">
        <v>1.4674264636358595E-3</v>
      </c>
      <c r="S1476">
        <v>0.2350716755085886</v>
      </c>
      <c r="T1476">
        <v>3.9888857331421632</v>
      </c>
      <c r="U1476">
        <v>0</v>
      </c>
      <c r="V1476">
        <v>9.4523053561132026E-3</v>
      </c>
      <c r="W1476">
        <v>7.4704304930140561E-2</v>
      </c>
      <c r="X1476">
        <v>1.0530697812014995E-2</v>
      </c>
      <c r="Y1476">
        <v>4.1470592189455976E-3</v>
      </c>
    </row>
    <row r="1477" spans="1:25" x14ac:dyDescent="0.25">
      <c r="A1477" s="1090"/>
      <c r="B1477" s="1448">
        <v>1227</v>
      </c>
      <c r="C1477" s="1094">
        <v>0.99825224675885915</v>
      </c>
      <c r="D1477" s="1094">
        <v>1.0092068175419509</v>
      </c>
      <c r="E1477" s="1094">
        <v>1.0333651429032538</v>
      </c>
      <c r="F1477" s="1094">
        <v>0.98195051393543287</v>
      </c>
      <c r="G1477" s="1094">
        <v>1.0272235293953975</v>
      </c>
      <c r="H1477" s="1094">
        <v>0.98880690576242047</v>
      </c>
      <c r="I1477" s="1094">
        <v>1.0154349464779384</v>
      </c>
      <c r="K1477">
        <v>4.4064249887891824</v>
      </c>
      <c r="L1477">
        <v>0</v>
      </c>
      <c r="M1477">
        <v>1.3213595385480916E-3</v>
      </c>
      <c r="N1477">
        <v>0.12620426611162461</v>
      </c>
      <c r="O1477">
        <v>3.7401362430185651E-2</v>
      </c>
      <c r="P1477">
        <v>1.9269663755489053E-2</v>
      </c>
      <c r="Q1477">
        <v>1.3384287865574008E-3</v>
      </c>
      <c r="R1477">
        <v>1.315777873089964E-3</v>
      </c>
      <c r="S1477">
        <v>0.23094335092101326</v>
      </c>
      <c r="T1477">
        <v>3.8931851882860742</v>
      </c>
      <c r="U1477">
        <v>0</v>
      </c>
      <c r="V1477">
        <v>9.4523053561131991E-3</v>
      </c>
      <c r="W1477">
        <v>7.3516905332084839E-2</v>
      </c>
      <c r="X1477">
        <v>1.140061075125519E-2</v>
      </c>
      <c r="Y1477">
        <v>3.7184887242407115E-3</v>
      </c>
    </row>
    <row r="1478" spans="1:25" x14ac:dyDescent="0.25">
      <c r="A1478" s="1090"/>
      <c r="B1478" s="1448">
        <v>1228</v>
      </c>
      <c r="C1478" s="1094">
        <v>0.99436241415554683</v>
      </c>
      <c r="D1478" s="1094">
        <v>1.0193628362018428</v>
      </c>
      <c r="E1478" s="1094">
        <v>0.98076707769800575</v>
      </c>
      <c r="F1478" s="1094">
        <v>1.0459001044932379</v>
      </c>
      <c r="G1478" s="1094">
        <v>1.0282157827992651</v>
      </c>
      <c r="H1478" s="1094">
        <v>1.03169380980188</v>
      </c>
      <c r="I1478" s="1094">
        <v>0.99918664306398508</v>
      </c>
      <c r="K1478">
        <v>4.6904892823322051</v>
      </c>
      <c r="L1478">
        <v>0</v>
      </c>
      <c r="M1478">
        <v>1.6400735130998689E-3</v>
      </c>
      <c r="N1478">
        <v>0.13410736943287155</v>
      </c>
      <c r="O1478">
        <v>4.0210429783399525E-2</v>
      </c>
      <c r="P1478">
        <v>1.9723821101290909E-2</v>
      </c>
      <c r="Q1478">
        <v>1.2795603731373419E-3</v>
      </c>
      <c r="R1478">
        <v>1.6338379295384076E-3</v>
      </c>
      <c r="S1478">
        <v>0.24081141368142409</v>
      </c>
      <c r="T1478">
        <v>4.1488167597718597</v>
      </c>
      <c r="U1478">
        <v>0</v>
      </c>
      <c r="V1478">
        <v>9.4523053561131904E-3</v>
      </c>
      <c r="W1478">
        <v>8.0934220554722561E-2</v>
      </c>
      <c r="X1478">
        <v>1.05422871344468E-2</v>
      </c>
      <c r="Y1478">
        <v>4.6173507265005994E-3</v>
      </c>
    </row>
    <row r="1479" spans="1:25" x14ac:dyDescent="0.25">
      <c r="A1479" s="1090"/>
      <c r="B1479" s="1448">
        <v>1229</v>
      </c>
      <c r="C1479" s="1094">
        <v>0.98105852873155952</v>
      </c>
      <c r="D1479" s="1094">
        <v>1.0181266677931824</v>
      </c>
      <c r="E1479" s="1094">
        <v>1.0038313500590299</v>
      </c>
      <c r="F1479" s="1094">
        <v>1.0102797061782594</v>
      </c>
      <c r="G1479" s="1094">
        <v>0.99539074879157585</v>
      </c>
      <c r="H1479" s="1094">
        <v>1.0054948142154649</v>
      </c>
      <c r="I1479" s="1094">
        <v>0.99797655184171241</v>
      </c>
      <c r="K1479">
        <v>4.535431306743229</v>
      </c>
      <c r="L1479">
        <v>0</v>
      </c>
      <c r="M1479">
        <v>1.4917473720328831E-3</v>
      </c>
      <c r="N1479">
        <v>0.13058031396392789</v>
      </c>
      <c r="O1479">
        <v>3.9225093340908838E-2</v>
      </c>
      <c r="P1479">
        <v>1.9398031601500696E-2</v>
      </c>
      <c r="Q1479">
        <v>1.3235741405098159E-3</v>
      </c>
      <c r="R1479">
        <v>1.4857235993024085E-3</v>
      </c>
      <c r="S1479">
        <v>0.23609998720307088</v>
      </c>
      <c r="T1479">
        <v>4.0066291260154889</v>
      </c>
      <c r="U1479">
        <v>0</v>
      </c>
      <c r="V1479">
        <v>9.4523053561131991E-3</v>
      </c>
      <c r="W1479">
        <v>7.7580332530632512E-2</v>
      </c>
      <c r="X1479">
        <v>1.0949798042542994E-2</v>
      </c>
      <c r="Y1479">
        <v>4.1987683212594889E-3</v>
      </c>
    </row>
    <row r="1480" spans="1:25" x14ac:dyDescent="0.25">
      <c r="A1480" s="1090"/>
      <c r="B1480" s="1448">
        <v>1230</v>
      </c>
      <c r="C1480" s="1094">
        <v>0.98793694644731456</v>
      </c>
      <c r="D1480" s="1094">
        <v>0.97266866195032631</v>
      </c>
      <c r="E1480" s="1094">
        <v>0.99969828675021821</v>
      </c>
      <c r="F1480" s="1094">
        <v>0.99528917012026308</v>
      </c>
      <c r="G1480" s="1094">
        <v>1.010114166137914</v>
      </c>
      <c r="H1480" s="1094">
        <v>1.0208316155119361</v>
      </c>
      <c r="I1480" s="1094">
        <v>1.0101990568187704</v>
      </c>
      <c r="K1480">
        <v>4.4807587539692175</v>
      </c>
      <c r="L1480">
        <v>0</v>
      </c>
      <c r="M1480">
        <v>1.5222476744681719E-3</v>
      </c>
      <c r="N1480">
        <v>0.13162866047289359</v>
      </c>
      <c r="O1480">
        <v>3.911049328335741E-2</v>
      </c>
      <c r="P1480">
        <v>1.9083902764689634E-2</v>
      </c>
      <c r="Q1480">
        <v>1.3338656945683708E-3</v>
      </c>
      <c r="R1480">
        <v>1.5161022748065593E-3</v>
      </c>
      <c r="S1480">
        <v>0.23941820925513574</v>
      </c>
      <c r="T1480">
        <v>3.9473352539049227</v>
      </c>
      <c r="U1480">
        <v>0</v>
      </c>
      <c r="V1480">
        <v>9.4523053561131852E-3</v>
      </c>
      <c r="W1480">
        <v>7.8421674377940703E-2</v>
      </c>
      <c r="X1480">
        <v>1.0695913481720325E-2</v>
      </c>
      <c r="Y1480">
        <v>4.2846207775363784E-3</v>
      </c>
    </row>
    <row r="1481" spans="1:25" x14ac:dyDescent="0.25">
      <c r="A1481" s="1090"/>
      <c r="B1481" s="1448">
        <v>1231</v>
      </c>
      <c r="C1481" s="1094">
        <v>1.0128623235473291</v>
      </c>
      <c r="D1481" s="1094">
        <v>0.99417279009837134</v>
      </c>
      <c r="E1481" s="1094">
        <v>1.014478860793907</v>
      </c>
      <c r="F1481" s="1094">
        <v>0.98610367175934455</v>
      </c>
      <c r="G1481" s="1094">
        <v>1.0351361438819742</v>
      </c>
      <c r="H1481" s="1094">
        <v>1.0178821275598502</v>
      </c>
      <c r="I1481" s="1094">
        <v>0.96185295524382675</v>
      </c>
      <c r="K1481">
        <v>4.4140060128452907</v>
      </c>
      <c r="L1481">
        <v>0</v>
      </c>
      <c r="M1481">
        <v>1.4095021022199131E-3</v>
      </c>
      <c r="N1481">
        <v>0.12732656773819789</v>
      </c>
      <c r="O1481">
        <v>3.736765908975407E-2</v>
      </c>
      <c r="P1481">
        <v>1.903125167428622E-2</v>
      </c>
      <c r="Q1481">
        <v>1.3060770738807506E-3</v>
      </c>
      <c r="R1481">
        <v>1.4037424376095702E-3</v>
      </c>
      <c r="S1481">
        <v>0.21927379572259525</v>
      </c>
      <c r="T1481">
        <v>3.9103522902385426</v>
      </c>
      <c r="U1481">
        <v>0</v>
      </c>
      <c r="V1481">
        <v>9.4523053561131921E-3</v>
      </c>
      <c r="W1481">
        <v>7.5108127719677828E-2</v>
      </c>
      <c r="X1481">
        <v>1.0826614597501056E-2</v>
      </c>
      <c r="Y1481">
        <v>3.9670832993499213E-3</v>
      </c>
    </row>
    <row r="1482" spans="1:25" x14ac:dyDescent="0.25">
      <c r="A1482" s="1090"/>
      <c r="B1482" s="1448">
        <v>1232</v>
      </c>
      <c r="C1482" s="1094">
        <v>1.0351306989317712</v>
      </c>
      <c r="D1482" s="1094">
        <v>1.0078795061627657</v>
      </c>
      <c r="E1482" s="1094">
        <v>1.0033282845852856</v>
      </c>
      <c r="F1482" s="1094">
        <v>1.0035345516804446</v>
      </c>
      <c r="G1482" s="1094">
        <v>0.9673914580119114</v>
      </c>
      <c r="H1482" s="1094">
        <v>0.99104359291409083</v>
      </c>
      <c r="I1482" s="1094">
        <v>1.0049732088831531</v>
      </c>
      <c r="K1482">
        <v>4.4792992988675344</v>
      </c>
      <c r="L1482">
        <v>0</v>
      </c>
      <c r="M1482">
        <v>1.3913235002897214E-3</v>
      </c>
      <c r="N1482">
        <v>0.12159780605978847</v>
      </c>
      <c r="O1482">
        <v>3.708094687256152E-2</v>
      </c>
      <c r="P1482">
        <v>1.9213385329496929E-2</v>
      </c>
      <c r="Q1482">
        <v>1.2589789384986018E-3</v>
      </c>
      <c r="R1482">
        <v>1.3855851647180467E-3</v>
      </c>
      <c r="S1482">
        <v>0.22393047293038901</v>
      </c>
      <c r="T1482">
        <v>3.9798979704256965</v>
      </c>
      <c r="U1482">
        <v>0</v>
      </c>
      <c r="V1482">
        <v>9.4523053561131783E-3</v>
      </c>
      <c r="W1482">
        <v>7.2268156015028562E-2</v>
      </c>
      <c r="X1482">
        <v>1.0689245815616753E-2</v>
      </c>
      <c r="Y1482">
        <v>3.9157694599162695E-3</v>
      </c>
    </row>
    <row r="1483" spans="1:25" x14ac:dyDescent="0.25">
      <c r="A1483" s="1090"/>
      <c r="B1483" s="1448">
        <v>1233</v>
      </c>
      <c r="C1483" s="1094">
        <v>1.0067949005530537</v>
      </c>
      <c r="D1483" s="1094">
        <v>0.99642975175306081</v>
      </c>
      <c r="E1483" s="1094">
        <v>1.0124336694529041</v>
      </c>
      <c r="F1483" s="1094">
        <v>0.96572426384106458</v>
      </c>
      <c r="G1483" s="1094">
        <v>0.98558748335150226</v>
      </c>
      <c r="H1483" s="1094">
        <v>1.0144427020194555</v>
      </c>
      <c r="I1483" s="1094">
        <v>1.023998801682511</v>
      </c>
      <c r="K1483">
        <v>4.3398824922634276</v>
      </c>
      <c r="L1483">
        <v>0</v>
      </c>
      <c r="M1483">
        <v>1.3888467035891403E-3</v>
      </c>
      <c r="N1483">
        <v>0.1246909326272166</v>
      </c>
      <c r="O1483">
        <v>3.6796075481937932E-2</v>
      </c>
      <c r="P1483">
        <v>1.8686508091980095E-2</v>
      </c>
      <c r="Q1483">
        <v>1.310477423157354E-3</v>
      </c>
      <c r="R1483">
        <v>1.3830325424974005E-3</v>
      </c>
      <c r="S1483">
        <v>0.23115839026789523</v>
      </c>
      <c r="T1483">
        <v>3.8296133293960675</v>
      </c>
      <c r="U1483">
        <v>0</v>
      </c>
      <c r="V1483">
        <v>9.4523053561131904E-3</v>
      </c>
      <c r="W1483">
        <v>7.3654222937668212E-2</v>
      </c>
      <c r="X1483">
        <v>1.061750928784528E-2</v>
      </c>
      <c r="Y1483">
        <v>3.9085555546372348E-3</v>
      </c>
    </row>
    <row r="1484" spans="1:25" x14ac:dyDescent="0.25">
      <c r="A1484" s="1090"/>
      <c r="B1484" s="1448">
        <v>1234</v>
      </c>
      <c r="C1484" s="1094">
        <v>0.99075493163166073</v>
      </c>
      <c r="D1484" s="1094">
        <v>0.96865366574652956</v>
      </c>
      <c r="E1484" s="1094">
        <v>0.99852148510392957</v>
      </c>
      <c r="F1484" s="1094">
        <v>1.0029688728287807</v>
      </c>
      <c r="G1484" s="1094">
        <v>1.0472675196488241</v>
      </c>
      <c r="H1484" s="1094">
        <v>1.0083304238092312</v>
      </c>
      <c r="I1484" s="1094">
        <v>0.9642323507826186</v>
      </c>
      <c r="K1484">
        <v>4.4992557489612723</v>
      </c>
      <c r="L1484">
        <v>0</v>
      </c>
      <c r="M1484">
        <v>1.5171071036933332E-3</v>
      </c>
      <c r="N1484">
        <v>0.13072502793405699</v>
      </c>
      <c r="O1484">
        <v>3.9373533421284551E-2</v>
      </c>
      <c r="P1484">
        <v>1.9155750268614484E-2</v>
      </c>
      <c r="Q1484">
        <v>1.3309305328698207E-3</v>
      </c>
      <c r="R1484">
        <v>1.5109538074565504E-3</v>
      </c>
      <c r="S1484">
        <v>0.22841283185829017</v>
      </c>
      <c r="T1484">
        <v>3.9778380630885564</v>
      </c>
      <c r="U1484">
        <v>0</v>
      </c>
      <c r="V1484">
        <v>9.4523053561131939E-3</v>
      </c>
      <c r="W1484">
        <v>7.7945316662795278E-2</v>
      </c>
      <c r="X1484">
        <v>1.0758072319187847E-2</v>
      </c>
      <c r="Y1484">
        <v>4.2700708157383657E-3</v>
      </c>
    </row>
    <row r="1485" spans="1:25" x14ac:dyDescent="0.25">
      <c r="A1485" s="1090"/>
      <c r="B1485" s="1448">
        <v>1235</v>
      </c>
      <c r="C1485" s="1094">
        <v>1.0058157485654515</v>
      </c>
      <c r="D1485" s="1094">
        <v>0.96799986513965397</v>
      </c>
      <c r="E1485" s="1094">
        <v>1.0002847250285094</v>
      </c>
      <c r="F1485" s="1094">
        <v>1.0220415833586209</v>
      </c>
      <c r="G1485" s="1094">
        <v>1.0377459469034462</v>
      </c>
      <c r="H1485" s="1094">
        <v>1.0169631970018624</v>
      </c>
      <c r="I1485" s="1094">
        <v>1.0368480999494225</v>
      </c>
      <c r="K1485">
        <v>4.5958548156634036</v>
      </c>
      <c r="L1485">
        <v>0</v>
      </c>
      <c r="M1485">
        <v>1.5304501013519772E-3</v>
      </c>
      <c r="N1485">
        <v>0.13258009184070188</v>
      </c>
      <c r="O1485">
        <v>3.9519703561006723E-2</v>
      </c>
      <c r="P1485">
        <v>1.9603836745630772E-2</v>
      </c>
      <c r="Q1485">
        <v>1.3133395586395072E-3</v>
      </c>
      <c r="R1485">
        <v>1.5244097746849061E-3</v>
      </c>
      <c r="S1485">
        <v>0.24578119741754512</v>
      </c>
      <c r="T1485">
        <v>4.0534129951269069</v>
      </c>
      <c r="U1485">
        <v>0</v>
      </c>
      <c r="V1485">
        <v>9.4523053561131991E-3</v>
      </c>
      <c r="W1485">
        <v>7.8957216055051918E-2</v>
      </c>
      <c r="X1485">
        <v>1.093207192202849E-2</v>
      </c>
      <c r="Y1485">
        <v>4.3080984064401964E-3</v>
      </c>
    </row>
    <row r="1486" spans="1:25" x14ac:dyDescent="0.25">
      <c r="A1486" s="1090"/>
      <c r="B1486" s="1448">
        <v>1236</v>
      </c>
      <c r="C1486" s="1094">
        <v>1.0288293373093622</v>
      </c>
      <c r="D1486" s="1094">
        <v>1.024074456037291</v>
      </c>
      <c r="E1486" s="1094">
        <v>1.0108659703296028</v>
      </c>
      <c r="F1486" s="1094">
        <v>0.99754875950727773</v>
      </c>
      <c r="G1486" s="1094">
        <v>0.98219703258353563</v>
      </c>
      <c r="H1486" s="1094">
        <v>1.0229773042778685</v>
      </c>
      <c r="I1486" s="1094">
        <v>1.0079121867259391</v>
      </c>
      <c r="K1486">
        <v>4.4634071010375065</v>
      </c>
      <c r="L1486">
        <v>0</v>
      </c>
      <c r="M1486">
        <v>1.4047370512979701E-3</v>
      </c>
      <c r="N1486">
        <v>0.12555464180804468</v>
      </c>
      <c r="O1486">
        <v>3.6800053820557697E-2</v>
      </c>
      <c r="P1486">
        <v>1.9221695864938802E-2</v>
      </c>
      <c r="Q1486">
        <v>1.266759216519506E-3</v>
      </c>
      <c r="R1486">
        <v>1.3990907095124342E-3</v>
      </c>
      <c r="S1486">
        <v>0.22631513314286925</v>
      </c>
      <c r="T1486">
        <v>3.9558736924625952</v>
      </c>
      <c r="U1486">
        <v>0</v>
      </c>
      <c r="V1486">
        <v>9.4523053561131869E-3</v>
      </c>
      <c r="W1486">
        <v>7.424241640451798E-2</v>
      </c>
      <c r="X1486">
        <v>1.0732112142527409E-2</v>
      </c>
      <c r="Y1486">
        <v>3.9539371606047763E-3</v>
      </c>
    </row>
    <row r="1487" spans="1:25" x14ac:dyDescent="0.25">
      <c r="A1487" s="1090"/>
      <c r="B1487" s="1448">
        <v>1237</v>
      </c>
      <c r="C1487" s="1094">
        <v>0.98474720935638338</v>
      </c>
      <c r="D1487" s="1094">
        <v>1.0411170243136243</v>
      </c>
      <c r="E1487" s="1094">
        <v>1.000171755605169</v>
      </c>
      <c r="F1487" s="1094">
        <v>1.0058349597747722</v>
      </c>
      <c r="G1487" s="1094">
        <v>0.98681784178573362</v>
      </c>
      <c r="H1487" s="1094">
        <v>1.013864898650056</v>
      </c>
      <c r="I1487" s="1094">
        <v>1.0139902540163772</v>
      </c>
      <c r="K1487">
        <v>4.5159026991656184</v>
      </c>
      <c r="L1487">
        <v>0</v>
      </c>
      <c r="M1487">
        <v>1.4901416998224992E-3</v>
      </c>
      <c r="N1487">
        <v>0.12903525487597273</v>
      </c>
      <c r="O1487">
        <v>3.8585540284446433E-2</v>
      </c>
      <c r="P1487">
        <v>1.9271380157954213E-2</v>
      </c>
      <c r="Q1487">
        <v>1.3028036186310318E-3</v>
      </c>
      <c r="R1487">
        <v>1.484147824248347E-3</v>
      </c>
      <c r="S1487">
        <v>0.23733990571155561</v>
      </c>
      <c r="T1487">
        <v>3.9891419148140383</v>
      </c>
      <c r="U1487">
        <v>0</v>
      </c>
      <c r="V1487">
        <v>9.4523053561131869E-3</v>
      </c>
      <c r="W1487">
        <v>7.6851978087680711E-2</v>
      </c>
      <c r="X1487">
        <v>1.07332950741473E-2</v>
      </c>
      <c r="Y1487">
        <v>4.1943150606519779E-3</v>
      </c>
    </row>
    <row r="1488" spans="1:25" x14ac:dyDescent="0.25">
      <c r="A1488" s="1090"/>
      <c r="B1488" s="1448">
        <v>1238</v>
      </c>
      <c r="C1488" s="1094">
        <v>0.99621114487943241</v>
      </c>
      <c r="D1488" s="1094">
        <v>1.0024460067517567</v>
      </c>
      <c r="E1488" s="1094">
        <v>1.0052708944678408</v>
      </c>
      <c r="F1488" s="1094">
        <v>1.012345233629615</v>
      </c>
      <c r="G1488" s="1094">
        <v>1.0288568358310728</v>
      </c>
      <c r="H1488" s="1094">
        <v>0.98996030734825102</v>
      </c>
      <c r="I1488" s="1094">
        <v>0.99938850496610232</v>
      </c>
      <c r="K1488">
        <v>4.5357287674626567</v>
      </c>
      <c r="L1488">
        <v>0</v>
      </c>
      <c r="M1488">
        <v>1.4539148430419511E-3</v>
      </c>
      <c r="N1488">
        <v>0.12780539276672631</v>
      </c>
      <c r="O1488">
        <v>3.8938468645140639E-2</v>
      </c>
      <c r="P1488">
        <v>1.9442020712586213E-2</v>
      </c>
      <c r="Q1488">
        <v>1.3131743149104383E-3</v>
      </c>
      <c r="R1488">
        <v>1.4479638299610103E-3</v>
      </c>
      <c r="S1488">
        <v>0.2330558552552546</v>
      </c>
      <c r="T1488">
        <v>4.0147653491217117</v>
      </c>
      <c r="U1488">
        <v>0</v>
      </c>
      <c r="V1488">
        <v>9.4523053561131973E-3</v>
      </c>
      <c r="W1488">
        <v>7.5858082815159017E-2</v>
      </c>
      <c r="X1488">
        <v>1.1012013157851532E-2</v>
      </c>
      <c r="Y1488">
        <v>4.0920563302786839E-3</v>
      </c>
    </row>
    <row r="1489" spans="1:25" x14ac:dyDescent="0.25">
      <c r="A1489" s="1090"/>
      <c r="B1489" s="1448">
        <v>1239</v>
      </c>
      <c r="C1489" s="1094">
        <v>1.0397095395533749</v>
      </c>
      <c r="D1489" s="1094">
        <v>1.010536255096137</v>
      </c>
      <c r="E1489" s="1094">
        <v>0.97437707776168248</v>
      </c>
      <c r="F1489" s="1094">
        <v>1.0171015629703448</v>
      </c>
      <c r="G1489" s="1094">
        <v>1.0242618498281921</v>
      </c>
      <c r="H1489" s="1094">
        <v>0.98770058531092564</v>
      </c>
      <c r="I1489" s="1094">
        <v>0.98067928324612419</v>
      </c>
      <c r="K1489">
        <v>4.5268461629130172</v>
      </c>
      <c r="L1489">
        <v>0</v>
      </c>
      <c r="M1489">
        <v>1.4853447141176164E-3</v>
      </c>
      <c r="N1489">
        <v>0.11913999868197214</v>
      </c>
      <c r="O1489">
        <v>3.7570651595907653E-2</v>
      </c>
      <c r="P1489">
        <v>1.9022870330999253E-2</v>
      </c>
      <c r="Q1489">
        <v>1.221213406573595E-3</v>
      </c>
      <c r="R1489">
        <v>1.4792795269082315E-3</v>
      </c>
      <c r="S1489">
        <v>0.21913095577465039</v>
      </c>
      <c r="T1489">
        <v>4.0348305568563267</v>
      </c>
      <c r="U1489">
        <v>0</v>
      </c>
      <c r="V1489">
        <v>9.4523053561131991E-3</v>
      </c>
      <c r="W1489">
        <v>7.2217363138088186E-2</v>
      </c>
      <c r="X1489">
        <v>1.0085756078901258E-2</v>
      </c>
      <c r="Y1489">
        <v>4.1805568806918929E-3</v>
      </c>
    </row>
    <row r="1490" spans="1:25" x14ac:dyDescent="0.25">
      <c r="A1490" s="1090"/>
      <c r="B1490" s="1448">
        <v>1240</v>
      </c>
      <c r="C1490" s="1094">
        <v>0.99849992315696112</v>
      </c>
      <c r="D1490" s="1094">
        <v>1.0307408496141959</v>
      </c>
      <c r="E1490" s="1094">
        <v>1.0079089141870232</v>
      </c>
      <c r="F1490" s="1094">
        <v>0.98387934994413762</v>
      </c>
      <c r="G1490" s="1094">
        <v>0.98783095031777313</v>
      </c>
      <c r="H1490" s="1094">
        <v>1.0070673591928541</v>
      </c>
      <c r="I1490" s="1094">
        <v>0.9710135293989155</v>
      </c>
      <c r="K1490">
        <v>4.4033705324804737</v>
      </c>
      <c r="L1490">
        <v>0</v>
      </c>
      <c r="M1490">
        <v>1.4105764057189278E-3</v>
      </c>
      <c r="N1490">
        <v>0.12496245100912447</v>
      </c>
      <c r="O1490">
        <v>3.7321121246669656E-2</v>
      </c>
      <c r="P1490">
        <v>1.8907792428171165E-2</v>
      </c>
      <c r="Q1490">
        <v>1.2985782238619833E-3</v>
      </c>
      <c r="R1490">
        <v>1.4047373355041523E-3</v>
      </c>
      <c r="S1490">
        <v>0.22097994648469318</v>
      </c>
      <c r="T1490">
        <v>3.9017766418639019</v>
      </c>
      <c r="U1490">
        <v>0</v>
      </c>
      <c r="V1490">
        <v>9.4523053561131991E-3</v>
      </c>
      <c r="W1490">
        <v>7.4039134918580093E-2</v>
      </c>
      <c r="X1490">
        <v>1.0668505062813617E-2</v>
      </c>
      <c r="Y1490">
        <v>3.9698949567568732E-3</v>
      </c>
    </row>
    <row r="1491" spans="1:25" x14ac:dyDescent="0.25">
      <c r="A1491" s="1090"/>
      <c r="B1491" s="1448">
        <v>1241</v>
      </c>
      <c r="C1491" s="1094">
        <v>0.9768771885392834</v>
      </c>
      <c r="D1491" s="1094">
        <v>1.0308270018683789</v>
      </c>
      <c r="E1491" s="1094">
        <v>1.0108870578260116</v>
      </c>
      <c r="F1491" s="1094">
        <v>0.97007455671740161</v>
      </c>
      <c r="G1491" s="1094">
        <v>1.0000582226160546</v>
      </c>
      <c r="H1491" s="1094">
        <v>0.97366241832467559</v>
      </c>
      <c r="I1491" s="1094">
        <v>1.0086849699688525</v>
      </c>
      <c r="K1491">
        <v>4.3527809792651251</v>
      </c>
      <c r="L1491">
        <v>0</v>
      </c>
      <c r="M1491">
        <v>1.3658447943934373E-3</v>
      </c>
      <c r="N1491">
        <v>0.12204654051319083</v>
      </c>
      <c r="O1491">
        <v>3.7590617637812143E-2</v>
      </c>
      <c r="P1491">
        <v>1.8738769359468086E-2</v>
      </c>
      <c r="Q1491">
        <v>1.3306490796147704E-3</v>
      </c>
      <c r="R1491">
        <v>1.3599140457928448E-3</v>
      </c>
      <c r="S1491">
        <v>0.22989208991255733</v>
      </c>
      <c r="T1491">
        <v>3.8469213751456635</v>
      </c>
      <c r="U1491">
        <v>0</v>
      </c>
      <c r="V1491">
        <v>9.4523053561131956E-3</v>
      </c>
      <c r="W1491">
        <v>7.2167000422377336E-2</v>
      </c>
      <c r="X1491">
        <v>1.0804341668990242E-2</v>
      </c>
      <c r="Y1491">
        <v>3.8432209179364331E-3</v>
      </c>
    </row>
    <row r="1492" spans="1:25" x14ac:dyDescent="0.25">
      <c r="A1492" s="1090"/>
      <c r="B1492" s="1448">
        <v>1242</v>
      </c>
      <c r="C1492" s="1094">
        <v>1.0108731146152281</v>
      </c>
      <c r="D1492" s="1094">
        <v>0.98032203286087405</v>
      </c>
      <c r="E1492" s="1094">
        <v>1.0255501861426883</v>
      </c>
      <c r="F1492" s="1094">
        <v>0.99278588724928041</v>
      </c>
      <c r="G1492" s="1094">
        <v>1.020004300789918</v>
      </c>
      <c r="H1492" s="1094">
        <v>0.9799332736999693</v>
      </c>
      <c r="I1492" s="1094">
        <v>1.0048876931550534</v>
      </c>
      <c r="K1492">
        <v>4.4472090485437317</v>
      </c>
      <c r="L1492">
        <v>0</v>
      </c>
      <c r="M1492">
        <v>1.3446829564890629E-3</v>
      </c>
      <c r="N1492">
        <v>0.12549952309885801</v>
      </c>
      <c r="O1492">
        <v>3.7831571734159783E-2</v>
      </c>
      <c r="P1492">
        <v>1.9350804362210428E-2</v>
      </c>
      <c r="Q1492">
        <v>1.3283991157228673E-3</v>
      </c>
      <c r="R1492">
        <v>1.339013629697344E-3</v>
      </c>
      <c r="S1492">
        <v>0.22871660819256268</v>
      </c>
      <c r="T1492">
        <v>3.9364358787721478</v>
      </c>
      <c r="U1492">
        <v>0</v>
      </c>
      <c r="V1492">
        <v>9.4523053561131904E-3</v>
      </c>
      <c r="W1492">
        <v>7.3485887707025868E-2</v>
      </c>
      <c r="X1492">
        <v>1.1329584785338603E-2</v>
      </c>
      <c r="Y1492">
        <v>3.784154746379264E-3</v>
      </c>
    </row>
    <row r="1493" spans="1:25" x14ac:dyDescent="0.25">
      <c r="A1493" s="1090"/>
      <c r="B1493" s="1448">
        <v>1243</v>
      </c>
      <c r="C1493" s="1094">
        <v>0.99030206416706346</v>
      </c>
      <c r="D1493" s="1094">
        <v>0.99723188246049277</v>
      </c>
      <c r="E1493" s="1094">
        <v>1.0122336697024135</v>
      </c>
      <c r="F1493" s="1094">
        <v>0.9687484313836634</v>
      </c>
      <c r="G1493" s="1094">
        <v>0.9971163631561506</v>
      </c>
      <c r="H1493" s="1094">
        <v>1.0171956867065139</v>
      </c>
      <c r="I1493" s="1094">
        <v>1.0287844493431284</v>
      </c>
      <c r="K1493">
        <v>4.3628746097775828</v>
      </c>
      <c r="L1493">
        <v>0</v>
      </c>
      <c r="M1493">
        <v>1.4203658178223268E-3</v>
      </c>
      <c r="N1493">
        <v>0.12744835950649799</v>
      </c>
      <c r="O1493">
        <v>3.7515306865399382E-2</v>
      </c>
      <c r="P1493">
        <v>1.8764519008535045E-2</v>
      </c>
      <c r="Q1493">
        <v>1.3316473199593581E-3</v>
      </c>
      <c r="R1493">
        <v>1.4144542338771391E-3</v>
      </c>
      <c r="S1493">
        <v>0.23675279521904363</v>
      </c>
      <c r="T1493">
        <v>3.8416131050478413</v>
      </c>
      <c r="U1493">
        <v>0</v>
      </c>
      <c r="V1493">
        <v>9.4523053561131956E-3</v>
      </c>
      <c r="W1493">
        <v>7.5293111630789306E-2</v>
      </c>
      <c r="X1493">
        <v>1.0712015753937709E-2</v>
      </c>
      <c r="Y1493">
        <v>3.9973556534090302E-3</v>
      </c>
    </row>
    <row r="1494" spans="1:25" x14ac:dyDescent="0.25">
      <c r="A1494" s="1090"/>
      <c r="B1494" s="1448">
        <v>1244</v>
      </c>
      <c r="C1494" s="1094">
        <v>0.981395460070839</v>
      </c>
      <c r="D1494" s="1094">
        <v>0.96523869032031007</v>
      </c>
      <c r="E1494" s="1094">
        <v>0.98817725890180541</v>
      </c>
      <c r="F1494" s="1094">
        <v>1.0353050157240815</v>
      </c>
      <c r="G1494" s="1094">
        <v>0.99851376385817736</v>
      </c>
      <c r="H1494" s="1094">
        <v>0.99387128441774619</v>
      </c>
      <c r="I1494" s="1094">
        <v>0.98321794881023339</v>
      </c>
      <c r="K1494">
        <v>4.6460934399056582</v>
      </c>
      <c r="L1494">
        <v>0</v>
      </c>
      <c r="M1494">
        <v>1.594614116250585E-3</v>
      </c>
      <c r="N1494">
        <v>0.13326334208223739</v>
      </c>
      <c r="O1494">
        <v>4.1164478336475574E-2</v>
      </c>
      <c r="P1494">
        <v>1.9637116729250732E-2</v>
      </c>
      <c r="Q1494">
        <v>1.333596966162043E-3</v>
      </c>
      <c r="R1494">
        <v>1.5882564967807484E-3</v>
      </c>
      <c r="S1494">
        <v>0.23933730876312928</v>
      </c>
      <c r="T1494">
        <v>4.1064944035244624</v>
      </c>
      <c r="U1494">
        <v>0</v>
      </c>
      <c r="V1494">
        <v>9.45230535611318E-3</v>
      </c>
      <c r="W1494">
        <v>8.0018804845027561E-2</v>
      </c>
      <c r="X1494">
        <v>1.0909906804724532E-2</v>
      </c>
      <c r="Y1494">
        <v>4.4885341175496876E-3</v>
      </c>
    </row>
    <row r="1495" spans="1:25" x14ac:dyDescent="0.25">
      <c r="A1495" s="1090"/>
      <c r="B1495" s="1448">
        <v>1245</v>
      </c>
      <c r="C1495" s="1094">
        <v>0.97305539540010588</v>
      </c>
      <c r="D1495" s="1094">
        <v>0.99442938615494214</v>
      </c>
      <c r="E1495" s="1094">
        <v>0.99060869622097802</v>
      </c>
      <c r="F1495" s="1094">
        <v>1.0027255068360641</v>
      </c>
      <c r="G1495" s="1094">
        <v>1.0194338846765367</v>
      </c>
      <c r="H1495" s="1094">
        <v>0.97476303789966756</v>
      </c>
      <c r="I1495" s="1094">
        <v>1.0163927451852492</v>
      </c>
      <c r="K1495">
        <v>4.5043741655943199</v>
      </c>
      <c r="L1495">
        <v>0</v>
      </c>
      <c r="M1495">
        <v>1.5021207756618455E-3</v>
      </c>
      <c r="N1495">
        <v>0.12641532806556124</v>
      </c>
      <c r="O1495">
        <v>3.9717232297913622E-2</v>
      </c>
      <c r="P1495">
        <v>1.9094079816411317E-2</v>
      </c>
      <c r="Q1495">
        <v>1.3318843419018141E-3</v>
      </c>
      <c r="R1495">
        <v>1.4958169351867612E-3</v>
      </c>
      <c r="S1495">
        <v>0.24047602223445658</v>
      </c>
      <c r="T1495">
        <v>3.977175808044672</v>
      </c>
      <c r="U1495">
        <v>0</v>
      </c>
      <c r="V1495">
        <v>9.4523053561131817E-3</v>
      </c>
      <c r="W1495">
        <v>7.5781332575539984E-2</v>
      </c>
      <c r="X1495">
        <v>1.0709183843166424E-2</v>
      </c>
      <c r="Y1495">
        <v>4.2272928590584118E-3</v>
      </c>
    </row>
    <row r="1496" spans="1:25" x14ac:dyDescent="0.25">
      <c r="A1496" s="1090"/>
      <c r="B1496" s="1448">
        <v>1246</v>
      </c>
      <c r="C1496" s="1094">
        <v>1.0175604577037658</v>
      </c>
      <c r="D1496" s="1094">
        <v>1.0214843150466353</v>
      </c>
      <c r="E1496" s="1094">
        <v>1.0023547324208355</v>
      </c>
      <c r="F1496" s="1094">
        <v>0.96986175535518904</v>
      </c>
      <c r="G1496" s="1094">
        <v>1.018481921851853</v>
      </c>
      <c r="H1496" s="1094">
        <v>1.0274773063103235</v>
      </c>
      <c r="I1496" s="1094">
        <v>1.0276770238431328</v>
      </c>
      <c r="K1496">
        <v>4.3521225103706103</v>
      </c>
      <c r="L1496">
        <v>0</v>
      </c>
      <c r="M1496">
        <v>1.4136544364782939E-3</v>
      </c>
      <c r="N1496">
        <v>0.1231947434679973</v>
      </c>
      <c r="O1496">
        <v>3.6266842041423449E-2</v>
      </c>
      <c r="P1496">
        <v>1.8616066471894337E-2</v>
      </c>
      <c r="Q1496">
        <v>1.2728068118255643E-3</v>
      </c>
      <c r="R1496">
        <v>1.4078363192223185E-3</v>
      </c>
      <c r="S1496">
        <v>0.2294056300069012</v>
      </c>
      <c r="T1496">
        <v>3.84639159510477</v>
      </c>
      <c r="U1496">
        <v>0</v>
      </c>
      <c r="V1496">
        <v>9.4523053561131817E-3</v>
      </c>
      <c r="W1496">
        <v>7.326534969263826E-2</v>
      </c>
      <c r="X1496">
        <v>1.0284336612963354E-2</v>
      </c>
      <c r="Y1496">
        <v>3.9786529213406254E-3</v>
      </c>
    </row>
    <row r="1497" spans="1:25" x14ac:dyDescent="0.25">
      <c r="A1497" s="1090"/>
      <c r="B1497" s="1448">
        <v>1247</v>
      </c>
      <c r="C1497" s="1094">
        <v>0.97468485424520823</v>
      </c>
      <c r="D1497" s="1094">
        <v>1.0128243507507448</v>
      </c>
      <c r="E1497" s="1094">
        <v>0.99190147164971698</v>
      </c>
      <c r="F1497" s="1094">
        <v>0.98322602828791483</v>
      </c>
      <c r="G1497" s="1094">
        <v>0.98652428455632069</v>
      </c>
      <c r="H1497" s="1094">
        <v>0.97163066824687672</v>
      </c>
      <c r="I1497" s="1094">
        <v>1.0307371214123495</v>
      </c>
      <c r="K1497">
        <v>4.4171991807164623</v>
      </c>
      <c r="L1497">
        <v>0</v>
      </c>
      <c r="M1497">
        <v>1.4511826182058245E-3</v>
      </c>
      <c r="N1497">
        <v>0.12258558542897047</v>
      </c>
      <c r="O1497">
        <v>3.8586860144594497E-2</v>
      </c>
      <c r="P1497">
        <v>1.8754653853002522E-2</v>
      </c>
      <c r="Q1497">
        <v>1.3214162715705841E-3</v>
      </c>
      <c r="R1497">
        <v>1.4449522497403384E-3</v>
      </c>
      <c r="S1497">
        <v>0.23869368647677452</v>
      </c>
      <c r="T1497">
        <v>3.8997851389010418</v>
      </c>
      <c r="U1497">
        <v>0</v>
      </c>
      <c r="V1497">
        <v>9.4523053561131904E-3</v>
      </c>
      <c r="W1497">
        <v>7.3420980514788931E-2</v>
      </c>
      <c r="X1497">
        <v>1.0521238763414834E-2</v>
      </c>
      <c r="Y1497">
        <v>4.0835453746517932E-3</v>
      </c>
    </row>
    <row r="1498" spans="1:25" x14ac:dyDescent="0.25">
      <c r="A1498" s="1090"/>
      <c r="B1498" s="1448">
        <v>1248</v>
      </c>
      <c r="C1498" s="1094">
        <v>0.97568798597531559</v>
      </c>
      <c r="D1498" s="1094">
        <v>1.0099478718717958</v>
      </c>
      <c r="E1498" s="1094">
        <v>1.005147359546869</v>
      </c>
      <c r="F1498" s="1094">
        <v>1.012373863734944</v>
      </c>
      <c r="G1498" s="1094">
        <v>0.97184790845925295</v>
      </c>
      <c r="H1498" s="1094">
        <v>1.0233151102625861</v>
      </c>
      <c r="I1498" s="1094">
        <v>0.99274455020374552</v>
      </c>
      <c r="K1498">
        <v>4.5528511993760903</v>
      </c>
      <c r="L1498">
        <v>0</v>
      </c>
      <c r="M1498">
        <v>1.5303865289625308E-3</v>
      </c>
      <c r="N1498">
        <v>0.13449640118774042</v>
      </c>
      <c r="O1498">
        <v>3.9641128828143621E-2</v>
      </c>
      <c r="P1498">
        <v>1.9465395010685515E-2</v>
      </c>
      <c r="Q1498">
        <v>1.3366626189473896E-3</v>
      </c>
      <c r="R1498">
        <v>1.5243268553693742E-3</v>
      </c>
      <c r="S1498">
        <v>0.23844603317031526</v>
      </c>
      <c r="T1498">
        <v>4.0148836409565494</v>
      </c>
      <c r="U1498">
        <v>0</v>
      </c>
      <c r="V1498">
        <v>9.4523053561131887E-3</v>
      </c>
      <c r="W1498">
        <v>7.9836130622573442E-2</v>
      </c>
      <c r="X1498">
        <v>1.0991697228490917E-2</v>
      </c>
      <c r="Y1498">
        <v>4.3078640701239134E-3</v>
      </c>
    </row>
    <row r="1499" spans="1:25" x14ac:dyDescent="0.25">
      <c r="A1499" s="1090"/>
      <c r="B1499" s="1448">
        <v>1249</v>
      </c>
      <c r="C1499" s="1094">
        <v>0.97776431641609607</v>
      </c>
      <c r="D1499" s="1094">
        <v>0.99209435409375057</v>
      </c>
      <c r="E1499" s="1094">
        <v>1.0324612340116459</v>
      </c>
      <c r="F1499" s="1094">
        <v>1.0054476736797491</v>
      </c>
      <c r="G1499" s="1094">
        <v>1.0087480163370437</v>
      </c>
      <c r="H1499" s="1094">
        <v>0.99923115272147356</v>
      </c>
      <c r="I1499" s="1094">
        <v>0.99383090614845404</v>
      </c>
      <c r="K1499">
        <v>4.5208315820628169</v>
      </c>
      <c r="L1499">
        <v>0</v>
      </c>
      <c r="M1499">
        <v>1.4080263366478261E-3</v>
      </c>
      <c r="N1499">
        <v>0.13414211117711855</v>
      </c>
      <c r="O1499">
        <v>3.9373609910995623E-2</v>
      </c>
      <c r="P1499">
        <v>1.9717116433411529E-2</v>
      </c>
      <c r="Q1499">
        <v>1.3748102829394936E-3</v>
      </c>
      <c r="R1499">
        <v>1.4022776104307163E-3</v>
      </c>
      <c r="S1499">
        <v>0.23650121442160232</v>
      </c>
      <c r="T1499">
        <v>3.9863795273661844</v>
      </c>
      <c r="U1499">
        <v>0</v>
      </c>
      <c r="V1499">
        <v>9.4523053561132026E-3</v>
      </c>
      <c r="W1499">
        <v>7.8187586255209843E-2</v>
      </c>
      <c r="X1499">
        <v>1.174610599954834E-2</v>
      </c>
      <c r="Y1499">
        <v>3.9629435859082152E-3</v>
      </c>
    </row>
    <row r="1500" spans="1:25" x14ac:dyDescent="0.25">
      <c r="A1500" s="1090"/>
      <c r="B1500" s="1448">
        <v>1250</v>
      </c>
      <c r="C1500" s="1094">
        <v>0.96627394757787866</v>
      </c>
      <c r="D1500" s="1094">
        <v>1.0380114407249041</v>
      </c>
      <c r="E1500" s="1094">
        <v>1.0082549164796526</v>
      </c>
      <c r="F1500" s="1094">
        <v>1.0071929969006543</v>
      </c>
      <c r="G1500" s="1094">
        <v>1.016172611988919</v>
      </c>
      <c r="H1500" s="1094">
        <v>0.95619662705566821</v>
      </c>
      <c r="I1500" s="1094">
        <v>0.99979959205015967</v>
      </c>
      <c r="K1500">
        <v>4.5127039896562984</v>
      </c>
      <c r="L1500">
        <v>0</v>
      </c>
      <c r="M1500">
        <v>1.4116404829569175E-3</v>
      </c>
      <c r="N1500">
        <v>0.12516986369053781</v>
      </c>
      <c r="O1500">
        <v>3.9366362979131639E-2</v>
      </c>
      <c r="P1500">
        <v>1.9397322142475242E-2</v>
      </c>
      <c r="Q1500">
        <v>1.3385140792025049E-3</v>
      </c>
      <c r="R1500">
        <v>1.4056280041757243E-3</v>
      </c>
      <c r="S1500">
        <v>0.23443677958040354</v>
      </c>
      <c r="T1500">
        <v>3.9942185026792139</v>
      </c>
      <c r="U1500">
        <v>0</v>
      </c>
      <c r="V1500">
        <v>9.4523053561132026E-3</v>
      </c>
      <c r="W1500">
        <v>7.4144778743714848E-2</v>
      </c>
      <c r="X1500">
        <v>1.121316082986136E-2</v>
      </c>
      <c r="Y1500">
        <v>3.9724120544220708E-3</v>
      </c>
    </row>
    <row r="1501" spans="1:25" x14ac:dyDescent="0.25">
      <c r="A1501" s="1090"/>
      <c r="B1501" s="1448">
        <v>1251</v>
      </c>
      <c r="C1501" s="1094">
        <v>0.99894617597251734</v>
      </c>
      <c r="D1501" s="1094">
        <v>0.95208306697497103</v>
      </c>
      <c r="E1501" s="1094">
        <v>0.98425964341094729</v>
      </c>
      <c r="F1501" s="1094">
        <v>0.9931871670804705</v>
      </c>
      <c r="G1501" s="1094">
        <v>0.9835121449239943</v>
      </c>
      <c r="H1501" s="1094">
        <v>0.98904977291656171</v>
      </c>
      <c r="I1501" s="1094">
        <v>1.0223103669781901</v>
      </c>
      <c r="K1501">
        <v>4.4618704622841685</v>
      </c>
      <c r="L1501">
        <v>0</v>
      </c>
      <c r="M1501">
        <v>1.5164936264547549E-3</v>
      </c>
      <c r="N1501">
        <v>0.12524693166959158</v>
      </c>
      <c r="O1501">
        <v>3.9036795453828252E-2</v>
      </c>
      <c r="P1501">
        <v>1.8824499892157072E-2</v>
      </c>
      <c r="Q1501">
        <v>1.3129237160204091E-3</v>
      </c>
      <c r="R1501">
        <v>1.5101614099168547E-3</v>
      </c>
      <c r="S1501">
        <v>0.23837663252722913</v>
      </c>
      <c r="T1501">
        <v>3.9395848709119843</v>
      </c>
      <c r="U1501">
        <v>0</v>
      </c>
      <c r="V1501">
        <v>9.4523053561131939E-3</v>
      </c>
      <c r="W1501">
        <v>7.5406573950572722E-2</v>
      </c>
      <c r="X1501">
        <v>1.0367429583413711E-2</v>
      </c>
      <c r="Y1501">
        <v>4.2678314397944939E-3</v>
      </c>
    </row>
    <row r="1502" spans="1:25" x14ac:dyDescent="0.25">
      <c r="A1502" s="1090"/>
      <c r="B1502" s="1448">
        <v>1252</v>
      </c>
      <c r="C1502" s="1094">
        <v>0.98056670160398618</v>
      </c>
      <c r="D1502" s="1094">
        <v>1.0353755078834452</v>
      </c>
      <c r="E1502" s="1094">
        <v>0.98218982071505878</v>
      </c>
      <c r="F1502" s="1094">
        <v>1.0034062354329334</v>
      </c>
      <c r="G1502" s="1094">
        <v>0.95944895088853055</v>
      </c>
      <c r="H1502" s="1094">
        <v>0.96836697039491582</v>
      </c>
      <c r="I1502" s="1094">
        <v>1.0017874366987944</v>
      </c>
      <c r="K1502">
        <v>4.4906046059447613</v>
      </c>
      <c r="L1502">
        <v>0</v>
      </c>
      <c r="M1502">
        <v>1.4841358255960869E-3</v>
      </c>
      <c r="N1502">
        <v>0.12181853322500884</v>
      </c>
      <c r="O1502">
        <v>3.8866499196691343E-2</v>
      </c>
      <c r="P1502">
        <v>1.8948693575323812E-2</v>
      </c>
      <c r="Q1502">
        <v>1.2910900806668783E-3</v>
      </c>
      <c r="R1502">
        <v>1.4778705588308341E-3</v>
      </c>
      <c r="S1502">
        <v>0.23199475664842234</v>
      </c>
      <c r="T1502">
        <v>3.9801996533030808</v>
      </c>
      <c r="U1502">
        <v>0</v>
      </c>
      <c r="V1502">
        <v>9.4523053561131869E-3</v>
      </c>
      <c r="W1502">
        <v>7.3446313415044928E-2</v>
      </c>
      <c r="X1502">
        <v>1.0416451381839083E-2</v>
      </c>
      <c r="Y1502">
        <v>4.1765750293355436E-3</v>
      </c>
    </row>
    <row r="1503" spans="1:25" x14ac:dyDescent="0.25">
      <c r="A1503" s="1090"/>
      <c r="B1503" s="1448">
        <v>1253</v>
      </c>
      <c r="C1503" s="1094">
        <v>1.0042744624547881</v>
      </c>
      <c r="D1503" s="1094">
        <v>0.99656124790063561</v>
      </c>
      <c r="E1503" s="1094">
        <v>1.0061743998249568</v>
      </c>
      <c r="F1503" s="1094">
        <v>0.99630294869910796</v>
      </c>
      <c r="G1503" s="1094">
        <v>1.0067479326001754</v>
      </c>
      <c r="H1503" s="1094">
        <v>0.99833509887746708</v>
      </c>
      <c r="I1503" s="1094">
        <v>0.99670695728141878</v>
      </c>
      <c r="K1503">
        <v>4.4641786691624477</v>
      </c>
      <c r="L1503">
        <v>0</v>
      </c>
      <c r="M1503">
        <v>1.4321329626180792E-3</v>
      </c>
      <c r="N1503">
        <v>0.12622409848091173</v>
      </c>
      <c r="O1503">
        <v>3.8097204138867406E-2</v>
      </c>
      <c r="P1503">
        <v>1.914618826437841E-2</v>
      </c>
      <c r="Q1503">
        <v>1.3067100183651813E-3</v>
      </c>
      <c r="R1503">
        <v>1.4262270691408783E-3</v>
      </c>
      <c r="S1503">
        <v>0.22912392559562786</v>
      </c>
      <c r="T1503">
        <v>3.9511105676388167</v>
      </c>
      <c r="U1503">
        <v>0</v>
      </c>
      <c r="V1503">
        <v>9.4523053561131748E-3</v>
      </c>
      <c r="W1503">
        <v>7.4873956568890856E-2</v>
      </c>
      <c r="X1503">
        <v>1.0818992409281244E-2</v>
      </c>
      <c r="Y1503">
        <v>4.0306265846778086E-3</v>
      </c>
    </row>
    <row r="1504" spans="1:25" x14ac:dyDescent="0.25">
      <c r="A1504" s="1090"/>
      <c r="B1504" s="1448">
        <v>1254</v>
      </c>
      <c r="C1504" s="1094">
        <v>0.99005683129149868</v>
      </c>
      <c r="D1504" s="1094">
        <v>0.99816625996426134</v>
      </c>
      <c r="E1504" s="1094">
        <v>1.0003656237328735</v>
      </c>
      <c r="F1504" s="1094">
        <v>0.97667455187319485</v>
      </c>
      <c r="G1504" s="1094">
        <v>0.99519395418763179</v>
      </c>
      <c r="H1504" s="1094">
        <v>1.0157342720414522</v>
      </c>
      <c r="I1504" s="1094">
        <v>1.0135382299236242</v>
      </c>
      <c r="K1504">
        <v>4.3925208754928251</v>
      </c>
      <c r="L1504">
        <v>0</v>
      </c>
      <c r="M1504">
        <v>1.4659177037937867E-3</v>
      </c>
      <c r="N1504">
        <v>0.12699629294446838</v>
      </c>
      <c r="O1504">
        <v>3.7897972025294359E-2</v>
      </c>
      <c r="P1504">
        <v>1.8734543580457143E-2</v>
      </c>
      <c r="Q1504">
        <v>1.3180576353927758E-3</v>
      </c>
      <c r="R1504">
        <v>1.4598571305506093E-3</v>
      </c>
      <c r="S1504">
        <v>0.23440316366826611</v>
      </c>
      <c r="T1504">
        <v>3.8734845141038265</v>
      </c>
      <c r="U1504">
        <v>0</v>
      </c>
      <c r="V1504">
        <v>9.4523053561131921E-3</v>
      </c>
      <c r="W1504">
        <v>7.5627686420884049E-2</v>
      </c>
      <c r="X1504">
        <v>1.0486732625607264E-2</v>
      </c>
      <c r="Y1504">
        <v>4.1256677057554371E-3</v>
      </c>
    </row>
    <row r="1505" spans="1:25" x14ac:dyDescent="0.25">
      <c r="A1505" s="1090"/>
      <c r="B1505" s="1448">
        <v>1255</v>
      </c>
      <c r="C1505" s="1094">
        <v>1.0371194956384329</v>
      </c>
      <c r="D1505" s="1094">
        <v>1.0094975958785257</v>
      </c>
      <c r="E1505" s="1094">
        <v>0.95647061971017588</v>
      </c>
      <c r="F1505" s="1094">
        <v>1.0220380954188364</v>
      </c>
      <c r="G1505" s="1094">
        <v>0.98377771082193943</v>
      </c>
      <c r="H1505" s="1094">
        <v>0.98912897646132314</v>
      </c>
      <c r="I1505" s="1094">
        <v>0.97814786342058524</v>
      </c>
      <c r="K1505">
        <v>4.5477119082448398</v>
      </c>
      <c r="L1505">
        <v>0</v>
      </c>
      <c r="M1505">
        <v>1.5563187118290288E-3</v>
      </c>
      <c r="N1505">
        <v>0.11836923130155214</v>
      </c>
      <c r="O1505">
        <v>3.7982822374528158E-2</v>
      </c>
      <c r="P1505">
        <v>1.8855865771730405E-2</v>
      </c>
      <c r="Q1505">
        <v>1.2057013830479083E-3</v>
      </c>
      <c r="R1505">
        <v>1.5500034177480966E-3</v>
      </c>
      <c r="S1505">
        <v>0.22000549715573575</v>
      </c>
      <c r="T1505">
        <v>4.0551223771477769</v>
      </c>
      <c r="U1505">
        <v>0</v>
      </c>
      <c r="V1505">
        <v>9.4523053561131835E-3</v>
      </c>
      <c r="W1505">
        <v>7.2644756697285956E-2</v>
      </c>
      <c r="X1505">
        <v>9.6992383554309735E-3</v>
      </c>
      <c r="Y1505">
        <v>4.3804279957189874E-3</v>
      </c>
    </row>
    <row r="1506" spans="1:25" x14ac:dyDescent="0.25">
      <c r="A1506" s="1090"/>
      <c r="B1506" s="1448">
        <v>1256</v>
      </c>
      <c r="C1506" s="1094">
        <v>1.0209664792160811</v>
      </c>
      <c r="D1506" s="1094">
        <v>0.96780216038449751</v>
      </c>
      <c r="E1506" s="1094">
        <v>0.98408638351498623</v>
      </c>
      <c r="F1506" s="1094">
        <v>0.97689154312148807</v>
      </c>
      <c r="G1506" s="1094">
        <v>0.98441194231102069</v>
      </c>
      <c r="H1506" s="1094">
        <v>1.0000599893627096</v>
      </c>
      <c r="I1506" s="1094">
        <v>0.99933797476885677</v>
      </c>
      <c r="K1506">
        <v>4.374770790049654</v>
      </c>
      <c r="L1506">
        <v>0</v>
      </c>
      <c r="M1506">
        <v>1.4666876653516413E-3</v>
      </c>
      <c r="N1506">
        <v>0.12106847322365966</v>
      </c>
      <c r="O1506">
        <v>3.7324044696665462E-2</v>
      </c>
      <c r="P1506">
        <v>1.8472106735605218E-2</v>
      </c>
      <c r="Q1506">
        <v>1.2760281590976925E-3</v>
      </c>
      <c r="R1506">
        <v>1.46053023178254E-3</v>
      </c>
      <c r="S1506">
        <v>0.22515944436681559</v>
      </c>
      <c r="T1506">
        <v>3.8749530021548146</v>
      </c>
      <c r="U1506">
        <v>0</v>
      </c>
      <c r="V1506">
        <v>9.4523053561131852E-3</v>
      </c>
      <c r="W1506">
        <v>7.2899506216509979E-2</v>
      </c>
      <c r="X1506">
        <v>1.0044466632716201E-2</v>
      </c>
      <c r="Y1506">
        <v>4.1275699412257217E-3</v>
      </c>
    </row>
    <row r="1507" spans="1:25" x14ac:dyDescent="0.25">
      <c r="A1507" s="1090"/>
      <c r="B1507" s="1448">
        <v>1257</v>
      </c>
      <c r="C1507" s="1094">
        <v>0.99580004430379887</v>
      </c>
      <c r="D1507" s="1094">
        <v>1.0225042876037538</v>
      </c>
      <c r="E1507" s="1094">
        <v>1.0101694032240958</v>
      </c>
      <c r="F1507" s="1094">
        <v>0.99841136377047013</v>
      </c>
      <c r="G1507" s="1094">
        <v>0.99551607110522478</v>
      </c>
      <c r="H1507" s="1094">
        <v>1.0296372544294048</v>
      </c>
      <c r="I1507" s="1094">
        <v>1.0075341205280652</v>
      </c>
      <c r="K1507">
        <v>4.484879071299309</v>
      </c>
      <c r="L1507">
        <v>0</v>
      </c>
      <c r="M1507">
        <v>1.4650855654564678E-3</v>
      </c>
      <c r="N1507">
        <v>0.13068264522589082</v>
      </c>
      <c r="O1507">
        <v>3.8081661207500644E-2</v>
      </c>
      <c r="P1507">
        <v>1.9265061469802901E-2</v>
      </c>
      <c r="Q1507">
        <v>1.3088030311207688E-3</v>
      </c>
      <c r="R1507">
        <v>1.4592397779268948E-3</v>
      </c>
      <c r="S1507">
        <v>0.23448495434736569</v>
      </c>
      <c r="T1507">
        <v>3.9593207782507385</v>
      </c>
      <c r="U1507">
        <v>0</v>
      </c>
      <c r="V1507">
        <v>9.4523053561132026E-3</v>
      </c>
      <c r="W1507">
        <v>7.7310815108985409E-2</v>
      </c>
      <c r="X1507">
        <v>1.0853970069204804E-2</v>
      </c>
      <c r="Y1507">
        <v>4.1239230201081771E-3</v>
      </c>
    </row>
    <row r="1508" spans="1:25" x14ac:dyDescent="0.25">
      <c r="A1508" s="1090"/>
      <c r="B1508" s="1448">
        <v>1258</v>
      </c>
      <c r="C1508" s="1094">
        <v>1.0101128093062153</v>
      </c>
      <c r="D1508" s="1094">
        <v>1.0063601417581698</v>
      </c>
      <c r="E1508" s="1094">
        <v>0.95807880704346593</v>
      </c>
      <c r="F1508" s="1094">
        <v>0.97404725802840664</v>
      </c>
      <c r="G1508" s="1094">
        <v>1.0209086423022229</v>
      </c>
      <c r="H1508" s="1094">
        <v>1.0163645820307279</v>
      </c>
      <c r="I1508" s="1094">
        <v>0.97457758334870637</v>
      </c>
      <c r="K1508">
        <v>4.3567972576121603</v>
      </c>
      <c r="L1508">
        <v>0</v>
      </c>
      <c r="M1508">
        <v>1.561826467083351E-3</v>
      </c>
      <c r="N1508">
        <v>0.11934712922801508</v>
      </c>
      <c r="O1508">
        <v>3.7202903136136244E-2</v>
      </c>
      <c r="P1508">
        <v>1.8040106065942314E-2</v>
      </c>
      <c r="Q1508">
        <v>1.2412365749099759E-3</v>
      </c>
      <c r="R1508">
        <v>1.5553560481417351E-3</v>
      </c>
      <c r="S1508">
        <v>0.2200098069646067</v>
      </c>
      <c r="T1508">
        <v>3.8646490940832332</v>
      </c>
      <c r="U1508">
        <v>0</v>
      </c>
      <c r="V1508">
        <v>9.4523053561131869E-3</v>
      </c>
      <c r="W1508">
        <v>7.3162984815415624E-2</v>
      </c>
      <c r="X1508">
        <v>9.3026068688640169E-3</v>
      </c>
      <c r="Y1508">
        <v>4.395554937865408E-3</v>
      </c>
    </row>
    <row r="1509" spans="1:25" x14ac:dyDescent="0.25">
      <c r="A1509" s="1090"/>
      <c r="B1509" s="1448">
        <v>1259</v>
      </c>
      <c r="C1509" s="1094">
        <v>1.0000990547604984</v>
      </c>
      <c r="D1509" s="1094">
        <v>0.9765214240675214</v>
      </c>
      <c r="E1509" s="1094">
        <v>0.9977526124341568</v>
      </c>
      <c r="F1509" s="1094">
        <v>0.97426123015385124</v>
      </c>
      <c r="G1509" s="1094">
        <v>0.96536174018157184</v>
      </c>
      <c r="H1509" s="1094">
        <v>1.0123813637763219</v>
      </c>
      <c r="I1509" s="1094">
        <v>0.978247907363894</v>
      </c>
      <c r="K1509">
        <v>4.3714034062876665</v>
      </c>
      <c r="L1509">
        <v>0</v>
      </c>
      <c r="M1509">
        <v>1.4635876671508354E-3</v>
      </c>
      <c r="N1509">
        <v>0.12581346077244832</v>
      </c>
      <c r="O1509">
        <v>3.77719985911147E-2</v>
      </c>
      <c r="P1509">
        <v>1.8611769602438339E-2</v>
      </c>
      <c r="Q1509">
        <v>1.3133691100284915E-3</v>
      </c>
      <c r="R1509">
        <v>1.4575017119136508E-3</v>
      </c>
      <c r="S1509">
        <v>0.22487523988891195</v>
      </c>
      <c r="T1509">
        <v>3.864010286024584</v>
      </c>
      <c r="U1509">
        <v>0</v>
      </c>
      <c r="V1509">
        <v>9.4523053561131852E-3</v>
      </c>
      <c r="W1509">
        <v>7.505581803852629E-2</v>
      </c>
      <c r="X1509">
        <v>1.0386233745876336E-2</v>
      </c>
      <c r="Y1509">
        <v>4.1190111128596866E-3</v>
      </c>
    </row>
    <row r="1510" spans="1:25" x14ac:dyDescent="0.25">
      <c r="A1510" s="1090"/>
      <c r="B1510" s="1448">
        <v>1260</v>
      </c>
      <c r="C1510" s="1094">
        <v>1.0140646632792891</v>
      </c>
      <c r="D1510" s="1094">
        <v>0.99925913521143883</v>
      </c>
      <c r="E1510" s="1094">
        <v>0.99449903562006237</v>
      </c>
      <c r="F1510" s="1094">
        <v>1.0125933111201988</v>
      </c>
      <c r="G1510" s="1094">
        <v>0.99934041962280318</v>
      </c>
      <c r="H1510" s="1094">
        <v>0.97775737504363114</v>
      </c>
      <c r="I1510" s="1094">
        <v>1.0030540715002403</v>
      </c>
      <c r="K1510">
        <v>4.5250612821475844</v>
      </c>
      <c r="L1510">
        <v>0</v>
      </c>
      <c r="M1510">
        <v>1.4452695757256936E-3</v>
      </c>
      <c r="N1510">
        <v>0.123048380735248</v>
      </c>
      <c r="O1510">
        <v>3.8384934741643076E-2</v>
      </c>
      <c r="P1510">
        <v>1.9275087284885417E-2</v>
      </c>
      <c r="Q1510">
        <v>1.2798280964762413E-3</v>
      </c>
      <c r="R1510">
        <v>1.4392815798054904E-3</v>
      </c>
      <c r="S1510">
        <v>0.2291243332295731</v>
      </c>
      <c r="T1510">
        <v>4.0161645668841803</v>
      </c>
      <c r="U1510">
        <v>0</v>
      </c>
      <c r="V1510">
        <v>9.4523053561131869E-3</v>
      </c>
      <c r="W1510">
        <v>7.3568294745989762E-2</v>
      </c>
      <c r="X1510">
        <v>1.0702019440912983E-2</v>
      </c>
      <c r="Y1510">
        <v>4.0675196284807435E-3</v>
      </c>
    </row>
    <row r="1511" spans="1:25" x14ac:dyDescent="0.25">
      <c r="A1511" s="1090"/>
      <c r="B1511" s="1448">
        <v>1261</v>
      </c>
      <c r="C1511" s="1094">
        <v>0.95703323686079533</v>
      </c>
      <c r="D1511" s="1094">
        <v>0.95778652548974974</v>
      </c>
      <c r="E1511" s="1094">
        <v>0.99763540503445336</v>
      </c>
      <c r="F1511" s="1094">
        <v>1.0338426584805751</v>
      </c>
      <c r="G1511" s="1094">
        <v>0.99397734434930929</v>
      </c>
      <c r="H1511" s="1094">
        <v>0.98970138270110397</v>
      </c>
      <c r="I1511" s="1094">
        <v>1.0184338425228969</v>
      </c>
      <c r="K1511">
        <v>4.6626269964697098</v>
      </c>
      <c r="L1511">
        <v>0</v>
      </c>
      <c r="M1511">
        <v>1.5989717934957956E-3</v>
      </c>
      <c r="N1511">
        <v>0.13742420769485986</v>
      </c>
      <c r="O1511">
        <v>4.2212328218123499E-2</v>
      </c>
      <c r="P1511">
        <v>1.9816472356961701E-2</v>
      </c>
      <c r="Q1511">
        <v>1.3830068328253512E-3</v>
      </c>
      <c r="R1511">
        <v>1.5925609211391097E-3</v>
      </c>
      <c r="S1511">
        <v>0.25422306111463538</v>
      </c>
      <c r="T1511">
        <v>4.1003203694974513</v>
      </c>
      <c r="U1511">
        <v>0</v>
      </c>
      <c r="V1511">
        <v>9.4523053561132043E-3</v>
      </c>
      <c r="W1511">
        <v>8.1988879911867457E-2</v>
      </c>
      <c r="X1511">
        <v>1.1312077609809399E-2</v>
      </c>
      <c r="Y1511">
        <v>4.50069874941367E-3</v>
      </c>
    </row>
    <row r="1512" spans="1:25" x14ac:dyDescent="0.25">
      <c r="A1512" s="1090"/>
      <c r="B1512" s="1448">
        <v>1262</v>
      </c>
      <c r="C1512" s="1094">
        <v>0.99246753910420826</v>
      </c>
      <c r="D1512" s="1094">
        <v>1.0114693631444107</v>
      </c>
      <c r="E1512" s="1094">
        <v>0.98936000238751909</v>
      </c>
      <c r="F1512" s="1094">
        <v>1.0152375324332912</v>
      </c>
      <c r="G1512" s="1094">
        <v>0.99646712541030713</v>
      </c>
      <c r="H1512" s="1094">
        <v>1.0397836177649622</v>
      </c>
      <c r="I1512" s="1094">
        <v>1.0122873959905825</v>
      </c>
      <c r="K1512">
        <v>4.5642141503765306</v>
      </c>
      <c r="L1512">
        <v>0</v>
      </c>
      <c r="M1512">
        <v>1.5838807676246578E-3</v>
      </c>
      <c r="N1512">
        <v>0.13284488846494152</v>
      </c>
      <c r="O1512">
        <v>3.9167962281243363E-2</v>
      </c>
      <c r="P1512">
        <v>1.9301207428067658E-2</v>
      </c>
      <c r="Q1512">
        <v>1.2955927548158437E-3</v>
      </c>
      <c r="R1512">
        <v>1.577725949526914E-3</v>
      </c>
      <c r="S1512">
        <v>0.240669090396882</v>
      </c>
      <c r="T1512">
        <v>4.0268515862836365</v>
      </c>
      <c r="U1512">
        <v>0</v>
      </c>
      <c r="V1512">
        <v>9.4523053561132078E-3</v>
      </c>
      <c r="W1512">
        <v>7.9703314106786355E-2</v>
      </c>
      <c r="X1512">
        <v>1.0475584135091823E-2</v>
      </c>
      <c r="Y1512">
        <v>4.4587739870411017E-3</v>
      </c>
    </row>
    <row r="1513" spans="1:25" x14ac:dyDescent="0.25">
      <c r="A1513" s="1090"/>
      <c r="B1513" s="1448">
        <v>1263</v>
      </c>
      <c r="C1513" s="1094">
        <v>0.99605794149184945</v>
      </c>
      <c r="D1513" s="1094">
        <v>0.99630780123219076</v>
      </c>
      <c r="E1513" s="1094">
        <v>1.0134169687637389</v>
      </c>
      <c r="F1513" s="1094">
        <v>1.0310312966012594</v>
      </c>
      <c r="G1513" s="1094">
        <v>0.99693508020788135</v>
      </c>
      <c r="H1513" s="1094">
        <v>1.0069067266556579</v>
      </c>
      <c r="I1513" s="1094">
        <v>1.0100515805292694</v>
      </c>
      <c r="K1513">
        <v>4.6274155804473649</v>
      </c>
      <c r="L1513">
        <v>0</v>
      </c>
      <c r="M1513">
        <v>1.4842069493862795E-3</v>
      </c>
      <c r="N1513">
        <v>0.13367232131610265</v>
      </c>
      <c r="O1513">
        <v>3.9702803391580346E-2</v>
      </c>
      <c r="P1513">
        <v>1.9931744438534137E-2</v>
      </c>
      <c r="Q1513">
        <v>1.3257761565168261E-3</v>
      </c>
      <c r="R1513">
        <v>1.4783420087103696E-3</v>
      </c>
      <c r="S1513">
        <v>0.24030901406067559</v>
      </c>
      <c r="T1513">
        <v>4.0885522886785797</v>
      </c>
      <c r="U1513">
        <v>0</v>
      </c>
      <c r="V1513">
        <v>9.4523053561131921E-3</v>
      </c>
      <c r="W1513">
        <v>7.8907477201978132E-2</v>
      </c>
      <c r="X1513">
        <v>1.138980740527247E-2</v>
      </c>
      <c r="Y1513">
        <v>4.1779073826886054E-3</v>
      </c>
    </row>
    <row r="1514" spans="1:25" x14ac:dyDescent="0.25">
      <c r="A1514" s="1090"/>
      <c r="B1514" s="1448">
        <v>1264</v>
      </c>
      <c r="C1514" s="1094">
        <v>0.98246857174138236</v>
      </c>
      <c r="D1514" s="1094">
        <v>0.97577237604309031</v>
      </c>
      <c r="E1514" s="1094">
        <v>0.99695996011608479</v>
      </c>
      <c r="F1514" s="1094">
        <v>0.99708190702090271</v>
      </c>
      <c r="G1514" s="1094">
        <v>1.0215014438189205</v>
      </c>
      <c r="H1514" s="1094">
        <v>1.0085721830703327</v>
      </c>
      <c r="I1514" s="1094">
        <v>1.008494513829356</v>
      </c>
      <c r="K1514">
        <v>4.4866347499488439</v>
      </c>
      <c r="L1514">
        <v>0</v>
      </c>
      <c r="M1514">
        <v>1.5218696822882044E-3</v>
      </c>
      <c r="N1514">
        <v>0.13052697984852721</v>
      </c>
      <c r="O1514">
        <v>3.9368108124437959E-2</v>
      </c>
      <c r="P1514">
        <v>1.9077778332921191E-2</v>
      </c>
      <c r="Q1514">
        <v>1.3364383372203722E-3</v>
      </c>
      <c r="R1514">
        <v>1.5156622632328852E-3</v>
      </c>
      <c r="S1514">
        <v>0.23943930443018521</v>
      </c>
      <c r="T1514">
        <v>3.9545493401060194</v>
      </c>
      <c r="U1514">
        <v>0</v>
      </c>
      <c r="V1514">
        <v>9.4523053561131852E-3</v>
      </c>
      <c r="W1514">
        <v>7.7909537682915406E-2</v>
      </c>
      <c r="X1514">
        <v>1.0697787878324899E-2</v>
      </c>
      <c r="Y1514">
        <v>4.2833772712358798E-3</v>
      </c>
    </row>
    <row r="1515" spans="1:25" x14ac:dyDescent="0.25">
      <c r="A1515" s="1090"/>
      <c r="B1515" s="1448">
        <v>1265</v>
      </c>
      <c r="C1515" s="1094">
        <v>1.0044905691373809</v>
      </c>
      <c r="D1515" s="1094">
        <v>0.95923531121296934</v>
      </c>
      <c r="E1515" s="1094">
        <v>1.0380001120644047</v>
      </c>
      <c r="F1515" s="1094">
        <v>1.02796253718617</v>
      </c>
      <c r="G1515" s="1094">
        <v>0.9971519753541217</v>
      </c>
      <c r="H1515" s="1094">
        <v>0.99908623428983556</v>
      </c>
      <c r="I1515" s="1094">
        <v>1.0079334550173373</v>
      </c>
      <c r="K1515">
        <v>4.6164542063113148</v>
      </c>
      <c r="L1515">
        <v>0</v>
      </c>
      <c r="M1515">
        <v>1.4033740036990922E-3</v>
      </c>
      <c r="N1515">
        <v>0.13591745682438722</v>
      </c>
      <c r="O1515">
        <v>3.9675960244324987E-2</v>
      </c>
      <c r="P1515">
        <v>2.0226389454321286E-2</v>
      </c>
      <c r="Q1515">
        <v>1.3626937790993023E-3</v>
      </c>
      <c r="R1515">
        <v>1.397768453329109E-3</v>
      </c>
      <c r="S1515">
        <v>0.23942913067674171</v>
      </c>
      <c r="T1515">
        <v>4.0754329546434347</v>
      </c>
      <c r="U1515">
        <v>0</v>
      </c>
      <c r="V1515">
        <v>9.4523053561131852E-3</v>
      </c>
      <c r="W1515">
        <v>7.8933311745817691E-2</v>
      </c>
      <c r="X1515">
        <v>1.2079408773761523E-2</v>
      </c>
      <c r="Y1515">
        <v>3.9502003636812154E-3</v>
      </c>
    </row>
    <row r="1516" spans="1:25" x14ac:dyDescent="0.25">
      <c r="A1516" s="1090"/>
      <c r="B1516" s="1448">
        <v>1266</v>
      </c>
      <c r="C1516" s="1094">
        <v>1.0426166612407695</v>
      </c>
      <c r="D1516" s="1094">
        <v>0.99573790656872274</v>
      </c>
      <c r="E1516" s="1094">
        <v>0.99790318443223724</v>
      </c>
      <c r="F1516" s="1094">
        <v>1.0230597772998811</v>
      </c>
      <c r="G1516" s="1094">
        <v>0.97166001783568301</v>
      </c>
      <c r="H1516" s="1094">
        <v>1.0024563639970812</v>
      </c>
      <c r="I1516" s="1094">
        <v>0.97813095948217843</v>
      </c>
      <c r="K1516">
        <v>4.5598971540964834</v>
      </c>
      <c r="L1516">
        <v>0</v>
      </c>
      <c r="M1516">
        <v>1.4476842052419765E-3</v>
      </c>
      <c r="N1516">
        <v>0.12452169842326537</v>
      </c>
      <c r="O1516">
        <v>3.7749996699927867E-2</v>
      </c>
      <c r="P1516">
        <v>1.9474624641408082E-2</v>
      </c>
      <c r="Q1516">
        <v>1.250189850380134E-3</v>
      </c>
      <c r="R1516">
        <v>1.4418935976164987E-3</v>
      </c>
      <c r="S1516">
        <v>0.22086268904438916</v>
      </c>
      <c r="T1516">
        <v>4.057543971920416</v>
      </c>
      <c r="U1516">
        <v>0</v>
      </c>
      <c r="V1516">
        <v>9.4523053561132008E-3</v>
      </c>
      <c r="W1516">
        <v>7.427762814472201E-2</v>
      </c>
      <c r="X1516">
        <v>1.0694939233245469E-2</v>
      </c>
      <c r="Y1516">
        <v>4.0749013902327789E-3</v>
      </c>
    </row>
    <row r="1517" spans="1:25" x14ac:dyDescent="0.25">
      <c r="A1517" s="1090"/>
      <c r="B1517" s="1448">
        <v>1267</v>
      </c>
      <c r="C1517" s="1094">
        <v>0.96614767551280867</v>
      </c>
      <c r="D1517" s="1094">
        <v>0.99909337756655692</v>
      </c>
      <c r="E1517" s="1094">
        <v>0.97291124671955709</v>
      </c>
      <c r="F1517" s="1094">
        <v>1.0209871286467249</v>
      </c>
      <c r="G1517" s="1094">
        <v>0.99171585878551949</v>
      </c>
      <c r="H1517" s="1094">
        <v>0.9931105764286956</v>
      </c>
      <c r="I1517" s="1094">
        <v>1.0159663487531718</v>
      </c>
      <c r="K1517">
        <v>4.5908271155628597</v>
      </c>
      <c r="L1517">
        <v>0</v>
      </c>
      <c r="M1517">
        <v>1.6256638655337669E-3</v>
      </c>
      <c r="N1517">
        <v>0.12983374433547765</v>
      </c>
      <c r="O1517">
        <v>4.07816059843382E-2</v>
      </c>
      <c r="P1517">
        <v>1.9191259924993896E-2</v>
      </c>
      <c r="Q1517">
        <v>1.3185104213292989E-3</v>
      </c>
      <c r="R1517">
        <v>1.6190868914187564E-3</v>
      </c>
      <c r="S1517">
        <v>0.2462110448930234</v>
      </c>
      <c r="T1517">
        <v>4.0503022764178978</v>
      </c>
      <c r="U1517">
        <v>0</v>
      </c>
      <c r="V1517">
        <v>9.4523053561131904E-3</v>
      </c>
      <c r="W1517">
        <v>7.877885613753878E-2</v>
      </c>
      <c r="X1517">
        <v>1.0388425899675478E-2</v>
      </c>
      <c r="Y1517">
        <v>4.57566316658598E-3</v>
      </c>
    </row>
    <row r="1518" spans="1:25" x14ac:dyDescent="0.25">
      <c r="A1518" s="1090"/>
      <c r="B1518" s="1448">
        <v>1268</v>
      </c>
      <c r="C1518" s="1094">
        <v>0.99844901838620581</v>
      </c>
      <c r="D1518" s="1094">
        <v>1.0452429208223435</v>
      </c>
      <c r="E1518" s="1094">
        <v>1.0248361683953646</v>
      </c>
      <c r="F1518" s="1094">
        <v>0.9736454885930429</v>
      </c>
      <c r="G1518" s="1094">
        <v>1.0122411351765188</v>
      </c>
      <c r="H1518" s="1094">
        <v>1.0217380200698014</v>
      </c>
      <c r="I1518" s="1094">
        <v>1.0112915814642227</v>
      </c>
      <c r="K1518">
        <v>4.3710947142430188</v>
      </c>
      <c r="L1518">
        <v>0</v>
      </c>
      <c r="M1518">
        <v>1.359034203773012E-3</v>
      </c>
      <c r="N1518">
        <v>0.1265832338725375</v>
      </c>
      <c r="O1518">
        <v>3.6617350771017118E-2</v>
      </c>
      <c r="P1518">
        <v>1.8988961167807156E-2</v>
      </c>
      <c r="Q1518">
        <v>1.3100817495366459E-3</v>
      </c>
      <c r="R1518">
        <v>1.3534312325019851E-3</v>
      </c>
      <c r="S1518">
        <v>0.22865311487333062</v>
      </c>
      <c r="T1518">
        <v>3.8605695764747083</v>
      </c>
      <c r="U1518">
        <v>0</v>
      </c>
      <c r="V1518">
        <v>9.4523053561131817E-3</v>
      </c>
      <c r="W1518">
        <v>7.4155624963102684E-2</v>
      </c>
      <c r="X1518">
        <v>1.0945167993502243E-2</v>
      </c>
      <c r="Y1518">
        <v>3.8248999926370833E-3</v>
      </c>
    </row>
    <row r="1519" spans="1:25" x14ac:dyDescent="0.25">
      <c r="A1519" s="1090"/>
      <c r="B1519" s="1448">
        <v>1269</v>
      </c>
      <c r="C1519" s="1094">
        <v>1.0010698083354501</v>
      </c>
      <c r="D1519" s="1094">
        <v>1.0009157630442942</v>
      </c>
      <c r="E1519" s="1094">
        <v>0.97814629777145301</v>
      </c>
      <c r="F1519" s="1094">
        <v>0.97828188932759141</v>
      </c>
      <c r="G1519" s="1094">
        <v>1.0225634389723341</v>
      </c>
      <c r="H1519" s="1094">
        <v>1.0134208516330443</v>
      </c>
      <c r="I1519" s="1094">
        <v>0.97440735485657459</v>
      </c>
      <c r="K1519">
        <v>4.3817495998921441</v>
      </c>
      <c r="L1519">
        <v>0</v>
      </c>
      <c r="M1519">
        <v>1.5164773786301839E-3</v>
      </c>
      <c r="N1519">
        <v>0.12299902171436705</v>
      </c>
      <c r="O1519">
        <v>3.7650216851942551E-2</v>
      </c>
      <c r="P1519">
        <v>1.8404081410132764E-2</v>
      </c>
      <c r="Q1519">
        <v>1.2773952560603187E-3</v>
      </c>
      <c r="R1519">
        <v>1.5102037446703743E-3</v>
      </c>
      <c r="S1519">
        <v>0.22276543843704369</v>
      </c>
      <c r="T1519">
        <v>3.8806913010310451</v>
      </c>
      <c r="U1519">
        <v>0</v>
      </c>
      <c r="V1519">
        <v>9.4523053561131973E-3</v>
      </c>
      <c r="W1519">
        <v>7.4363753316127434E-2</v>
      </c>
      <c r="X1519">
        <v>9.8844090722304077E-3</v>
      </c>
      <c r="Y1519">
        <v>4.2679510810400469E-3</v>
      </c>
    </row>
    <row r="1520" spans="1:25" x14ac:dyDescent="0.25">
      <c r="A1520" s="1090"/>
      <c r="B1520" s="1448">
        <v>1270</v>
      </c>
      <c r="C1520" s="1094">
        <v>1.0406661455517605</v>
      </c>
      <c r="D1520" s="1094">
        <v>1.0114104849731289</v>
      </c>
      <c r="E1520" s="1094">
        <v>1.0442775804257056</v>
      </c>
      <c r="F1520" s="1094">
        <v>1.0086055019985039</v>
      </c>
      <c r="G1520" s="1094">
        <v>1.0239038497255566</v>
      </c>
      <c r="H1520" s="1094">
        <v>0.99586470443885089</v>
      </c>
      <c r="I1520" s="1094">
        <v>0.97427479929240668</v>
      </c>
      <c r="K1520">
        <v>4.4972192479390349</v>
      </c>
      <c r="L1520">
        <v>0</v>
      </c>
      <c r="M1520">
        <v>1.2799844798564368E-3</v>
      </c>
      <c r="N1520">
        <v>0.12627598890973532</v>
      </c>
      <c r="O1520">
        <v>3.6746085834786002E-2</v>
      </c>
      <c r="P1520">
        <v>1.984977741236919E-2</v>
      </c>
      <c r="Q1520">
        <v>1.2945182404342881E-3</v>
      </c>
      <c r="R1520">
        <v>1.2747572106800928E-3</v>
      </c>
      <c r="S1520">
        <v>0.21679017205810044</v>
      </c>
      <c r="T1520">
        <v>3.9984543367979999</v>
      </c>
      <c r="U1520">
        <v>0</v>
      </c>
      <c r="V1520">
        <v>9.4523053561132026E-3</v>
      </c>
      <c r="W1520">
        <v>7.3032086521550355E-2</v>
      </c>
      <c r="X1520">
        <v>1.1726642876627136E-2</v>
      </c>
      <c r="Y1520">
        <v>3.6025612004909925E-3</v>
      </c>
    </row>
    <row r="1521" spans="1:25" x14ac:dyDescent="0.25">
      <c r="A1521" s="1090"/>
      <c r="B1521" s="1448">
        <v>1271</v>
      </c>
      <c r="C1521" s="1094">
        <v>1.0025478460460173</v>
      </c>
      <c r="D1521" s="1094">
        <v>1.0108564109650482</v>
      </c>
      <c r="E1521" s="1094">
        <v>1.0275522014183101</v>
      </c>
      <c r="F1521" s="1094">
        <v>1.0108874849704268</v>
      </c>
      <c r="G1521" s="1094">
        <v>1.0185211440794351</v>
      </c>
      <c r="H1521" s="1094">
        <v>0.98286984887334794</v>
      </c>
      <c r="I1521" s="1094">
        <v>0.99062811314595234</v>
      </c>
      <c r="K1521">
        <v>4.523221992954948</v>
      </c>
      <c r="L1521">
        <v>0</v>
      </c>
      <c r="M1521">
        <v>1.3619442551712514E-3</v>
      </c>
      <c r="N1521">
        <v>0.12787652551130643</v>
      </c>
      <c r="O1521">
        <v>3.8353767461996133E-2</v>
      </c>
      <c r="P1521">
        <v>1.9709541814946437E-2</v>
      </c>
      <c r="Q1521">
        <v>1.3253315624772472E-3</v>
      </c>
      <c r="R1521">
        <v>1.3563214074656536E-3</v>
      </c>
      <c r="S1521">
        <v>0.22821966023408735</v>
      </c>
      <c r="T1521">
        <v>4.0081333762887565</v>
      </c>
      <c r="U1521">
        <v>0</v>
      </c>
      <c r="V1521">
        <v>9.4523053561131921E-3</v>
      </c>
      <c r="W1521">
        <v>7.4778285888226298E-2</v>
      </c>
      <c r="X1521">
        <v>1.154575383700384E-2</v>
      </c>
      <c r="Y1521">
        <v>3.8330678477388296E-3</v>
      </c>
    </row>
    <row r="1522" spans="1:25" x14ac:dyDescent="0.25">
      <c r="A1522" s="1090"/>
      <c r="B1522" s="1448">
        <v>1272</v>
      </c>
      <c r="C1522" s="1094">
        <v>0.97730281110610406</v>
      </c>
      <c r="D1522" s="1094">
        <v>0.98049233694888982</v>
      </c>
      <c r="E1522" s="1094">
        <v>1.0259393094984177</v>
      </c>
      <c r="F1522" s="1094">
        <v>0.99529643871696871</v>
      </c>
      <c r="G1522" s="1094">
        <v>1.0274574822699964</v>
      </c>
      <c r="H1522" s="1094">
        <v>0.98471172192969081</v>
      </c>
      <c r="I1522" s="1094">
        <v>1.0123390366461951</v>
      </c>
      <c r="K1522">
        <v>4.4778201488762326</v>
      </c>
      <c r="L1522">
        <v>0</v>
      </c>
      <c r="M1522">
        <v>1.3999253269597763E-3</v>
      </c>
      <c r="N1522">
        <v>0.13080981622476134</v>
      </c>
      <c r="O1522">
        <v>3.9224560514495271E-2</v>
      </c>
      <c r="P1522">
        <v>1.9450499074970443E-2</v>
      </c>
      <c r="Q1522">
        <v>1.3743849343242085E-3</v>
      </c>
      <c r="R1522">
        <v>1.394066488427814E-3</v>
      </c>
      <c r="S1522">
        <v>0.23909426388048713</v>
      </c>
      <c r="T1522">
        <v>3.9463757540400373</v>
      </c>
      <c r="U1522">
        <v>0</v>
      </c>
      <c r="V1522">
        <v>9.4523053561131852E-3</v>
      </c>
      <c r="W1522">
        <v>7.6575520520485427E-2</v>
      </c>
      <c r="X1522">
        <v>1.1529164840851864E-2</v>
      </c>
      <c r="Y1522">
        <v>3.9397383282385031E-3</v>
      </c>
    </row>
    <row r="1523" spans="1:25" x14ac:dyDescent="0.25">
      <c r="A1523" s="1090"/>
      <c r="B1523" s="1448">
        <v>1273</v>
      </c>
      <c r="C1523" s="1094">
        <v>1.0020670875955067</v>
      </c>
      <c r="D1523" s="1094">
        <v>0.96402963019158794</v>
      </c>
      <c r="E1523" s="1094">
        <v>0.97232246819052648</v>
      </c>
      <c r="F1523" s="1094">
        <v>0.96537574746158772</v>
      </c>
      <c r="G1523" s="1094">
        <v>0.97623022935767112</v>
      </c>
      <c r="H1523" s="1094">
        <v>0.96701786882832763</v>
      </c>
      <c r="I1523" s="1094">
        <v>0.99963422215587094</v>
      </c>
      <c r="K1523">
        <v>4.3234935566868931</v>
      </c>
      <c r="L1523">
        <v>0</v>
      </c>
      <c r="M1523">
        <v>1.465998187900579E-3</v>
      </c>
      <c r="N1523">
        <v>0.11683676670975092</v>
      </c>
      <c r="O1523">
        <v>3.7717137968888349E-2</v>
      </c>
      <c r="P1523">
        <v>1.8107668629944815E-2</v>
      </c>
      <c r="Q1523">
        <v>1.2888831699521112E-3</v>
      </c>
      <c r="R1523">
        <v>1.459557751471461E-3</v>
      </c>
      <c r="S1523">
        <v>0.22550375602918976</v>
      </c>
      <c r="T1523">
        <v>3.829711337127415</v>
      </c>
      <c r="U1523">
        <v>0</v>
      </c>
      <c r="V1523">
        <v>9.4523053561131852E-3</v>
      </c>
      <c r="W1523">
        <v>7.0921464325089112E-2</v>
      </c>
      <c r="X1523">
        <v>9.8358561693585572E-3</v>
      </c>
      <c r="Y1523">
        <v>4.1248216376212534E-3</v>
      </c>
    </row>
    <row r="1524" spans="1:25" x14ac:dyDescent="0.25">
      <c r="A1524" s="1090"/>
      <c r="B1524" s="1448">
        <v>1274</v>
      </c>
      <c r="C1524" s="1094">
        <v>0.99912670505276602</v>
      </c>
      <c r="D1524" s="1094">
        <v>1.000204028971666</v>
      </c>
      <c r="E1524" s="1094">
        <v>0.96286962765258399</v>
      </c>
      <c r="F1524" s="1094">
        <v>1.0090446163163358</v>
      </c>
      <c r="G1524" s="1094">
        <v>0.99948429487946466</v>
      </c>
      <c r="H1524" s="1094">
        <v>1.0260120990005701</v>
      </c>
      <c r="I1524" s="1094">
        <v>0.98993057128450435</v>
      </c>
      <c r="K1524">
        <v>4.5233942323833416</v>
      </c>
      <c r="L1524">
        <v>0</v>
      </c>
      <c r="M1524">
        <v>1.6385652097852901E-3</v>
      </c>
      <c r="N1524">
        <v>0.12702951920040942</v>
      </c>
      <c r="O1524">
        <v>3.9026133058820058E-2</v>
      </c>
      <c r="P1524">
        <v>1.8775767131940277E-2</v>
      </c>
      <c r="Q1524">
        <v>1.263276935861517E-3</v>
      </c>
      <c r="R1524">
        <v>1.6320729860128927E-3</v>
      </c>
      <c r="S1524">
        <v>0.23255444800311947</v>
      </c>
      <c r="T1524">
        <v>4.0033176741826848</v>
      </c>
      <c r="U1524">
        <v>0</v>
      </c>
      <c r="V1524">
        <v>9.4523053561131904E-3</v>
      </c>
      <c r="W1524">
        <v>7.7613887221442912E-2</v>
      </c>
      <c r="X1524">
        <v>9.7553506553724641E-3</v>
      </c>
      <c r="Y1524">
        <v>4.6123628613504303E-3</v>
      </c>
    </row>
    <row r="1525" spans="1:25" x14ac:dyDescent="0.25">
      <c r="A1525" s="1090"/>
      <c r="B1525" s="1448">
        <v>1275</v>
      </c>
      <c r="C1525" s="1094">
        <v>0.97070359115676141</v>
      </c>
      <c r="D1525" s="1094">
        <v>0.985220887131948</v>
      </c>
      <c r="E1525" s="1094">
        <v>1.0422451388402896</v>
      </c>
      <c r="F1525" s="1094">
        <v>0.98811014444721779</v>
      </c>
      <c r="G1525" s="1094">
        <v>0.99326141339821183</v>
      </c>
      <c r="H1525" s="1094">
        <v>1.0003976959851244</v>
      </c>
      <c r="I1525" s="1094">
        <v>0.96764522182435475</v>
      </c>
      <c r="K1525">
        <v>4.4444257229754678</v>
      </c>
      <c r="L1525">
        <v>0</v>
      </c>
      <c r="M1525">
        <v>1.3707270663817785E-3</v>
      </c>
      <c r="N1525">
        <v>0.13440998242236793</v>
      </c>
      <c r="O1525">
        <v>3.9015524855953866E-2</v>
      </c>
      <c r="P1525">
        <v>1.9501142145027139E-2</v>
      </c>
      <c r="Q1525">
        <v>1.4000852124401043E-3</v>
      </c>
      <c r="R1525">
        <v>1.3650394781437546E-3</v>
      </c>
      <c r="S1525">
        <v>0.22981841431503244</v>
      </c>
      <c r="T1525">
        <v>3.9172786367608752</v>
      </c>
      <c r="U1525">
        <v>0</v>
      </c>
      <c r="V1525">
        <v>9.4523053561131904E-3</v>
      </c>
      <c r="W1525">
        <v>7.7840186840868561E-2</v>
      </c>
      <c r="X1525">
        <v>1.1857426873957966E-2</v>
      </c>
      <c r="Y1525">
        <v>3.8577057810683536E-3</v>
      </c>
    </row>
    <row r="1526" spans="1:25" x14ac:dyDescent="0.25">
      <c r="A1526" s="1090"/>
      <c r="B1526" s="1448">
        <v>1276</v>
      </c>
      <c r="C1526" s="1094">
        <v>0.97718320772833323</v>
      </c>
      <c r="D1526" s="1094">
        <v>1.0217927015665449</v>
      </c>
      <c r="E1526" s="1094">
        <v>1.0257891717250693</v>
      </c>
      <c r="F1526" s="1094">
        <v>1.0089026057779142</v>
      </c>
      <c r="G1526" s="1094">
        <v>0.99130879996360177</v>
      </c>
      <c r="H1526" s="1094">
        <v>0.99454857718232792</v>
      </c>
      <c r="I1526" s="1094">
        <v>1.0268565376018721</v>
      </c>
      <c r="K1526">
        <v>4.5368960780147631</v>
      </c>
      <c r="L1526">
        <v>0</v>
      </c>
      <c r="M1526">
        <v>1.4103210573715749E-3</v>
      </c>
      <c r="N1526">
        <v>0.13173553836164889</v>
      </c>
      <c r="O1526">
        <v>3.9115812403693856E-2</v>
      </c>
      <c r="P1526">
        <v>1.9714469000708737E-2</v>
      </c>
      <c r="Q1526">
        <v>1.3518830706566295E-3</v>
      </c>
      <c r="R1526">
        <v>1.4045555822777851E-3</v>
      </c>
      <c r="S1526">
        <v>0.24253554576158912</v>
      </c>
      <c r="T1526">
        <v>4.0003302483448131</v>
      </c>
      <c r="U1526">
        <v>0</v>
      </c>
      <c r="V1526">
        <v>9.4523053561131991E-3</v>
      </c>
      <c r="W1526">
        <v>7.7125124518863206E-2</v>
      </c>
      <c r="X1526">
        <v>1.1571535363503463E-2</v>
      </c>
      <c r="Y1526">
        <v>3.9693813082629561E-3</v>
      </c>
    </row>
    <row r="1527" spans="1:25" x14ac:dyDescent="0.25">
      <c r="A1527" s="1090"/>
      <c r="B1527" s="1448">
        <v>1277</v>
      </c>
      <c r="C1527" s="1094">
        <v>0.99488955335422669</v>
      </c>
      <c r="D1527" s="1094">
        <v>1.010323732076106</v>
      </c>
      <c r="E1527" s="1094">
        <v>0.99316568400271532</v>
      </c>
      <c r="F1527" s="1094">
        <v>0.9875920870589584</v>
      </c>
      <c r="G1527" s="1094">
        <v>1.0308516595656003</v>
      </c>
      <c r="H1527" s="1094">
        <v>1.0224493605896283</v>
      </c>
      <c r="I1527" s="1094">
        <v>1.0256622879741266</v>
      </c>
      <c r="K1527">
        <v>4.4400555094227334</v>
      </c>
      <c r="L1527">
        <v>0</v>
      </c>
      <c r="M1527">
        <v>1.5001779098658902E-3</v>
      </c>
      <c r="N1527">
        <v>0.12722975378260104</v>
      </c>
      <c r="O1527">
        <v>3.8000079865440704E-2</v>
      </c>
      <c r="P1527">
        <v>1.884506133058763E-2</v>
      </c>
      <c r="Q1527">
        <v>1.2972725137116528E-3</v>
      </c>
      <c r="R1527">
        <v>1.494084258392216E-3</v>
      </c>
      <c r="S1527">
        <v>0.23746846911267425</v>
      </c>
      <c r="T1527">
        <v>3.9170545892332171</v>
      </c>
      <c r="U1527">
        <v>0</v>
      </c>
      <c r="V1527">
        <v>9.452305356113206E-3</v>
      </c>
      <c r="W1527">
        <v>7.6137128346294006E-2</v>
      </c>
      <c r="X1527">
        <v>1.0354547351410935E-2</v>
      </c>
      <c r="Y1527">
        <v>4.2223961821534111E-3</v>
      </c>
    </row>
    <row r="1528" spans="1:25" x14ac:dyDescent="0.25">
      <c r="A1528" s="1090"/>
      <c r="B1528" s="1448">
        <v>1278</v>
      </c>
      <c r="C1528" s="1094">
        <v>0.97544720020626308</v>
      </c>
      <c r="D1528" s="1094">
        <v>1.0091057141859083</v>
      </c>
      <c r="E1528" s="1094">
        <v>0.9610290598432355</v>
      </c>
      <c r="F1528" s="1094">
        <v>1.0159056564860993</v>
      </c>
      <c r="G1528" s="1094">
        <v>0.96569892135863089</v>
      </c>
      <c r="H1528" s="1094">
        <v>0.9684179739665707</v>
      </c>
      <c r="I1528" s="1094">
        <v>1.0305531292601129</v>
      </c>
      <c r="K1528">
        <v>4.5569522270429381</v>
      </c>
      <c r="L1528">
        <v>0</v>
      </c>
      <c r="M1528">
        <v>1.595349947779736E-3</v>
      </c>
      <c r="N1528">
        <v>0.12297910030485222</v>
      </c>
      <c r="O1528">
        <v>4.0115955305207347E-2</v>
      </c>
      <c r="P1528">
        <v>1.8919291161881503E-2</v>
      </c>
      <c r="Q1528">
        <v>1.2872835548713222E-3</v>
      </c>
      <c r="R1528">
        <v>1.588698069878723E-3</v>
      </c>
      <c r="S1528">
        <v>0.24379050691987103</v>
      </c>
      <c r="T1528">
        <v>4.0306109201537952</v>
      </c>
      <c r="U1528">
        <v>0</v>
      </c>
      <c r="V1528">
        <v>9.4523053561132043E-3</v>
      </c>
      <c r="W1528">
        <v>7.5235108061859096E-2</v>
      </c>
      <c r="X1528">
        <v>1.0078626065546574E-2</v>
      </c>
      <c r="Y1528">
        <v>4.4897820368370762E-3</v>
      </c>
    </row>
    <row r="1529" spans="1:25" x14ac:dyDescent="0.25">
      <c r="A1529" s="1090"/>
      <c r="B1529" s="1448">
        <v>1279</v>
      </c>
      <c r="C1529" s="1094">
        <v>0.99354256018362375</v>
      </c>
      <c r="D1529" s="1094">
        <v>0.99618019795704027</v>
      </c>
      <c r="E1529" s="1094">
        <v>1.0021377652580699</v>
      </c>
      <c r="F1529" s="1094">
        <v>1.0100263067261164</v>
      </c>
      <c r="G1529" s="1094">
        <v>0.96895292302917868</v>
      </c>
      <c r="H1529" s="1094">
        <v>1.0033646516839705</v>
      </c>
      <c r="I1529" s="1094">
        <v>0.98162018065470935</v>
      </c>
      <c r="K1529">
        <v>4.5272010257261321</v>
      </c>
      <c r="L1529">
        <v>0</v>
      </c>
      <c r="M1529">
        <v>1.4876795891773985E-3</v>
      </c>
      <c r="N1529">
        <v>0.12957130468475916</v>
      </c>
      <c r="O1529">
        <v>3.9073356737463504E-2</v>
      </c>
      <c r="P1529">
        <v>1.9344377288507235E-2</v>
      </c>
      <c r="Q1529">
        <v>1.3164765140726098E-3</v>
      </c>
      <c r="R1529">
        <v>1.4816579844919553E-3</v>
      </c>
      <c r="S1529">
        <v>0.23061978082268386</v>
      </c>
      <c r="T1529">
        <v>4.0056892235425838</v>
      </c>
      <c r="U1529">
        <v>0</v>
      </c>
      <c r="V1529">
        <v>9.4523053561131887E-3</v>
      </c>
      <c r="W1529">
        <v>7.7068848499468698E-2</v>
      </c>
      <c r="X1529">
        <v>1.0884095301754597E-2</v>
      </c>
      <c r="Y1529">
        <v>4.1872785834101414E-3</v>
      </c>
    </row>
    <row r="1530" spans="1:25" x14ac:dyDescent="0.25">
      <c r="A1530" s="1090"/>
      <c r="B1530" s="1448">
        <v>1280</v>
      </c>
      <c r="C1530" s="1094">
        <v>0.99810684038674857</v>
      </c>
      <c r="D1530" s="1094">
        <v>1.0355121923265338</v>
      </c>
      <c r="E1530" s="1094">
        <v>1.0158850088021822</v>
      </c>
      <c r="F1530" s="1094">
        <v>0.98883703613687335</v>
      </c>
      <c r="G1530" s="1094">
        <v>0.96480622313681497</v>
      </c>
      <c r="H1530" s="1094">
        <v>1.0142377658364905</v>
      </c>
      <c r="I1530" s="1094">
        <v>0.9706378818003818</v>
      </c>
      <c r="K1530">
        <v>4.4273017432120723</v>
      </c>
      <c r="L1530">
        <v>0</v>
      </c>
      <c r="M1530">
        <v>1.4018842994117063E-3</v>
      </c>
      <c r="N1530">
        <v>0.12716611180966605</v>
      </c>
      <c r="O1530">
        <v>3.7401095625634762E-2</v>
      </c>
      <c r="P1530">
        <v>1.9112875269682143E-2</v>
      </c>
      <c r="Q1530">
        <v>1.3055190178844908E-3</v>
      </c>
      <c r="R1530">
        <v>1.3961510056472819E-3</v>
      </c>
      <c r="S1530">
        <v>0.22194427904392491</v>
      </c>
      <c r="T1530">
        <v>3.9211387753650349</v>
      </c>
      <c r="U1530">
        <v>0</v>
      </c>
      <c r="V1530">
        <v>9.4523053561131887E-3</v>
      </c>
      <c r="W1530">
        <v>7.4942948214060057E-2</v>
      </c>
      <c r="X1530">
        <v>1.0897937470789329E-2</v>
      </c>
      <c r="Y1530">
        <v>3.9456293330460829E-3</v>
      </c>
    </row>
    <row r="1531" spans="1:25" x14ac:dyDescent="0.25">
      <c r="A1531" s="1090"/>
      <c r="B1531" s="1448">
        <v>1281</v>
      </c>
      <c r="C1531" s="1094">
        <v>1.0323753815621657</v>
      </c>
      <c r="D1531" s="1094">
        <v>0.97296090684179404</v>
      </c>
      <c r="E1531" s="1094">
        <v>1.0196361137430414</v>
      </c>
      <c r="F1531" s="1094">
        <v>0.9924526166395583</v>
      </c>
      <c r="G1531" s="1094">
        <v>1.0043302646065346</v>
      </c>
      <c r="H1531" s="1094">
        <v>1.038104082839779</v>
      </c>
      <c r="I1531" s="1094">
        <v>1.0104379480755548</v>
      </c>
      <c r="K1531">
        <v>4.4537307442423941</v>
      </c>
      <c r="L1531">
        <v>0</v>
      </c>
      <c r="M1531">
        <v>1.416168890806923E-3</v>
      </c>
      <c r="N1531">
        <v>0.12990987518192854</v>
      </c>
      <c r="O1531">
        <v>3.7182591516913353E-2</v>
      </c>
      <c r="P1531">
        <v>1.9268203646305812E-2</v>
      </c>
      <c r="Q1531">
        <v>1.2981564620044128E-3</v>
      </c>
      <c r="R1531">
        <v>1.410530859832039E-3</v>
      </c>
      <c r="S1531">
        <v>0.22999154869785407</v>
      </c>
      <c r="T1531">
        <v>3.935335482195502</v>
      </c>
      <c r="U1531">
        <v>0</v>
      </c>
      <c r="V1531">
        <v>9.4523053561131973E-3</v>
      </c>
      <c r="W1531">
        <v>7.6368392709224742E-2</v>
      </c>
      <c r="X1531">
        <v>1.0943558608696226E-2</v>
      </c>
      <c r="Y1531">
        <v>3.9862678988221382E-3</v>
      </c>
    </row>
    <row r="1532" spans="1:25" x14ac:dyDescent="0.25">
      <c r="A1532" s="1090"/>
      <c r="B1532" s="1448">
        <v>1282</v>
      </c>
      <c r="C1532" s="1094">
        <v>0.9732920629244256</v>
      </c>
      <c r="D1532" s="1094">
        <v>1.004896647472415</v>
      </c>
      <c r="E1532" s="1094">
        <v>1.0060747188774282</v>
      </c>
      <c r="F1532" s="1094">
        <v>1.0048462008136927</v>
      </c>
      <c r="G1532" s="1094">
        <v>0.99816697176013469</v>
      </c>
      <c r="H1532" s="1094">
        <v>0.99176006821463503</v>
      </c>
      <c r="I1532" s="1094">
        <v>0.96005165600722597</v>
      </c>
      <c r="K1532">
        <v>4.5049507357153589</v>
      </c>
      <c r="L1532">
        <v>0</v>
      </c>
      <c r="M1532">
        <v>1.4759108537308512E-3</v>
      </c>
      <c r="N1532">
        <v>0.13004517935747087</v>
      </c>
      <c r="O1532">
        <v>3.9515849163303078E-2</v>
      </c>
      <c r="P1532">
        <v>1.9294338685002001E-2</v>
      </c>
      <c r="Q1532">
        <v>1.3437068774424744E-3</v>
      </c>
      <c r="R1532">
        <v>1.4698359536403532E-3</v>
      </c>
      <c r="S1532">
        <v>0.22797091701380282</v>
      </c>
      <c r="T1532">
        <v>3.9849949625266374</v>
      </c>
      <c r="U1532">
        <v>0</v>
      </c>
      <c r="V1532">
        <v>9.4523053561131852E-3</v>
      </c>
      <c r="W1532">
        <v>7.7145731526872902E-2</v>
      </c>
      <c r="X1532">
        <v>1.1039951487150449E-2</v>
      </c>
      <c r="Y1532">
        <v>4.1538686216541568E-3</v>
      </c>
    </row>
    <row r="1533" spans="1:25" x14ac:dyDescent="0.25">
      <c r="A1533" s="1090"/>
      <c r="B1533" s="1448">
        <v>1283</v>
      </c>
      <c r="C1533" s="1094">
        <v>0.962512079844973</v>
      </c>
      <c r="D1533" s="1094">
        <v>0.97695564812080005</v>
      </c>
      <c r="E1533" s="1094">
        <v>0.98024718660831522</v>
      </c>
      <c r="F1533" s="1094">
        <v>0.96012401944628467</v>
      </c>
      <c r="G1533" s="1094">
        <v>0.96739539168196131</v>
      </c>
      <c r="H1533" s="1094">
        <v>1.012490724069512</v>
      </c>
      <c r="I1533" s="1094">
        <v>0.99104358510000812</v>
      </c>
      <c r="K1533">
        <v>4.3285556837691832</v>
      </c>
      <c r="L1533">
        <v>0</v>
      </c>
      <c r="M1533">
        <v>1.5548445043132735E-3</v>
      </c>
      <c r="N1533">
        <v>0.12688918640306265</v>
      </c>
      <c r="O1533">
        <v>3.8791452643374129E-2</v>
      </c>
      <c r="P1533">
        <v>1.8162416341175377E-2</v>
      </c>
      <c r="Q1533">
        <v>1.3439556798480283E-3</v>
      </c>
      <c r="R1533">
        <v>1.54828499684218E-3</v>
      </c>
      <c r="S1533">
        <v>0.23439409689103344</v>
      </c>
      <c r="T1533">
        <v>3.8085842770960419</v>
      </c>
      <c r="U1533">
        <v>0</v>
      </c>
      <c r="V1533">
        <v>9.4523053561131973E-3</v>
      </c>
      <c r="W1533">
        <v>7.660529637523962E-2</v>
      </c>
      <c r="X1533">
        <v>9.9636848837203907E-3</v>
      </c>
      <c r="Y1533">
        <v>4.3755716070436384E-3</v>
      </c>
    </row>
    <row r="1534" spans="1:25" x14ac:dyDescent="0.25">
      <c r="A1534" s="1090"/>
      <c r="B1534" s="1448">
        <v>1284</v>
      </c>
      <c r="C1534" s="1094">
        <v>0.99997100375734083</v>
      </c>
      <c r="D1534" s="1094">
        <v>1.0207263777125823</v>
      </c>
      <c r="E1534" s="1094">
        <v>1.0011985105823991</v>
      </c>
      <c r="F1534" s="1094">
        <v>1.0389996514418653</v>
      </c>
      <c r="G1534" s="1094">
        <v>0.97247654385255877</v>
      </c>
      <c r="H1534" s="1094">
        <v>1.0356213423205791</v>
      </c>
      <c r="I1534" s="1094">
        <v>0.99259424829498843</v>
      </c>
      <c r="K1534">
        <v>4.6589718566163256</v>
      </c>
      <c r="L1534">
        <v>0</v>
      </c>
      <c r="M1534">
        <v>1.5570941849548021E-3</v>
      </c>
      <c r="N1534">
        <v>0.13527211759079108</v>
      </c>
      <c r="O1534">
        <v>3.9555504573775442E-2</v>
      </c>
      <c r="P1534">
        <v>1.988327402388038E-2</v>
      </c>
      <c r="Q1534">
        <v>1.2942983206301046E-3</v>
      </c>
      <c r="R1534">
        <v>1.5511575274423509E-3</v>
      </c>
      <c r="S1534">
        <v>0.23700630480537649</v>
      </c>
      <c r="T1534">
        <v>4.1206324863244133</v>
      </c>
      <c r="U1534">
        <v>0</v>
      </c>
      <c r="V1534">
        <v>9.4523053561131869E-3</v>
      </c>
      <c r="W1534">
        <v>8.0510720492867546E-2</v>
      </c>
      <c r="X1534">
        <v>1.0987092188162097E-2</v>
      </c>
      <c r="Y1534">
        <v>4.3836895978270557E-3</v>
      </c>
    </row>
    <row r="1535" spans="1:25" x14ac:dyDescent="0.25">
      <c r="A1535" s="1090"/>
      <c r="B1535" s="1448">
        <v>1285</v>
      </c>
      <c r="C1535" s="1094">
        <v>0.98997410070008374</v>
      </c>
      <c r="D1535" s="1094">
        <v>0.98280915879692188</v>
      </c>
      <c r="E1535" s="1094">
        <v>0.99577372994113866</v>
      </c>
      <c r="F1535" s="1094">
        <v>0.99823223776659487</v>
      </c>
      <c r="G1535" s="1094">
        <v>1.0468877244224541</v>
      </c>
      <c r="H1535" s="1094">
        <v>1.0217092084178718</v>
      </c>
      <c r="I1535" s="1094">
        <v>0.99717399095576109</v>
      </c>
      <c r="K1535">
        <v>4.4875766578261729</v>
      </c>
      <c r="L1535">
        <v>0</v>
      </c>
      <c r="M1535">
        <v>1.5311839052990215E-3</v>
      </c>
      <c r="N1535">
        <v>0.13087244420261127</v>
      </c>
      <c r="O1535">
        <v>3.9010712965206605E-2</v>
      </c>
      <c r="P1535">
        <v>1.9064479657004234E-2</v>
      </c>
      <c r="Q1535">
        <v>1.3211524878931891E-3</v>
      </c>
      <c r="R1535">
        <v>1.5250258733650306E-3</v>
      </c>
      <c r="S1535">
        <v>0.23562902169262862</v>
      </c>
      <c r="T1535">
        <v>3.9591568660980756</v>
      </c>
      <c r="U1535">
        <v>0</v>
      </c>
      <c r="V1535">
        <v>9.4523053561131991E-3</v>
      </c>
      <c r="W1535">
        <v>7.817854861155768E-2</v>
      </c>
      <c r="X1535">
        <v>1.0587445238664922E-2</v>
      </c>
      <c r="Y1535">
        <v>4.3098395483471396E-3</v>
      </c>
    </row>
    <row r="1536" spans="1:25" x14ac:dyDescent="0.25">
      <c r="A1536" s="1090"/>
      <c r="B1536" s="1448">
        <v>1286</v>
      </c>
      <c r="C1536" s="1094">
        <v>1.0185515225078858</v>
      </c>
      <c r="D1536" s="1094">
        <v>0.9996475823003993</v>
      </c>
      <c r="E1536" s="1094">
        <v>1.0328348655710562</v>
      </c>
      <c r="F1536" s="1094">
        <v>0.96208252816484674</v>
      </c>
      <c r="G1536" s="1094">
        <v>1.039850413581934</v>
      </c>
      <c r="H1536" s="1094">
        <v>0.98560615748205793</v>
      </c>
      <c r="I1536" s="1094">
        <v>0.98732077638452798</v>
      </c>
      <c r="K1536">
        <v>4.3040615075459083</v>
      </c>
      <c r="L1536">
        <v>0</v>
      </c>
      <c r="M1536">
        <v>1.2710748414164585E-3</v>
      </c>
      <c r="N1536">
        <v>0.12119912136479094</v>
      </c>
      <c r="O1536">
        <v>3.6054740065618283E-2</v>
      </c>
      <c r="P1536">
        <v>1.8832602442024792E-2</v>
      </c>
      <c r="Q1536">
        <v>1.3161718369168911E-3</v>
      </c>
      <c r="R1536">
        <v>1.2655773846942759E-3</v>
      </c>
      <c r="S1536">
        <v>0.21749198191239552</v>
      </c>
      <c r="T1536">
        <v>3.8144327664234501</v>
      </c>
      <c r="U1536">
        <v>0</v>
      </c>
      <c r="V1536">
        <v>9.4523053561131887E-3</v>
      </c>
      <c r="W1536">
        <v>7.0626040953929409E-2</v>
      </c>
      <c r="X1536">
        <v>1.1084656335980223E-2</v>
      </c>
      <c r="Y1536">
        <v>3.5766183114085159E-3</v>
      </c>
    </row>
    <row r="1537" spans="1:25" x14ac:dyDescent="0.25">
      <c r="A1537" s="1090"/>
      <c r="B1537" s="1448">
        <v>1287</v>
      </c>
      <c r="C1537" s="1094">
        <v>0.99742472902157009</v>
      </c>
      <c r="D1537" s="1094">
        <v>1.0415950644830743</v>
      </c>
      <c r="E1537" s="1094">
        <v>0.99014449335348709</v>
      </c>
      <c r="F1537" s="1094">
        <v>0.98305674947383226</v>
      </c>
      <c r="G1537" s="1094">
        <v>0.98441511993917208</v>
      </c>
      <c r="H1537" s="1094">
        <v>1.0247548864379841</v>
      </c>
      <c r="I1537" s="1094">
        <v>0.98152445673632005</v>
      </c>
      <c r="K1537">
        <v>4.4037993503389075</v>
      </c>
      <c r="L1537">
        <v>0</v>
      </c>
      <c r="M1537">
        <v>1.4841891007806121E-3</v>
      </c>
      <c r="N1537">
        <v>0.12475011541252566</v>
      </c>
      <c r="O1537">
        <v>3.7292275974685735E-2</v>
      </c>
      <c r="P1537">
        <v>1.8661098400728861E-2</v>
      </c>
      <c r="Q1537">
        <v>1.2749704550057128E-3</v>
      </c>
      <c r="R1537">
        <v>1.4781463235551922E-3</v>
      </c>
      <c r="S1537">
        <v>0.22406012867444505</v>
      </c>
      <c r="T1537">
        <v>3.8991797878213768</v>
      </c>
      <c r="U1537">
        <v>0</v>
      </c>
      <c r="V1537">
        <v>9.4523053561131869E-3</v>
      </c>
      <c r="W1537">
        <v>7.4806719205219918E-2</v>
      </c>
      <c r="X1537">
        <v>1.0150637454531725E-2</v>
      </c>
      <c r="Y1537">
        <v>4.1773543615002207E-3</v>
      </c>
    </row>
    <row r="1538" spans="1:25" x14ac:dyDescent="0.25">
      <c r="A1538" s="1090"/>
      <c r="B1538" s="1448">
        <v>1288</v>
      </c>
      <c r="C1538" s="1094">
        <v>0.9749753902047964</v>
      </c>
      <c r="D1538" s="1094">
        <v>1.0011822639420704</v>
      </c>
      <c r="E1538" s="1094">
        <v>0.97103111993061719</v>
      </c>
      <c r="F1538" s="1094">
        <v>0.98884601139048167</v>
      </c>
      <c r="G1538" s="1094">
        <v>1.004987736745429</v>
      </c>
      <c r="H1538" s="1094">
        <v>0.99048202981637834</v>
      </c>
      <c r="I1538" s="1094">
        <v>0.99934414518965697</v>
      </c>
      <c r="K1538">
        <v>4.439464479312174</v>
      </c>
      <c r="L1538">
        <v>0</v>
      </c>
      <c r="M1538">
        <v>1.5611471821732291E-3</v>
      </c>
      <c r="N1538">
        <v>0.12396936008076126</v>
      </c>
      <c r="O1538">
        <v>3.9120496704726546E-2</v>
      </c>
      <c r="P1538">
        <v>1.8544454345054369E-2</v>
      </c>
      <c r="Q1538">
        <v>1.303341369669456E-3</v>
      </c>
      <c r="R1538">
        <v>1.5546094801223227E-3</v>
      </c>
      <c r="S1538">
        <v>0.23450436596552945</v>
      </c>
      <c r="T1538">
        <v>3.9228687709337136</v>
      </c>
      <c r="U1538">
        <v>0</v>
      </c>
      <c r="V1538">
        <v>9.4523053561131852E-3</v>
      </c>
      <c r="W1538">
        <v>7.5318029955347365E-2</v>
      </c>
      <c r="X1538">
        <v>9.9964472236659298E-3</v>
      </c>
      <c r="Y1538">
        <v>4.3934450796447762E-3</v>
      </c>
    </row>
    <row r="1539" spans="1:25" x14ac:dyDescent="0.25">
      <c r="A1539" s="1090"/>
      <c r="B1539" s="1448">
        <v>1289</v>
      </c>
      <c r="C1539" s="1094">
        <v>0.96466687363922021</v>
      </c>
      <c r="D1539" s="1094">
        <v>0.98889215633971839</v>
      </c>
      <c r="E1539" s="1094">
        <v>0.97632334340695248</v>
      </c>
      <c r="F1539" s="1094">
        <v>1.0260087224839574</v>
      </c>
      <c r="G1539" s="1094">
        <v>0.9954993687167708</v>
      </c>
      <c r="H1539" s="1094">
        <v>1.016360999498793</v>
      </c>
      <c r="I1539" s="1094">
        <v>1.0356012501170968</v>
      </c>
      <c r="K1539">
        <v>4.6277471559843288</v>
      </c>
      <c r="L1539">
        <v>0</v>
      </c>
      <c r="M1539">
        <v>1.6693375641848823E-3</v>
      </c>
      <c r="N1539">
        <v>0.1346941410820213</v>
      </c>
      <c r="O1539">
        <v>4.1189017568627251E-2</v>
      </c>
      <c r="P1539">
        <v>1.9368601908068668E-2</v>
      </c>
      <c r="Q1539">
        <v>1.3299132163759799E-3</v>
      </c>
      <c r="R1539">
        <v>1.6627705656996896E-3</v>
      </c>
      <c r="S1539">
        <v>0.25492256831414745</v>
      </c>
      <c r="T1539">
        <v>4.0700882021663034</v>
      </c>
      <c r="U1539">
        <v>0</v>
      </c>
      <c r="V1539">
        <v>9.4523053561131939E-3</v>
      </c>
      <c r="W1539">
        <v>8.1536448675056564E-2</v>
      </c>
      <c r="X1539">
        <v>1.0473408130902095E-2</v>
      </c>
      <c r="Y1539">
        <v>4.6991165651946573E-3</v>
      </c>
    </row>
    <row r="1540" spans="1:25" x14ac:dyDescent="0.25">
      <c r="A1540" s="1090"/>
      <c r="B1540" s="1448">
        <v>1290</v>
      </c>
      <c r="C1540" s="1094">
        <v>1.0005778586751108</v>
      </c>
      <c r="D1540" s="1094">
        <v>0.96619915341068396</v>
      </c>
      <c r="E1540" s="1094">
        <v>0.9856384994737255</v>
      </c>
      <c r="F1540" s="1094">
        <v>0.98529603192934134</v>
      </c>
      <c r="G1540" s="1094">
        <v>0.9970833786760066</v>
      </c>
      <c r="H1540" s="1094">
        <v>0.97066619056431602</v>
      </c>
      <c r="I1540" s="1094">
        <v>1.031948033780177</v>
      </c>
      <c r="K1540">
        <v>4.421046131742119</v>
      </c>
      <c r="L1540">
        <v>0</v>
      </c>
      <c r="M1540">
        <v>1.4612303729672038E-3</v>
      </c>
      <c r="N1540">
        <v>0.12116360781805929</v>
      </c>
      <c r="O1540">
        <v>3.8427109985574179E-2</v>
      </c>
      <c r="P1540">
        <v>1.8694268461230613E-2</v>
      </c>
      <c r="Q1540">
        <v>1.3046443295620632E-3</v>
      </c>
      <c r="R1540">
        <v>1.4549637710795889E-3</v>
      </c>
      <c r="S1540">
        <v>0.23643135707611346</v>
      </c>
      <c r="T1540">
        <v>3.9082317092724526</v>
      </c>
      <c r="U1540">
        <v>0</v>
      </c>
      <c r="V1540">
        <v>9.4523053561131852E-3</v>
      </c>
      <c r="W1540">
        <v>7.2879505112578305E-2</v>
      </c>
      <c r="X1540">
        <v>1.0356052234023279E-2</v>
      </c>
      <c r="Y1540">
        <v>4.111838698300012E-3</v>
      </c>
    </row>
    <row r="1541" spans="1:25" x14ac:dyDescent="0.25">
      <c r="A1541" s="1090"/>
      <c r="B1541" s="1448">
        <v>1291</v>
      </c>
      <c r="C1541" s="1094">
        <v>0.9993469808750054</v>
      </c>
      <c r="D1541" s="1094">
        <v>1.0019586296064922</v>
      </c>
      <c r="E1541" s="1094">
        <v>0.96921352284635576</v>
      </c>
      <c r="F1541" s="1094">
        <v>1.0329993942390332</v>
      </c>
      <c r="G1541" s="1094">
        <v>0.99051684561504894</v>
      </c>
      <c r="H1541" s="1094">
        <v>0.98373149157950768</v>
      </c>
      <c r="I1541" s="1094">
        <v>1.0150917731533065</v>
      </c>
      <c r="K1541">
        <v>4.6229784973828787</v>
      </c>
      <c r="L1541">
        <v>0</v>
      </c>
      <c r="M1541">
        <v>1.5854970557777988E-3</v>
      </c>
      <c r="N1541">
        <v>0.12524420224098451</v>
      </c>
      <c r="O1541">
        <v>3.9871094046169585E-2</v>
      </c>
      <c r="P1541">
        <v>1.9316452131349589E-2</v>
      </c>
      <c r="Q1541">
        <v>1.2691452586718198E-3</v>
      </c>
      <c r="R1541">
        <v>1.5790964313561269E-3</v>
      </c>
      <c r="S1541">
        <v>0.23877851268168329</v>
      </c>
      <c r="T1541">
        <v>4.0981029895725074</v>
      </c>
      <c r="U1541">
        <v>0</v>
      </c>
      <c r="V1541">
        <v>9.4523053561131817E-3</v>
      </c>
      <c r="W1541">
        <v>7.618802347648769E-2</v>
      </c>
      <c r="X1541">
        <v>1.0299526170012873E-2</v>
      </c>
      <c r="Y1541">
        <v>4.4626470733217941E-3</v>
      </c>
    </row>
    <row r="1542" spans="1:25" x14ac:dyDescent="0.25">
      <c r="A1542" s="1090"/>
      <c r="B1542" s="1448">
        <v>1292</v>
      </c>
      <c r="C1542" s="1094">
        <v>1.0175334875229727</v>
      </c>
      <c r="D1542" s="1094">
        <v>1.0202050954800368</v>
      </c>
      <c r="E1542" s="1094">
        <v>1.0268271111043445</v>
      </c>
      <c r="F1542" s="1094">
        <v>1.0128056239633378</v>
      </c>
      <c r="G1542" s="1094">
        <v>1.0240520205147703</v>
      </c>
      <c r="H1542" s="1094">
        <v>1.0052275270381226</v>
      </c>
      <c r="I1542" s="1094">
        <v>0.99944991194252253</v>
      </c>
      <c r="K1542">
        <v>4.5312203064474375</v>
      </c>
      <c r="L1542">
        <v>0</v>
      </c>
      <c r="M1542">
        <v>1.3720525132331911E-3</v>
      </c>
      <c r="N1542">
        <v>0.12856253347661706</v>
      </c>
      <c r="O1542">
        <v>3.7726395946372483E-2</v>
      </c>
      <c r="P1542">
        <v>1.9734481109470268E-2</v>
      </c>
      <c r="Q1542">
        <v>1.3002188729901473E-3</v>
      </c>
      <c r="R1542">
        <v>1.3665243683651611E-3</v>
      </c>
      <c r="S1542">
        <v>0.22820204760688698</v>
      </c>
      <c r="T1542">
        <v>4.0157663223076847</v>
      </c>
      <c r="U1542">
        <v>0</v>
      </c>
      <c r="V1542">
        <v>9.4523053561131904E-3</v>
      </c>
      <c r="W1542">
        <v>7.5215623077982394E-2</v>
      </c>
      <c r="X1542">
        <v>1.1404004643988011E-2</v>
      </c>
      <c r="Y1542">
        <v>3.8619021942000523E-3</v>
      </c>
    </row>
    <row r="1543" spans="1:25" x14ac:dyDescent="0.25">
      <c r="A1543" s="1090"/>
      <c r="B1543" s="1448">
        <v>1293</v>
      </c>
      <c r="C1543" s="1094">
        <v>1.0260934284769982</v>
      </c>
      <c r="D1543" s="1094">
        <v>1.0023261223961839</v>
      </c>
      <c r="E1543" s="1094">
        <v>1.0284197327888038</v>
      </c>
      <c r="F1543" s="1094">
        <v>1.0027588700839911</v>
      </c>
      <c r="G1543" s="1094">
        <v>1.0147693133020967</v>
      </c>
      <c r="H1543" s="1094">
        <v>0.97183112402602434</v>
      </c>
      <c r="I1543" s="1094">
        <v>0.99155160574668733</v>
      </c>
      <c r="K1543">
        <v>4.4752270168220667</v>
      </c>
      <c r="L1543">
        <v>0</v>
      </c>
      <c r="M1543">
        <v>1.3072409925504644E-3</v>
      </c>
      <c r="N1543">
        <v>0.12304558347318333</v>
      </c>
      <c r="O1543">
        <v>3.7292723632774957E-2</v>
      </c>
      <c r="P1543">
        <v>1.9541973489977407E-2</v>
      </c>
      <c r="Q1543">
        <v>1.3002657599613123E-3</v>
      </c>
      <c r="R1543">
        <v>1.3017386214450341E-3</v>
      </c>
      <c r="S1543">
        <v>0.22173107400459582</v>
      </c>
      <c r="T1543">
        <v>3.9758710315393562</v>
      </c>
      <c r="U1543">
        <v>0</v>
      </c>
      <c r="V1543">
        <v>9.4523053561131852E-3</v>
      </c>
      <c r="W1543">
        <v>7.1911912019217636E-2</v>
      </c>
      <c r="X1543">
        <v>1.1406837190746501E-2</v>
      </c>
      <c r="Y1543">
        <v>3.6788127272459809E-3</v>
      </c>
    </row>
    <row r="1544" spans="1:25" x14ac:dyDescent="0.25">
      <c r="A1544" s="1090"/>
      <c r="B1544" s="1448">
        <v>1294</v>
      </c>
      <c r="C1544" s="1094">
        <v>0.96691468591377328</v>
      </c>
      <c r="D1544" s="1094">
        <v>0.9777384236866743</v>
      </c>
      <c r="E1544" s="1094">
        <v>0.96463523508607063</v>
      </c>
      <c r="F1544" s="1094">
        <v>0.99314824048638961</v>
      </c>
      <c r="G1544" s="1094">
        <v>0.99694397698633808</v>
      </c>
      <c r="H1544" s="1094">
        <v>0.99592373893479491</v>
      </c>
      <c r="I1544" s="1094">
        <v>1.012863701958771</v>
      </c>
      <c r="K1544">
        <v>4.4706655962839736</v>
      </c>
      <c r="L1544">
        <v>0</v>
      </c>
      <c r="M1544">
        <v>1.6264568009166261E-3</v>
      </c>
      <c r="N1544">
        <v>0.12673045244879619</v>
      </c>
      <c r="O1544">
        <v>4.0040788710194758E-2</v>
      </c>
      <c r="P1544">
        <v>1.8565930836735592E-2</v>
      </c>
      <c r="Q1544">
        <v>1.3193192526618448E-3</v>
      </c>
      <c r="R1544">
        <v>1.6197120375747479E-3</v>
      </c>
      <c r="S1544">
        <v>0.24253906490008961</v>
      </c>
      <c r="T1544">
        <v>3.9401819028280727</v>
      </c>
      <c r="U1544">
        <v>0</v>
      </c>
      <c r="V1544">
        <v>9.4523053561131904E-3</v>
      </c>
      <c r="W1544">
        <v>7.7336505999361482E-2</v>
      </c>
      <c r="X1544">
        <v>9.9286408379401381E-3</v>
      </c>
      <c r="Y1544">
        <v>4.577429877350464E-3</v>
      </c>
    </row>
    <row r="1545" spans="1:25" x14ac:dyDescent="0.25">
      <c r="A1545" s="1090"/>
      <c r="B1545" s="1448">
        <v>1295</v>
      </c>
      <c r="C1545" s="1094">
        <v>0.99337044917108974</v>
      </c>
      <c r="D1545" s="1094">
        <v>0.99760130505705624</v>
      </c>
      <c r="E1545" s="1094">
        <v>0.97943027727702237</v>
      </c>
      <c r="F1545" s="1094">
        <v>1.0151390033403849</v>
      </c>
      <c r="G1545" s="1094">
        <v>1.0091355124956916</v>
      </c>
      <c r="H1545" s="1094">
        <v>0.97832843112761292</v>
      </c>
      <c r="I1545" s="1094">
        <v>0.98687204998977984</v>
      </c>
      <c r="K1545">
        <v>4.5411471401803869</v>
      </c>
      <c r="L1545">
        <v>0</v>
      </c>
      <c r="M1545">
        <v>1.5285691331874043E-3</v>
      </c>
      <c r="N1545">
        <v>0.12445389537460101</v>
      </c>
      <c r="O1545">
        <v>3.941479937145833E-2</v>
      </c>
      <c r="P1545">
        <v>1.9112109244056416E-2</v>
      </c>
      <c r="Q1545">
        <v>1.2904436486026636E-3</v>
      </c>
      <c r="R1545">
        <v>1.5222555181445732E-3</v>
      </c>
      <c r="S1545">
        <v>0.23067408325354855</v>
      </c>
      <c r="T1545">
        <v>4.0268475607984762</v>
      </c>
      <c r="U1545">
        <v>0</v>
      </c>
      <c r="V1545">
        <v>9.4523053561131852E-3</v>
      </c>
      <c r="W1545">
        <v>7.5177135930875494E-2</v>
      </c>
      <c r="X1545">
        <v>1.0429110504709968E-2</v>
      </c>
      <c r="Y1545">
        <v>4.3020103129875111E-3</v>
      </c>
    </row>
    <row r="1546" spans="1:25" x14ac:dyDescent="0.25">
      <c r="A1546" s="1090"/>
      <c r="B1546" s="1448">
        <v>1296</v>
      </c>
      <c r="C1546" s="1094">
        <v>0.98197874827816367</v>
      </c>
      <c r="D1546" s="1094">
        <v>0.98630576870919795</v>
      </c>
      <c r="E1546" s="1094">
        <v>1.0184830680134738</v>
      </c>
      <c r="F1546" s="1094">
        <v>1.0211729972346779</v>
      </c>
      <c r="G1546" s="1094">
        <v>1.0039650221358294</v>
      </c>
      <c r="H1546" s="1094">
        <v>0.97780768138610841</v>
      </c>
      <c r="I1546" s="1094">
        <v>1.0407447189708878</v>
      </c>
      <c r="K1546">
        <v>4.5923155594806806</v>
      </c>
      <c r="L1546">
        <v>0</v>
      </c>
      <c r="M1546">
        <v>1.4384453661906444E-3</v>
      </c>
      <c r="N1546">
        <v>0.13148718195473019</v>
      </c>
      <c r="O1546">
        <v>4.0011827811104995E-2</v>
      </c>
      <c r="P1546">
        <v>1.9859820534010173E-2</v>
      </c>
      <c r="Q1546">
        <v>1.3560387896719161E-3</v>
      </c>
      <c r="R1546">
        <v>1.4325358193897836E-3</v>
      </c>
      <c r="S1546">
        <v>0.24788277256785402</v>
      </c>
      <c r="T1546">
        <v>4.0492637595508443</v>
      </c>
      <c r="U1546">
        <v>0</v>
      </c>
      <c r="V1546">
        <v>9.4523053561131869E-3</v>
      </c>
      <c r="W1546">
        <v>7.7355111370045221E-2</v>
      </c>
      <c r="X1546">
        <v>1.160419549857588E-2</v>
      </c>
      <c r="Y1546">
        <v>4.0484555945315111E-3</v>
      </c>
    </row>
    <row r="1547" spans="1:25" x14ac:dyDescent="0.25">
      <c r="A1547" s="1090"/>
      <c r="B1547" s="1448">
        <v>1297</v>
      </c>
      <c r="C1547" s="1094">
        <v>1.0144187299093184</v>
      </c>
      <c r="D1547" s="1094">
        <v>0.99328675528243504</v>
      </c>
      <c r="E1547" s="1094">
        <v>0.99084535850894651</v>
      </c>
      <c r="F1547" s="1094">
        <v>1.0298085501966774</v>
      </c>
      <c r="G1547" s="1094">
        <v>0.97209473567588234</v>
      </c>
      <c r="H1547" s="1094">
        <v>0.98857967692547777</v>
      </c>
      <c r="I1547" s="1094">
        <v>1.0099974521089252</v>
      </c>
      <c r="K1547">
        <v>4.6056833391081069</v>
      </c>
      <c r="L1547">
        <v>0</v>
      </c>
      <c r="M1547">
        <v>1.5005451736926129E-3</v>
      </c>
      <c r="N1547">
        <v>0.12639257147526245</v>
      </c>
      <c r="O1547">
        <v>3.9143090471563828E-2</v>
      </c>
      <c r="P1547">
        <v>1.955593741710188E-2</v>
      </c>
      <c r="Q1547">
        <v>1.2784246898013228E-3</v>
      </c>
      <c r="R1547">
        <v>1.4944986034197407E-3</v>
      </c>
      <c r="S1547">
        <v>0.23454272584336527</v>
      </c>
      <c r="T1547">
        <v>4.0845877325553204</v>
      </c>
      <c r="U1547">
        <v>0</v>
      </c>
      <c r="V1547">
        <v>9.4523053561131973E-3</v>
      </c>
      <c r="W1547">
        <v>7.5755495895338962E-2</v>
      </c>
      <c r="X1547">
        <v>1.075753482167156E-2</v>
      </c>
      <c r="Y1547">
        <v>4.2235671528349427E-3</v>
      </c>
    </row>
    <row r="1548" spans="1:25" x14ac:dyDescent="0.25">
      <c r="A1548" s="1090"/>
      <c r="B1548" s="1448">
        <v>1298</v>
      </c>
      <c r="C1548" s="1094">
        <v>1.0045091821372429</v>
      </c>
      <c r="D1548" s="1094">
        <v>1.0253508486309029</v>
      </c>
      <c r="E1548" s="1094">
        <v>1.0269707305097382</v>
      </c>
      <c r="F1548" s="1094">
        <v>1.0386792601371717</v>
      </c>
      <c r="G1548" s="1094">
        <v>0.97840755298079463</v>
      </c>
      <c r="H1548" s="1094">
        <v>1.0084622194033046</v>
      </c>
      <c r="I1548" s="1094">
        <v>1.0252477171005925</v>
      </c>
      <c r="K1548">
        <v>4.6573808555242202</v>
      </c>
      <c r="L1548">
        <v>0</v>
      </c>
      <c r="M1548">
        <v>1.4264824648663867E-3</v>
      </c>
      <c r="N1548">
        <v>0.13373455965623363</v>
      </c>
      <c r="O1548">
        <v>3.9112017564004752E-2</v>
      </c>
      <c r="P1548">
        <v>2.0272674512990002E-2</v>
      </c>
      <c r="Q1548">
        <v>1.3145884549621194E-3</v>
      </c>
      <c r="R1548">
        <v>1.4208955980052084E-3</v>
      </c>
      <c r="S1548">
        <v>0.24115987982113526</v>
      </c>
      <c r="T1548">
        <v>4.1183494802978151</v>
      </c>
      <c r="U1548">
        <v>0</v>
      </c>
      <c r="V1548">
        <v>9.4523053561131887E-3</v>
      </c>
      <c r="W1548">
        <v>7.8234063989361502E-2</v>
      </c>
      <c r="X1548">
        <v>1.1741313298255047E-2</v>
      </c>
      <c r="Y1548">
        <v>4.0155594402098409E-3</v>
      </c>
    </row>
    <row r="1549" spans="1:25" x14ac:dyDescent="0.25">
      <c r="A1549" s="1090"/>
      <c r="B1549" s="1448">
        <v>1299</v>
      </c>
      <c r="C1549" s="1094">
        <v>0.99381312307308911</v>
      </c>
      <c r="D1549" s="1094">
        <v>0.9932245620679937</v>
      </c>
      <c r="E1549" s="1094">
        <v>0.98618334821935039</v>
      </c>
      <c r="F1549" s="1094">
        <v>1.0329839590879957</v>
      </c>
      <c r="G1549" s="1094">
        <v>0.97363667529034159</v>
      </c>
      <c r="H1549" s="1094">
        <v>0.99369290086303663</v>
      </c>
      <c r="I1549" s="1094">
        <v>0.96925762588054731</v>
      </c>
      <c r="K1549">
        <v>4.620960346752323</v>
      </c>
      <c r="L1549">
        <v>0</v>
      </c>
      <c r="M1549">
        <v>1.5595559952365258E-3</v>
      </c>
      <c r="N1549">
        <v>0.12956379653317276</v>
      </c>
      <c r="O1549">
        <v>4.0112182603861624E-2</v>
      </c>
      <c r="P1549">
        <v>1.9527309832626898E-2</v>
      </c>
      <c r="Q1549">
        <v>1.2997223781357971E-3</v>
      </c>
      <c r="R1549">
        <v>1.5533231157807623E-3</v>
      </c>
      <c r="S1549">
        <v>0.23062652651069537</v>
      </c>
      <c r="T1549">
        <v>4.0973669541111581</v>
      </c>
      <c r="U1549">
        <v>0</v>
      </c>
      <c r="V1549">
        <v>9.4523053561131852E-3</v>
      </c>
      <c r="W1549">
        <v>7.7903221310943405E-2</v>
      </c>
      <c r="X1549">
        <v>1.0724751279264783E-2</v>
      </c>
      <c r="Y1549">
        <v>4.3898097158062551E-3</v>
      </c>
    </row>
    <row r="1550" spans="1:25" x14ac:dyDescent="0.25">
      <c r="A1550" s="1090"/>
      <c r="B1550" s="1448">
        <v>1300</v>
      </c>
      <c r="C1550" s="1094">
        <v>0.99757919174323051</v>
      </c>
      <c r="D1550" s="1094">
        <v>1.0281986251203032</v>
      </c>
      <c r="E1550" s="1094">
        <v>0.98965805435801679</v>
      </c>
      <c r="F1550" s="1094">
        <v>1.0256555156787714</v>
      </c>
      <c r="G1550" s="1094">
        <v>1.0027487681888314</v>
      </c>
      <c r="H1550" s="1094">
        <v>0.98672365809291773</v>
      </c>
      <c r="I1550" s="1094">
        <v>0.98376080741768224</v>
      </c>
      <c r="K1550">
        <v>4.5829099405398477</v>
      </c>
      <c r="L1550">
        <v>0</v>
      </c>
      <c r="M1550">
        <v>1.4998165805523796E-3</v>
      </c>
      <c r="N1550">
        <v>0.12588422071684541</v>
      </c>
      <c r="O1550">
        <v>3.9107583415448705E-2</v>
      </c>
      <c r="P1550">
        <v>1.9440046267909804E-2</v>
      </c>
      <c r="Q1550">
        <v>1.2808533414130736E-3</v>
      </c>
      <c r="R1550">
        <v>1.4937371586203326E-3</v>
      </c>
      <c r="S1550">
        <v>0.22915963616558707</v>
      </c>
      <c r="T1550">
        <v>4.0681619119770085</v>
      </c>
      <c r="U1550">
        <v>0</v>
      </c>
      <c r="V1550">
        <v>9.4523053561131921E-3</v>
      </c>
      <c r="W1550">
        <v>7.5511781196936495E-2</v>
      </c>
      <c r="X1550">
        <v>1.0696266272817001E-2</v>
      </c>
      <c r="Y1550">
        <v>4.2214152516982543E-3</v>
      </c>
    </row>
    <row r="1551" spans="1:25" x14ac:dyDescent="0.25">
      <c r="A1551" s="1090"/>
      <c r="B1551" s="1448">
        <v>1301</v>
      </c>
      <c r="C1551" s="1094">
        <v>1.0178769389455917</v>
      </c>
      <c r="D1551" s="1094">
        <v>1.0015770013715757</v>
      </c>
      <c r="E1551" s="1094">
        <v>0.97230982035642921</v>
      </c>
      <c r="F1551" s="1094">
        <v>0.99999817734434449</v>
      </c>
      <c r="G1551" s="1094">
        <v>0.96190916609501198</v>
      </c>
      <c r="H1551" s="1094">
        <v>1.0031405367658004</v>
      </c>
      <c r="I1551" s="1094">
        <v>0.96295853372272266</v>
      </c>
      <c r="K1551">
        <v>4.4631408959962249</v>
      </c>
      <c r="L1551">
        <v>0</v>
      </c>
      <c r="M1551">
        <v>1.5271268436723195E-3</v>
      </c>
      <c r="N1551">
        <v>0.12174120162827153</v>
      </c>
      <c r="O1551">
        <v>3.7879694373306134E-2</v>
      </c>
      <c r="P1551">
        <v>1.8690233213739874E-2</v>
      </c>
      <c r="Q1551">
        <v>1.2496048437912574E-3</v>
      </c>
      <c r="R1551">
        <v>1.5208824431165945E-3</v>
      </c>
      <c r="S1551">
        <v>0.21896513605282825</v>
      </c>
      <c r="T1551">
        <v>3.9670613625723128</v>
      </c>
      <c r="U1551">
        <v>0</v>
      </c>
      <c r="V1551">
        <v>9.4523053561131869E-3</v>
      </c>
      <c r="W1551">
        <v>7.3899164988631583E-2</v>
      </c>
      <c r="X1551">
        <v>9.9103074696563417E-3</v>
      </c>
      <c r="Y1551">
        <v>4.2981298981291226E-3</v>
      </c>
    </row>
    <row r="1552" spans="1:25" x14ac:dyDescent="0.25">
      <c r="A1552" s="1090"/>
      <c r="B1552" s="1448">
        <v>1302</v>
      </c>
      <c r="C1552" s="1094">
        <v>1.0080109931057495</v>
      </c>
      <c r="D1552" s="1094">
        <v>1.0001622971032798</v>
      </c>
      <c r="E1552" s="1094">
        <v>0.97567153980341947</v>
      </c>
      <c r="F1552" s="1094">
        <v>0.96563195683592895</v>
      </c>
      <c r="G1552" s="1094">
        <v>1.0228776135019348</v>
      </c>
      <c r="H1552" s="1094">
        <v>0.95533672027543426</v>
      </c>
      <c r="I1552" s="1094">
        <v>0.97234666745007425</v>
      </c>
      <c r="K1552">
        <v>4.3070989234716812</v>
      </c>
      <c r="L1552">
        <v>0</v>
      </c>
      <c r="M1552">
        <v>1.4091562301868632E-3</v>
      </c>
      <c r="N1552">
        <v>0.11342276199911924</v>
      </c>
      <c r="O1552">
        <v>3.6934795052277085E-2</v>
      </c>
      <c r="P1552">
        <v>1.8110139317993667E-2</v>
      </c>
      <c r="Q1552">
        <v>1.2662528426690106E-3</v>
      </c>
      <c r="R1552">
        <v>1.4028914724481746E-3</v>
      </c>
      <c r="S1552">
        <v>0.2147932483609325</v>
      </c>
      <c r="T1552">
        <v>3.8306030235857826</v>
      </c>
      <c r="U1552">
        <v>0</v>
      </c>
      <c r="V1552">
        <v>9.4523053561131869E-3</v>
      </c>
      <c r="W1552">
        <v>6.8690674220794057E-2</v>
      </c>
      <c r="X1552">
        <v>9.8673090869027778E-3</v>
      </c>
      <c r="Y1552">
        <v>3.9646784068356998E-3</v>
      </c>
    </row>
    <row r="1553" spans="1:25" x14ac:dyDescent="0.25">
      <c r="A1553" s="1090"/>
      <c r="B1553" s="1448">
        <v>1303</v>
      </c>
      <c r="C1553" s="1094">
        <v>1.0129999330670061</v>
      </c>
      <c r="D1553" s="1094">
        <v>0.99605636552531474</v>
      </c>
      <c r="E1553" s="1094">
        <v>1.0297654716626525</v>
      </c>
      <c r="F1553" s="1094">
        <v>0.99508496114430045</v>
      </c>
      <c r="G1553" s="1094">
        <v>1.0007197302476563</v>
      </c>
      <c r="H1553" s="1094">
        <v>1.0161212624104858</v>
      </c>
      <c r="I1553" s="1094">
        <v>0.98631155556212058</v>
      </c>
      <c r="K1553">
        <v>4.4599206766386796</v>
      </c>
      <c r="L1553">
        <v>0</v>
      </c>
      <c r="M1553">
        <v>1.3734695794088818E-3</v>
      </c>
      <c r="N1553">
        <v>0.12981471185746518</v>
      </c>
      <c r="O1553">
        <v>3.7570743648072037E-2</v>
      </c>
      <c r="P1553">
        <v>1.9438942991531483E-2</v>
      </c>
      <c r="Q1553">
        <v>1.3218780719091089E-3</v>
      </c>
      <c r="R1553">
        <v>1.3678979633831403E-3</v>
      </c>
      <c r="S1553">
        <v>0.22593878003983919</v>
      </c>
      <c r="T1553">
        <v>3.945394235770169</v>
      </c>
      <c r="U1553">
        <v>0</v>
      </c>
      <c r="V1553">
        <v>9.4523053561131783E-3</v>
      </c>
      <c r="W1553">
        <v>7.5800383027634852E-2</v>
      </c>
      <c r="X1553">
        <v>1.132848341338422E-2</v>
      </c>
      <c r="Y1553">
        <v>3.8657840785898813E-3</v>
      </c>
    </row>
    <row r="1554" spans="1:25" x14ac:dyDescent="0.25">
      <c r="A1554" s="1090"/>
      <c r="B1554" s="1448">
        <v>1304</v>
      </c>
      <c r="C1554" s="1094">
        <v>0.96912132139648532</v>
      </c>
      <c r="D1554" s="1094">
        <v>1.0122191836781811</v>
      </c>
      <c r="E1554" s="1094">
        <v>0.96566291315550401</v>
      </c>
      <c r="F1554" s="1094">
        <v>0.9957953858582802</v>
      </c>
      <c r="G1554" s="1094">
        <v>1.0223875743010844</v>
      </c>
      <c r="H1554" s="1094">
        <v>0.97294169605498593</v>
      </c>
      <c r="I1554" s="1094">
        <v>1.0049196542651648</v>
      </c>
      <c r="K1554">
        <v>4.466884495378646</v>
      </c>
      <c r="L1554">
        <v>0</v>
      </c>
      <c r="M1554">
        <v>1.5642604308867577E-3</v>
      </c>
      <c r="N1554">
        <v>0.12224624565786739</v>
      </c>
      <c r="O1554">
        <v>3.949745107829019E-2</v>
      </c>
      <c r="P1554">
        <v>1.8598901018026744E-2</v>
      </c>
      <c r="Q1554">
        <v>1.2993623208066049E-3</v>
      </c>
      <c r="R1554">
        <v>1.5576379418598936E-3</v>
      </c>
      <c r="S1554">
        <v>0.23620337645947498</v>
      </c>
      <c r="T1554">
        <v>3.9506444640989704</v>
      </c>
      <c r="U1554">
        <v>0</v>
      </c>
      <c r="V1554">
        <v>9.4523053561131939E-3</v>
      </c>
      <c r="W1554">
        <v>7.4547003197898712E-2</v>
      </c>
      <c r="X1554">
        <v>1.0000004936494529E-2</v>
      </c>
      <c r="Y1554">
        <v>4.4020037437272662E-3</v>
      </c>
    </row>
    <row r="1555" spans="1:25" x14ac:dyDescent="0.25">
      <c r="A1555" s="1090"/>
      <c r="B1555" s="1448">
        <v>1305</v>
      </c>
      <c r="C1555" s="1094">
        <v>0.98644662606176303</v>
      </c>
      <c r="D1555" s="1094">
        <v>1.013136810362206</v>
      </c>
      <c r="E1555" s="1094">
        <v>1.0128872586218569</v>
      </c>
      <c r="F1555" s="1094">
        <v>1.002440706031027</v>
      </c>
      <c r="G1555" s="1094">
        <v>0.9785941604864854</v>
      </c>
      <c r="H1555" s="1094">
        <v>0.98792220646030549</v>
      </c>
      <c r="I1555" s="1094">
        <v>1.00839920355276</v>
      </c>
      <c r="K1555">
        <v>4.4975322545622438</v>
      </c>
      <c r="L1555">
        <v>0</v>
      </c>
      <c r="M1555">
        <v>1.421839992331263E-3</v>
      </c>
      <c r="N1555">
        <v>0.12783029499313375</v>
      </c>
      <c r="O1555">
        <v>3.8721353128037699E-2</v>
      </c>
      <c r="P1555">
        <v>1.9378992408288546E-2</v>
      </c>
      <c r="Q1555">
        <v>1.3291557368047973E-3</v>
      </c>
      <c r="R1555">
        <v>1.4159508743322674E-3</v>
      </c>
      <c r="S1555">
        <v>0.23499946629106208</v>
      </c>
      <c r="T1555">
        <v>3.9751964567235061</v>
      </c>
      <c r="U1555">
        <v>0</v>
      </c>
      <c r="V1555">
        <v>9.4523053561132026E-3</v>
      </c>
      <c r="W1555">
        <v>7.5485678944049242E-2</v>
      </c>
      <c r="X1555">
        <v>1.114285482564484E-2</v>
      </c>
      <c r="Y1555">
        <v>4.0015852735983152E-3</v>
      </c>
    </row>
    <row r="1556" spans="1:25" x14ac:dyDescent="0.25">
      <c r="A1556" s="1090"/>
      <c r="B1556" s="1448">
        <v>1306</v>
      </c>
      <c r="C1556" s="1094">
        <v>1.0121105258087655</v>
      </c>
      <c r="D1556" s="1094">
        <v>1.0021230006615582</v>
      </c>
      <c r="E1556" s="1094">
        <v>0.99695755486333293</v>
      </c>
      <c r="F1556" s="1094">
        <v>1.0336434687803984</v>
      </c>
      <c r="G1556" s="1094">
        <v>0.98756902534307955</v>
      </c>
      <c r="H1556" s="1094">
        <v>1.0331762332950163</v>
      </c>
      <c r="I1556" s="1094">
        <v>1.0177720489326838</v>
      </c>
      <c r="K1556">
        <v>4.637386936922999</v>
      </c>
      <c r="L1556">
        <v>0</v>
      </c>
      <c r="M1556">
        <v>1.551977913407304E-3</v>
      </c>
      <c r="N1556">
        <v>0.13314007008618825</v>
      </c>
      <c r="O1556">
        <v>3.9196418080527269E-2</v>
      </c>
      <c r="P1556">
        <v>1.9740098782527402E-2</v>
      </c>
      <c r="Q1556">
        <v>1.2835410095971445E-3</v>
      </c>
      <c r="R1556">
        <v>1.5460161466022281E-3</v>
      </c>
      <c r="S1556">
        <v>0.24037032555549642</v>
      </c>
      <c r="T1556">
        <v>4.0995570806446358</v>
      </c>
      <c r="U1556">
        <v>0</v>
      </c>
      <c r="V1556">
        <v>9.4523053561131869E-3</v>
      </c>
      <c r="W1556">
        <v>7.9469380330724163E-2</v>
      </c>
      <c r="X1556">
        <v>1.0814519180945786E-2</v>
      </c>
      <c r="Y1556">
        <v>4.3691596630470115E-3</v>
      </c>
    </row>
    <row r="1557" spans="1:25" x14ac:dyDescent="0.25">
      <c r="A1557" s="1090"/>
      <c r="B1557" s="1448">
        <v>1307</v>
      </c>
      <c r="C1557" s="1094">
        <v>0.98423156314353455</v>
      </c>
      <c r="D1557" s="1094">
        <v>0.99162090207798348</v>
      </c>
      <c r="E1557" s="1094">
        <v>0.95728165673097687</v>
      </c>
      <c r="F1557" s="1094">
        <v>0.98068478584557017</v>
      </c>
      <c r="G1557" s="1094">
        <v>1.0099088680223769</v>
      </c>
      <c r="H1557" s="1094">
        <v>1.0075186608621398</v>
      </c>
      <c r="I1557" s="1094">
        <v>0.98929101568479361</v>
      </c>
      <c r="K1557">
        <v>4.4015194813423957</v>
      </c>
      <c r="L1557">
        <v>0</v>
      </c>
      <c r="M1557">
        <v>1.6118819853922193E-3</v>
      </c>
      <c r="N1557">
        <v>0.12287962126898061</v>
      </c>
      <c r="O1557">
        <v>3.8674340493995651E-2</v>
      </c>
      <c r="P1557">
        <v>1.8191872761179347E-2</v>
      </c>
      <c r="Q1557">
        <v>1.2805172145425618E-3</v>
      </c>
      <c r="R1557">
        <v>1.605190966510429E-3</v>
      </c>
      <c r="S1557">
        <v>0.23063586498547708</v>
      </c>
      <c r="T1557">
        <v>3.891014662657228</v>
      </c>
      <c r="U1557">
        <v>0</v>
      </c>
      <c r="V1557">
        <v>9.4523053561131973E-3</v>
      </c>
      <c r="W1557">
        <v>7.5370282132863467E-2</v>
      </c>
      <c r="X1557">
        <v>9.4903132690042635E-3</v>
      </c>
      <c r="Y1557">
        <v>4.5363922218913675E-3</v>
      </c>
    </row>
    <row r="1558" spans="1:25" x14ac:dyDescent="0.25">
      <c r="A1558" s="1090"/>
      <c r="B1558" s="1448">
        <v>1308</v>
      </c>
      <c r="C1558" s="1094">
        <v>1.0037699137997029</v>
      </c>
      <c r="D1558" s="1094">
        <v>1.0088098773064973</v>
      </c>
      <c r="E1558" s="1094">
        <v>1.0193314348677169</v>
      </c>
      <c r="F1558" s="1094">
        <v>0.99658136141564169</v>
      </c>
      <c r="G1558" s="1094">
        <v>0.96912806138320051</v>
      </c>
      <c r="H1558" s="1094">
        <v>1.0211038759144873</v>
      </c>
      <c r="I1558" s="1094">
        <v>0.99860872066341377</v>
      </c>
      <c r="K1558">
        <v>4.4718145342052242</v>
      </c>
      <c r="L1558">
        <v>0</v>
      </c>
      <c r="M1558">
        <v>1.4188516752582673E-3</v>
      </c>
      <c r="N1558">
        <v>0.13003222604669229</v>
      </c>
      <c r="O1558">
        <v>3.7851608694035747E-2</v>
      </c>
      <c r="P1558">
        <v>1.9342195910231803E-2</v>
      </c>
      <c r="Q1558">
        <v>1.3156274393040259E-3</v>
      </c>
      <c r="R1558">
        <v>1.4131326128462519E-3</v>
      </c>
      <c r="S1558">
        <v>0.23057550026877902</v>
      </c>
      <c r="T1558">
        <v>3.9517184926780833</v>
      </c>
      <c r="U1558">
        <v>0</v>
      </c>
      <c r="V1558">
        <v>9.4523053561131852E-3</v>
      </c>
      <c r="W1558">
        <v>7.6455853782000413E-2</v>
      </c>
      <c r="X1558">
        <v>1.1082822440921524E-2</v>
      </c>
      <c r="Y1558">
        <v>3.9936206514747481E-3</v>
      </c>
    </row>
    <row r="1559" spans="1:25" x14ac:dyDescent="0.25">
      <c r="A1559" s="1090"/>
      <c r="B1559" s="1448">
        <v>1309</v>
      </c>
      <c r="C1559" s="1094">
        <v>0.99184814595008175</v>
      </c>
      <c r="D1559" s="1094">
        <v>0.98523369870990984</v>
      </c>
      <c r="E1559" s="1094">
        <v>1.0005996572459097</v>
      </c>
      <c r="F1559" s="1094">
        <v>0.99862566114689877</v>
      </c>
      <c r="G1559" s="1094">
        <v>0.97748211208044777</v>
      </c>
      <c r="H1559" s="1094">
        <v>0.97209597717148</v>
      </c>
      <c r="I1559" s="1094">
        <v>1.0188982766347332</v>
      </c>
      <c r="K1559">
        <v>4.4794910489234567</v>
      </c>
      <c r="L1559">
        <v>0</v>
      </c>
      <c r="M1559">
        <v>1.4385260035122856E-3</v>
      </c>
      <c r="N1559">
        <v>0.12469832390988406</v>
      </c>
      <c r="O1559">
        <v>3.8880427355278663E-2</v>
      </c>
      <c r="P1559">
        <v>1.9142638919145798E-2</v>
      </c>
      <c r="Q1559">
        <v>1.3228234121321449E-3</v>
      </c>
      <c r="R1559">
        <v>1.4324477328882487E-3</v>
      </c>
      <c r="S1559">
        <v>0.23630925943977599</v>
      </c>
      <c r="T1559">
        <v>3.9605335637369228</v>
      </c>
      <c r="U1559">
        <v>0</v>
      </c>
      <c r="V1559">
        <v>9.4523053561131904E-3</v>
      </c>
      <c r="W1559">
        <v>7.4247479294005991E-2</v>
      </c>
      <c r="X1559">
        <v>1.0862099115467271E-2</v>
      </c>
      <c r="Y1559">
        <v>4.048206655353089E-3</v>
      </c>
    </row>
    <row r="1560" spans="1:25" x14ac:dyDescent="0.25">
      <c r="A1560" s="1090"/>
      <c r="B1560" s="1448">
        <v>1310</v>
      </c>
      <c r="C1560" s="1094">
        <v>1.0230634085227077</v>
      </c>
      <c r="D1560" s="1094">
        <v>1.0141608929185801</v>
      </c>
      <c r="E1560" s="1094">
        <v>0.99768376841455297</v>
      </c>
      <c r="F1560" s="1094">
        <v>1.0014373896695112</v>
      </c>
      <c r="G1560" s="1094">
        <v>0.9711863395967425</v>
      </c>
      <c r="H1560" s="1094">
        <v>0.97992183433237512</v>
      </c>
      <c r="I1560" s="1094">
        <v>0.98908527191193474</v>
      </c>
      <c r="K1560">
        <v>4.4673629603203366</v>
      </c>
      <c r="L1560">
        <v>0</v>
      </c>
      <c r="M1560">
        <v>1.402161933587146E-3</v>
      </c>
      <c r="N1560">
        <v>0.12050595269385829</v>
      </c>
      <c r="O1560">
        <v>3.7384719041729263E-2</v>
      </c>
      <c r="P1560">
        <v>1.9084702581734315E-2</v>
      </c>
      <c r="Q1560">
        <v>1.2645370777257438E-3</v>
      </c>
      <c r="R1560">
        <v>1.3963010630610427E-3</v>
      </c>
      <c r="S1560">
        <v>0.22144685083150634</v>
      </c>
      <c r="T1560">
        <v>3.9717960803686063</v>
      </c>
      <c r="U1560">
        <v>0</v>
      </c>
      <c r="V1560">
        <v>9.4523053561132008E-3</v>
      </c>
      <c r="W1560">
        <v>7.1892898519976267E-2</v>
      </c>
      <c r="X1560">
        <v>1.0594721312852598E-2</v>
      </c>
      <c r="Y1560">
        <v>3.9460534067537129E-3</v>
      </c>
    </row>
    <row r="1561" spans="1:25" x14ac:dyDescent="0.25">
      <c r="A1561" s="1090"/>
      <c r="B1561" s="1448">
        <v>1311</v>
      </c>
      <c r="C1561" s="1094">
        <v>0.98543495717239471</v>
      </c>
      <c r="D1561" s="1094">
        <v>0.98147863808946068</v>
      </c>
      <c r="E1561" s="1094">
        <v>1.0094282270725004</v>
      </c>
      <c r="F1561" s="1094">
        <v>1.0287456990628725</v>
      </c>
      <c r="G1561" s="1094">
        <v>0.99557976633590228</v>
      </c>
      <c r="H1561" s="1094">
        <v>0.97843409624488631</v>
      </c>
      <c r="I1561" s="1094">
        <v>0.99730443308715033</v>
      </c>
      <c r="K1561">
        <v>4.6134894512240274</v>
      </c>
      <c r="L1561">
        <v>0</v>
      </c>
      <c r="M1561">
        <v>1.4756827877001367E-3</v>
      </c>
      <c r="N1561">
        <v>0.1313280840016921</v>
      </c>
      <c r="O1561">
        <v>4.0311601193043056E-2</v>
      </c>
      <c r="P1561">
        <v>1.9823135213108176E-2</v>
      </c>
      <c r="Q1561">
        <v>1.3435629770572404E-3</v>
      </c>
      <c r="R1561">
        <v>1.4696685607151563E-3</v>
      </c>
      <c r="S1561">
        <v>0.23829129662920753</v>
      </c>
      <c r="T1561">
        <v>4.0796441429556198</v>
      </c>
      <c r="U1561">
        <v>0</v>
      </c>
      <c r="V1561">
        <v>9.4523053561131991E-3</v>
      </c>
      <c r="W1561">
        <v>7.773132309624993E-2</v>
      </c>
      <c r="X1561">
        <v>1.1416618472447893E-2</v>
      </c>
      <c r="Y1561">
        <v>4.1533955564677042E-3</v>
      </c>
    </row>
    <row r="1562" spans="1:25" x14ac:dyDescent="0.25">
      <c r="A1562" s="1090"/>
      <c r="B1562" s="1448">
        <v>1312</v>
      </c>
      <c r="C1562" s="1094">
        <v>0.97240717108505026</v>
      </c>
      <c r="D1562" s="1094">
        <v>0.96459412175062675</v>
      </c>
      <c r="E1562" s="1094">
        <v>0.98476800821910182</v>
      </c>
      <c r="F1562" s="1094">
        <v>0.96400691738599575</v>
      </c>
      <c r="G1562" s="1094">
        <v>0.98030731179234354</v>
      </c>
      <c r="H1562" s="1094">
        <v>1.0455447120783199</v>
      </c>
      <c r="I1562" s="1094">
        <v>0.9930244351088231</v>
      </c>
      <c r="K1562">
        <v>4.3531352897433297</v>
      </c>
      <c r="L1562">
        <v>0</v>
      </c>
      <c r="M1562">
        <v>1.5886586640933764E-3</v>
      </c>
      <c r="N1562">
        <v>0.13141910007005286</v>
      </c>
      <c r="O1562">
        <v>3.8717736680167307E-2</v>
      </c>
      <c r="P1562">
        <v>1.8302819599167131E-2</v>
      </c>
      <c r="Q1562">
        <v>1.3423217067471246E-3</v>
      </c>
      <c r="R1562">
        <v>1.5821944167843881E-3</v>
      </c>
      <c r="S1562">
        <v>0.23653268595684562</v>
      </c>
      <c r="T1562">
        <v>3.8238194349177075</v>
      </c>
      <c r="U1562">
        <v>0</v>
      </c>
      <c r="V1562">
        <v>9.4523053561131939E-3</v>
      </c>
      <c r="W1562">
        <v>7.9095140933017061E-2</v>
      </c>
      <c r="X1562">
        <v>9.988806554156196E-3</v>
      </c>
      <c r="Y1562">
        <v>4.4714022166620591E-3</v>
      </c>
    </row>
    <row r="1563" spans="1:25" x14ac:dyDescent="0.25">
      <c r="A1563" s="1090"/>
      <c r="B1563" s="1448">
        <v>1313</v>
      </c>
      <c r="C1563" s="1094">
        <v>1.0005987344219192</v>
      </c>
      <c r="D1563" s="1094">
        <v>0.97312396532544732</v>
      </c>
      <c r="E1563" s="1094">
        <v>0.99015990105707519</v>
      </c>
      <c r="F1563" s="1094">
        <v>1.0222965588620005</v>
      </c>
      <c r="G1563" s="1094">
        <v>1.0282109442075498</v>
      </c>
      <c r="H1563" s="1094">
        <v>0.9979882757209817</v>
      </c>
      <c r="I1563" s="1094">
        <v>0.99042028060131293</v>
      </c>
      <c r="K1563">
        <v>4.5809436353571167</v>
      </c>
      <c r="L1563">
        <v>0</v>
      </c>
      <c r="M1563">
        <v>1.5393658323718108E-3</v>
      </c>
      <c r="N1563">
        <v>0.12940035815409237</v>
      </c>
      <c r="O1563">
        <v>3.9723589621572922E-2</v>
      </c>
      <c r="P1563">
        <v>1.940984556648009E-2</v>
      </c>
      <c r="Q1563">
        <v>1.3059855510852397E-3</v>
      </c>
      <c r="R1563">
        <v>1.5331763405448007E-3</v>
      </c>
      <c r="S1563">
        <v>0.23418850845390091</v>
      </c>
      <c r="T1563">
        <v>4.0548193063238456</v>
      </c>
      <c r="U1563">
        <v>0</v>
      </c>
      <c r="V1563">
        <v>9.4523053561132026E-3</v>
      </c>
      <c r="W1563">
        <v>7.7594435442857018E-2</v>
      </c>
      <c r="X1563">
        <v>1.0722616988133302E-2</v>
      </c>
      <c r="Y1563">
        <v>4.3328733908559016E-3</v>
      </c>
    </row>
    <row r="1564" spans="1:25" x14ac:dyDescent="0.25">
      <c r="A1564" s="1090"/>
      <c r="B1564" s="1448">
        <v>1314</v>
      </c>
      <c r="C1564" s="1094">
        <v>1.0339495460766919</v>
      </c>
      <c r="D1564" s="1094">
        <v>1.0055971408131918</v>
      </c>
      <c r="E1564" s="1094">
        <v>0.98866899721315293</v>
      </c>
      <c r="F1564" s="1094">
        <v>1.0067361819142993</v>
      </c>
      <c r="G1564" s="1094">
        <v>1.0003261617213142</v>
      </c>
      <c r="H1564" s="1094">
        <v>1.0125719688628956</v>
      </c>
      <c r="I1564" s="1094">
        <v>0.99175529012742614</v>
      </c>
      <c r="K1564">
        <v>4.4955406912731801</v>
      </c>
      <c r="L1564">
        <v>0</v>
      </c>
      <c r="M1564">
        <v>1.473762828842113E-3</v>
      </c>
      <c r="N1564">
        <v>0.12333884799159972</v>
      </c>
      <c r="O1564">
        <v>3.7373253483527658E-2</v>
      </c>
      <c r="P1564">
        <v>1.9061477297705826E-2</v>
      </c>
      <c r="Q1564">
        <v>1.2457702491338678E-3</v>
      </c>
      <c r="R1564">
        <v>1.467832557364955E-3</v>
      </c>
      <c r="S1564">
        <v>0.22343885647791303</v>
      </c>
      <c r="T1564">
        <v>3.9931583505822354</v>
      </c>
      <c r="U1564">
        <v>0</v>
      </c>
      <c r="V1564">
        <v>9.4523053561131869E-3</v>
      </c>
      <c r="W1564">
        <v>7.4034776296952765E-2</v>
      </c>
      <c r="X1564">
        <v>1.0294776938647485E-2</v>
      </c>
      <c r="Y1564">
        <v>4.1482068708278107E-3</v>
      </c>
    </row>
    <row r="1565" spans="1:25" x14ac:dyDescent="0.25">
      <c r="A1565" s="1090"/>
      <c r="B1565" s="1448">
        <v>1315</v>
      </c>
      <c r="C1565" s="1094">
        <v>0.99158934872829518</v>
      </c>
      <c r="D1565" s="1094">
        <v>0.97661404479662073</v>
      </c>
      <c r="E1565" s="1094">
        <v>0.98924799577263844</v>
      </c>
      <c r="F1565" s="1094">
        <v>1.0190837567008779</v>
      </c>
      <c r="G1565" s="1094">
        <v>1.0330067486683698</v>
      </c>
      <c r="H1565" s="1094">
        <v>1.0142291567586306</v>
      </c>
      <c r="I1565" s="1094">
        <v>0.99040599935381302</v>
      </c>
      <c r="K1565">
        <v>4.5752301222572189</v>
      </c>
      <c r="L1565">
        <v>0</v>
      </c>
      <c r="M1565">
        <v>1.5744534774069915E-3</v>
      </c>
      <c r="N1565">
        <v>0.1319993496793197</v>
      </c>
      <c r="O1565">
        <v>3.9907840271552406E-2</v>
      </c>
      <c r="P1565">
        <v>1.9351063024408494E-2</v>
      </c>
      <c r="Q1565">
        <v>1.3149308094520778E-3</v>
      </c>
      <c r="R1565">
        <v>1.5682047172328624E-3</v>
      </c>
      <c r="S1565">
        <v>0.23681836437085368</v>
      </c>
      <c r="T1565">
        <v>4.0421116705505158</v>
      </c>
      <c r="U1565">
        <v>0</v>
      </c>
      <c r="V1565">
        <v>9.4523053561131869E-3</v>
      </c>
      <c r="W1565">
        <v>7.9202053154784319E-2</v>
      </c>
      <c r="X1565">
        <v>1.0646927542725412E-2</v>
      </c>
      <c r="Y1565">
        <v>4.4318662576664147E-3</v>
      </c>
    </row>
    <row r="1566" spans="1:25" x14ac:dyDescent="0.25">
      <c r="A1566" s="1090"/>
      <c r="B1566" s="1448">
        <v>1316</v>
      </c>
      <c r="C1566" s="1094">
        <v>1.0158556649975103</v>
      </c>
      <c r="D1566" s="1094">
        <v>1.002125295375734</v>
      </c>
      <c r="E1566" s="1094">
        <v>0.97054354855524316</v>
      </c>
      <c r="F1566" s="1094">
        <v>0.95541145609560274</v>
      </c>
      <c r="G1566" s="1094">
        <v>0.99581278367070469</v>
      </c>
      <c r="H1566" s="1094">
        <v>1.0407471951626921</v>
      </c>
      <c r="I1566" s="1094">
        <v>1.0020354863026655</v>
      </c>
      <c r="K1566">
        <v>4.2868964113105967</v>
      </c>
      <c r="L1566">
        <v>0</v>
      </c>
      <c r="M1566">
        <v>1.5223316746231705E-3</v>
      </c>
      <c r="N1566">
        <v>0.12071984490172427</v>
      </c>
      <c r="O1566">
        <v>3.6266172116070014E-2</v>
      </c>
      <c r="P1566">
        <v>1.7901083801022843E-2</v>
      </c>
      <c r="Q1566">
        <v>1.2498888261035838E-3</v>
      </c>
      <c r="R1566">
        <v>1.5160530127446609E-3</v>
      </c>
      <c r="S1566">
        <v>0.2240649443361189</v>
      </c>
      <c r="T1566">
        <v>3.7902479379249332</v>
      </c>
      <c r="U1566">
        <v>0</v>
      </c>
      <c r="V1566">
        <v>9.4523053561131904E-3</v>
      </c>
      <c r="W1566">
        <v>7.3368434591026627E-2</v>
      </c>
      <c r="X1566">
        <v>9.3475965601728401E-3</v>
      </c>
      <c r="Y1566">
        <v>4.2844815591884721E-3</v>
      </c>
    </row>
    <row r="1567" spans="1:25" x14ac:dyDescent="0.25">
      <c r="A1567" s="1090"/>
      <c r="B1567" s="1448">
        <v>1317</v>
      </c>
      <c r="C1567" s="1094">
        <v>0.98894442024362017</v>
      </c>
      <c r="D1567" s="1094">
        <v>0.97237842384008455</v>
      </c>
      <c r="E1567" s="1094">
        <v>1.0103950499558618</v>
      </c>
      <c r="F1567" s="1094">
        <v>0.99805766091176928</v>
      </c>
      <c r="G1567" s="1094">
        <v>1.0110643888087574</v>
      </c>
      <c r="H1567" s="1094">
        <v>1.0249677489075633</v>
      </c>
      <c r="I1567" s="1094">
        <v>1.0063555824286425</v>
      </c>
      <c r="K1567">
        <v>4.4940221920031238</v>
      </c>
      <c r="L1567">
        <v>0</v>
      </c>
      <c r="M1567">
        <v>1.4971357343402083E-3</v>
      </c>
      <c r="N1567">
        <v>0.13362807169604485</v>
      </c>
      <c r="O1567">
        <v>3.9108990201008921E-2</v>
      </c>
      <c r="P1567">
        <v>1.9282751160323183E-2</v>
      </c>
      <c r="Q1567">
        <v>1.3448997659312534E-3</v>
      </c>
      <c r="R1567">
        <v>1.4911327320164961E-3</v>
      </c>
      <c r="S1567">
        <v>0.23905437458726198</v>
      </c>
      <c r="T1567">
        <v>3.9579095939536959</v>
      </c>
      <c r="U1567">
        <v>0</v>
      </c>
      <c r="V1567">
        <v>9.4523053561131956E-3</v>
      </c>
      <c r="W1567">
        <v>7.9041334311694592E-2</v>
      </c>
      <c r="X1567">
        <v>1.0991819030095856E-2</v>
      </c>
      <c r="Y1567">
        <v>4.214054943277248E-3</v>
      </c>
    </row>
    <row r="1568" spans="1:25" x14ac:dyDescent="0.25">
      <c r="A1568" s="1090"/>
      <c r="B1568" s="1448">
        <v>1318</v>
      </c>
      <c r="C1568" s="1094">
        <v>1.0024386316746625</v>
      </c>
      <c r="D1568" s="1094">
        <v>1.0247149339644164</v>
      </c>
      <c r="E1568" s="1094">
        <v>1.0197445296494128</v>
      </c>
      <c r="F1568" s="1094">
        <v>1.0078338978478367</v>
      </c>
      <c r="G1568" s="1094">
        <v>1.0130386596707797</v>
      </c>
      <c r="H1568" s="1094">
        <v>0.98036386839182565</v>
      </c>
      <c r="I1568" s="1094">
        <v>0.99085111574577645</v>
      </c>
      <c r="K1568">
        <v>4.5060823224477042</v>
      </c>
      <c r="L1568">
        <v>0</v>
      </c>
      <c r="M1568">
        <v>1.3695899292462711E-3</v>
      </c>
      <c r="N1568">
        <v>0.12565583740686878</v>
      </c>
      <c r="O1568">
        <v>3.8087909422782104E-2</v>
      </c>
      <c r="P1568">
        <v>1.9536111133119139E-2</v>
      </c>
      <c r="Q1568">
        <v>1.3096150750859601E-3</v>
      </c>
      <c r="R1568">
        <v>1.3639039564520101E-3</v>
      </c>
      <c r="S1568">
        <v>0.22671604276177684</v>
      </c>
      <c r="T1568">
        <v>3.9963221842998538</v>
      </c>
      <c r="U1568">
        <v>0</v>
      </c>
      <c r="V1568">
        <v>9.4523053561131904E-3</v>
      </c>
      <c r="W1568">
        <v>7.3862287191569925E-2</v>
      </c>
      <c r="X1568">
        <v>1.1291219063252237E-2</v>
      </c>
      <c r="Y1568">
        <v>3.8544967100745033E-3</v>
      </c>
    </row>
    <row r="1569" spans="1:25" x14ac:dyDescent="0.25">
      <c r="A1569" s="1090"/>
      <c r="B1569" s="1448">
        <v>1319</v>
      </c>
      <c r="C1569" s="1094">
        <v>1.0201771978458813</v>
      </c>
      <c r="D1569" s="1094">
        <v>1.0440867165764336</v>
      </c>
      <c r="E1569" s="1094">
        <v>1.0157876908437993</v>
      </c>
      <c r="F1569" s="1094">
        <v>0.98721429290764484</v>
      </c>
      <c r="G1569" s="1094">
        <v>0.99702089864083066</v>
      </c>
      <c r="H1569" s="1094">
        <v>0.97740553156588172</v>
      </c>
      <c r="I1569" s="1094">
        <v>0.99685500339800581</v>
      </c>
      <c r="K1569">
        <v>4.4046176921390456</v>
      </c>
      <c r="L1569">
        <v>0</v>
      </c>
      <c r="M1569">
        <v>1.3155124375402619E-3</v>
      </c>
      <c r="N1569">
        <v>0.11927759015075599</v>
      </c>
      <c r="O1569">
        <v>3.6412249604670578E-2</v>
      </c>
      <c r="P1569">
        <v>1.907094784156298E-2</v>
      </c>
      <c r="Q1569">
        <v>1.2729642918417247E-3</v>
      </c>
      <c r="R1569">
        <v>1.309920500212172E-3</v>
      </c>
      <c r="S1569">
        <v>0.21956262591728312</v>
      </c>
      <c r="T1569">
        <v>3.9147075723115536</v>
      </c>
      <c r="U1569">
        <v>0</v>
      </c>
      <c r="V1569">
        <v>9.4523053561131939E-3</v>
      </c>
      <c r="W1569">
        <v>7.029857123798057E-2</v>
      </c>
      <c r="X1569">
        <v>1.0866522023313219E-2</v>
      </c>
      <c r="Y1569">
        <v>3.7019353412988077E-3</v>
      </c>
    </row>
    <row r="1570" spans="1:25" x14ac:dyDescent="0.25">
      <c r="A1570" s="1090"/>
      <c r="B1570" s="1448">
        <v>1320</v>
      </c>
      <c r="C1570" s="1094">
        <v>0.98197502723960362</v>
      </c>
      <c r="D1570" s="1094">
        <v>0.96273687512899142</v>
      </c>
      <c r="E1570" s="1094">
        <v>0.97211524206865207</v>
      </c>
      <c r="F1570" s="1094">
        <v>0.98267878080408166</v>
      </c>
      <c r="G1570" s="1094">
        <v>1.0316559623402237</v>
      </c>
      <c r="H1570" s="1094">
        <v>0.97283693678367422</v>
      </c>
      <c r="I1570" s="1094">
        <v>1.0180563087905814</v>
      </c>
      <c r="K1570">
        <v>4.4151461775004881</v>
      </c>
      <c r="L1570">
        <v>0</v>
      </c>
      <c r="M1570">
        <v>1.5333449078655565E-3</v>
      </c>
      <c r="N1570">
        <v>0.12214160027330595</v>
      </c>
      <c r="O1570">
        <v>3.9201197101693154E-2</v>
      </c>
      <c r="P1570">
        <v>1.846483227444766E-2</v>
      </c>
      <c r="Q1570">
        <v>1.3157231257957553E-3</v>
      </c>
      <c r="R1570">
        <v>1.5267663081588694E-3</v>
      </c>
      <c r="S1570">
        <v>0.23768261844840888</v>
      </c>
      <c r="T1570">
        <v>3.8983615084813881</v>
      </c>
      <c r="U1570">
        <v>0</v>
      </c>
      <c r="V1570">
        <v>9.4523053561131939E-3</v>
      </c>
      <c r="W1570">
        <v>7.4152151756913018E-2</v>
      </c>
      <c r="X1570">
        <v>1.0066061132174578E-2</v>
      </c>
      <c r="Y1570">
        <v>4.3147581499504385E-3</v>
      </c>
    </row>
    <row r="1571" spans="1:25" x14ac:dyDescent="0.25">
      <c r="A1571" s="1090"/>
      <c r="B1571" s="1448">
        <v>1321</v>
      </c>
      <c r="C1571" s="1094">
        <v>1.0238521862178684</v>
      </c>
      <c r="D1571" s="1094">
        <v>0.98572619806115835</v>
      </c>
      <c r="E1571" s="1094">
        <v>1.0029283961359428</v>
      </c>
      <c r="F1571" s="1094">
        <v>1.0035645541420797</v>
      </c>
      <c r="G1571" s="1094">
        <v>1.0292391732101676</v>
      </c>
      <c r="H1571" s="1094">
        <v>0.97167210118679248</v>
      </c>
      <c r="I1571" s="1094">
        <v>1.0026711176381093</v>
      </c>
      <c r="K1571">
        <v>4.4823354538169529</v>
      </c>
      <c r="L1571">
        <v>0</v>
      </c>
      <c r="M1571">
        <v>1.3926846600239248E-3</v>
      </c>
      <c r="N1571">
        <v>0.12156264737326315</v>
      </c>
      <c r="O1571">
        <v>3.7828031734848208E-2</v>
      </c>
      <c r="P1571">
        <v>1.9217530994504656E-2</v>
      </c>
      <c r="Q1571">
        <v>1.2837745847334501E-3</v>
      </c>
      <c r="R1571">
        <v>1.3868263721747984E-3</v>
      </c>
      <c r="S1571">
        <v>0.22595766431388978</v>
      </c>
      <c r="T1571">
        <v>3.9800322155653109</v>
      </c>
      <c r="U1571">
        <v>0</v>
      </c>
      <c r="V1571">
        <v>9.4523053561131921E-3</v>
      </c>
      <c r="W1571">
        <v>7.2266748279528711E-2</v>
      </c>
      <c r="X1571">
        <v>1.0821116695658059E-2</v>
      </c>
      <c r="Y1571">
        <v>3.9192772069507548E-3</v>
      </c>
    </row>
    <row r="1572" spans="1:25" x14ac:dyDescent="0.25">
      <c r="A1572" s="1090"/>
      <c r="B1572" s="1448">
        <v>1322</v>
      </c>
      <c r="C1572" s="1094">
        <v>0.95805015366772395</v>
      </c>
      <c r="D1572" s="1094">
        <v>1.0356352265564646</v>
      </c>
      <c r="E1572" s="1094">
        <v>0.98072129157990318</v>
      </c>
      <c r="F1572" s="1094">
        <v>1.0153125601158286</v>
      </c>
      <c r="G1572" s="1094">
        <v>1.038481521572725</v>
      </c>
      <c r="H1572" s="1094">
        <v>1.0031028510000546</v>
      </c>
      <c r="I1572" s="1094">
        <v>1.0100089664476419</v>
      </c>
      <c r="K1572">
        <v>4.5660614018088319</v>
      </c>
      <c r="L1572">
        <v>0</v>
      </c>
      <c r="M1572">
        <v>1.5968562496615931E-3</v>
      </c>
      <c r="N1572">
        <v>0.13052621536047535</v>
      </c>
      <c r="O1572">
        <v>4.0258449811777501E-2</v>
      </c>
      <c r="P1572">
        <v>1.9193828098412094E-2</v>
      </c>
      <c r="Q1572">
        <v>1.3196196612156898E-3</v>
      </c>
      <c r="R1572">
        <v>1.5904245745152182E-3</v>
      </c>
      <c r="S1572">
        <v>0.24408385225128912</v>
      </c>
      <c r="T1572">
        <v>4.0274856237678245</v>
      </c>
      <c r="U1572">
        <v>0</v>
      </c>
      <c r="V1572">
        <v>9.4523053561131852E-3</v>
      </c>
      <c r="W1572">
        <v>7.877545263000596E-2</v>
      </c>
      <c r="X1572">
        <v>1.0477825276114039E-2</v>
      </c>
      <c r="Y1572">
        <v>4.4946612707522033E-3</v>
      </c>
    </row>
    <row r="1573" spans="1:25" x14ac:dyDescent="0.25">
      <c r="A1573" s="1090"/>
      <c r="B1573" s="1448">
        <v>1323</v>
      </c>
      <c r="C1573" s="1094">
        <v>1.0139631726103504</v>
      </c>
      <c r="D1573" s="1094">
        <v>1.042542599190001</v>
      </c>
      <c r="E1573" s="1094">
        <v>0.97943068871337358</v>
      </c>
      <c r="F1573" s="1094">
        <v>0.98964761113636257</v>
      </c>
      <c r="G1573" s="1094">
        <v>1.0448428203061664</v>
      </c>
      <c r="H1573" s="1094">
        <v>0.98777669372068033</v>
      </c>
      <c r="I1573" s="1094">
        <v>1.0323417456923352</v>
      </c>
      <c r="K1573">
        <v>4.4253372532302437</v>
      </c>
      <c r="L1573">
        <v>0</v>
      </c>
      <c r="M1573">
        <v>1.4484163305976156E-3</v>
      </c>
      <c r="N1573">
        <v>0.11792036581559596</v>
      </c>
      <c r="O1573">
        <v>3.6986964393389735E-2</v>
      </c>
      <c r="P1573">
        <v>1.8656329028775735E-2</v>
      </c>
      <c r="Q1573">
        <v>1.2421485421861926E-3</v>
      </c>
      <c r="R1573">
        <v>1.442339011254932E-3</v>
      </c>
      <c r="S1573">
        <v>0.23003383511969666</v>
      </c>
      <c r="T1573">
        <v>3.9257284371329297</v>
      </c>
      <c r="U1573">
        <v>0</v>
      </c>
      <c r="V1573">
        <v>9.4523053561131817E-3</v>
      </c>
      <c r="W1573">
        <v>7.1230497393189665E-2</v>
      </c>
      <c r="X1573">
        <v>1.0016287604529021E-2</v>
      </c>
      <c r="Y1573">
        <v>4.076160163180716E-3</v>
      </c>
    </row>
    <row r="1574" spans="1:25" x14ac:dyDescent="0.25">
      <c r="A1574" s="1090"/>
      <c r="B1574" s="1448">
        <v>1324</v>
      </c>
      <c r="C1574" s="1094">
        <v>1.0032825754342389</v>
      </c>
      <c r="D1574" s="1094">
        <v>1.0215842523908534</v>
      </c>
      <c r="E1574" s="1094">
        <v>1.0454033100629392</v>
      </c>
      <c r="F1574" s="1094">
        <v>0.99710100830957882</v>
      </c>
      <c r="G1574" s="1094">
        <v>1.0228618191402006</v>
      </c>
      <c r="H1574" s="1094">
        <v>0.99928736249887429</v>
      </c>
      <c r="I1574" s="1094">
        <v>0.98467254902721113</v>
      </c>
      <c r="K1574">
        <v>4.4657627442955068</v>
      </c>
      <c r="L1574">
        <v>0</v>
      </c>
      <c r="M1574">
        <v>1.3087174636781985E-3</v>
      </c>
      <c r="N1574">
        <v>0.12953629475010667</v>
      </c>
      <c r="O1574">
        <v>3.7522321340194155E-2</v>
      </c>
      <c r="P1574">
        <v>1.9690123646406665E-2</v>
      </c>
      <c r="Q1574">
        <v>1.3386434088474254E-3</v>
      </c>
      <c r="R1574">
        <v>1.3033299572340145E-3</v>
      </c>
      <c r="S1574">
        <v>0.22508128463558411</v>
      </c>
      <c r="T1574">
        <v>3.9528048198616466</v>
      </c>
      <c r="U1574">
        <v>0</v>
      </c>
      <c r="V1574">
        <v>9.4523053561131939E-3</v>
      </c>
      <c r="W1574">
        <v>7.4862411688975825E-2</v>
      </c>
      <c r="X1574">
        <v>1.1796617150396307E-2</v>
      </c>
      <c r="Y1574">
        <v>3.6833099636783811E-3</v>
      </c>
    </row>
    <row r="1575" spans="1:25" x14ac:dyDescent="0.25">
      <c r="A1575" s="1090"/>
      <c r="B1575" s="1448">
        <v>1325</v>
      </c>
      <c r="C1575" s="1094">
        <v>0.9968462380441081</v>
      </c>
      <c r="D1575" s="1094">
        <v>0.96831384423227895</v>
      </c>
      <c r="E1575" s="1094">
        <v>1.0113108369450092</v>
      </c>
      <c r="F1575" s="1094">
        <v>1.0086722389571989</v>
      </c>
      <c r="G1575" s="1094">
        <v>1.0012456208390348</v>
      </c>
      <c r="H1575" s="1094">
        <v>0.99366756447720717</v>
      </c>
      <c r="I1575" s="1094">
        <v>0.98273156887651114</v>
      </c>
      <c r="K1575">
        <v>4.5230601499148024</v>
      </c>
      <c r="L1575">
        <v>0</v>
      </c>
      <c r="M1575">
        <v>1.4547894776318151E-3</v>
      </c>
      <c r="N1575">
        <v>0.13019010853492677</v>
      </c>
      <c r="O1575">
        <v>3.9270915998171431E-2</v>
      </c>
      <c r="P1575">
        <v>1.9452517644597583E-2</v>
      </c>
      <c r="Q1575">
        <v>1.3375185482501172E-3</v>
      </c>
      <c r="R1575">
        <v>1.448835586075695E-3</v>
      </c>
      <c r="S1575">
        <v>0.23116341909154589</v>
      </c>
      <c r="T1575">
        <v>3.999967904410175</v>
      </c>
      <c r="U1575">
        <v>0</v>
      </c>
      <c r="V1575">
        <v>9.4523053561131939E-3</v>
      </c>
      <c r="W1575">
        <v>7.6960469896077549E-2</v>
      </c>
      <c r="X1575">
        <v>1.1176424346882777E-2</v>
      </c>
      <c r="Y1575">
        <v>4.0945199796142157E-3</v>
      </c>
    </row>
    <row r="1576" spans="1:25" x14ac:dyDescent="0.25">
      <c r="A1576" s="1090"/>
      <c r="B1576" s="1448">
        <v>1326</v>
      </c>
      <c r="C1576" s="1094">
        <v>1.0069216244367118</v>
      </c>
      <c r="D1576" s="1094">
        <v>0.97082799407712561</v>
      </c>
      <c r="E1576" s="1094">
        <v>1.0109265585758966</v>
      </c>
      <c r="F1576" s="1094">
        <v>1.0088336854150191</v>
      </c>
      <c r="G1576" s="1094">
        <v>0.9748180466104428</v>
      </c>
      <c r="H1576" s="1094">
        <v>1.0234781592916105</v>
      </c>
      <c r="I1576" s="1094">
        <v>0.98543561871149765</v>
      </c>
      <c r="K1576">
        <v>4.527499568319957</v>
      </c>
      <c r="L1576">
        <v>0</v>
      </c>
      <c r="M1576">
        <v>1.4833408156919258E-3</v>
      </c>
      <c r="N1576">
        <v>0.13261020871604121</v>
      </c>
      <c r="O1576">
        <v>3.8846557817219816E-2</v>
      </c>
      <c r="P1576">
        <v>1.9451915449384141E-2</v>
      </c>
      <c r="Q1576">
        <v>1.3223299584251454E-3</v>
      </c>
      <c r="R1576">
        <v>1.4774478348935219E-3</v>
      </c>
      <c r="S1576">
        <v>0.23157970541095915</v>
      </c>
      <c r="T1576">
        <v>4.0006228153156842</v>
      </c>
      <c r="U1576">
        <v>0</v>
      </c>
      <c r="V1576">
        <v>9.4523053561131939E-3</v>
      </c>
      <c r="W1576">
        <v>7.8411295684384777E-2</v>
      </c>
      <c r="X1576">
        <v>1.1032947213328018E-2</v>
      </c>
      <c r="Y1576">
        <v>4.1753803792152523E-3</v>
      </c>
    </row>
    <row r="1577" spans="1:25" x14ac:dyDescent="0.25">
      <c r="A1577" s="1090"/>
      <c r="B1577" s="1448">
        <v>1327</v>
      </c>
      <c r="C1577" s="1094">
        <v>1.0020763479767461</v>
      </c>
      <c r="D1577" s="1094">
        <v>1.0141597346482054</v>
      </c>
      <c r="E1577" s="1094">
        <v>0.99073635689114903</v>
      </c>
      <c r="F1577" s="1094">
        <v>0.9908669524956113</v>
      </c>
      <c r="G1577" s="1094">
        <v>0.96856000243366192</v>
      </c>
      <c r="H1577" s="1094">
        <v>1.0394244883150823</v>
      </c>
      <c r="I1577" s="1094">
        <v>0.98941246203498068</v>
      </c>
      <c r="K1577">
        <v>4.4462958931260035</v>
      </c>
      <c r="L1577">
        <v>0</v>
      </c>
      <c r="M1577">
        <v>1.5246160482495076E-3</v>
      </c>
      <c r="N1577">
        <v>0.12838466395128462</v>
      </c>
      <c r="O1577">
        <v>3.7811696401093567E-2</v>
      </c>
      <c r="P1577">
        <v>1.8831260053987758E-2</v>
      </c>
      <c r="Q1577">
        <v>1.283329270801241E-3</v>
      </c>
      <c r="R1577">
        <v>1.5185443187662384E-3</v>
      </c>
      <c r="S1577">
        <v>0.228933208297119</v>
      </c>
      <c r="T1577">
        <v>3.930135608812706</v>
      </c>
      <c r="U1577">
        <v>0</v>
      </c>
      <c r="V1577">
        <v>9.4523053561131956E-3</v>
      </c>
      <c r="W1577">
        <v>7.6955194510267028E-2</v>
      </c>
      <c r="X1577">
        <v>1.0223176021902295E-2</v>
      </c>
      <c r="Y1577">
        <v>4.2915221802076664E-3</v>
      </c>
    </row>
    <row r="1578" spans="1:25" x14ac:dyDescent="0.25">
      <c r="A1578" s="1090"/>
      <c r="B1578" s="1448">
        <v>1328</v>
      </c>
      <c r="C1578" s="1094">
        <v>1.0093896286922011</v>
      </c>
      <c r="D1578" s="1094">
        <v>0.9810042492952552</v>
      </c>
      <c r="E1578" s="1094">
        <v>0.97050657799680429</v>
      </c>
      <c r="F1578" s="1094">
        <v>1.0047573717496783</v>
      </c>
      <c r="G1578" s="1094">
        <v>1.0156757941185146</v>
      </c>
      <c r="H1578" s="1094">
        <v>1.0122952088537791</v>
      </c>
      <c r="I1578" s="1094">
        <v>0.9766125128928701</v>
      </c>
      <c r="K1578">
        <v>4.4968602088736951</v>
      </c>
      <c r="L1578">
        <v>0</v>
      </c>
      <c r="M1578">
        <v>1.5803660374181623E-3</v>
      </c>
      <c r="N1578">
        <v>0.12531968276646649</v>
      </c>
      <c r="O1578">
        <v>3.871229692424185E-2</v>
      </c>
      <c r="P1578">
        <v>1.8783456654171405E-2</v>
      </c>
      <c r="Q1578">
        <v>1.2686183435070622E-3</v>
      </c>
      <c r="R1578">
        <v>1.573992590474346E-3</v>
      </c>
      <c r="S1578">
        <v>0.22675959929387066</v>
      </c>
      <c r="T1578">
        <v>3.986011370281203</v>
      </c>
      <c r="U1578">
        <v>0</v>
      </c>
      <c r="V1578">
        <v>9.4523053561131921E-3</v>
      </c>
      <c r="W1578">
        <v>7.6165963964130445E-2</v>
      </c>
      <c r="X1578">
        <v>9.9450655076024595E-3</v>
      </c>
      <c r="Y1578">
        <v>4.4482232293300639E-3</v>
      </c>
    </row>
    <row r="1579" spans="1:25" x14ac:dyDescent="0.25">
      <c r="A1579" s="1090"/>
      <c r="B1579" s="1448">
        <v>1329</v>
      </c>
      <c r="C1579" s="1094">
        <v>0.9857625719488009</v>
      </c>
      <c r="D1579" s="1094">
        <v>1.013487696699529</v>
      </c>
      <c r="E1579" s="1094">
        <v>0.99337606226778419</v>
      </c>
      <c r="F1579" s="1094">
        <v>1.0047423080186151</v>
      </c>
      <c r="G1579" s="1094">
        <v>0.99906667665515192</v>
      </c>
      <c r="H1579" s="1094">
        <v>1.0104591116167074</v>
      </c>
      <c r="I1579" s="1094">
        <v>0.9849154656616409</v>
      </c>
      <c r="K1579">
        <v>4.50663239109738</v>
      </c>
      <c r="L1579">
        <v>0</v>
      </c>
      <c r="M1579">
        <v>1.5196135894721011E-3</v>
      </c>
      <c r="N1579">
        <v>0.12896129590353736</v>
      </c>
      <c r="O1579">
        <v>3.8967690768069184E-2</v>
      </c>
      <c r="P1579">
        <v>1.9129895070394375E-2</v>
      </c>
      <c r="Q1579">
        <v>1.3078840149642842E-3</v>
      </c>
      <c r="R1579">
        <v>1.5134739230330148E-3</v>
      </c>
      <c r="S1579">
        <v>0.2317248058411355</v>
      </c>
      <c r="T1579">
        <v>3.9850688807035533</v>
      </c>
      <c r="U1579">
        <v>0</v>
      </c>
      <c r="V1579">
        <v>9.4523053561131991E-3</v>
      </c>
      <c r="W1579">
        <v>7.7162299164227191E-2</v>
      </c>
      <c r="X1579">
        <v>1.0586281087062688E-2</v>
      </c>
      <c r="Y1579">
        <v>4.2771928547591749E-3</v>
      </c>
    </row>
    <row r="1580" spans="1:25" x14ac:dyDescent="0.25">
      <c r="A1580" s="1090"/>
      <c r="B1580" s="1448">
        <v>1330</v>
      </c>
      <c r="C1580" s="1094">
        <v>1.0368187731624878</v>
      </c>
      <c r="D1580" s="1094">
        <v>1.00507454629219</v>
      </c>
      <c r="E1580" s="1094">
        <v>1.0336160255574542</v>
      </c>
      <c r="F1580" s="1094">
        <v>0.96720065406928968</v>
      </c>
      <c r="G1580" s="1094">
        <v>0.99977565392852641</v>
      </c>
      <c r="H1580" s="1094">
        <v>0.99440231680177593</v>
      </c>
      <c r="I1580" s="1094">
        <v>0.99223106999610866</v>
      </c>
      <c r="K1580">
        <v>4.3210480449156012</v>
      </c>
      <c r="L1580">
        <v>0</v>
      </c>
      <c r="M1580">
        <v>1.2616702676410956E-3</v>
      </c>
      <c r="N1580">
        <v>0.12058783111580412</v>
      </c>
      <c r="O1580">
        <v>3.5525885505151435E-2</v>
      </c>
      <c r="P1580">
        <v>1.8929567434089196E-2</v>
      </c>
      <c r="Q1580">
        <v>1.2910316539957974E-3</v>
      </c>
      <c r="R1580">
        <v>1.2562902538558677E-3</v>
      </c>
      <c r="S1580">
        <v>0.21574105060854548</v>
      </c>
      <c r="T1580">
        <v>3.8346966397244424</v>
      </c>
      <c r="U1580">
        <v>0</v>
      </c>
      <c r="V1580">
        <v>9.4523053561131921E-3</v>
      </c>
      <c r="W1580">
        <v>7.023355831379581E-2</v>
      </c>
      <c r="X1580">
        <v>1.1045183046826874E-2</v>
      </c>
      <c r="Y1580">
        <v>3.5503721706202761E-3</v>
      </c>
    </row>
    <row r="1581" spans="1:25" x14ac:dyDescent="0.25">
      <c r="A1581" s="1090"/>
      <c r="B1581" s="1448">
        <v>1331</v>
      </c>
      <c r="C1581" s="1094">
        <v>1.0238069854523399</v>
      </c>
      <c r="D1581" s="1094">
        <v>1.0377442498822063</v>
      </c>
      <c r="E1581" s="1094">
        <v>0.96836095260436317</v>
      </c>
      <c r="F1581" s="1094">
        <v>0.99505975173372496</v>
      </c>
      <c r="G1581" s="1094">
        <v>1.0040051881213972</v>
      </c>
      <c r="H1581" s="1094">
        <v>1.0314133482656926</v>
      </c>
      <c r="I1581" s="1094">
        <v>1.0198358854202512</v>
      </c>
      <c r="K1581">
        <v>4.453004195830415</v>
      </c>
      <c r="L1581">
        <v>0</v>
      </c>
      <c r="M1581">
        <v>1.5442384883480138E-3</v>
      </c>
      <c r="N1581">
        <v>0.1216815023174861</v>
      </c>
      <c r="O1581">
        <v>3.697215287569084E-2</v>
      </c>
      <c r="P1581">
        <v>1.8593996713975131E-2</v>
      </c>
      <c r="Q1581">
        <v>1.220645668067111E-3</v>
      </c>
      <c r="R1581">
        <v>1.5380668530358293E-3</v>
      </c>
      <c r="S1581">
        <v>0.229437431535949</v>
      </c>
      <c r="T1581">
        <v>3.9476220855825059</v>
      </c>
      <c r="U1581">
        <v>0</v>
      </c>
      <c r="V1581">
        <v>9.4523053561131921E-3</v>
      </c>
      <c r="W1581">
        <v>7.4064359299447616E-2</v>
      </c>
      <c r="X1581">
        <v>9.6191937639624088E-3</v>
      </c>
      <c r="Y1581">
        <v>4.3466943525285132E-3</v>
      </c>
    </row>
    <row r="1582" spans="1:25" x14ac:dyDescent="0.25">
      <c r="A1582" s="1090"/>
      <c r="B1582" s="1448">
        <v>1332</v>
      </c>
      <c r="C1582" s="1094">
        <v>0.97499640329339576</v>
      </c>
      <c r="D1582" s="1094">
        <v>1.0106202062263125</v>
      </c>
      <c r="E1582" s="1094">
        <v>0.9982856127647618</v>
      </c>
      <c r="F1582" s="1094">
        <v>1.010837694000889</v>
      </c>
      <c r="G1582" s="1094">
        <v>0.9964475791513947</v>
      </c>
      <c r="H1582" s="1094">
        <v>1.0037653345983484</v>
      </c>
      <c r="I1582" s="1094">
        <v>0.9948009909175074</v>
      </c>
      <c r="K1582">
        <v>4.5403682118559834</v>
      </c>
      <c r="L1582">
        <v>0</v>
      </c>
      <c r="M1582">
        <v>1.5213769559639994E-3</v>
      </c>
      <c r="N1582">
        <v>0.13100308101500582</v>
      </c>
      <c r="O1582">
        <v>3.964716367072961E-2</v>
      </c>
      <c r="P1582">
        <v>1.9334545281006612E-2</v>
      </c>
      <c r="Q1582">
        <v>1.3294222872921907E-3</v>
      </c>
      <c r="R1582">
        <v>1.5152263352464972E-3</v>
      </c>
      <c r="S1582">
        <v>0.2372923014259205</v>
      </c>
      <c r="T1582">
        <v>4.0090553928108994</v>
      </c>
      <c r="U1582">
        <v>0</v>
      </c>
      <c r="V1582">
        <v>9.4523053561131991E-3</v>
      </c>
      <c r="W1582">
        <v>7.8123573884998423E-2</v>
      </c>
      <c r="X1582">
        <v>1.0854431439267127E-2</v>
      </c>
      <c r="Y1582">
        <v>4.2821453054648203E-3</v>
      </c>
    </row>
    <row r="1583" spans="1:25" x14ac:dyDescent="0.25">
      <c r="A1583" s="1090"/>
      <c r="B1583" s="1448">
        <v>1333</v>
      </c>
      <c r="C1583" s="1094">
        <v>1.0149945243375851</v>
      </c>
      <c r="D1583" s="1094">
        <v>1.004720498066566</v>
      </c>
      <c r="E1583" s="1094">
        <v>0.9975802397174669</v>
      </c>
      <c r="F1583" s="1094">
        <v>1.019013102575542</v>
      </c>
      <c r="G1583" s="1094">
        <v>1.0172690435535994</v>
      </c>
      <c r="H1583" s="1094">
        <v>0.97958318162715707</v>
      </c>
      <c r="I1583" s="1094">
        <v>0.95161242289493564</v>
      </c>
      <c r="K1583">
        <v>4.5408451176170894</v>
      </c>
      <c r="L1583">
        <v>0</v>
      </c>
      <c r="M1583">
        <v>1.4432164987470532E-3</v>
      </c>
      <c r="N1583">
        <v>0.12400501903241305</v>
      </c>
      <c r="O1583">
        <v>3.8487669382307702E-2</v>
      </c>
      <c r="P1583">
        <v>1.9383574116150781E-2</v>
      </c>
      <c r="Q1583">
        <v>1.2792530678823223E-3</v>
      </c>
      <c r="R1583">
        <v>1.437285603266376E-3</v>
      </c>
      <c r="S1583">
        <v>0.21788188991715737</v>
      </c>
      <c r="T1583">
        <v>4.0415070540193714</v>
      </c>
      <c r="U1583">
        <v>0</v>
      </c>
      <c r="V1583">
        <v>9.4523053561131869E-3</v>
      </c>
      <c r="W1583">
        <v>7.3985598923803644E-2</v>
      </c>
      <c r="X1583">
        <v>1.0806805850972842E-2</v>
      </c>
      <c r="Y1583">
        <v>4.0618788463956069E-3</v>
      </c>
    </row>
    <row r="1584" spans="1:25" x14ac:dyDescent="0.25">
      <c r="A1584" s="1090"/>
      <c r="B1584" s="1448">
        <v>1334</v>
      </c>
      <c r="C1584" s="1094">
        <v>0.99674150215276325</v>
      </c>
      <c r="D1584" s="1094">
        <v>1.0050151764644761</v>
      </c>
      <c r="E1584" s="1094">
        <v>1.0143053205673962</v>
      </c>
      <c r="F1584" s="1094">
        <v>0.99052884399899654</v>
      </c>
      <c r="G1584" s="1094">
        <v>1.0363077207433518</v>
      </c>
      <c r="H1584" s="1094">
        <v>0.99742634681814246</v>
      </c>
      <c r="I1584" s="1094">
        <v>1.0377940966932209</v>
      </c>
      <c r="K1584">
        <v>4.451120358572604</v>
      </c>
      <c r="L1584">
        <v>0</v>
      </c>
      <c r="M1584">
        <v>1.4041975161784E-3</v>
      </c>
      <c r="N1584">
        <v>0.12677393642120541</v>
      </c>
      <c r="O1584">
        <v>3.7978478481879734E-2</v>
      </c>
      <c r="P1584">
        <v>1.9199056866776351E-2</v>
      </c>
      <c r="Q1584">
        <v>1.3212602750097351E-3</v>
      </c>
      <c r="R1584">
        <v>1.3983679016363628E-3</v>
      </c>
      <c r="S1584">
        <v>0.23874678028787458</v>
      </c>
      <c r="T1584">
        <v>3.9279066228639112</v>
      </c>
      <c r="U1584">
        <v>0</v>
      </c>
      <c r="V1584">
        <v>9.4523053561131887E-3</v>
      </c>
      <c r="W1584">
        <v>7.4790825100699246E-2</v>
      </c>
      <c r="X1584">
        <v>1.1005028083313433E-2</v>
      </c>
      <c r="Y1584">
        <v>3.9518944503632277E-3</v>
      </c>
    </row>
    <row r="1585" spans="1:25" x14ac:dyDescent="0.25">
      <c r="A1585" s="1090"/>
      <c r="B1585" s="1448">
        <v>1335</v>
      </c>
      <c r="C1585" s="1094">
        <v>1.0303823641247596</v>
      </c>
      <c r="D1585" s="1094">
        <v>1.0140728851182261</v>
      </c>
      <c r="E1585" s="1094">
        <v>1.0237353975735399</v>
      </c>
      <c r="F1585" s="1094">
        <v>0.99079398423590093</v>
      </c>
      <c r="G1585" s="1094">
        <v>1.0054775495844845</v>
      </c>
      <c r="H1585" s="1094">
        <v>0.99302796374126812</v>
      </c>
      <c r="I1585" s="1094">
        <v>1.0012537424194252</v>
      </c>
      <c r="K1585">
        <v>4.4264484833976079</v>
      </c>
      <c r="L1585">
        <v>0</v>
      </c>
      <c r="M1585">
        <v>1.3212966634953422E-3</v>
      </c>
      <c r="N1585">
        <v>0.12266258571942409</v>
      </c>
      <c r="O1585">
        <v>3.6554622295698849E-2</v>
      </c>
      <c r="P1585">
        <v>1.9257579708354795E-2</v>
      </c>
      <c r="Q1585">
        <v>1.2837535461999018E-3</v>
      </c>
      <c r="R1585">
        <v>1.3157883889048524E-3</v>
      </c>
      <c r="S1585">
        <v>0.22193629543887861</v>
      </c>
      <c r="T1585">
        <v>3.9286055475690116</v>
      </c>
      <c r="U1585">
        <v>0</v>
      </c>
      <c r="V1585">
        <v>9.4523053561131973E-3</v>
      </c>
      <c r="W1585">
        <v>7.1911421057599442E-2</v>
      </c>
      <c r="X1585">
        <v>1.1071362538180488E-2</v>
      </c>
      <c r="Y1585">
        <v>3.7185184427364292E-3</v>
      </c>
    </row>
    <row r="1586" spans="1:25" x14ac:dyDescent="0.25">
      <c r="A1586" s="1090"/>
      <c r="B1586" s="1448">
        <v>1336</v>
      </c>
      <c r="C1586" s="1094">
        <v>0.97955653368140827</v>
      </c>
      <c r="D1586" s="1094">
        <v>0.97687024069660111</v>
      </c>
      <c r="E1586" s="1094">
        <v>1.0029922334707522</v>
      </c>
      <c r="F1586" s="1094">
        <v>1.0045684405889233</v>
      </c>
      <c r="G1586" s="1094">
        <v>1.0198121084072818</v>
      </c>
      <c r="H1586" s="1094">
        <v>1.0055832709947374</v>
      </c>
      <c r="I1586" s="1094">
        <v>1.0203493722988688</v>
      </c>
      <c r="K1586">
        <v>4.5236108257954388</v>
      </c>
      <c r="L1586">
        <v>0</v>
      </c>
      <c r="M1586">
        <v>1.5132150543631152E-3</v>
      </c>
      <c r="N1586">
        <v>0.13212766648141547</v>
      </c>
      <c r="O1586">
        <v>3.9720848959885258E-2</v>
      </c>
      <c r="P1586">
        <v>1.9318288453342276E-2</v>
      </c>
      <c r="Q1586">
        <v>1.3467531917320094E-3</v>
      </c>
      <c r="R1586">
        <v>1.5070705363856389E-3</v>
      </c>
      <c r="S1586">
        <v>0.2438777980826313</v>
      </c>
      <c r="T1586">
        <v>3.9840110858273921</v>
      </c>
      <c r="U1586">
        <v>0</v>
      </c>
      <c r="V1586">
        <v>9.4523053561131869E-3</v>
      </c>
      <c r="W1586">
        <v>7.8544074836852232E-2</v>
      </c>
      <c r="X1586">
        <v>1.0959052728836375E-2</v>
      </c>
      <c r="Y1586">
        <v>4.2590963952182483E-3</v>
      </c>
    </row>
    <row r="1587" spans="1:25" x14ac:dyDescent="0.25">
      <c r="A1587" s="1090"/>
      <c r="B1587" s="1448">
        <v>1337</v>
      </c>
      <c r="C1587" s="1094">
        <v>1.0128999116545279</v>
      </c>
      <c r="D1587" s="1094">
        <v>0.97623681136763574</v>
      </c>
      <c r="E1587" s="1094">
        <v>1.0133046335691436</v>
      </c>
      <c r="F1587" s="1094">
        <v>1.0387688310527976</v>
      </c>
      <c r="G1587" s="1094">
        <v>1.0487282116758125</v>
      </c>
      <c r="H1587" s="1094">
        <v>0.99901133788370944</v>
      </c>
      <c r="I1587" s="1094">
        <v>1.0239758090599171</v>
      </c>
      <c r="K1587">
        <v>4.6576183390259729</v>
      </c>
      <c r="L1587">
        <v>0</v>
      </c>
      <c r="M1587">
        <v>1.4711812692459274E-3</v>
      </c>
      <c r="N1587">
        <v>0.13245491359409856</v>
      </c>
      <c r="O1587">
        <v>3.965796342933206E-2</v>
      </c>
      <c r="P1587">
        <v>2.007718522339208E-2</v>
      </c>
      <c r="Q1587">
        <v>1.3142626192108682E-3</v>
      </c>
      <c r="R1587">
        <v>1.4653653283426547E-3</v>
      </c>
      <c r="S1587">
        <v>0.24163939700392911</v>
      </c>
      <c r="T1587">
        <v>4.1192398787108031</v>
      </c>
      <c r="U1587">
        <v>0</v>
      </c>
      <c r="V1587">
        <v>9.4523053561131939E-3</v>
      </c>
      <c r="W1587">
        <v>7.8194718176411424E-2</v>
      </c>
      <c r="X1587">
        <v>1.1452296560337511E-2</v>
      </c>
      <c r="Y1587">
        <v>4.1412342932467651E-3</v>
      </c>
    </row>
    <row r="1588" spans="1:25" x14ac:dyDescent="0.25">
      <c r="A1588" s="1090"/>
      <c r="B1588" s="1448">
        <v>1338</v>
      </c>
      <c r="C1588" s="1094">
        <v>0.9990008576765842</v>
      </c>
      <c r="D1588" s="1094">
        <v>0.98594139315476437</v>
      </c>
      <c r="E1588" s="1094">
        <v>1.0138489228654401</v>
      </c>
      <c r="F1588" s="1094">
        <v>0.98962084529884042</v>
      </c>
      <c r="G1588" s="1094">
        <v>0.99896094409106884</v>
      </c>
      <c r="H1588" s="1094">
        <v>1.0027346027266386</v>
      </c>
      <c r="I1588" s="1094">
        <v>0.97325049416351983</v>
      </c>
      <c r="K1588">
        <v>4.4357783543386056</v>
      </c>
      <c r="L1588">
        <v>0</v>
      </c>
      <c r="M1588">
        <v>1.4193853981144615E-3</v>
      </c>
      <c r="N1588">
        <v>0.12797447809239273</v>
      </c>
      <c r="O1588">
        <v>3.8152251456782686E-2</v>
      </c>
      <c r="P1588">
        <v>1.9112746056162613E-2</v>
      </c>
      <c r="Q1588">
        <v>1.3278998015465099E-3</v>
      </c>
      <c r="R1588">
        <v>1.4135185688683135E-3</v>
      </c>
      <c r="S1588">
        <v>0.22495400846621783</v>
      </c>
      <c r="T1588">
        <v>3.9243230674851506</v>
      </c>
      <c r="U1588">
        <v>0</v>
      </c>
      <c r="V1588">
        <v>9.45230535611318E-3</v>
      </c>
      <c r="W1588">
        <v>7.5522161322087111E-2</v>
      </c>
      <c r="X1588">
        <v>1.0970591738740718E-2</v>
      </c>
      <c r="Y1588">
        <v>3.9947113926594429E-3</v>
      </c>
    </row>
    <row r="1589" spans="1:25" x14ac:dyDescent="0.25">
      <c r="A1589" s="1090"/>
      <c r="B1589" s="1448">
        <v>1339</v>
      </c>
      <c r="C1589" s="1094">
        <v>0.99286255322634887</v>
      </c>
      <c r="D1589" s="1094">
        <v>0.97037582837046632</v>
      </c>
      <c r="E1589" s="1094">
        <v>1.0046829022590316</v>
      </c>
      <c r="F1589" s="1094">
        <v>1.0390574353552573</v>
      </c>
      <c r="G1589" s="1094">
        <v>1.0098689897131867</v>
      </c>
      <c r="H1589" s="1094">
        <v>1.0015140317647535</v>
      </c>
      <c r="I1589" s="1094">
        <v>1.0002635404955085</v>
      </c>
      <c r="K1589">
        <v>4.6641224603460882</v>
      </c>
      <c r="L1589">
        <v>0</v>
      </c>
      <c r="M1589">
        <v>1.5363591688686941E-3</v>
      </c>
      <c r="N1589">
        <v>0.13483802465789463</v>
      </c>
      <c r="O1589">
        <v>4.0629941683238524E-2</v>
      </c>
      <c r="P1589">
        <v>1.9955730321152599E-2</v>
      </c>
      <c r="Q1589">
        <v>1.33418142872508E-3</v>
      </c>
      <c r="R1589">
        <v>1.5303024172347609E-3</v>
      </c>
      <c r="S1589">
        <v>0.24149212006640985</v>
      </c>
      <c r="T1589">
        <v>4.1207239825284763</v>
      </c>
      <c r="U1589">
        <v>0</v>
      </c>
      <c r="V1589">
        <v>9.4523053561131904E-3</v>
      </c>
      <c r="W1589">
        <v>8.0063961652976912E-2</v>
      </c>
      <c r="X1589">
        <v>1.1313517938567181E-2</v>
      </c>
      <c r="Y1589">
        <v>4.3247514641680624E-3</v>
      </c>
    </row>
    <row r="1590" spans="1:25" x14ac:dyDescent="0.25">
      <c r="A1590" s="1090"/>
      <c r="B1590" s="1448">
        <v>1340</v>
      </c>
      <c r="C1590" s="1094">
        <v>0.97177798802433102</v>
      </c>
      <c r="D1590" s="1094">
        <v>1.0090962681423508</v>
      </c>
      <c r="E1590" s="1094">
        <v>1.0122969843780056</v>
      </c>
      <c r="F1590" s="1094">
        <v>0.97075835985260384</v>
      </c>
      <c r="G1590" s="1094">
        <v>0.974528051394012</v>
      </c>
      <c r="H1590" s="1094">
        <v>1.0426592921246653</v>
      </c>
      <c r="I1590" s="1094">
        <v>0.99171595183622796</v>
      </c>
      <c r="K1590">
        <v>4.3773791698703892</v>
      </c>
      <c r="L1590">
        <v>0</v>
      </c>
      <c r="M1590">
        <v>1.479525561122201E-3</v>
      </c>
      <c r="N1590">
        <v>0.13279627270954586</v>
      </c>
      <c r="O1590">
        <v>3.8128501842186552E-2</v>
      </c>
      <c r="P1590">
        <v>1.8789132529664875E-2</v>
      </c>
      <c r="Q1590">
        <v>1.3506992261016254E-3</v>
      </c>
      <c r="R1590">
        <v>1.4735305237691711E-3</v>
      </c>
      <c r="S1590">
        <v>0.23395593201456907</v>
      </c>
      <c r="T1590">
        <v>3.8495812353714132</v>
      </c>
      <c r="U1590">
        <v>0</v>
      </c>
      <c r="V1590">
        <v>9.4523053561131973E-3</v>
      </c>
      <c r="W1590">
        <v>7.8449187608681123E-2</v>
      </c>
      <c r="X1590">
        <v>1.0717588490559019E-2</v>
      </c>
      <c r="Y1590">
        <v>4.1643097589052821E-3</v>
      </c>
    </row>
    <row r="1591" spans="1:25" x14ac:dyDescent="0.25">
      <c r="A1591" s="1090"/>
      <c r="B1591" s="1448">
        <v>1341</v>
      </c>
      <c r="C1591" s="1094">
        <v>1.0225584594632178</v>
      </c>
      <c r="D1591" s="1094">
        <v>1.0058715198400319</v>
      </c>
      <c r="E1591" s="1094">
        <v>0.97759668813868417</v>
      </c>
      <c r="F1591" s="1094">
        <v>1.0008189924057294</v>
      </c>
      <c r="G1591" s="1094">
        <v>1.0002541136692105</v>
      </c>
      <c r="H1591" s="1094">
        <v>0.96606594423242087</v>
      </c>
      <c r="I1591" s="1094">
        <v>1.0338383756915044</v>
      </c>
      <c r="K1591">
        <v>4.4704739967943903</v>
      </c>
      <c r="L1591">
        <v>0</v>
      </c>
      <c r="M1591">
        <v>1.4465136711038129E-3</v>
      </c>
      <c r="N1591">
        <v>0.11712075707704599</v>
      </c>
      <c r="O1591">
        <v>3.7637398142434261E-2</v>
      </c>
      <c r="P1591">
        <v>1.883318164274448E-2</v>
      </c>
      <c r="Q1591">
        <v>1.2474870593398493E-3</v>
      </c>
      <c r="R1591">
        <v>1.4403769226182953E-3</v>
      </c>
      <c r="S1591">
        <v>0.23099638655054447</v>
      </c>
      <c r="T1591">
        <v>3.9701136381352171</v>
      </c>
      <c r="U1591">
        <v>0</v>
      </c>
      <c r="V1591">
        <v>9.4523053561132043E-3</v>
      </c>
      <c r="W1591">
        <v>7.0836531633029484E-2</v>
      </c>
      <c r="X1591">
        <v>1.0171832795506689E-2</v>
      </c>
      <c r="Y1591">
        <v>4.0706151508951988E-3</v>
      </c>
    </row>
    <row r="1592" spans="1:25" x14ac:dyDescent="0.25">
      <c r="A1592" s="1090"/>
      <c r="B1592" s="1448">
        <v>1342</v>
      </c>
      <c r="C1592" s="1094">
        <v>0.99587695141461285</v>
      </c>
      <c r="D1592" s="1094">
        <v>1.0048737962545529</v>
      </c>
      <c r="E1592" s="1094">
        <v>1.0237008535589516</v>
      </c>
      <c r="F1592" s="1094">
        <v>1.0034276316955522</v>
      </c>
      <c r="G1592" s="1094">
        <v>0.97807621369310693</v>
      </c>
      <c r="H1592" s="1094">
        <v>1.0165839704141288</v>
      </c>
      <c r="I1592" s="1094">
        <v>0.99775231658593755</v>
      </c>
      <c r="K1592">
        <v>4.5055123712211653</v>
      </c>
      <c r="L1592">
        <v>0</v>
      </c>
      <c r="M1592">
        <v>1.4225570057264264E-3</v>
      </c>
      <c r="N1592">
        <v>0.13206917796700207</v>
      </c>
      <c r="O1592">
        <v>3.8443550880792758E-2</v>
      </c>
      <c r="P1592">
        <v>1.9541219225259952E-2</v>
      </c>
      <c r="Q1592">
        <v>1.3330449261162677E-3</v>
      </c>
      <c r="R1592">
        <v>1.4168366493627622E-3</v>
      </c>
      <c r="S1592">
        <v>0.23321832195780548</v>
      </c>
      <c r="T1592">
        <v>3.9787006338160569</v>
      </c>
      <c r="U1592">
        <v>0</v>
      </c>
      <c r="V1592">
        <v>9.4523053561131904E-3</v>
      </c>
      <c r="W1592">
        <v>7.7427851531285716E-2</v>
      </c>
      <c r="X1592">
        <v>1.1327897375637698E-2</v>
      </c>
      <c r="Y1592">
        <v>4.0040885414602172E-3</v>
      </c>
    </row>
    <row r="1593" spans="1:25" x14ac:dyDescent="0.25">
      <c r="A1593" s="1090"/>
      <c r="B1593" s="1448">
        <v>1343</v>
      </c>
      <c r="C1593" s="1094">
        <v>0.95666675269300316</v>
      </c>
      <c r="D1593" s="1094">
        <v>1.0067027860452751</v>
      </c>
      <c r="E1593" s="1094">
        <v>0.96972938285188437</v>
      </c>
      <c r="F1593" s="1094">
        <v>0.98673405313711249</v>
      </c>
      <c r="G1593" s="1094">
        <v>0.97292868264947407</v>
      </c>
      <c r="H1593" s="1094">
        <v>1.0232328132225113</v>
      </c>
      <c r="I1593" s="1094">
        <v>1.0049940398268218</v>
      </c>
      <c r="K1593">
        <v>4.4489845336338147</v>
      </c>
      <c r="L1593">
        <v>0</v>
      </c>
      <c r="M1593">
        <v>1.6410043631601113E-3</v>
      </c>
      <c r="N1593">
        <v>0.12982435521459737</v>
      </c>
      <c r="O1593">
        <v>3.9705767428649924E-2</v>
      </c>
      <c r="P1593">
        <v>1.8523010196656278E-2</v>
      </c>
      <c r="Q1593">
        <v>1.3238602618386021E-3</v>
      </c>
      <c r="R1593">
        <v>1.6343380172288108E-3</v>
      </c>
      <c r="S1593">
        <v>0.24216346556988275</v>
      </c>
      <c r="T1593">
        <v>3.914540003001818</v>
      </c>
      <c r="U1593">
        <v>0</v>
      </c>
      <c r="V1593">
        <v>9.4523053561131921E-3</v>
      </c>
      <c r="W1593">
        <v>7.8946094379437448E-2</v>
      </c>
      <c r="X1593">
        <v>9.8935745582584261E-3</v>
      </c>
      <c r="Y1593">
        <v>4.6187640124935661E-3</v>
      </c>
    </row>
    <row r="1594" spans="1:25" x14ac:dyDescent="0.25">
      <c r="A1594" s="1090"/>
      <c r="B1594" s="1448">
        <v>1344</v>
      </c>
      <c r="C1594" s="1094">
        <v>1.0093165292792894</v>
      </c>
      <c r="D1594" s="1094">
        <v>0.98188703105912478</v>
      </c>
      <c r="E1594" s="1094">
        <v>1.0258562749305911</v>
      </c>
      <c r="F1594" s="1094">
        <v>1.0097537291761061</v>
      </c>
      <c r="G1594" s="1094">
        <v>1.0452794950465225</v>
      </c>
      <c r="H1594" s="1094">
        <v>1.0094872419472238</v>
      </c>
      <c r="I1594" s="1094">
        <v>1.0072454339387038</v>
      </c>
      <c r="K1594">
        <v>4.5312393727470681</v>
      </c>
      <c r="L1594">
        <v>0</v>
      </c>
      <c r="M1594">
        <v>1.4091754339736196E-3</v>
      </c>
      <c r="N1594">
        <v>0.13166309558906009</v>
      </c>
      <c r="O1594">
        <v>3.8510791066841334E-2</v>
      </c>
      <c r="P1594">
        <v>1.9693318632461074E-2</v>
      </c>
      <c r="Q1594">
        <v>1.3299423578192952E-3</v>
      </c>
      <c r="R1594">
        <v>1.4035046564980561E-3</v>
      </c>
      <c r="S1594">
        <v>0.23439441364284461</v>
      </c>
      <c r="T1594">
        <v>4.003702431562906</v>
      </c>
      <c r="U1594">
        <v>0</v>
      </c>
      <c r="V1594">
        <v>9.4523053561131869E-3</v>
      </c>
      <c r="W1594">
        <v>7.7079277236788299E-2</v>
      </c>
      <c r="X1594">
        <v>1.1453056767933741E-2</v>
      </c>
      <c r="Y1594">
        <v>3.966411311775055E-3</v>
      </c>
    </row>
    <row r="1595" spans="1:25" x14ac:dyDescent="0.25">
      <c r="A1595" s="1090"/>
      <c r="B1595" s="1448">
        <v>1345</v>
      </c>
      <c r="C1595" s="1094">
        <v>0.99297486182247674</v>
      </c>
      <c r="D1595" s="1094">
        <v>1.0095279785699545</v>
      </c>
      <c r="E1595" s="1094">
        <v>0.95711925895579997</v>
      </c>
      <c r="F1595" s="1094">
        <v>0.98942931336946005</v>
      </c>
      <c r="G1595" s="1094">
        <v>0.96044091126216335</v>
      </c>
      <c r="H1595" s="1094">
        <v>1.0027041185108734</v>
      </c>
      <c r="I1595" s="1094">
        <v>1.0127909267582271</v>
      </c>
      <c r="K1595">
        <v>4.4368651789279543</v>
      </c>
      <c r="L1595">
        <v>0</v>
      </c>
      <c r="M1595">
        <v>1.5932711778199242E-3</v>
      </c>
      <c r="N1595">
        <v>0.12140428114181269</v>
      </c>
      <c r="O1595">
        <v>3.8400831850737858E-2</v>
      </c>
      <c r="P1595">
        <v>1.8356257210587677E-2</v>
      </c>
      <c r="Q1595">
        <v>1.260007875318615E-3</v>
      </c>
      <c r="R1595">
        <v>1.586684146452101E-3</v>
      </c>
      <c r="S1595">
        <v>0.23378811856265605</v>
      </c>
      <c r="T1595">
        <v>3.9257161394827635</v>
      </c>
      <c r="U1595">
        <v>0</v>
      </c>
      <c r="V1595">
        <v>9.4523053561131991E-3</v>
      </c>
      <c r="W1595">
        <v>7.4473773415721548E-2</v>
      </c>
      <c r="X1595">
        <v>9.5359605281274077E-3</v>
      </c>
      <c r="Y1595">
        <v>4.4840905354776618E-3</v>
      </c>
    </row>
    <row r="1596" spans="1:25" x14ac:dyDescent="0.25">
      <c r="A1596" s="1090"/>
      <c r="B1596" s="1448">
        <v>1346</v>
      </c>
      <c r="C1596" s="1094">
        <v>0.9595680524696969</v>
      </c>
      <c r="D1596" s="1094">
        <v>1.0207490714301406</v>
      </c>
      <c r="E1596" s="1094">
        <v>0.97334641314888559</v>
      </c>
      <c r="F1596" s="1094">
        <v>1.0353838843296588</v>
      </c>
      <c r="G1596" s="1094">
        <v>0.99236886361373566</v>
      </c>
      <c r="H1596" s="1094">
        <v>1.0010846506418627</v>
      </c>
      <c r="I1596" s="1094">
        <v>1.0098537908671814</v>
      </c>
      <c r="K1596">
        <v>4.6548567238885763</v>
      </c>
      <c r="L1596">
        <v>0</v>
      </c>
      <c r="M1596">
        <v>1.6573226637775942E-3</v>
      </c>
      <c r="N1596">
        <v>0.13254497770358628</v>
      </c>
      <c r="O1596">
        <v>4.1281411879705909E-2</v>
      </c>
      <c r="P1596">
        <v>1.945947807156747E-2</v>
      </c>
      <c r="Q1596">
        <v>1.3167123408681467E-3</v>
      </c>
      <c r="R1596">
        <v>1.6507631388993306E-3</v>
      </c>
      <c r="S1596">
        <v>0.24784588676777478</v>
      </c>
      <c r="T1596">
        <v>4.1073974769836479</v>
      </c>
      <c r="U1596">
        <v>0</v>
      </c>
      <c r="V1596">
        <v>9.4523053561131817E-3</v>
      </c>
      <c r="W1596">
        <v>8.0399856384054058E-2</v>
      </c>
      <c r="X1596">
        <v>1.049999526580472E-2</v>
      </c>
      <c r="Y1596">
        <v>4.6651826603331739E-3</v>
      </c>
    </row>
    <row r="1597" spans="1:25" x14ac:dyDescent="0.25">
      <c r="A1597" s="1090"/>
      <c r="B1597" s="1448">
        <v>1347</v>
      </c>
      <c r="C1597" s="1094">
        <v>0.993783243643795</v>
      </c>
      <c r="D1597" s="1094">
        <v>1.002446365903193</v>
      </c>
      <c r="E1597" s="1094">
        <v>1.037765554719037</v>
      </c>
      <c r="F1597" s="1094">
        <v>1.0078364083942037</v>
      </c>
      <c r="G1597" s="1094">
        <v>0.99455803428125111</v>
      </c>
      <c r="H1597" s="1094">
        <v>0.99627845212684218</v>
      </c>
      <c r="I1597" s="1094">
        <v>0.97713872812073799</v>
      </c>
      <c r="K1597">
        <v>4.5173087070558928</v>
      </c>
      <c r="L1597">
        <v>0</v>
      </c>
      <c r="M1597">
        <v>1.3633711637553603E-3</v>
      </c>
      <c r="N1597">
        <v>0.1319396373726606</v>
      </c>
      <c r="O1597">
        <v>3.8633000399017306E-2</v>
      </c>
      <c r="P1597">
        <v>1.9797383922496602E-2</v>
      </c>
      <c r="Q1597">
        <v>1.3530468673871197E-3</v>
      </c>
      <c r="R1597">
        <v>1.3578014380267176E-3</v>
      </c>
      <c r="S1597">
        <v>0.22820830931917885</v>
      </c>
      <c r="T1597">
        <v>3.9956502738175788</v>
      </c>
      <c r="U1597">
        <v>0</v>
      </c>
      <c r="V1597">
        <v>9.4523053561132026E-3</v>
      </c>
      <c r="W1597">
        <v>7.6635056376297611E-2</v>
      </c>
      <c r="X1597">
        <v>1.1808012823785938E-2</v>
      </c>
      <c r="Y1597">
        <v>3.8372505270993858E-3</v>
      </c>
    </row>
    <row r="1598" spans="1:25" x14ac:dyDescent="0.25">
      <c r="A1598" s="1090"/>
      <c r="B1598" s="1448">
        <v>1348</v>
      </c>
      <c r="C1598" s="1094">
        <v>1.0399328516158499</v>
      </c>
      <c r="D1598" s="1094">
        <v>0.99960087794365216</v>
      </c>
      <c r="E1598" s="1094">
        <v>0.98312236662059693</v>
      </c>
      <c r="F1598" s="1094">
        <v>1.0068506978286988</v>
      </c>
      <c r="G1598" s="1094">
        <v>1.0197156680483275</v>
      </c>
      <c r="H1598" s="1094">
        <v>1.020032746352306</v>
      </c>
      <c r="I1598" s="1094">
        <v>1.000606167213258</v>
      </c>
      <c r="K1598">
        <v>4.4977509398734492</v>
      </c>
      <c r="L1598">
        <v>0</v>
      </c>
      <c r="M1598">
        <v>1.4971308571866977E-3</v>
      </c>
      <c r="N1598">
        <v>0.12325377256172788</v>
      </c>
      <c r="O1598">
        <v>3.728825419499588E-2</v>
      </c>
      <c r="P1598">
        <v>1.8992340028630247E-2</v>
      </c>
      <c r="Q1598">
        <v>1.2356283018026947E-3</v>
      </c>
      <c r="R1598">
        <v>1.4911512958147948E-3</v>
      </c>
      <c r="S1598">
        <v>0.22510661008184368</v>
      </c>
      <c r="T1598">
        <v>3.9938267034137875</v>
      </c>
      <c r="U1598">
        <v>0</v>
      </c>
      <c r="V1598">
        <v>9.45230535611318E-3</v>
      </c>
      <c r="W1598">
        <v>7.426426386273266E-2</v>
      </c>
      <c r="X1598">
        <v>1.0122934227201915E-2</v>
      </c>
      <c r="Y1598">
        <v>4.2141074059885205E-3</v>
      </c>
    </row>
    <row r="1599" spans="1:25" x14ac:dyDescent="0.25">
      <c r="A1599" s="1090"/>
      <c r="B1599" s="1448">
        <v>1349</v>
      </c>
      <c r="C1599" s="1094">
        <v>1.0327597102413784</v>
      </c>
      <c r="D1599" s="1094">
        <v>1.0256582594428936</v>
      </c>
      <c r="E1599" s="1094">
        <v>0.97958270350496213</v>
      </c>
      <c r="F1599" s="1094">
        <v>1.0129021805871619</v>
      </c>
      <c r="G1599" s="1094">
        <v>0.99367289645975598</v>
      </c>
      <c r="H1599" s="1094">
        <v>1.0195697662772303</v>
      </c>
      <c r="I1599" s="1094">
        <v>0.98894825799313923</v>
      </c>
      <c r="K1599">
        <v>4.5201240208997131</v>
      </c>
      <c r="L1599">
        <v>0</v>
      </c>
      <c r="M1599">
        <v>1.5115340909405105E-3</v>
      </c>
      <c r="N1599">
        <v>0.12314218320261312</v>
      </c>
      <c r="O1599">
        <v>3.7409614831017006E-2</v>
      </c>
      <c r="P1599">
        <v>1.9040974269620439E-2</v>
      </c>
      <c r="Q1599">
        <v>1.2276942010712179E-3</v>
      </c>
      <c r="R1599">
        <v>1.5055301996739856E-3</v>
      </c>
      <c r="S1599">
        <v>0.2231801583880538</v>
      </c>
      <c r="T1599">
        <v>4.0179686069604656</v>
      </c>
      <c r="U1599">
        <v>0</v>
      </c>
      <c r="V1599">
        <v>9.4523053561131852E-3</v>
      </c>
      <c r="W1599">
        <v>7.4377017813293547E-2</v>
      </c>
      <c r="X1599">
        <v>1.0076726482659497E-2</v>
      </c>
      <c r="Y1599">
        <v>4.2547432860719709E-3</v>
      </c>
    </row>
    <row r="1600" spans="1:25" x14ac:dyDescent="0.25">
      <c r="A1600" s="1090"/>
      <c r="B1600" s="1448">
        <v>1350</v>
      </c>
      <c r="C1600" s="1094">
        <v>1.0195020339566001</v>
      </c>
      <c r="D1600" s="1094">
        <v>0.9765660573482059</v>
      </c>
      <c r="E1600" s="1094">
        <v>0.99619543773473918</v>
      </c>
      <c r="F1600" s="1094">
        <v>1.0291184887732485</v>
      </c>
      <c r="G1600" s="1094">
        <v>0.98694229346688922</v>
      </c>
      <c r="H1600" s="1094">
        <v>0.99300494231166303</v>
      </c>
      <c r="I1600" s="1094">
        <v>1.0150934200650981</v>
      </c>
      <c r="K1600">
        <v>4.6061722844869433</v>
      </c>
      <c r="L1600">
        <v>0</v>
      </c>
      <c r="M1600">
        <v>1.4920693137002654E-3</v>
      </c>
      <c r="N1600">
        <v>0.12768971448945246</v>
      </c>
      <c r="O1600">
        <v>3.9149636205344861E-2</v>
      </c>
      <c r="P1600">
        <v>1.9627724880253196E-2</v>
      </c>
      <c r="Q1600">
        <v>1.2866282243550694E-3</v>
      </c>
      <c r="R1600">
        <v>1.4860796939863558E-3</v>
      </c>
      <c r="S1600">
        <v>0.23599211306088969</v>
      </c>
      <c r="T1600">
        <v>4.081640370763683</v>
      </c>
      <c r="U1600">
        <v>0</v>
      </c>
      <c r="V1600">
        <v>9.4523053561131904E-3</v>
      </c>
      <c r="W1600">
        <v>7.6255502060572911E-2</v>
      </c>
      <c r="X1600">
        <v>1.0884504393968979E-2</v>
      </c>
      <c r="Y1600">
        <v>4.1997746720228678E-3</v>
      </c>
    </row>
    <row r="1601" spans="1:25" x14ac:dyDescent="0.25">
      <c r="A1601" s="1090"/>
      <c r="B1601" s="1448">
        <v>1351</v>
      </c>
      <c r="C1601" s="1094">
        <v>1.0038674496378606</v>
      </c>
      <c r="D1601" s="1094">
        <v>0.98913410702223437</v>
      </c>
      <c r="E1601" s="1094">
        <v>1.0058441402301244</v>
      </c>
      <c r="F1601" s="1094">
        <v>1.0073242446861488</v>
      </c>
      <c r="G1601" s="1094">
        <v>0.99985260811259646</v>
      </c>
      <c r="H1601" s="1094">
        <v>0.98143577169634422</v>
      </c>
      <c r="I1601" s="1094">
        <v>0.99086907627173459</v>
      </c>
      <c r="K1601">
        <v>4.5079115966796541</v>
      </c>
      <c r="L1601">
        <v>0</v>
      </c>
      <c r="M1601">
        <v>1.4292397933166872E-3</v>
      </c>
      <c r="N1601">
        <v>0.12584275429623792</v>
      </c>
      <c r="O1601">
        <v>3.865202513880512E-2</v>
      </c>
      <c r="P1601">
        <v>1.9339843770251466E-2</v>
      </c>
      <c r="Q1601">
        <v>1.3107876463521004E-3</v>
      </c>
      <c r="R1601">
        <v>1.4233096728372937E-3</v>
      </c>
      <c r="S1601">
        <v>0.228816592219237</v>
      </c>
      <c r="T1601">
        <v>3.9948311486075032</v>
      </c>
      <c r="U1601">
        <v>0</v>
      </c>
      <c r="V1601">
        <v>9.4523053561132026E-3</v>
      </c>
      <c r="W1601">
        <v>7.4664346294119194E-2</v>
      </c>
      <c r="X1601">
        <v>1.0985341671517459E-2</v>
      </c>
      <c r="Y1601">
        <v>4.022381799991208E-3</v>
      </c>
    </row>
    <row r="1602" spans="1:25" x14ac:dyDescent="0.25">
      <c r="A1602" s="1090"/>
      <c r="B1602" s="1448">
        <v>1352</v>
      </c>
      <c r="C1602" s="1094">
        <v>1.0038500750205557</v>
      </c>
      <c r="D1602" s="1094">
        <v>0.97280903286213627</v>
      </c>
      <c r="E1602" s="1094">
        <v>0.98571483112831504</v>
      </c>
      <c r="F1602" s="1094">
        <v>1.0210032018991948</v>
      </c>
      <c r="G1602" s="1094">
        <v>0.99252210801788754</v>
      </c>
      <c r="H1602" s="1094">
        <v>1.0350644444062935</v>
      </c>
      <c r="I1602" s="1094">
        <v>1.0110313491602736</v>
      </c>
      <c r="K1602">
        <v>4.5887521287168589</v>
      </c>
      <c r="L1602">
        <v>0</v>
      </c>
      <c r="M1602">
        <v>1.6045058962977459E-3</v>
      </c>
      <c r="N1602">
        <v>0.13312836351518625</v>
      </c>
      <c r="O1602">
        <v>3.9581281386939449E-2</v>
      </c>
      <c r="P1602">
        <v>1.9353438398295029E-2</v>
      </c>
      <c r="Q1602">
        <v>1.2969357396425769E-3</v>
      </c>
      <c r="R1602">
        <v>1.598277731368938E-3</v>
      </c>
      <c r="S1602">
        <v>0.24102876935574458</v>
      </c>
      <c r="T1602">
        <v>4.0498632035234285</v>
      </c>
      <c r="U1602">
        <v>0</v>
      </c>
      <c r="V1602">
        <v>9.4523053561131869E-3</v>
      </c>
      <c r="W1602">
        <v>8.0072094180450443E-2</v>
      </c>
      <c r="X1602">
        <v>1.0465110534407684E-2</v>
      </c>
      <c r="Y1602">
        <v>4.516854891580979E-3</v>
      </c>
    </row>
    <row r="1603" spans="1:25" x14ac:dyDescent="0.25">
      <c r="A1603" s="1090"/>
      <c r="B1603" s="1448">
        <v>1353</v>
      </c>
      <c r="C1603" s="1094">
        <v>1.0282204394776733</v>
      </c>
      <c r="D1603" s="1094">
        <v>0.98028845957234201</v>
      </c>
      <c r="E1603" s="1094">
        <v>0.99459661392347842</v>
      </c>
      <c r="F1603" s="1094">
        <v>0.97440062887119783</v>
      </c>
      <c r="G1603" s="1094">
        <v>1.0139214988893956</v>
      </c>
      <c r="H1603" s="1094">
        <v>1.0050508672486842</v>
      </c>
      <c r="I1603" s="1094">
        <v>1.0050288697939489</v>
      </c>
      <c r="K1603">
        <v>4.3621351604200713</v>
      </c>
      <c r="L1603">
        <v>0</v>
      </c>
      <c r="M1603">
        <v>1.420683053184639E-3</v>
      </c>
      <c r="N1603">
        <v>0.12098466203823</v>
      </c>
      <c r="O1603">
        <v>3.6708349189046204E-2</v>
      </c>
      <c r="P1603">
        <v>1.8566661479468536E-2</v>
      </c>
      <c r="Q1603">
        <v>1.27202954000286E-3</v>
      </c>
      <c r="R1603">
        <v>1.4147332659135944E-3</v>
      </c>
      <c r="S1603">
        <v>0.22393223683820362</v>
      </c>
      <c r="T1603">
        <v>3.8646804798463448</v>
      </c>
      <c r="U1603">
        <v>0</v>
      </c>
      <c r="V1603">
        <v>9.4523053561131852E-3</v>
      </c>
      <c r="W1603">
        <v>7.2329648411706887E-2</v>
      </c>
      <c r="X1603">
        <v>1.0216593288980119E-2</v>
      </c>
      <c r="Y1603">
        <v>3.9981442192471399E-3</v>
      </c>
    </row>
    <row r="1604" spans="1:25" x14ac:dyDescent="0.25">
      <c r="A1604" s="1090"/>
      <c r="B1604" s="1448">
        <v>1354</v>
      </c>
      <c r="C1604" s="1094">
        <v>1.0291977173588214</v>
      </c>
      <c r="D1604" s="1094">
        <v>0.99283103474745416</v>
      </c>
      <c r="E1604" s="1094">
        <v>1.0139466247725464</v>
      </c>
      <c r="F1604" s="1094">
        <v>0.99630726609324149</v>
      </c>
      <c r="G1604" s="1094">
        <v>0.99859297762383559</v>
      </c>
      <c r="H1604" s="1094">
        <v>1.001083302700212</v>
      </c>
      <c r="I1604" s="1094">
        <v>0.99083471007842983</v>
      </c>
      <c r="K1604">
        <v>4.4534630769111034</v>
      </c>
      <c r="L1604">
        <v>0</v>
      </c>
      <c r="M1604">
        <v>1.3805900292320848E-3</v>
      </c>
      <c r="N1604">
        <v>0.12451522387547985</v>
      </c>
      <c r="O1604">
        <v>3.7178713737788735E-2</v>
      </c>
      <c r="P1604">
        <v>1.9225669058046544E-2</v>
      </c>
      <c r="Q1604">
        <v>1.2854603944972291E-3</v>
      </c>
      <c r="R1604">
        <v>1.3749123448167722E-3</v>
      </c>
      <c r="S1604">
        <v>0.22271315276885872</v>
      </c>
      <c r="T1604">
        <v>3.9508342632857993</v>
      </c>
      <c r="U1604">
        <v>0</v>
      </c>
      <c r="V1604">
        <v>9.4523053561131869E-3</v>
      </c>
      <c r="W1604">
        <v>7.3475929261553816E-2</v>
      </c>
      <c r="X1604">
        <v>1.0902429601338836E-2</v>
      </c>
      <c r="Y1604">
        <v>3.8856072560440155E-3</v>
      </c>
    </row>
    <row r="1605" spans="1:25" x14ac:dyDescent="0.25">
      <c r="A1605" s="1090"/>
      <c r="B1605" s="1448">
        <v>1355</v>
      </c>
      <c r="C1605" s="1094">
        <v>1.0013796257830279</v>
      </c>
      <c r="D1605" s="1094">
        <v>1.0264568142486292</v>
      </c>
      <c r="E1605" s="1094">
        <v>1.0046942381476858</v>
      </c>
      <c r="F1605" s="1094">
        <v>1.0140378899545988</v>
      </c>
      <c r="G1605" s="1094">
        <v>0.97066968725341873</v>
      </c>
      <c r="H1605" s="1094">
        <v>1.0047654487341957</v>
      </c>
      <c r="I1605" s="1094">
        <v>1.0146517140977067</v>
      </c>
      <c r="K1605">
        <v>4.5442990625808672</v>
      </c>
      <c r="L1605">
        <v>0</v>
      </c>
      <c r="M1605">
        <v>1.4584013719994E-3</v>
      </c>
      <c r="N1605">
        <v>0.12798961414810245</v>
      </c>
      <c r="O1605">
        <v>3.8440589657853248E-2</v>
      </c>
      <c r="P1605">
        <v>1.9473971659604423E-2</v>
      </c>
      <c r="Q1605">
        <v>1.2934486538855353E-3</v>
      </c>
      <c r="R1605">
        <v>1.4525297311230529E-3</v>
      </c>
      <c r="S1605">
        <v>0.23514186783896135</v>
      </c>
      <c r="T1605">
        <v>4.0215003101411337</v>
      </c>
      <c r="U1605">
        <v>0</v>
      </c>
      <c r="V1605">
        <v>9.4523053561131887E-3</v>
      </c>
      <c r="W1605">
        <v>7.5996940204049498E-2</v>
      </c>
      <c r="X1605">
        <v>1.0910926646485188E-2</v>
      </c>
      <c r="Y1605">
        <v>4.1049599155526797E-3</v>
      </c>
    </row>
    <row r="1606" spans="1:25" x14ac:dyDescent="0.25">
      <c r="A1606" s="1090"/>
      <c r="B1606" s="1448">
        <v>1356</v>
      </c>
      <c r="C1606" s="1094">
        <v>1.0062582633943344</v>
      </c>
      <c r="D1606" s="1094">
        <v>0.98212811037468695</v>
      </c>
      <c r="E1606" s="1094">
        <v>1.0180381355126622</v>
      </c>
      <c r="F1606" s="1094">
        <v>1.0201191959397731</v>
      </c>
      <c r="G1606" s="1094">
        <v>1.0192739346968573</v>
      </c>
      <c r="H1606" s="1094">
        <v>1.0166111113652889</v>
      </c>
      <c r="I1606" s="1094">
        <v>0.98275880248206715</v>
      </c>
      <c r="K1606">
        <v>4.573681140794096</v>
      </c>
      <c r="L1606">
        <v>0</v>
      </c>
      <c r="M1606">
        <v>1.461794252049495E-3</v>
      </c>
      <c r="N1606">
        <v>0.13346615092128147</v>
      </c>
      <c r="O1606">
        <v>3.9075519067958378E-2</v>
      </c>
      <c r="P1606">
        <v>1.9758667844798752E-2</v>
      </c>
      <c r="Q1606">
        <v>1.3250687708179379E-3</v>
      </c>
      <c r="R1606">
        <v>1.4560120635260531E-3</v>
      </c>
      <c r="S1606">
        <v>0.231508632479933</v>
      </c>
      <c r="T1606">
        <v>4.045102244072031</v>
      </c>
      <c r="U1606">
        <v>0</v>
      </c>
      <c r="V1606">
        <v>9.4523053561131783E-3</v>
      </c>
      <c r="W1606">
        <v>7.8542682495326685E-2</v>
      </c>
      <c r="X1606">
        <v>1.1340850721574699E-2</v>
      </c>
      <c r="Y1606">
        <v>4.1148012527870616E-3</v>
      </c>
    </row>
    <row r="1607" spans="1:25" x14ac:dyDescent="0.25">
      <c r="A1607" s="1090"/>
      <c r="B1607" s="1448">
        <v>1357</v>
      </c>
      <c r="C1607" s="1094">
        <v>0.95816433894203012</v>
      </c>
      <c r="D1607" s="1094">
        <v>1.0087664210151335</v>
      </c>
      <c r="E1607" s="1094">
        <v>0.98276300133632666</v>
      </c>
      <c r="F1607" s="1094">
        <v>1.0122478827606227</v>
      </c>
      <c r="G1607" s="1094">
        <v>1.0258188017144321</v>
      </c>
      <c r="H1607" s="1094">
        <v>1.014588935771503</v>
      </c>
      <c r="I1607" s="1094">
        <v>0.97865348402849717</v>
      </c>
      <c r="K1607">
        <v>4.5530543532618539</v>
      </c>
      <c r="L1607">
        <v>0</v>
      </c>
      <c r="M1607">
        <v>1.6201515203558899E-3</v>
      </c>
      <c r="N1607">
        <v>0.13323951089122946</v>
      </c>
      <c r="O1607">
        <v>4.0541638828160989E-2</v>
      </c>
      <c r="P1607">
        <v>1.9144610397854395E-2</v>
      </c>
      <c r="Q1607">
        <v>1.3357719733824483E-3</v>
      </c>
      <c r="R1607">
        <v>1.6136804395459326E-3</v>
      </c>
      <c r="S1607">
        <v>0.23874304826623213</v>
      </c>
      <c r="T1607">
        <v>4.0152494276985022</v>
      </c>
      <c r="U1607">
        <v>0</v>
      </c>
      <c r="V1607">
        <v>9.4523053561131904E-3</v>
      </c>
      <c r="W1607">
        <v>8.0300713416386851E-2</v>
      </c>
      <c r="X1607">
        <v>1.0493413393971536E-2</v>
      </c>
      <c r="Y1607">
        <v>4.5603841208303056E-3</v>
      </c>
    </row>
    <row r="1608" spans="1:25" x14ac:dyDescent="0.25">
      <c r="A1608" s="1090"/>
      <c r="B1608" s="1448">
        <v>1358</v>
      </c>
      <c r="C1608" s="1094">
        <v>0.99690805585372533</v>
      </c>
      <c r="D1608" s="1094">
        <v>1.0258905925400761</v>
      </c>
      <c r="E1608" s="1094">
        <v>1.0282483483752034</v>
      </c>
      <c r="F1608" s="1094">
        <v>0.96482694488624421</v>
      </c>
      <c r="G1608" s="1094">
        <v>0.99876332102708798</v>
      </c>
      <c r="H1608" s="1094">
        <v>1.0068670122421699</v>
      </c>
      <c r="I1608" s="1094">
        <v>0.97062383898255056</v>
      </c>
      <c r="K1608">
        <v>4.3232469946256566</v>
      </c>
      <c r="L1608">
        <v>0</v>
      </c>
      <c r="M1608">
        <v>1.3295728523911659E-3</v>
      </c>
      <c r="N1608">
        <v>0.12508261426582434</v>
      </c>
      <c r="O1608">
        <v>3.6591941143480036E-2</v>
      </c>
      <c r="P1608">
        <v>1.8826701694590966E-2</v>
      </c>
      <c r="Q1608">
        <v>1.3257586652588114E-3</v>
      </c>
      <c r="R1608">
        <v>1.3239597585725437E-3</v>
      </c>
      <c r="S1608">
        <v>0.2186408976606595</v>
      </c>
      <c r="T1608">
        <v>3.8254797254696475</v>
      </c>
      <c r="U1608">
        <v>0</v>
      </c>
      <c r="V1608">
        <v>9.4523053561131956E-3</v>
      </c>
      <c r="W1608">
        <v>7.3110727813992554E-2</v>
      </c>
      <c r="X1608">
        <v>1.1000324292635602E-2</v>
      </c>
      <c r="Y1608">
        <v>3.741611357271888E-3</v>
      </c>
    </row>
    <row r="1609" spans="1:25" x14ac:dyDescent="0.25">
      <c r="A1609" s="1090"/>
      <c r="B1609" s="1448">
        <v>1359</v>
      </c>
      <c r="C1609" s="1094">
        <v>0.98916425276100262</v>
      </c>
      <c r="D1609" s="1094">
        <v>0.99247891522732079</v>
      </c>
      <c r="E1609" s="1094">
        <v>0.99597782812843183</v>
      </c>
      <c r="F1609" s="1094">
        <v>0.98994047976606114</v>
      </c>
      <c r="G1609" s="1094">
        <v>1.0032796772958932</v>
      </c>
      <c r="H1609" s="1094">
        <v>0.97643006953234757</v>
      </c>
      <c r="I1609" s="1094">
        <v>0.98285744765814465</v>
      </c>
      <c r="K1609">
        <v>4.4337233200611408</v>
      </c>
      <c r="L1609">
        <v>0</v>
      </c>
      <c r="M1609">
        <v>1.4461111239564587E-3</v>
      </c>
      <c r="N1609">
        <v>0.1236484281023707</v>
      </c>
      <c r="O1609">
        <v>3.8565603450943266E-2</v>
      </c>
      <c r="P1609">
        <v>1.8879304377171321E-2</v>
      </c>
      <c r="Q1609">
        <v>1.3172969763098352E-3</v>
      </c>
      <c r="R1609">
        <v>1.4399747760946279E-3</v>
      </c>
      <c r="S1609">
        <v>0.22705205039954915</v>
      </c>
      <c r="T1609">
        <v>3.9262626503874665</v>
      </c>
      <c r="U1609">
        <v>0</v>
      </c>
      <c r="V1609">
        <v>9.452305356113206E-3</v>
      </c>
      <c r="W1609">
        <v>7.3852961148440019E-2</v>
      </c>
      <c r="X1609">
        <v>1.0629377556515916E-2</v>
      </c>
      <c r="Y1609">
        <v>4.0694786541168792E-3</v>
      </c>
    </row>
    <row r="1610" spans="1:25" x14ac:dyDescent="0.25">
      <c r="A1610" s="1090"/>
      <c r="B1610" s="1448">
        <v>1360</v>
      </c>
      <c r="C1610" s="1094">
        <v>1.0016128789601983</v>
      </c>
      <c r="D1610" s="1094">
        <v>1.0139704007053338</v>
      </c>
      <c r="E1610" s="1094">
        <v>1.0025573434206629</v>
      </c>
      <c r="F1610" s="1094">
        <v>0.96916017850805081</v>
      </c>
      <c r="G1610" s="1094">
        <v>1.0153306492815668</v>
      </c>
      <c r="H1610" s="1094">
        <v>0.96029663643279817</v>
      </c>
      <c r="I1610" s="1094">
        <v>1.0213147500625437</v>
      </c>
      <c r="K1610">
        <v>4.338140509523619</v>
      </c>
      <c r="L1610">
        <v>0</v>
      </c>
      <c r="M1610">
        <v>1.3446863639856716E-3</v>
      </c>
      <c r="N1610">
        <v>0.11722051539763048</v>
      </c>
      <c r="O1610">
        <v>3.6925179025905509E-2</v>
      </c>
      <c r="P1610">
        <v>1.8595286240596514E-2</v>
      </c>
      <c r="Q1610">
        <v>1.2971215587612333E-3</v>
      </c>
      <c r="R1610">
        <v>1.3387606595723709E-3</v>
      </c>
      <c r="S1610">
        <v>0.22702077535305243</v>
      </c>
      <c r="T1610">
        <v>3.843601730630553</v>
      </c>
      <c r="U1610">
        <v>0</v>
      </c>
      <c r="V1610">
        <v>9.4523053561131973E-3</v>
      </c>
      <c r="W1610">
        <v>6.9702876789724116E-2</v>
      </c>
      <c r="X1610">
        <v>1.0547205042199808E-2</v>
      </c>
      <c r="Y1610">
        <v>3.7834398334927353E-3</v>
      </c>
    </row>
    <row r="1611" spans="1:25" x14ac:dyDescent="0.25">
      <c r="A1611" s="1090"/>
      <c r="B1611" s="1448">
        <v>1361</v>
      </c>
      <c r="C1611" s="1094">
        <v>0.99969678597722755</v>
      </c>
      <c r="D1611" s="1094">
        <v>1.035012849030017</v>
      </c>
      <c r="E1611" s="1094">
        <v>1.0153611679817973</v>
      </c>
      <c r="F1611" s="1094">
        <v>0.98974918293408587</v>
      </c>
      <c r="G1611" s="1094">
        <v>0.99201030664642809</v>
      </c>
      <c r="H1611" s="1094">
        <v>0.9992670981771099</v>
      </c>
      <c r="I1611" s="1094">
        <v>1.0244197236304549</v>
      </c>
      <c r="K1611">
        <v>4.4387910798743881</v>
      </c>
      <c r="L1611">
        <v>0</v>
      </c>
      <c r="M1611">
        <v>1.3820556299478949E-3</v>
      </c>
      <c r="N1611">
        <v>0.12516600440072179</v>
      </c>
      <c r="O1611">
        <v>3.7386789685776599E-2</v>
      </c>
      <c r="P1611">
        <v>1.9172729130317985E-2</v>
      </c>
      <c r="Q1611">
        <v>1.3031148055120578E-3</v>
      </c>
      <c r="R1611">
        <v>1.3763240154880377E-3</v>
      </c>
      <c r="S1611">
        <v>0.23291476553594259</v>
      </c>
      <c r="T1611">
        <v>3.9247753988858123</v>
      </c>
      <c r="U1611">
        <v>0</v>
      </c>
      <c r="V1611">
        <v>9.4523053561131939E-3</v>
      </c>
      <c r="W1611">
        <v>7.3790068596528827E-2</v>
      </c>
      <c r="X1611">
        <v>1.0946038346978723E-2</v>
      </c>
      <c r="Y1611">
        <v>3.8895967451369677E-3</v>
      </c>
    </row>
    <row r="1612" spans="1:25" x14ac:dyDescent="0.25">
      <c r="A1612" s="1090"/>
      <c r="B1612" s="1448">
        <v>1362</v>
      </c>
      <c r="C1612" s="1094">
        <v>1.0182229333526893</v>
      </c>
      <c r="D1612" s="1094">
        <v>0.99550741321519221</v>
      </c>
      <c r="E1612" s="1094">
        <v>1.01168671880701</v>
      </c>
      <c r="F1612" s="1094">
        <v>0.97801251431909719</v>
      </c>
      <c r="G1612" s="1094">
        <v>1.0042368157821135</v>
      </c>
      <c r="H1612" s="1094">
        <v>1.0228315183369381</v>
      </c>
      <c r="I1612" s="1094">
        <v>0.9793311470444912</v>
      </c>
      <c r="K1612">
        <v>4.3807886695725546</v>
      </c>
      <c r="L1612">
        <v>0</v>
      </c>
      <c r="M1612">
        <v>1.4048903100845672E-3</v>
      </c>
      <c r="N1612">
        <v>0.12586364049840529</v>
      </c>
      <c r="O1612">
        <v>3.6864642420242198E-2</v>
      </c>
      <c r="P1612">
        <v>1.8853864456332838E-2</v>
      </c>
      <c r="Q1612">
        <v>1.295426139766202E-3</v>
      </c>
      <c r="R1612">
        <v>1.3991302038874952E-3</v>
      </c>
      <c r="S1612">
        <v>0.22111732985197841</v>
      </c>
      <c r="T1612">
        <v>3.8783704709012716</v>
      </c>
      <c r="U1612">
        <v>0</v>
      </c>
      <c r="V1612">
        <v>9.4523053561131904E-3</v>
      </c>
      <c r="W1612">
        <v>7.4384172341579402E-2</v>
      </c>
      <c r="X1612">
        <v>1.0638528938337754E-2</v>
      </c>
      <c r="Y1612">
        <v>3.9540487747239516E-3</v>
      </c>
    </row>
    <row r="1613" spans="1:25" x14ac:dyDescent="0.25">
      <c r="A1613" s="1090"/>
      <c r="B1613" s="1448">
        <v>1363</v>
      </c>
      <c r="C1613" s="1094">
        <v>1.0110023594932036</v>
      </c>
      <c r="D1613" s="1094">
        <v>0.98592451073664378</v>
      </c>
      <c r="E1613" s="1094">
        <v>1.0081650383295975</v>
      </c>
      <c r="F1613" s="1094">
        <v>0.99537665472403891</v>
      </c>
      <c r="G1613" s="1094">
        <v>1.0010248599760643</v>
      </c>
      <c r="H1613" s="1094">
        <v>1.0176315113840626</v>
      </c>
      <c r="I1613" s="1094">
        <v>1.0147263655104339</v>
      </c>
      <c r="K1613">
        <v>4.4684965032133697</v>
      </c>
      <c r="L1613">
        <v>0</v>
      </c>
      <c r="M1613">
        <v>1.4488952588862486E-3</v>
      </c>
      <c r="N1613">
        <v>0.12846611295461854</v>
      </c>
      <c r="O1613">
        <v>3.7957581899731301E-2</v>
      </c>
      <c r="P1613">
        <v>1.9178665742326129E-2</v>
      </c>
      <c r="Q1613">
        <v>1.3058135076067666E-3</v>
      </c>
      <c r="R1613">
        <v>1.4430281066848555E-3</v>
      </c>
      <c r="S1613">
        <v>0.23379772079780176</v>
      </c>
      <c r="T1613">
        <v>3.9473619069870898</v>
      </c>
      <c r="U1613">
        <v>0</v>
      </c>
      <c r="V1613">
        <v>9.4523053561131887E-3</v>
      </c>
      <c r="W1613">
        <v>7.6101919910481014E-2</v>
      </c>
      <c r="X1613">
        <v>1.0802235610326999E-2</v>
      </c>
      <c r="Y1613">
        <v>4.0781075994756255E-3</v>
      </c>
    </row>
    <row r="1614" spans="1:25" x14ac:dyDescent="0.25">
      <c r="A1614" s="1090"/>
      <c r="B1614" s="1448">
        <v>1364</v>
      </c>
      <c r="C1614" s="1094">
        <v>1.0098658466243557</v>
      </c>
      <c r="D1614" s="1094">
        <v>0.99501813605460265</v>
      </c>
      <c r="E1614" s="1094">
        <v>0.99038881982857707</v>
      </c>
      <c r="F1614" s="1094">
        <v>1.0290190542708606</v>
      </c>
      <c r="G1614" s="1094">
        <v>1.0176199827221808</v>
      </c>
      <c r="H1614" s="1094">
        <v>1.0257960640272934</v>
      </c>
      <c r="I1614" s="1094">
        <v>0.99122399022067642</v>
      </c>
      <c r="K1614">
        <v>4.6102322789229007</v>
      </c>
      <c r="L1614">
        <v>0</v>
      </c>
      <c r="M1614">
        <v>1.5632723512668998E-3</v>
      </c>
      <c r="N1614">
        <v>0.13151693845771467</v>
      </c>
      <c r="O1614">
        <v>3.926525441055044E-2</v>
      </c>
      <c r="P1614">
        <v>1.9531967420265195E-2</v>
      </c>
      <c r="Q1614">
        <v>1.282789035319675E-3</v>
      </c>
      <c r="R1614">
        <v>1.557196920500712E-3</v>
      </c>
      <c r="S1614">
        <v>0.23383420219342976</v>
      </c>
      <c r="T1614">
        <v>4.08147428226538</v>
      </c>
      <c r="U1614">
        <v>0</v>
      </c>
      <c r="V1614">
        <v>9.4523053561131973E-3</v>
      </c>
      <c r="W1614">
        <v>7.8851353084165007E-2</v>
      </c>
      <c r="X1614">
        <v>1.0628504747028712E-2</v>
      </c>
      <c r="Y1614">
        <v>4.4007573836958329E-3</v>
      </c>
    </row>
    <row r="1615" spans="1:25" x14ac:dyDescent="0.25">
      <c r="A1615" s="1090"/>
      <c r="B1615" s="1448">
        <v>1365</v>
      </c>
      <c r="C1615" s="1094">
        <v>1.0401026470478887</v>
      </c>
      <c r="D1615" s="1094">
        <v>1.0192943982763438</v>
      </c>
      <c r="E1615" s="1094">
        <v>1.0200479693294775</v>
      </c>
      <c r="F1615" s="1094">
        <v>0.96639333087581369</v>
      </c>
      <c r="G1615" s="1094">
        <v>1.0144721430939956</v>
      </c>
      <c r="H1615" s="1094">
        <v>0.96748804737849403</v>
      </c>
      <c r="I1615" s="1094">
        <v>0.98083952808199071</v>
      </c>
      <c r="K1615">
        <v>4.3030093614670735</v>
      </c>
      <c r="L1615">
        <v>0</v>
      </c>
      <c r="M1615">
        <v>1.2511639324595269E-3</v>
      </c>
      <c r="N1615">
        <v>0.11486660281267773</v>
      </c>
      <c r="O1615">
        <v>3.5272101964303415E-2</v>
      </c>
      <c r="P1615">
        <v>1.8703269167657202E-2</v>
      </c>
      <c r="Q1615">
        <v>1.2651970004712498E-3</v>
      </c>
      <c r="R1615">
        <v>1.2456757394754814E-3</v>
      </c>
      <c r="S1615">
        <v>0.20971530600969923</v>
      </c>
      <c r="T1615">
        <v>3.831988555511368</v>
      </c>
      <c r="U1615">
        <v>0</v>
      </c>
      <c r="V1615">
        <v>9.4523053561131887E-3</v>
      </c>
      <c r="W1615">
        <v>6.7506560831153958E-2</v>
      </c>
      <c r="X1615">
        <v>1.072457626401328E-2</v>
      </c>
      <c r="Y1615">
        <v>3.520374742601467E-3</v>
      </c>
    </row>
    <row r="1616" spans="1:25" x14ac:dyDescent="0.25">
      <c r="A1616" s="1090"/>
      <c r="B1616" s="1448">
        <v>1366</v>
      </c>
      <c r="C1616" s="1094">
        <v>0.97792172219605356</v>
      </c>
      <c r="D1616" s="1094">
        <v>1.0129978872107022</v>
      </c>
      <c r="E1616" s="1094">
        <v>1.0366914084744583</v>
      </c>
      <c r="F1616" s="1094">
        <v>0.98076570364928717</v>
      </c>
      <c r="G1616" s="1094">
        <v>1.0209122092341165</v>
      </c>
      <c r="H1616" s="1094">
        <v>1.0053877102540836</v>
      </c>
      <c r="I1616" s="1094">
        <v>0.97678569666407578</v>
      </c>
      <c r="K1616">
        <v>4.4065641870879384</v>
      </c>
      <c r="L1616">
        <v>0</v>
      </c>
      <c r="M1616">
        <v>1.3581492651335027E-3</v>
      </c>
      <c r="N1616">
        <v>0.13100802325087393</v>
      </c>
      <c r="O1616">
        <v>3.805280749035439E-2</v>
      </c>
      <c r="P1616">
        <v>1.927766774717847E-2</v>
      </c>
      <c r="Q1616">
        <v>1.3680153875054041E-3</v>
      </c>
      <c r="R1616">
        <v>1.352500020776976E-3</v>
      </c>
      <c r="S1616">
        <v>0.22755462959439324</v>
      </c>
      <c r="T1616">
        <v>3.8883656234129278</v>
      </c>
      <c r="U1616">
        <v>0</v>
      </c>
      <c r="V1616">
        <v>9.4523053561131835E-3</v>
      </c>
      <c r="W1616">
        <v>7.6147833768763565E-2</v>
      </c>
      <c r="X1616">
        <v>1.1520662006979593E-2</v>
      </c>
      <c r="Y1616">
        <v>3.8222683172075551E-3</v>
      </c>
    </row>
    <row r="1617" spans="1:25" x14ac:dyDescent="0.25">
      <c r="A1617" s="1090"/>
      <c r="B1617" s="1448">
        <v>1367</v>
      </c>
      <c r="C1617" s="1094">
        <v>0.98579865045201986</v>
      </c>
      <c r="D1617" s="1094">
        <v>1.0180706625819937</v>
      </c>
      <c r="E1617" s="1094">
        <v>1.0136926659765977</v>
      </c>
      <c r="F1617" s="1094">
        <v>0.98762634056325171</v>
      </c>
      <c r="G1617" s="1094">
        <v>0.99455332534256868</v>
      </c>
      <c r="H1617" s="1094">
        <v>0.98870608037522578</v>
      </c>
      <c r="I1617" s="1094">
        <v>0.99997099393238853</v>
      </c>
      <c r="K1617">
        <v>4.4302052210446119</v>
      </c>
      <c r="L1617">
        <v>0</v>
      </c>
      <c r="M1617">
        <v>1.3978453534365051E-3</v>
      </c>
      <c r="N1617">
        <v>0.12596562372795383</v>
      </c>
      <c r="O1617">
        <v>3.8094572654786288E-2</v>
      </c>
      <c r="P1617">
        <v>1.9100065151658699E-2</v>
      </c>
      <c r="Q1617">
        <v>1.3283562579350676E-3</v>
      </c>
      <c r="R1617">
        <v>1.3919737924712561E-3</v>
      </c>
      <c r="S1617">
        <v>0.23057566530082671</v>
      </c>
      <c r="T1617">
        <v>3.9164197331207928</v>
      </c>
      <c r="U1617">
        <v>0</v>
      </c>
      <c r="V1617">
        <v>9.4523053561131852E-3</v>
      </c>
      <c r="W1617">
        <v>7.434444516602981E-2</v>
      </c>
      <c r="X1617">
        <v>1.0996501659787231E-2</v>
      </c>
      <c r="Y1617">
        <v>3.9338242096954943E-3</v>
      </c>
    </row>
    <row r="1618" spans="1:25" x14ac:dyDescent="0.25">
      <c r="A1618" s="1090"/>
      <c r="B1618" s="1448">
        <v>1368</v>
      </c>
      <c r="C1618" s="1094">
        <v>0.98716537506655322</v>
      </c>
      <c r="D1618" s="1094">
        <v>1.0213701613607433</v>
      </c>
      <c r="E1618" s="1094">
        <v>1.0040526361297197</v>
      </c>
      <c r="F1618" s="1094">
        <v>0.9730043603133649</v>
      </c>
      <c r="G1618" s="1094">
        <v>1.0310766016965325</v>
      </c>
      <c r="H1618" s="1094">
        <v>0.96011008135553388</v>
      </c>
      <c r="I1618" s="1094">
        <v>1.0185581570716795</v>
      </c>
      <c r="K1618">
        <v>4.3600515477944617</v>
      </c>
      <c r="L1618">
        <v>0</v>
      </c>
      <c r="M1618">
        <v>1.3612162761899927E-3</v>
      </c>
      <c r="N1618">
        <v>0.11919021935996901</v>
      </c>
      <c r="O1618">
        <v>3.7494916862878522E-2</v>
      </c>
      <c r="P1618">
        <v>1.869798325022233E-2</v>
      </c>
      <c r="Q1618">
        <v>1.3139622650551385E-3</v>
      </c>
      <c r="R1618">
        <v>1.355240166911994E-3</v>
      </c>
      <c r="S1618">
        <v>0.22980792814207873</v>
      </c>
      <c r="T1618">
        <v>3.858792093276683</v>
      </c>
      <c r="U1618">
        <v>0</v>
      </c>
      <c r="V1618">
        <v>9.4523053561131904E-3</v>
      </c>
      <c r="W1618">
        <v>7.0802691451336122E-2</v>
      </c>
      <c r="X1618">
        <v>1.0675411760018445E-2</v>
      </c>
      <c r="Y1618">
        <v>3.8300121793853788E-3</v>
      </c>
    </row>
    <row r="1619" spans="1:25" x14ac:dyDescent="0.25">
      <c r="A1619" s="1090"/>
      <c r="B1619" s="1448">
        <v>1369</v>
      </c>
      <c r="C1619" s="1094">
        <v>0.97056487428486327</v>
      </c>
      <c r="D1619" s="1094">
        <v>0.97080962222581291</v>
      </c>
      <c r="E1619" s="1094">
        <v>0.99408325324745717</v>
      </c>
      <c r="F1619" s="1094">
        <v>1.0316234561205175</v>
      </c>
      <c r="G1619" s="1094">
        <v>1.0287725311857607</v>
      </c>
      <c r="H1619" s="1094">
        <v>0.99854715796727977</v>
      </c>
      <c r="I1619" s="1094">
        <v>0.9708657400494648</v>
      </c>
      <c r="K1619">
        <v>4.6335099675402747</v>
      </c>
      <c r="L1619">
        <v>0</v>
      </c>
      <c r="M1619">
        <v>1.5906648173055465E-3</v>
      </c>
      <c r="N1619">
        <v>0.13528217683337085</v>
      </c>
      <c r="O1619">
        <v>4.1336899060859411E-2</v>
      </c>
      <c r="P1619">
        <v>1.9652750469481128E-2</v>
      </c>
      <c r="Q1619">
        <v>1.3522438732090345E-3</v>
      </c>
      <c r="R1619">
        <v>1.5843302036522855E-3</v>
      </c>
      <c r="S1619">
        <v>0.23834569605752912</v>
      </c>
      <c r="T1619">
        <v>4.0916586266769057</v>
      </c>
      <c r="U1619">
        <v>0</v>
      </c>
      <c r="V1619">
        <v>9.4523053561131939E-3</v>
      </c>
      <c r="W1619">
        <v>8.0905470433517715E-2</v>
      </c>
      <c r="X1619">
        <v>1.1052695279531097E-2</v>
      </c>
      <c r="Y1619">
        <v>4.4774381134103525E-3</v>
      </c>
    </row>
    <row r="1620" spans="1:25" x14ac:dyDescent="0.25">
      <c r="A1620" s="1090"/>
      <c r="B1620" s="1448">
        <v>1370</v>
      </c>
      <c r="C1620" s="1094">
        <v>1.0318376446772664</v>
      </c>
      <c r="D1620" s="1094">
        <v>1.0048929221330154</v>
      </c>
      <c r="E1620" s="1094">
        <v>1.0167423920630403</v>
      </c>
      <c r="F1620" s="1094">
        <v>0.9750625605871317</v>
      </c>
      <c r="G1620" s="1094">
        <v>1.0126800313420776</v>
      </c>
      <c r="H1620" s="1094">
        <v>1.0036454387138345</v>
      </c>
      <c r="I1620" s="1094">
        <v>0.99024048786202279</v>
      </c>
      <c r="K1620">
        <v>4.3579921210970651</v>
      </c>
      <c r="L1620">
        <v>0</v>
      </c>
      <c r="M1620">
        <v>1.336840618199824E-3</v>
      </c>
      <c r="N1620">
        <v>0.12156166056364044</v>
      </c>
      <c r="O1620">
        <v>3.6099814160336301E-2</v>
      </c>
      <c r="P1620">
        <v>1.8855914157612997E-2</v>
      </c>
      <c r="Q1620">
        <v>1.2790245170141345E-3</v>
      </c>
      <c r="R1620">
        <v>1.3312379111671403E-3</v>
      </c>
      <c r="S1620">
        <v>0.21819001359682233</v>
      </c>
      <c r="T1620">
        <v>3.8664858278535221</v>
      </c>
      <c r="U1620">
        <v>0</v>
      </c>
      <c r="V1620">
        <v>9.4523053561131904E-3</v>
      </c>
      <c r="W1620">
        <v>7.1599024240540543E-2</v>
      </c>
      <c r="X1620">
        <v>1.0711959386331672E-2</v>
      </c>
      <c r="Y1620">
        <v>3.7621799721648829E-3</v>
      </c>
    </row>
    <row r="1621" spans="1:25" x14ac:dyDescent="0.25">
      <c r="A1621" s="1090"/>
      <c r="B1621" s="1448">
        <v>1371</v>
      </c>
      <c r="C1621" s="1094">
        <v>1.0343735367154574</v>
      </c>
      <c r="D1621" s="1094">
        <v>0.96551760685731225</v>
      </c>
      <c r="E1621" s="1094">
        <v>0.97994440721598208</v>
      </c>
      <c r="F1621" s="1094">
        <v>1.0484782209094319</v>
      </c>
      <c r="G1621" s="1094">
        <v>0.96072904024276284</v>
      </c>
      <c r="H1621" s="1094">
        <v>0.99237639840035818</v>
      </c>
      <c r="I1621" s="1094">
        <v>0.98254559504757322</v>
      </c>
      <c r="K1621">
        <v>4.6763924925230524</v>
      </c>
      <c r="L1621">
        <v>0</v>
      </c>
      <c r="M1621">
        <v>1.5563195294530585E-3</v>
      </c>
      <c r="N1621">
        <v>0.12693064572448637</v>
      </c>
      <c r="O1621">
        <v>3.9606469003172606E-2</v>
      </c>
      <c r="P1621">
        <v>1.9703422915789453E-2</v>
      </c>
      <c r="Q1621">
        <v>1.2561614456882688E-3</v>
      </c>
      <c r="R1621">
        <v>1.5501830125449296E-3</v>
      </c>
      <c r="S1621">
        <v>0.22874638514946652</v>
      </c>
      <c r="T1621">
        <v>4.1590766462308331</v>
      </c>
      <c r="U1621">
        <v>0</v>
      </c>
      <c r="V1621">
        <v>9.4523053561131991E-3</v>
      </c>
      <c r="W1621">
        <v>7.6646223213247336E-2</v>
      </c>
      <c r="X1621">
        <v>1.0599434456833175E-2</v>
      </c>
      <c r="Y1621">
        <v>4.3809355443262515E-3</v>
      </c>
    </row>
    <row r="1622" spans="1:25" x14ac:dyDescent="0.25">
      <c r="A1622" s="1090"/>
      <c r="B1622" s="1448">
        <v>1372</v>
      </c>
      <c r="C1622" s="1094">
        <v>1.0101496768501215</v>
      </c>
      <c r="D1622" s="1094">
        <v>0.99443078746074032</v>
      </c>
      <c r="E1622" s="1094">
        <v>1.0174982137544148</v>
      </c>
      <c r="F1622" s="1094">
        <v>1.0308449139857325</v>
      </c>
      <c r="G1622" s="1094">
        <v>1.004943656257131</v>
      </c>
      <c r="H1622" s="1094">
        <v>1.0170792150432766</v>
      </c>
      <c r="I1622" s="1094">
        <v>1.0032407467008821</v>
      </c>
      <c r="K1622">
        <v>4.6216917975209508</v>
      </c>
      <c r="L1622">
        <v>0</v>
      </c>
      <c r="M1622">
        <v>1.4664482186693413E-3</v>
      </c>
      <c r="N1622">
        <v>0.13368307289735989</v>
      </c>
      <c r="O1622">
        <v>3.9142675869604959E-2</v>
      </c>
      <c r="P1622">
        <v>1.996879802851572E-2</v>
      </c>
      <c r="Q1622">
        <v>1.3128069752969937E-3</v>
      </c>
      <c r="R1622">
        <v>1.460710376980853E-3</v>
      </c>
      <c r="S1622">
        <v>0.23625390909653529</v>
      </c>
      <c r="T1622">
        <v>4.0876541920918328</v>
      </c>
      <c r="U1622">
        <v>0</v>
      </c>
      <c r="V1622">
        <v>9.4523053561131921E-3</v>
      </c>
      <c r="W1622">
        <v>7.869870775084381E-2</v>
      </c>
      <c r="X1622">
        <v>1.1402988251223411E-2</v>
      </c>
      <c r="Y1622">
        <v>4.1280790453095901E-3</v>
      </c>
    </row>
    <row r="1623" spans="1:25" x14ac:dyDescent="0.25">
      <c r="A1623" s="1090"/>
      <c r="B1623" s="1448">
        <v>1373</v>
      </c>
      <c r="C1623" s="1094">
        <v>1.0280391728892679</v>
      </c>
      <c r="D1623" s="1094">
        <v>1.0031784185032353</v>
      </c>
      <c r="E1623" s="1094">
        <v>0.99098248229664843</v>
      </c>
      <c r="F1623" s="1094">
        <v>1.0047223511712453</v>
      </c>
      <c r="G1623" s="1094">
        <v>1.0037870166082647</v>
      </c>
      <c r="H1623" s="1094">
        <v>1.0046544496344481</v>
      </c>
      <c r="I1623" s="1094">
        <v>1.0051410993855709</v>
      </c>
      <c r="K1623">
        <v>4.4909430213045667</v>
      </c>
      <c r="L1623">
        <v>0</v>
      </c>
      <c r="M1623">
        <v>1.4620015019551574E-3</v>
      </c>
      <c r="N1623">
        <v>0.1231918519214156</v>
      </c>
      <c r="O1623">
        <v>3.753360209362492E-2</v>
      </c>
      <c r="P1623">
        <v>1.9074377846444716E-2</v>
      </c>
      <c r="Q1623">
        <v>1.2566451661243524E-3</v>
      </c>
      <c r="R1623">
        <v>1.4560603583410109E-3</v>
      </c>
      <c r="S1623">
        <v>0.22702382931428181</v>
      </c>
      <c r="T1623">
        <v>3.98508165678221</v>
      </c>
      <c r="U1623">
        <v>0</v>
      </c>
      <c r="V1623">
        <v>9.4523053561131869E-3</v>
      </c>
      <c r="W1623">
        <v>7.3830206091900177E-2</v>
      </c>
      <c r="X1623">
        <v>1.0389550138446765E-2</v>
      </c>
      <c r="Y1623">
        <v>4.114937737621267E-3</v>
      </c>
    </row>
    <row r="1624" spans="1:25" x14ac:dyDescent="0.25">
      <c r="A1624" s="1090"/>
      <c r="B1624" s="1448">
        <v>1374</v>
      </c>
      <c r="C1624" s="1094">
        <v>0.98434261921849886</v>
      </c>
      <c r="D1624" s="1094">
        <v>1.009171519910022</v>
      </c>
      <c r="E1624" s="1094">
        <v>1.0157651415668216</v>
      </c>
      <c r="F1624" s="1094">
        <v>1.023569062726275</v>
      </c>
      <c r="G1624" s="1094">
        <v>1.0126456573061864</v>
      </c>
      <c r="H1624" s="1094">
        <v>1.0366222025000646</v>
      </c>
      <c r="I1624" s="1094">
        <v>1.0231798436175525</v>
      </c>
      <c r="K1624">
        <v>4.6104083716122295</v>
      </c>
      <c r="L1624">
        <v>0</v>
      </c>
      <c r="M1624">
        <v>1.519640737101653E-3</v>
      </c>
      <c r="N1624">
        <v>0.13782993622934575</v>
      </c>
      <c r="O1624">
        <v>3.9663674473722169E-2</v>
      </c>
      <c r="P1624">
        <v>1.985836360103917E-2</v>
      </c>
      <c r="Q1624">
        <v>1.3373524237488815E-3</v>
      </c>
      <c r="R1624">
        <v>1.5137655604986488E-3</v>
      </c>
      <c r="S1624">
        <v>0.24655936892490138</v>
      </c>
      <c r="T1624">
        <v>4.0588699438500964</v>
      </c>
      <c r="U1624">
        <v>0</v>
      </c>
      <c r="V1624">
        <v>9.4523053561131783E-3</v>
      </c>
      <c r="W1624">
        <v>8.1233982671232122E-2</v>
      </c>
      <c r="X1624">
        <v>1.1331302214134944E-2</v>
      </c>
      <c r="Y1624">
        <v>4.2780170445025261E-3</v>
      </c>
    </row>
    <row r="1625" spans="1:25" x14ac:dyDescent="0.25">
      <c r="A1625" s="1090"/>
      <c r="B1625" s="1448">
        <v>1375</v>
      </c>
      <c r="C1625" s="1094">
        <v>0.99434634802703326</v>
      </c>
      <c r="D1625" s="1094">
        <v>1.0216281462921175</v>
      </c>
      <c r="E1625" s="1094">
        <v>0.98022057302965959</v>
      </c>
      <c r="F1625" s="1094">
        <v>0.99467959899939296</v>
      </c>
      <c r="G1625" s="1094">
        <v>0.99883661548153546</v>
      </c>
      <c r="H1625" s="1094">
        <v>1.017449587623295</v>
      </c>
      <c r="I1625" s="1094">
        <v>1.0219851189715468</v>
      </c>
      <c r="K1625">
        <v>4.4659525762138275</v>
      </c>
      <c r="L1625">
        <v>0</v>
      </c>
      <c r="M1625">
        <v>1.5389545917466369E-3</v>
      </c>
      <c r="N1625">
        <v>0.12560342068858546</v>
      </c>
      <c r="O1625">
        <v>3.8211604793588282E-2</v>
      </c>
      <c r="P1625">
        <v>1.8786781284330666E-2</v>
      </c>
      <c r="Q1625">
        <v>1.2778392416897628E-3</v>
      </c>
      <c r="R1625">
        <v>1.5327172893292856E-3</v>
      </c>
      <c r="S1625">
        <v>0.23671390588162292</v>
      </c>
      <c r="T1625">
        <v>3.9456590836001224</v>
      </c>
      <c r="U1625">
        <v>0</v>
      </c>
      <c r="V1625">
        <v>9.4523053561131852E-3</v>
      </c>
      <c r="W1625">
        <v>7.5830438807519343E-2</v>
      </c>
      <c r="X1625">
        <v>1.0091857785599683E-2</v>
      </c>
      <c r="Y1625">
        <v>4.3315760770739533E-3</v>
      </c>
    </row>
    <row r="1626" spans="1:25" x14ac:dyDescent="0.25">
      <c r="A1626" s="1090"/>
      <c r="B1626" s="1448">
        <v>1376</v>
      </c>
      <c r="C1626" s="1094">
        <v>0.98947693459062991</v>
      </c>
      <c r="D1626" s="1094">
        <v>0.99246074084439884</v>
      </c>
      <c r="E1626" s="1094">
        <v>0.98050708515878804</v>
      </c>
      <c r="F1626" s="1094">
        <v>0.97168369287663547</v>
      </c>
      <c r="G1626" s="1094">
        <v>1.0422108343801875</v>
      </c>
      <c r="H1626" s="1094">
        <v>1.0059724389039451</v>
      </c>
      <c r="I1626" s="1094">
        <v>0.97291422595352239</v>
      </c>
      <c r="K1626">
        <v>4.3575328121682428</v>
      </c>
      <c r="L1626">
        <v>0</v>
      </c>
      <c r="M1626">
        <v>1.5103779968327479E-3</v>
      </c>
      <c r="N1626">
        <v>0.12335826130510968</v>
      </c>
      <c r="O1626">
        <v>3.7947108694574128E-2</v>
      </c>
      <c r="P1626">
        <v>1.832515323667467E-2</v>
      </c>
      <c r="Q1626">
        <v>1.299415427563774E-3</v>
      </c>
      <c r="R1626">
        <v>1.5040407681554009E-3</v>
      </c>
      <c r="S1626">
        <v>0.22405463838856621</v>
      </c>
      <c r="T1626">
        <v>3.8544290510420658</v>
      </c>
      <c r="U1626">
        <v>0</v>
      </c>
      <c r="V1626">
        <v>9.4523053561131869E-3</v>
      </c>
      <c r="W1626">
        <v>7.4460356506991801E-2</v>
      </c>
      <c r="X1626">
        <v>9.9623254003725972E-3</v>
      </c>
      <c r="Y1626">
        <v>4.2505340388877336E-3</v>
      </c>
    </row>
    <row r="1627" spans="1:25" x14ac:dyDescent="0.25">
      <c r="A1627" s="1090"/>
      <c r="B1627" s="1448">
        <v>1377</v>
      </c>
      <c r="C1627" s="1094">
        <v>1.018318612491812</v>
      </c>
      <c r="D1627" s="1094">
        <v>1.0338340718340215</v>
      </c>
      <c r="E1627" s="1094">
        <v>1.0218102893799188</v>
      </c>
      <c r="F1627" s="1094">
        <v>0.96455912902941776</v>
      </c>
      <c r="G1627" s="1094">
        <v>0.9890822487349501</v>
      </c>
      <c r="H1627" s="1094">
        <v>0.95699844107734011</v>
      </c>
      <c r="I1627" s="1094">
        <v>1.0008987152271118</v>
      </c>
      <c r="K1627">
        <v>4.3038982396632672</v>
      </c>
      <c r="L1627">
        <v>0</v>
      </c>
      <c r="M1627">
        <v>1.2498944961611982E-3</v>
      </c>
      <c r="N1627">
        <v>0.11534333927939405</v>
      </c>
      <c r="O1627">
        <v>3.5743781399784715E-2</v>
      </c>
      <c r="P1627">
        <v>1.8725423550731143E-2</v>
      </c>
      <c r="Q1627">
        <v>1.2868782922505798E-3</v>
      </c>
      <c r="R1627">
        <v>1.2443412815814135E-3</v>
      </c>
      <c r="S1627">
        <v>0.21662547751822994</v>
      </c>
      <c r="T1627">
        <v>3.8246514241530964</v>
      </c>
      <c r="U1627">
        <v>0</v>
      </c>
      <c r="V1627">
        <v>9.4523053561131921E-3</v>
      </c>
      <c r="W1627">
        <v>6.7707177604003854E-2</v>
      </c>
      <c r="X1627">
        <v>1.0851382261530122E-2</v>
      </c>
      <c r="Y1627">
        <v>3.5166034627117908E-3</v>
      </c>
    </row>
    <row r="1628" spans="1:25" x14ac:dyDescent="0.25">
      <c r="A1628" s="1090"/>
      <c r="B1628" s="1448">
        <v>1378</v>
      </c>
      <c r="C1628" s="1094">
        <v>0.98180297471211242</v>
      </c>
      <c r="D1628" s="1094">
        <v>1.0011330212807366</v>
      </c>
      <c r="E1628" s="1094">
        <v>1.0270332249370384</v>
      </c>
      <c r="F1628" s="1094">
        <v>0.98724682693548083</v>
      </c>
      <c r="G1628" s="1094">
        <v>0.96287006746489279</v>
      </c>
      <c r="H1628" s="1094">
        <v>1.0401808948407822</v>
      </c>
      <c r="I1628" s="1094">
        <v>1.0053223945204204</v>
      </c>
      <c r="K1628">
        <v>4.4507815899809966</v>
      </c>
      <c r="L1628">
        <v>0</v>
      </c>
      <c r="M1628">
        <v>1.4446870407728441E-3</v>
      </c>
      <c r="N1628">
        <v>0.13545574471118738</v>
      </c>
      <c r="O1628">
        <v>3.8400020873029142E-2</v>
      </c>
      <c r="P1628">
        <v>1.9311793401629685E-2</v>
      </c>
      <c r="Q1628">
        <v>1.357983616079003E-3</v>
      </c>
      <c r="R1628">
        <v>1.4389168153334144E-3</v>
      </c>
      <c r="S1628">
        <v>0.23782177545182906</v>
      </c>
      <c r="T1628">
        <v>3.914418246964201</v>
      </c>
      <c r="U1628">
        <v>0</v>
      </c>
      <c r="V1628">
        <v>9.4523053561131869E-3</v>
      </c>
      <c r="W1628">
        <v>7.9237662455374502E-2</v>
      </c>
      <c r="X1628">
        <v>1.126533860075867E-2</v>
      </c>
      <c r="Y1628">
        <v>4.066488776234208E-3</v>
      </c>
    </row>
    <row r="1629" spans="1:25" x14ac:dyDescent="0.25">
      <c r="A1629" s="1090"/>
      <c r="B1629" s="1448">
        <v>1379</v>
      </c>
      <c r="C1629" s="1094">
        <v>1.0069060045646478</v>
      </c>
      <c r="D1629" s="1094">
        <v>0.95935900851041545</v>
      </c>
      <c r="E1629" s="1094">
        <v>0.98601321565517097</v>
      </c>
      <c r="F1629" s="1094">
        <v>0.95919157279954781</v>
      </c>
      <c r="G1629" s="1094">
        <v>1.022873649015646</v>
      </c>
      <c r="H1629" s="1094">
        <v>0.9971707186337202</v>
      </c>
      <c r="I1629" s="1094">
        <v>1.0407719728403053</v>
      </c>
      <c r="K1629">
        <v>4.3138173020523691</v>
      </c>
      <c r="L1629">
        <v>0</v>
      </c>
      <c r="M1629">
        <v>1.455326123636251E-3</v>
      </c>
      <c r="N1629">
        <v>0.12080833489190904</v>
      </c>
      <c r="O1629">
        <v>3.7277221645744561E-2</v>
      </c>
      <c r="P1629">
        <v>1.8228430915085428E-2</v>
      </c>
      <c r="Q1629">
        <v>1.3005558973944928E-3</v>
      </c>
      <c r="R1629">
        <v>1.4490860989772123E-3</v>
      </c>
      <c r="S1629">
        <v>0.23532866954860013</v>
      </c>
      <c r="T1629">
        <v>3.804673133052765</v>
      </c>
      <c r="U1629">
        <v>0</v>
      </c>
      <c r="V1629">
        <v>9.4523053561131783E-3</v>
      </c>
      <c r="W1629">
        <v>7.2647230429970594E-2</v>
      </c>
      <c r="X1629">
        <v>1.0012432391247186E-2</v>
      </c>
      <c r="Y1629">
        <v>4.0952279481996584E-3</v>
      </c>
    </row>
    <row r="1630" spans="1:25" x14ac:dyDescent="0.25">
      <c r="A1630" s="1090"/>
      <c r="B1630" s="1448">
        <v>1380</v>
      </c>
      <c r="C1630" s="1094">
        <v>0.98229603764357876</v>
      </c>
      <c r="D1630" s="1094">
        <v>0.97243214837755543</v>
      </c>
      <c r="E1630" s="1094">
        <v>1.0012263059682052</v>
      </c>
      <c r="F1630" s="1094">
        <v>1.0009674387132224</v>
      </c>
      <c r="G1630" s="1094">
        <v>0.96806731147335867</v>
      </c>
      <c r="H1630" s="1094">
        <v>1.0032703893301371</v>
      </c>
      <c r="I1630" s="1094">
        <v>1.000177601471536</v>
      </c>
      <c r="K1630">
        <v>4.5014273696827001</v>
      </c>
      <c r="L1630">
        <v>0</v>
      </c>
      <c r="M1630">
        <v>1.5084856522564203E-3</v>
      </c>
      <c r="N1630">
        <v>0.13102429059375301</v>
      </c>
      <c r="O1630">
        <v>3.955253686404734E-2</v>
      </c>
      <c r="P1630">
        <v>1.9201294148010438E-2</v>
      </c>
      <c r="Q1630">
        <v>1.3434136351479331E-3</v>
      </c>
      <c r="R1630">
        <v>1.5023242211691442E-3</v>
      </c>
      <c r="S1630">
        <v>0.23796592756136825</v>
      </c>
      <c r="T1630">
        <v>3.9697971407672394</v>
      </c>
      <c r="U1630">
        <v>0</v>
      </c>
      <c r="V1630">
        <v>9.4523053561132026E-3</v>
      </c>
      <c r="W1630">
        <v>7.7981051953623023E-2</v>
      </c>
      <c r="X1630">
        <v>1.0869887288427634E-2</v>
      </c>
      <c r="Y1630">
        <v>4.2456829460524089E-3</v>
      </c>
    </row>
    <row r="1631" spans="1:25" x14ac:dyDescent="0.25">
      <c r="A1631" s="1090"/>
      <c r="B1631" s="1448">
        <v>1381</v>
      </c>
      <c r="C1631" s="1094">
        <v>0.98781510636239045</v>
      </c>
      <c r="D1631" s="1094">
        <v>1.0220652715042577</v>
      </c>
      <c r="E1631" s="1094">
        <v>1.0114541314909875</v>
      </c>
      <c r="F1631" s="1094">
        <v>0.99740393408321126</v>
      </c>
      <c r="G1631" s="1094">
        <v>1.026483153371835</v>
      </c>
      <c r="H1631" s="1094">
        <v>1.0237750274168538</v>
      </c>
      <c r="I1631" s="1094">
        <v>1.0262828463682112</v>
      </c>
      <c r="K1631">
        <v>4.4873920588843843</v>
      </c>
      <c r="L1631">
        <v>0</v>
      </c>
      <c r="M1631">
        <v>1.4633248902390227E-3</v>
      </c>
      <c r="N1631">
        <v>0.13101946683474172</v>
      </c>
      <c r="O1631">
        <v>3.8348500142841836E-2</v>
      </c>
      <c r="P1631">
        <v>1.9290952907920423E-2</v>
      </c>
      <c r="Q1631">
        <v>1.3210531114023314E-3</v>
      </c>
      <c r="R1631">
        <v>1.4574467878157367E-3</v>
      </c>
      <c r="S1631">
        <v>0.24018811700541365</v>
      </c>
      <c r="T1631">
        <v>3.9552771562386404</v>
      </c>
      <c r="U1631">
        <v>0</v>
      </c>
      <c r="V1631">
        <v>9.4523053561131939E-3</v>
      </c>
      <c r="W1631">
        <v>7.7443293006652328E-2</v>
      </c>
      <c r="X1631">
        <v>1.0938236489910253E-2</v>
      </c>
      <c r="Y1631">
        <v>4.1188558931657257E-3</v>
      </c>
    </row>
    <row r="1632" spans="1:25" x14ac:dyDescent="0.25">
      <c r="A1632" s="1090"/>
      <c r="B1632" s="1448">
        <v>1382</v>
      </c>
      <c r="C1632" s="1094">
        <v>1.0220026724824005</v>
      </c>
      <c r="D1632" s="1094">
        <v>0.98661170708365298</v>
      </c>
      <c r="E1632" s="1094">
        <v>1.0104209774124033</v>
      </c>
      <c r="F1632" s="1094">
        <v>0.95702372472806641</v>
      </c>
      <c r="G1632" s="1094">
        <v>1.0058933321169334</v>
      </c>
      <c r="H1632" s="1094">
        <v>0.96168698698451782</v>
      </c>
      <c r="I1632" s="1094">
        <v>0.98159439094973511</v>
      </c>
      <c r="K1632">
        <v>4.27259320319203</v>
      </c>
      <c r="L1632">
        <v>0</v>
      </c>
      <c r="M1632">
        <v>1.2959851653631389E-3</v>
      </c>
      <c r="N1632">
        <v>0.11563125719030264</v>
      </c>
      <c r="O1632">
        <v>3.607755737586886E-2</v>
      </c>
      <c r="P1632">
        <v>1.8422045121429965E-2</v>
      </c>
      <c r="Q1632">
        <v>1.2938829122182724E-3</v>
      </c>
      <c r="R1632">
        <v>1.2902103216783046E-3</v>
      </c>
      <c r="S1632">
        <v>0.21394645368393492</v>
      </c>
      <c r="T1632">
        <v>3.7951839776673753</v>
      </c>
      <c r="U1632">
        <v>0</v>
      </c>
      <c r="V1632">
        <v>9.4523053561131973E-3</v>
      </c>
      <c r="W1632">
        <v>6.8394983980480453E-2</v>
      </c>
      <c r="X1632">
        <v>1.0550281876026696E-2</v>
      </c>
      <c r="Y1632">
        <v>3.6462328719611531E-3</v>
      </c>
    </row>
    <row r="1633" spans="1:25" x14ac:dyDescent="0.25">
      <c r="A1633" s="1090"/>
      <c r="B1633" s="1448">
        <v>1383</v>
      </c>
      <c r="C1633" s="1094">
        <v>1.0087756045762575</v>
      </c>
      <c r="D1633" s="1094">
        <v>1.025748967058056</v>
      </c>
      <c r="E1633" s="1094">
        <v>1.0126745447684833</v>
      </c>
      <c r="F1633" s="1094">
        <v>1.008099216787874</v>
      </c>
      <c r="G1633" s="1094">
        <v>0.99129663748768515</v>
      </c>
      <c r="H1633" s="1094">
        <v>1.0001900899558545</v>
      </c>
      <c r="I1633" s="1094">
        <v>1.0253769112899502</v>
      </c>
      <c r="K1633">
        <v>4.5168027534080748</v>
      </c>
      <c r="L1633">
        <v>0</v>
      </c>
      <c r="M1633">
        <v>1.4091910804468711E-3</v>
      </c>
      <c r="N1633">
        <v>0.12662271399435704</v>
      </c>
      <c r="O1633">
        <v>3.7891476090019714E-2</v>
      </c>
      <c r="P1633">
        <v>1.9477368228179571E-2</v>
      </c>
      <c r="Q1633">
        <v>1.2930852593189812E-3</v>
      </c>
      <c r="R1633">
        <v>1.4034581719756995E-3</v>
      </c>
      <c r="S1633">
        <v>0.23463796657411051</v>
      </c>
      <c r="T1633">
        <v>3.9976434965847059</v>
      </c>
      <c r="U1633">
        <v>0</v>
      </c>
      <c r="V1633">
        <v>9.4523053561131852E-3</v>
      </c>
      <c r="W1633">
        <v>7.4783242489665988E-2</v>
      </c>
      <c r="X1633">
        <v>1.104055179710841E-2</v>
      </c>
      <c r="Y1633">
        <v>3.9662799429659489E-3</v>
      </c>
    </row>
    <row r="1634" spans="1:25" x14ac:dyDescent="0.25">
      <c r="A1634" s="1090"/>
      <c r="B1634" s="1448">
        <v>1384</v>
      </c>
      <c r="C1634" s="1094">
        <v>0.97798966350273986</v>
      </c>
      <c r="D1634" s="1094">
        <v>1.0036100542520181</v>
      </c>
      <c r="E1634" s="1094">
        <v>0.98084304207938577</v>
      </c>
      <c r="F1634" s="1094">
        <v>1.0411808637400488</v>
      </c>
      <c r="G1634" s="1094">
        <v>1.0127301199632133</v>
      </c>
      <c r="H1634" s="1094">
        <v>0.9859832134840425</v>
      </c>
      <c r="I1634" s="1094">
        <v>1.0405371386588549</v>
      </c>
      <c r="K1634">
        <v>4.677562021744432</v>
      </c>
      <c r="L1634">
        <v>0</v>
      </c>
      <c r="M1634">
        <v>1.5961451710107153E-3</v>
      </c>
      <c r="N1634">
        <v>0.13051935733701547</v>
      </c>
      <c r="O1634">
        <v>4.0952910972144783E-2</v>
      </c>
      <c r="P1634">
        <v>1.9689049789851525E-2</v>
      </c>
      <c r="Q1634">
        <v>1.3091980708926033E-3</v>
      </c>
      <c r="R1634">
        <v>1.589766594220916E-3</v>
      </c>
      <c r="S1634">
        <v>0.25152531706003561</v>
      </c>
      <c r="T1634">
        <v>4.1300937051326443</v>
      </c>
      <c r="U1634">
        <v>0</v>
      </c>
      <c r="V1634">
        <v>9.4523053561131852E-3</v>
      </c>
      <c r="W1634">
        <v>7.8764746718247736E-2</v>
      </c>
      <c r="X1634">
        <v>1.0769008116070447E-2</v>
      </c>
      <c r="Y1634">
        <v>4.4928017682060867E-3</v>
      </c>
    </row>
    <row r="1635" spans="1:25" x14ac:dyDescent="0.25">
      <c r="A1635" s="1090"/>
      <c r="B1635" s="1448">
        <v>1385</v>
      </c>
      <c r="C1635" s="1094">
        <v>0.96037678438566554</v>
      </c>
      <c r="D1635" s="1094">
        <v>1.0095496214297901</v>
      </c>
      <c r="E1635" s="1094">
        <v>1.0124391080127164</v>
      </c>
      <c r="F1635" s="1094">
        <v>1.0224946044909471</v>
      </c>
      <c r="G1635" s="1094">
        <v>1.0316597304599113</v>
      </c>
      <c r="H1635" s="1094">
        <v>0.97110293265106606</v>
      </c>
      <c r="I1635" s="1094">
        <v>0.99878961632213681</v>
      </c>
      <c r="K1635">
        <v>4.5924377219331465</v>
      </c>
      <c r="L1635">
        <v>0</v>
      </c>
      <c r="M1635">
        <v>1.4676398699970928E-3</v>
      </c>
      <c r="N1635">
        <v>0.13177439729052046</v>
      </c>
      <c r="O1635">
        <v>4.0628979982644919E-2</v>
      </c>
      <c r="P1635">
        <v>1.9766343154216971E-2</v>
      </c>
      <c r="Q1635">
        <v>1.3666537965216674E-3</v>
      </c>
      <c r="R1635">
        <v>1.4615765702674511E-3</v>
      </c>
      <c r="S1635">
        <v>0.24122247262197927</v>
      </c>
      <c r="T1635">
        <v>4.0547378894270203</v>
      </c>
      <c r="U1635">
        <v>0</v>
      </c>
      <c r="V1635">
        <v>9.4523053561131852E-3</v>
      </c>
      <c r="W1635">
        <v>7.7838101409653956E-2</v>
      </c>
      <c r="X1635">
        <v>1.152611522053895E-2</v>
      </c>
      <c r="Y1635">
        <v>4.1305269736682457E-3</v>
      </c>
    </row>
    <row r="1636" spans="1:25" x14ac:dyDescent="0.25">
      <c r="A1636" s="1090"/>
      <c r="B1636" s="1448">
        <v>1386</v>
      </c>
      <c r="C1636" s="1094">
        <v>0.98283880879642038</v>
      </c>
      <c r="D1636" s="1094">
        <v>1.0083950205108332</v>
      </c>
      <c r="E1636" s="1094">
        <v>0.99964219621807449</v>
      </c>
      <c r="F1636" s="1094">
        <v>1.0202106543078511</v>
      </c>
      <c r="G1636" s="1094">
        <v>1.0089374526108181</v>
      </c>
      <c r="H1636" s="1094">
        <v>1.0307372516918021</v>
      </c>
      <c r="I1636" s="1094">
        <v>1.0125541086096255</v>
      </c>
      <c r="K1636">
        <v>4.590295366981505</v>
      </c>
      <c r="L1636">
        <v>0</v>
      </c>
      <c r="M1636">
        <v>1.5610181519149682E-3</v>
      </c>
      <c r="N1636">
        <v>0.13497714812475814</v>
      </c>
      <c r="O1636">
        <v>3.9720878837480683E-2</v>
      </c>
      <c r="P1636">
        <v>1.9550763834237771E-2</v>
      </c>
      <c r="Q1636">
        <v>1.3215142319320996E-3</v>
      </c>
      <c r="R1636">
        <v>1.5549286460572671E-3</v>
      </c>
      <c r="S1636">
        <v>0.2434112216290901</v>
      </c>
      <c r="T1636">
        <v>4.0461765005451156</v>
      </c>
      <c r="U1636">
        <v>0</v>
      </c>
      <c r="V1636">
        <v>9.4523053561131939E-3</v>
      </c>
      <c r="W1636">
        <v>8.0419684452109355E-2</v>
      </c>
      <c r="X1636">
        <v>1.0877092409577627E-2</v>
      </c>
      <c r="Y1636">
        <v>4.3943470669440959E-3</v>
      </c>
    </row>
    <row r="1637" spans="1:25" x14ac:dyDescent="0.25">
      <c r="A1637" s="1090"/>
      <c r="B1637" s="1448">
        <v>1387</v>
      </c>
      <c r="C1637" s="1094">
        <v>0.99010721774552324</v>
      </c>
      <c r="D1637" s="1094">
        <v>1.0012236822113494</v>
      </c>
      <c r="E1637" s="1094">
        <v>0.99047802592948908</v>
      </c>
      <c r="F1637" s="1094">
        <v>1.0397783140805761</v>
      </c>
      <c r="G1637" s="1094">
        <v>0.98098903802227722</v>
      </c>
      <c r="H1637" s="1094">
        <v>1.0078100144677424</v>
      </c>
      <c r="I1637" s="1094">
        <v>0.99735625058517141</v>
      </c>
      <c r="K1637">
        <v>4.6626257863505129</v>
      </c>
      <c r="L1637">
        <v>0</v>
      </c>
      <c r="M1637">
        <v>1.578598393710541E-3</v>
      </c>
      <c r="N1637">
        <v>0.13283762670581675</v>
      </c>
      <c r="O1637">
        <v>4.0366422337176772E-2</v>
      </c>
      <c r="P1637">
        <v>1.9753032961028892E-2</v>
      </c>
      <c r="Q1637">
        <v>1.3052390437908066E-3</v>
      </c>
      <c r="R1637">
        <v>1.5724182720904894E-3</v>
      </c>
      <c r="S1637">
        <v>0.23981719680913541</v>
      </c>
      <c r="T1637">
        <v>4.1241459804818179</v>
      </c>
      <c r="U1637">
        <v>0</v>
      </c>
      <c r="V1637">
        <v>9.4523053561131904E-3</v>
      </c>
      <c r="W1637">
        <v>7.9638342448850472E-2</v>
      </c>
      <c r="X1637">
        <v>1.0872046243019289E-2</v>
      </c>
      <c r="Y1637">
        <v>4.443774085383761E-3</v>
      </c>
    </row>
    <row r="1638" spans="1:25" x14ac:dyDescent="0.25">
      <c r="A1638" s="1090"/>
      <c r="B1638" s="1448">
        <v>1388</v>
      </c>
      <c r="C1638" s="1094">
        <v>1.0152060164787731</v>
      </c>
      <c r="D1638" s="1094">
        <v>1.0219463543898242</v>
      </c>
      <c r="E1638" s="1094">
        <v>1.0206465955484425</v>
      </c>
      <c r="F1638" s="1094">
        <v>0.99234975240751122</v>
      </c>
      <c r="G1638" s="1094">
        <v>0.98055174923787147</v>
      </c>
      <c r="H1638" s="1094">
        <v>1.0040445422160726</v>
      </c>
      <c r="I1638" s="1094">
        <v>1.0076940688128786</v>
      </c>
      <c r="K1638">
        <v>4.4430816362015282</v>
      </c>
      <c r="L1638">
        <v>0</v>
      </c>
      <c r="M1638">
        <v>1.3627169278307004E-3</v>
      </c>
      <c r="N1638">
        <v>0.12536376886435957</v>
      </c>
      <c r="O1638">
        <v>3.7065171346949657E-2</v>
      </c>
      <c r="P1638">
        <v>1.9267647956619366E-2</v>
      </c>
      <c r="Q1638">
        <v>1.2955337715068681E-3</v>
      </c>
      <c r="R1638">
        <v>1.357107083537724E-3</v>
      </c>
      <c r="S1638">
        <v>0.22723045564018327</v>
      </c>
      <c r="T1638">
        <v>3.9348897902039002</v>
      </c>
      <c r="U1638">
        <v>0</v>
      </c>
      <c r="V1638">
        <v>9.4523053561131939E-3</v>
      </c>
      <c r="W1638">
        <v>7.364630047000939E-2</v>
      </c>
      <c r="X1638">
        <v>1.1040984207874582E-2</v>
      </c>
      <c r="Y1638">
        <v>3.8352882283020323E-3</v>
      </c>
    </row>
    <row r="1639" spans="1:25" x14ac:dyDescent="0.25">
      <c r="A1639" s="1090"/>
      <c r="B1639" s="1448">
        <v>1389</v>
      </c>
      <c r="C1639" s="1094">
        <v>1.0061437303251477</v>
      </c>
      <c r="D1639" s="1094">
        <v>1.0034170333662116</v>
      </c>
      <c r="E1639" s="1094">
        <v>0.99041185214496241</v>
      </c>
      <c r="F1639" s="1094">
        <v>1.0088947455095996</v>
      </c>
      <c r="G1639" s="1094">
        <v>1.010728524022579</v>
      </c>
      <c r="H1639" s="1094">
        <v>0.99773523653238994</v>
      </c>
      <c r="I1639" s="1094">
        <v>1.0231740571855099</v>
      </c>
      <c r="K1639">
        <v>4.5217015069092215</v>
      </c>
      <c r="L1639">
        <v>0</v>
      </c>
      <c r="M1639">
        <v>1.4913114177324408E-3</v>
      </c>
      <c r="N1639">
        <v>0.12544772102176741</v>
      </c>
      <c r="O1639">
        <v>3.8509913808524393E-2</v>
      </c>
      <c r="P1639">
        <v>1.9182652604259994E-2</v>
      </c>
      <c r="Q1639">
        <v>1.2832383640019049E-3</v>
      </c>
      <c r="R1639">
        <v>1.4852342739331977E-3</v>
      </c>
      <c r="S1639">
        <v>0.23623631715282387</v>
      </c>
      <c r="T1639">
        <v>4.0016528609234276</v>
      </c>
      <c r="U1639">
        <v>0</v>
      </c>
      <c r="V1639">
        <v>9.4523053561131991E-3</v>
      </c>
      <c r="W1639">
        <v>7.5211358093405054E-2</v>
      </c>
      <c r="X1639">
        <v>1.0533831278287092E-2</v>
      </c>
      <c r="Y1639">
        <v>4.1973854504078756E-3</v>
      </c>
    </row>
    <row r="1640" spans="1:25" x14ac:dyDescent="0.25">
      <c r="A1640" s="1090"/>
      <c r="B1640" s="1448">
        <v>1390</v>
      </c>
      <c r="C1640" s="1094">
        <v>0.96555992338384067</v>
      </c>
      <c r="D1640" s="1094">
        <v>1.0072937470302212</v>
      </c>
      <c r="E1640" s="1094">
        <v>1.0088644362888932</v>
      </c>
      <c r="F1640" s="1094">
        <v>1.005089559965356</v>
      </c>
      <c r="G1640" s="1094">
        <v>1.023513108302567</v>
      </c>
      <c r="H1640" s="1094">
        <v>0.96395660063435573</v>
      </c>
      <c r="I1640" s="1094">
        <v>0.99080284421826326</v>
      </c>
      <c r="K1640">
        <v>4.5091212689712696</v>
      </c>
      <c r="L1640">
        <v>0</v>
      </c>
      <c r="M1640">
        <v>1.4365190396946862E-3</v>
      </c>
      <c r="N1640">
        <v>0.12760920618599433</v>
      </c>
      <c r="O1640">
        <v>3.9784080024718789E-2</v>
      </c>
      <c r="P1640">
        <v>1.9369697667116551E-2</v>
      </c>
      <c r="Q1640">
        <v>1.3564007389602892E-3</v>
      </c>
      <c r="R1640">
        <v>1.4304372023842265E-3</v>
      </c>
      <c r="S1640">
        <v>0.23485865050257285</v>
      </c>
      <c r="T1640">
        <v>3.9858536856222955</v>
      </c>
      <c r="U1640">
        <v>0</v>
      </c>
      <c r="V1640">
        <v>9.4523053561131852E-3</v>
      </c>
      <c r="W1640">
        <v>7.5558777890574885E-2</v>
      </c>
      <c r="X1640">
        <v>1.1242022077583706E-2</v>
      </c>
      <c r="Y1640">
        <v>4.0425247426519786E-3</v>
      </c>
    </row>
    <row r="1641" spans="1:25" x14ac:dyDescent="0.25">
      <c r="A1641" s="1090"/>
      <c r="B1641" s="1448">
        <v>1391</v>
      </c>
      <c r="C1641" s="1094">
        <v>0.96865821033002053</v>
      </c>
      <c r="D1641" s="1094">
        <v>1.0042460026318116</v>
      </c>
      <c r="E1641" s="1094">
        <v>1.0074070174725054</v>
      </c>
      <c r="F1641" s="1094">
        <v>1.0287029259284153</v>
      </c>
      <c r="G1641" s="1094">
        <v>0.98206859317749939</v>
      </c>
      <c r="H1641" s="1094">
        <v>0.99609721248951411</v>
      </c>
      <c r="I1641" s="1094">
        <v>1.0114056937161735</v>
      </c>
      <c r="K1641">
        <v>4.6263419165195074</v>
      </c>
      <c r="L1641">
        <v>0</v>
      </c>
      <c r="M1641">
        <v>1.5207921110184873E-3</v>
      </c>
      <c r="N1641">
        <v>0.13454470780441433</v>
      </c>
      <c r="O1641">
        <v>4.0648368335776341E-2</v>
      </c>
      <c r="P1641">
        <v>1.9826502508307236E-2</v>
      </c>
      <c r="Q1641">
        <v>1.3520210015689424E-3</v>
      </c>
      <c r="R1641">
        <v>1.5147036925680698E-3</v>
      </c>
      <c r="S1641">
        <v>0.24559165067333955</v>
      </c>
      <c r="T1641">
        <v>4.0795533718165453</v>
      </c>
      <c r="U1641">
        <v>0</v>
      </c>
      <c r="V1641">
        <v>9.4523053561132043E-3</v>
      </c>
      <c r="W1641">
        <v>7.9743442290910738E-2</v>
      </c>
      <c r="X1641">
        <v>1.1354966873623026E-2</v>
      </c>
      <c r="Y1641">
        <v>4.280668277353703E-3</v>
      </c>
    </row>
    <row r="1642" spans="1:25" x14ac:dyDescent="0.25">
      <c r="A1642" s="1090"/>
      <c r="B1642" s="1448">
        <v>1392</v>
      </c>
      <c r="C1642" s="1094">
        <v>1.0112879532910859</v>
      </c>
      <c r="D1642" s="1094">
        <v>0.99363757473665604</v>
      </c>
      <c r="E1642" s="1094">
        <v>0.99564398990282565</v>
      </c>
      <c r="F1642" s="1094">
        <v>1.0109727297866158</v>
      </c>
      <c r="G1642" s="1094">
        <v>0.98512872334301793</v>
      </c>
      <c r="H1642" s="1094">
        <v>1.0116891262028531</v>
      </c>
      <c r="I1642" s="1094">
        <v>1.0122392596126562</v>
      </c>
      <c r="K1642">
        <v>4.5319834758687891</v>
      </c>
      <c r="L1642">
        <v>0</v>
      </c>
      <c r="M1642">
        <v>1.4969129487961386E-3</v>
      </c>
      <c r="N1642">
        <v>0.12789549890053462</v>
      </c>
      <c r="O1642">
        <v>3.850767294041315E-2</v>
      </c>
      <c r="P1642">
        <v>1.9287143275700986E-2</v>
      </c>
      <c r="Q1642">
        <v>1.2875081881701873E-3</v>
      </c>
      <c r="R1642">
        <v>1.4909094283802947E-3</v>
      </c>
      <c r="S1642">
        <v>0.23460968191721659</v>
      </c>
      <c r="T1642">
        <v>4.0096928045373703</v>
      </c>
      <c r="U1642">
        <v>0</v>
      </c>
      <c r="V1642">
        <v>9.452305356113206E-3</v>
      </c>
      <c r="W1642">
        <v>7.6406946470954251E-2</v>
      </c>
      <c r="X1642">
        <v>1.0636493932572185E-2</v>
      </c>
      <c r="Y1642">
        <v>4.2134238701529167E-3</v>
      </c>
    </row>
    <row r="1643" spans="1:25" x14ac:dyDescent="0.25">
      <c r="A1643" s="1090"/>
      <c r="B1643" s="1448">
        <v>1393</v>
      </c>
      <c r="C1643" s="1094">
        <v>0.96549445490738262</v>
      </c>
      <c r="D1643" s="1094">
        <v>0.98669976903262047</v>
      </c>
      <c r="E1643" s="1094">
        <v>1.0052780163004138</v>
      </c>
      <c r="F1643" s="1094">
        <v>0.97688189627890565</v>
      </c>
      <c r="G1643" s="1094">
        <v>0.97433260868804794</v>
      </c>
      <c r="H1643" s="1094">
        <v>1.0214871983736056</v>
      </c>
      <c r="I1643" s="1094">
        <v>1.0271360627750796</v>
      </c>
      <c r="K1643">
        <v>4.4133212659323098</v>
      </c>
      <c r="L1643">
        <v>0</v>
      </c>
      <c r="M1643">
        <v>1.5034081266853175E-3</v>
      </c>
      <c r="N1643">
        <v>0.13215658839535377</v>
      </c>
      <c r="O1643">
        <v>3.9016088712671829E-2</v>
      </c>
      <c r="P1643">
        <v>1.8854173608635564E-2</v>
      </c>
      <c r="Q1643">
        <v>1.3635686854107738E-3</v>
      </c>
      <c r="R1643">
        <v>1.4972288679016201E-3</v>
      </c>
      <c r="S1643">
        <v>0.24495081085961787</v>
      </c>
      <c r="T1643">
        <v>3.874124349644732</v>
      </c>
      <c r="U1643">
        <v>0</v>
      </c>
      <c r="V1643">
        <v>9.4523053561131904E-3</v>
      </c>
      <c r="W1643">
        <v>7.8440331247097483E-2</v>
      </c>
      <c r="X1643">
        <v>1.0737945592756946E-2</v>
      </c>
      <c r="Y1643">
        <v>4.231283088706567E-3</v>
      </c>
    </row>
    <row r="1644" spans="1:25" x14ac:dyDescent="0.25">
      <c r="A1644" s="1090"/>
      <c r="B1644" s="1448">
        <v>1394</v>
      </c>
      <c r="C1644" s="1094">
        <v>0.9805122896576336</v>
      </c>
      <c r="D1644" s="1094">
        <v>1.0047693940029045</v>
      </c>
      <c r="E1644" s="1094">
        <v>1.0145319331460172</v>
      </c>
      <c r="F1644" s="1094">
        <v>1.0316373039582252</v>
      </c>
      <c r="G1644" s="1094">
        <v>1.0313380961057761</v>
      </c>
      <c r="H1644" s="1094">
        <v>1.0192330825271017</v>
      </c>
      <c r="I1644" s="1094">
        <v>1.0070628896139948</v>
      </c>
      <c r="K1644">
        <v>4.6396223880315279</v>
      </c>
      <c r="L1644">
        <v>0</v>
      </c>
      <c r="M1644">
        <v>1.5183552426942923E-3</v>
      </c>
      <c r="N1644">
        <v>0.13720675895406795</v>
      </c>
      <c r="O1644">
        <v>4.0211639207700815E-2</v>
      </c>
      <c r="P1644">
        <v>1.9975320984533439E-2</v>
      </c>
      <c r="Q1644">
        <v>1.3435194057276252E-3</v>
      </c>
      <c r="R1644">
        <v>1.5124313918860076E-3</v>
      </c>
      <c r="S1644">
        <v>0.24386762323861688</v>
      </c>
      <c r="T1644">
        <v>4.0909119075142835</v>
      </c>
      <c r="U1644">
        <v>0</v>
      </c>
      <c r="V1644">
        <v>9.4523053561131973E-3</v>
      </c>
      <c r="W1644">
        <v>8.0933436939630884E-2</v>
      </c>
      <c r="X1644">
        <v>1.145155369951467E-2</v>
      </c>
      <c r="Y1644">
        <v>4.2742465821442458E-3</v>
      </c>
    </row>
    <row r="1645" spans="1:25" x14ac:dyDescent="0.25">
      <c r="A1645" s="1090"/>
      <c r="B1645" s="1448">
        <v>1395</v>
      </c>
      <c r="C1645" s="1094">
        <v>0.98885623935618416</v>
      </c>
      <c r="D1645" s="1094">
        <v>0.9823322271564322</v>
      </c>
      <c r="E1645" s="1094">
        <v>1.0201257388086635</v>
      </c>
      <c r="F1645" s="1094">
        <v>0.98130422860840172</v>
      </c>
      <c r="G1645" s="1094">
        <v>1.0065560860659952</v>
      </c>
      <c r="H1645" s="1094">
        <v>1.000034353418654</v>
      </c>
      <c r="I1645" s="1094">
        <v>0.98873158799312333</v>
      </c>
      <c r="K1645">
        <v>4.4082714984341367</v>
      </c>
      <c r="L1645">
        <v>0</v>
      </c>
      <c r="M1645">
        <v>1.4015011640684772E-3</v>
      </c>
      <c r="N1645">
        <v>0.12872509523906753</v>
      </c>
      <c r="O1645">
        <v>3.8232663017961875E-2</v>
      </c>
      <c r="P1645">
        <v>1.906926143319454E-2</v>
      </c>
      <c r="Q1645">
        <v>1.3506607344210685E-3</v>
      </c>
      <c r="R1645">
        <v>1.3956435929499847E-3</v>
      </c>
      <c r="S1645">
        <v>0.22963077077226129</v>
      </c>
      <c r="T1645">
        <v>3.8911110751138538</v>
      </c>
      <c r="U1645">
        <v>0</v>
      </c>
      <c r="V1645">
        <v>9.4523053561131939E-3</v>
      </c>
      <c r="W1645">
        <v>7.5647208872695493E-2</v>
      </c>
      <c r="X1645">
        <v>1.111412011965872E-2</v>
      </c>
      <c r="Y1645">
        <v>3.9441953460243951E-3</v>
      </c>
    </row>
    <row r="1646" spans="1:25" x14ac:dyDescent="0.25">
      <c r="A1646" s="1090"/>
      <c r="B1646" s="1448">
        <v>1396</v>
      </c>
      <c r="C1646" s="1094">
        <v>0.9731641362924871</v>
      </c>
      <c r="D1646" s="1094">
        <v>0.98569203816601636</v>
      </c>
      <c r="E1646" s="1094">
        <v>0.9673165365538734</v>
      </c>
      <c r="F1646" s="1094">
        <v>1.0070880293916851</v>
      </c>
      <c r="G1646" s="1094">
        <v>0.97962617164760357</v>
      </c>
      <c r="H1646" s="1094">
        <v>1.0219685897728688</v>
      </c>
      <c r="I1646" s="1094">
        <v>1.003721730772948</v>
      </c>
      <c r="K1646">
        <v>4.5330486087874835</v>
      </c>
      <c r="L1646">
        <v>0</v>
      </c>
      <c r="M1646">
        <v>1.6666256259144693E-3</v>
      </c>
      <c r="N1646">
        <v>0.13091997043663797</v>
      </c>
      <c r="O1646">
        <v>4.0192483953233174E-2</v>
      </c>
      <c r="P1646">
        <v>1.8849123537619687E-2</v>
      </c>
      <c r="Q1646">
        <v>1.3096777297749306E-3</v>
      </c>
      <c r="R1646">
        <v>1.6599832684156333E-3</v>
      </c>
      <c r="S1646">
        <v>0.24252214849427436</v>
      </c>
      <c r="T1646">
        <v>3.9953816046017652</v>
      </c>
      <c r="U1646">
        <v>0</v>
      </c>
      <c r="V1646">
        <v>9.4523053561132026E-3</v>
      </c>
      <c r="W1646">
        <v>7.974509181420715E-2</v>
      </c>
      <c r="X1646">
        <v>9.9916057710812325E-3</v>
      </c>
      <c r="Y1646">
        <v>4.691239450269836E-3</v>
      </c>
    </row>
    <row r="1647" spans="1:25" x14ac:dyDescent="0.25">
      <c r="A1647" s="1090"/>
      <c r="B1647" s="1448">
        <v>1397</v>
      </c>
      <c r="C1647" s="1094">
        <v>0.99888281568440462</v>
      </c>
      <c r="D1647" s="1094">
        <v>0.97004935092971356</v>
      </c>
      <c r="E1647" s="1094">
        <v>1.0079485945998377</v>
      </c>
      <c r="F1647" s="1094">
        <v>0.9697312649762031</v>
      </c>
      <c r="G1647" s="1094">
        <v>0.9705240442592693</v>
      </c>
      <c r="H1647" s="1094">
        <v>1.0119244749510301</v>
      </c>
      <c r="I1647" s="1094">
        <v>1.0046432657356936</v>
      </c>
      <c r="K1647">
        <v>4.3602805580752921</v>
      </c>
      <c r="L1647">
        <v>0</v>
      </c>
      <c r="M1647">
        <v>1.4307428450631814E-3</v>
      </c>
      <c r="N1647">
        <v>0.12675879356145059</v>
      </c>
      <c r="O1647">
        <v>3.7673580930094062E-2</v>
      </c>
      <c r="P1647">
        <v>1.8697233257592368E-2</v>
      </c>
      <c r="Q1647">
        <v>1.330021214392327E-3</v>
      </c>
      <c r="R1647">
        <v>1.424763093798614E-3</v>
      </c>
      <c r="S1647">
        <v>0.23095075446528709</v>
      </c>
      <c r="T1647">
        <v>3.8456680310245592</v>
      </c>
      <c r="U1647">
        <v>0</v>
      </c>
      <c r="V1647">
        <v>9.4523053561131852E-3</v>
      </c>
      <c r="W1647">
        <v>7.5101448445351313E-2</v>
      </c>
      <c r="X1647">
        <v>1.0627880293126914E-2</v>
      </c>
      <c r="Y1647">
        <v>4.0264892785913395E-3</v>
      </c>
    </row>
    <row r="1648" spans="1:25" x14ac:dyDescent="0.25">
      <c r="A1648" s="1090"/>
      <c r="B1648" s="1448">
        <v>1398</v>
      </c>
      <c r="C1648" s="1094">
        <v>1.020509453201965</v>
      </c>
      <c r="D1648" s="1094">
        <v>0.97679932170924122</v>
      </c>
      <c r="E1648" s="1094">
        <v>0.96981976680901327</v>
      </c>
      <c r="F1648" s="1094">
        <v>0.96069596151620351</v>
      </c>
      <c r="G1648" s="1094">
        <v>1.0281441007555949</v>
      </c>
      <c r="H1648" s="1094">
        <v>0.98980324433112754</v>
      </c>
      <c r="I1648" s="1094">
        <v>0.96887494693023068</v>
      </c>
      <c r="K1648">
        <v>4.2914269006275907</v>
      </c>
      <c r="L1648">
        <v>0</v>
      </c>
      <c r="M1648">
        <v>1.4662859438795851E-3</v>
      </c>
      <c r="N1648">
        <v>0.11600385236259174</v>
      </c>
      <c r="O1648">
        <v>3.6678748985315743E-2</v>
      </c>
      <c r="P1648">
        <v>1.7942594011375636E-2</v>
      </c>
      <c r="Q1648">
        <v>1.2561990488223346E-3</v>
      </c>
      <c r="R1648">
        <v>1.4599620060243076E-3</v>
      </c>
      <c r="S1648">
        <v>0.21464083905032053</v>
      </c>
      <c r="T1648">
        <v>3.811239157422011</v>
      </c>
      <c r="U1648">
        <v>0</v>
      </c>
      <c r="V1648">
        <v>9.4523053561131887E-3</v>
      </c>
      <c r="W1648">
        <v>7.0537458052379806E-2</v>
      </c>
      <c r="X1648">
        <v>9.5561061846655884E-3</v>
      </c>
      <c r="Y1648">
        <v>4.1259640918509723E-3</v>
      </c>
    </row>
    <row r="1649" spans="1:25" x14ac:dyDescent="0.25">
      <c r="A1649" s="1090"/>
      <c r="B1649" s="1448">
        <v>1399</v>
      </c>
      <c r="C1649" s="1094">
        <v>0.97842067847331893</v>
      </c>
      <c r="D1649" s="1094">
        <v>1.0183580486846333</v>
      </c>
      <c r="E1649" s="1094">
        <v>1.0261307106097022</v>
      </c>
      <c r="F1649" s="1094">
        <v>0.97643074601445756</v>
      </c>
      <c r="G1649" s="1094">
        <v>1.0135193351460003</v>
      </c>
      <c r="H1649" s="1094">
        <v>1.00963379964221</v>
      </c>
      <c r="I1649" s="1094">
        <v>1.0053593470290481</v>
      </c>
      <c r="K1649">
        <v>4.3929987479290808</v>
      </c>
      <c r="L1649">
        <v>0</v>
      </c>
      <c r="M1649">
        <v>1.3849320889982369E-3</v>
      </c>
      <c r="N1649">
        <v>0.12948532977691238</v>
      </c>
      <c r="O1649">
        <v>3.7857601664991046E-2</v>
      </c>
      <c r="P1649">
        <v>1.9079608695507146E-2</v>
      </c>
      <c r="Q1649">
        <v>1.3523822603623966E-3</v>
      </c>
      <c r="R1649">
        <v>1.3791703074557714E-3</v>
      </c>
      <c r="S1649">
        <v>0.23334029385695923</v>
      </c>
      <c r="T1649">
        <v>3.8715657755479764</v>
      </c>
      <c r="U1649">
        <v>0</v>
      </c>
      <c r="V1649">
        <v>9.4523053561131783E-3</v>
      </c>
      <c r="W1649">
        <v>7.5790537692777882E-2</v>
      </c>
      <c r="X1649">
        <v>1.1183034275486137E-2</v>
      </c>
      <c r="Y1649">
        <v>3.8976405835418953E-3</v>
      </c>
    </row>
    <row r="1650" spans="1:25" x14ac:dyDescent="0.25">
      <c r="A1650" s="1090"/>
      <c r="B1650" s="1448">
        <v>1400</v>
      </c>
      <c r="C1650" s="1094">
        <v>0.98932909452941165</v>
      </c>
      <c r="D1650" s="1094">
        <v>0.98671722866205935</v>
      </c>
      <c r="E1650" s="1094">
        <v>1.0088985630746177</v>
      </c>
      <c r="F1650" s="1094">
        <v>0.98355798884028245</v>
      </c>
      <c r="G1650" s="1094">
        <v>1.0243187129990563</v>
      </c>
      <c r="H1650" s="1094">
        <v>0.994853168718423</v>
      </c>
      <c r="I1650" s="1094">
        <v>0.96281367982322419</v>
      </c>
      <c r="K1650">
        <v>4.4084546527113462</v>
      </c>
      <c r="L1650">
        <v>0</v>
      </c>
      <c r="M1650">
        <v>1.4277082408778292E-3</v>
      </c>
      <c r="N1650">
        <v>0.12684469649542648</v>
      </c>
      <c r="O1650">
        <v>3.8311194300987679E-2</v>
      </c>
      <c r="P1650">
        <v>1.8925631012115883E-2</v>
      </c>
      <c r="Q1650">
        <v>1.3348254224725079E-3</v>
      </c>
      <c r="R1650">
        <v>1.4217237478566635E-3</v>
      </c>
      <c r="S1650">
        <v>0.22316319889333558</v>
      </c>
      <c r="T1650">
        <v>3.9004653036621293</v>
      </c>
      <c r="U1650">
        <v>0</v>
      </c>
      <c r="V1650">
        <v>9.4523053561131817E-3</v>
      </c>
      <c r="W1650">
        <v>7.5104381576608245E-2</v>
      </c>
      <c r="X1650">
        <v>1.0841200630262096E-2</v>
      </c>
      <c r="Y1650">
        <v>4.0178998549163028E-3</v>
      </c>
    </row>
    <row r="1651" spans="1:25" x14ac:dyDescent="0.25">
      <c r="A1651" s="1090"/>
      <c r="B1651" s="1448">
        <v>1401</v>
      </c>
      <c r="C1651" s="1094">
        <v>0.96578606236387887</v>
      </c>
      <c r="D1651" s="1094">
        <v>0.97351494949122497</v>
      </c>
      <c r="E1651" s="1094">
        <v>0.99694650758283487</v>
      </c>
      <c r="F1651" s="1094">
        <v>0.99884187208012365</v>
      </c>
      <c r="G1651" s="1094">
        <v>1.0310659200274019</v>
      </c>
      <c r="H1651" s="1094">
        <v>1.0019950646667499</v>
      </c>
      <c r="I1651" s="1094">
        <v>1.0083645182860135</v>
      </c>
      <c r="K1651">
        <v>4.5014739680547686</v>
      </c>
      <c r="L1651">
        <v>0</v>
      </c>
      <c r="M1651">
        <v>1.542237314177357E-3</v>
      </c>
      <c r="N1651">
        <v>0.13226598860139793</v>
      </c>
      <c r="O1651">
        <v>4.0156105220959276E-2</v>
      </c>
      <c r="P1651">
        <v>1.9127615448248616E-2</v>
      </c>
      <c r="Q1651">
        <v>1.3607677222889263E-3</v>
      </c>
      <c r="R1651">
        <v>1.5359166392738522E-3</v>
      </c>
      <c r="S1651">
        <v>0.24348131374198595</v>
      </c>
      <c r="T1651">
        <v>3.9615300902052466</v>
      </c>
      <c r="U1651">
        <v>0</v>
      </c>
      <c r="V1651">
        <v>9.4523053561131869E-3</v>
      </c>
      <c r="W1651">
        <v>7.8948244438149046E-2</v>
      </c>
      <c r="X1651">
        <v>1.0817240311007616E-2</v>
      </c>
      <c r="Y1651">
        <v>4.3406176842761121E-3</v>
      </c>
    </row>
    <row r="1652" spans="1:25" x14ac:dyDescent="0.25">
      <c r="A1652" s="1090"/>
      <c r="B1652" s="1448">
        <v>1402</v>
      </c>
      <c r="C1652" s="1094">
        <v>0.98648342827688806</v>
      </c>
      <c r="D1652" s="1094">
        <v>1.009665062470676</v>
      </c>
      <c r="E1652" s="1094">
        <v>0.9925352927974912</v>
      </c>
      <c r="F1652" s="1094">
        <v>1.0149114964427626</v>
      </c>
      <c r="G1652" s="1094">
        <v>0.99028776946326857</v>
      </c>
      <c r="H1652" s="1094">
        <v>0.99389536180361759</v>
      </c>
      <c r="I1652" s="1094">
        <v>1.0392318235345384</v>
      </c>
      <c r="K1652">
        <v>4.5597366061782365</v>
      </c>
      <c r="L1652">
        <v>0</v>
      </c>
      <c r="M1652">
        <v>1.5136236925087706E-3</v>
      </c>
      <c r="N1652">
        <v>0.12812981068205609</v>
      </c>
      <c r="O1652">
        <v>3.9398736269395621E-2</v>
      </c>
      <c r="P1652">
        <v>1.9360260172407807E-2</v>
      </c>
      <c r="Q1652">
        <v>1.307958241618581E-3</v>
      </c>
      <c r="R1652">
        <v>1.5074683547366742E-3</v>
      </c>
      <c r="S1652">
        <v>0.24494845883861532</v>
      </c>
      <c r="T1652">
        <v>4.0254351290318633</v>
      </c>
      <c r="U1652">
        <v>0</v>
      </c>
      <c r="V1652">
        <v>9.4523053561131939E-3</v>
      </c>
      <c r="W1652">
        <v>7.6708577411612744E-2</v>
      </c>
      <c r="X1652">
        <v>1.074130485207331E-2</v>
      </c>
      <c r="Y1652">
        <v>4.260220660250268E-3</v>
      </c>
    </row>
    <row r="1653" spans="1:25" x14ac:dyDescent="0.25">
      <c r="A1653" s="1090"/>
      <c r="B1653" s="1448">
        <v>1403</v>
      </c>
      <c r="C1653" s="1094">
        <v>0.9673070692035397</v>
      </c>
      <c r="D1653" s="1094">
        <v>1.0035455271565776</v>
      </c>
      <c r="E1653" s="1094">
        <v>0.98577486772788125</v>
      </c>
      <c r="F1653" s="1094">
        <v>0.98716815964340165</v>
      </c>
      <c r="G1653" s="1094">
        <v>1.0111672359689494</v>
      </c>
      <c r="H1653" s="1094">
        <v>0.98412781674306726</v>
      </c>
      <c r="I1653" s="1094">
        <v>1.0028929623352949</v>
      </c>
      <c r="K1653">
        <v>4.4361557644314429</v>
      </c>
      <c r="L1653">
        <v>0</v>
      </c>
      <c r="M1653">
        <v>1.5118029372813201E-3</v>
      </c>
      <c r="N1653">
        <v>0.1254161384658827</v>
      </c>
      <c r="O1653">
        <v>3.922382516856484E-2</v>
      </c>
      <c r="P1653">
        <v>1.8728863762075377E-2</v>
      </c>
      <c r="Q1653">
        <v>1.3293572489902607E-3</v>
      </c>
      <c r="R1653">
        <v>1.5054202139772649E-3</v>
      </c>
      <c r="S1653">
        <v>0.23626981081314205</v>
      </c>
      <c r="T1653">
        <v>3.9156524461822451</v>
      </c>
      <c r="U1653">
        <v>0</v>
      </c>
      <c r="V1653">
        <v>9.4523053561131939E-3</v>
      </c>
      <c r="W1653">
        <v>7.5430367631621656E-2</v>
      </c>
      <c r="X1653">
        <v>1.0404600068013269E-2</v>
      </c>
      <c r="Y1653">
        <v>4.2544324580960271E-3</v>
      </c>
    </row>
    <row r="1654" spans="1:25" x14ac:dyDescent="0.25">
      <c r="A1654" s="1090"/>
      <c r="B1654" s="1448">
        <v>1404</v>
      </c>
      <c r="C1654" s="1094">
        <v>0.9650297524499446</v>
      </c>
      <c r="D1654" s="1094">
        <v>0.99149128140709952</v>
      </c>
      <c r="E1654" s="1094">
        <v>1.0259450718113061</v>
      </c>
      <c r="F1654" s="1094">
        <v>0.99709724475186601</v>
      </c>
      <c r="G1654" s="1094">
        <v>1.0217898733707014</v>
      </c>
      <c r="H1654" s="1094">
        <v>1.0165202895290399</v>
      </c>
      <c r="I1654" s="1094">
        <v>1.0298544248734134</v>
      </c>
      <c r="K1654">
        <v>4.5037386969829445</v>
      </c>
      <c r="L1654">
        <v>0</v>
      </c>
      <c r="M1654">
        <v>1.4596170359725731E-3</v>
      </c>
      <c r="N1654">
        <v>0.13640870274781583</v>
      </c>
      <c r="O1654">
        <v>3.961806567313491E-2</v>
      </c>
      <c r="P1654">
        <v>1.9526647043999219E-2</v>
      </c>
      <c r="Q1654">
        <v>1.3856739807010536E-3</v>
      </c>
      <c r="R1654">
        <v>1.453710174244973E-3</v>
      </c>
      <c r="S1654">
        <v>0.24835881409462968</v>
      </c>
      <c r="T1654">
        <v>3.9535157798688831</v>
      </c>
      <c r="U1654">
        <v>0</v>
      </c>
      <c r="V1654">
        <v>9.4523053561132008E-3</v>
      </c>
      <c r="W1654">
        <v>7.9852779739369356E-2</v>
      </c>
      <c r="X1654">
        <v>1.1517539402084411E-2</v>
      </c>
      <c r="Y1654">
        <v>4.1082959379377957E-3</v>
      </c>
    </row>
    <row r="1655" spans="1:25" x14ac:dyDescent="0.25">
      <c r="A1655" s="1090"/>
      <c r="B1655" s="1448">
        <v>1405</v>
      </c>
      <c r="C1655" s="1094">
        <v>1.0031794910753611</v>
      </c>
      <c r="D1655" s="1094">
        <v>0.99331213781464434</v>
      </c>
      <c r="E1655" s="1094">
        <v>0.99239966552058434</v>
      </c>
      <c r="F1655" s="1094">
        <v>1.0244266907155608</v>
      </c>
      <c r="G1655" s="1094">
        <v>1.0008534302412111</v>
      </c>
      <c r="H1655" s="1094">
        <v>1.0092336092964103</v>
      </c>
      <c r="I1655" s="1094">
        <v>1.0152118030579917</v>
      </c>
      <c r="K1655">
        <v>4.5948172727387337</v>
      </c>
      <c r="L1655">
        <v>0</v>
      </c>
      <c r="M1655">
        <v>1.5359498969220945E-3</v>
      </c>
      <c r="N1655">
        <v>0.12998037892582484</v>
      </c>
      <c r="O1655">
        <v>3.9363462789851367E-2</v>
      </c>
      <c r="P1655">
        <v>1.950289039085782E-2</v>
      </c>
      <c r="Q1655">
        <v>1.2944668666374783E-3</v>
      </c>
      <c r="R1655">
        <v>1.5298556005306162E-3</v>
      </c>
      <c r="S1655">
        <v>0.23917280517062472</v>
      </c>
      <c r="T1655">
        <v>4.0631804763360329</v>
      </c>
      <c r="U1655">
        <v>0</v>
      </c>
      <c r="V1655">
        <v>9.4523053561132026E-3</v>
      </c>
      <c r="W1655">
        <v>7.782364315909425E-2</v>
      </c>
      <c r="X1655">
        <v>1.0729449314032902E-2</v>
      </c>
      <c r="Y1655">
        <v>4.3234887260493087E-3</v>
      </c>
    </row>
    <row r="1656" spans="1:25" x14ac:dyDescent="0.25">
      <c r="A1656" s="1090"/>
      <c r="B1656" s="1448">
        <v>1406</v>
      </c>
      <c r="C1656" s="1094">
        <v>0.98061777094615821</v>
      </c>
      <c r="D1656" s="1094">
        <v>1.0461612394824642</v>
      </c>
      <c r="E1656" s="1094">
        <v>1.0221068298501848</v>
      </c>
      <c r="F1656" s="1094">
        <v>0.99393330964538484</v>
      </c>
      <c r="G1656" s="1094">
        <v>1.0342407271026279</v>
      </c>
      <c r="H1656" s="1094">
        <v>1.0093598700451982</v>
      </c>
      <c r="I1656" s="1094">
        <v>1.0169295201470083</v>
      </c>
      <c r="K1656">
        <v>4.4665812075425677</v>
      </c>
      <c r="L1656">
        <v>0</v>
      </c>
      <c r="M1656">
        <v>1.4029256606619966E-3</v>
      </c>
      <c r="N1656">
        <v>0.12962518574742687</v>
      </c>
      <c r="O1656">
        <v>3.8065408632146358E-2</v>
      </c>
      <c r="P1656">
        <v>1.9359447697440486E-2</v>
      </c>
      <c r="Q1656">
        <v>1.330365975359626E-3</v>
      </c>
      <c r="R1656">
        <v>1.3971898191715425E-3</v>
      </c>
      <c r="S1656">
        <v>0.23640777227548809</v>
      </c>
      <c r="T1656">
        <v>3.9411142606871712</v>
      </c>
      <c r="U1656">
        <v>0</v>
      </c>
      <c r="V1656">
        <v>9.4523053561131956E-3</v>
      </c>
      <c r="W1656">
        <v>7.60756764044941E-2</v>
      </c>
      <c r="X1656">
        <v>1.1207955509039601E-2</v>
      </c>
      <c r="Y1656">
        <v>3.9485650993753042E-3</v>
      </c>
    </row>
    <row r="1657" spans="1:25" x14ac:dyDescent="0.25">
      <c r="A1657" s="1090"/>
      <c r="B1657" s="1448">
        <v>1407</v>
      </c>
      <c r="C1657" s="1094">
        <v>1.0071449891590354</v>
      </c>
      <c r="D1657" s="1094">
        <v>0.98652978484592757</v>
      </c>
      <c r="E1657" s="1094">
        <v>1.0298426849450728</v>
      </c>
      <c r="F1657" s="1094">
        <v>0.99424301241570434</v>
      </c>
      <c r="G1657" s="1094">
        <v>0.98389202018481414</v>
      </c>
      <c r="H1657" s="1094">
        <v>1.0099252875047993</v>
      </c>
      <c r="I1657" s="1094">
        <v>0.96949279532071442</v>
      </c>
      <c r="K1657">
        <v>4.4550280286113244</v>
      </c>
      <c r="L1657">
        <v>0</v>
      </c>
      <c r="M1657">
        <v>1.3769324037333571E-3</v>
      </c>
      <c r="N1657">
        <v>0.13016801277999976</v>
      </c>
      <c r="O1657">
        <v>3.7902078511699348E-2</v>
      </c>
      <c r="P1657">
        <v>1.941294511349646E-2</v>
      </c>
      <c r="Q1657">
        <v>1.3347702085460113E-3</v>
      </c>
      <c r="R1657">
        <v>1.3713077324521892E-3</v>
      </c>
      <c r="S1657">
        <v>0.22345467287571594</v>
      </c>
      <c r="T1657">
        <v>3.9420531279695168</v>
      </c>
      <c r="U1657">
        <v>0</v>
      </c>
      <c r="V1657">
        <v>9.4523053561131869E-3</v>
      </c>
      <c r="W1657">
        <v>7.6002792408998543E-2</v>
      </c>
      <c r="X1657">
        <v>1.1377527712218219E-2</v>
      </c>
      <c r="Y1657">
        <v>3.8754203463025666E-3</v>
      </c>
    </row>
    <row r="1658" spans="1:25" x14ac:dyDescent="0.25">
      <c r="A1658" s="1090"/>
      <c r="B1658" s="1448">
        <v>1408</v>
      </c>
      <c r="C1658" s="1094">
        <v>1.001592405639153</v>
      </c>
      <c r="D1658" s="1094">
        <v>0.95468090968501562</v>
      </c>
      <c r="E1658" s="1094">
        <v>0.97079797330216744</v>
      </c>
      <c r="F1658" s="1094">
        <v>0.97265715711244338</v>
      </c>
      <c r="G1658" s="1094">
        <v>0.99980808082013639</v>
      </c>
      <c r="H1658" s="1094">
        <v>0.99111260070759699</v>
      </c>
      <c r="I1658" s="1094">
        <v>1.0091996764475282</v>
      </c>
      <c r="K1658">
        <v>4.3659122443053207</v>
      </c>
      <c r="L1658">
        <v>0</v>
      </c>
      <c r="M1658">
        <v>1.5253102888638606E-3</v>
      </c>
      <c r="N1658">
        <v>0.12103165158905939</v>
      </c>
      <c r="O1658">
        <v>3.817842429261057E-2</v>
      </c>
      <c r="P1658">
        <v>1.8241706020062056E-2</v>
      </c>
      <c r="Q1658">
        <v>1.2928090125054928E-3</v>
      </c>
      <c r="R1658">
        <v>1.5188209272551988E-3</v>
      </c>
      <c r="S1658">
        <v>0.23142416094524895</v>
      </c>
      <c r="T1658">
        <v>3.8586544344399423</v>
      </c>
      <c r="U1658">
        <v>0</v>
      </c>
      <c r="V1658">
        <v>9.4523053561131869E-3</v>
      </c>
      <c r="W1658">
        <v>7.3545034551097899E-2</v>
      </c>
      <c r="X1658">
        <v>9.8059035633756599E-3</v>
      </c>
      <c r="Y1658">
        <v>4.2923038969155287E-3</v>
      </c>
    </row>
    <row r="1659" spans="1:25" x14ac:dyDescent="0.25">
      <c r="A1659" s="1090"/>
      <c r="B1659" s="1448">
        <v>1409</v>
      </c>
      <c r="C1659" s="1094">
        <v>0.98951074696529284</v>
      </c>
      <c r="D1659" s="1094">
        <v>1.0220855511949776</v>
      </c>
      <c r="E1659" s="1094">
        <v>1.0072806910575638</v>
      </c>
      <c r="F1659" s="1094">
        <v>1.0119504439024898</v>
      </c>
      <c r="G1659" s="1094">
        <v>1.0170614471963231</v>
      </c>
      <c r="H1659" s="1094">
        <v>0.97594735418522771</v>
      </c>
      <c r="I1659" s="1094">
        <v>0.96480876191852727</v>
      </c>
      <c r="K1659">
        <v>4.5221064480492013</v>
      </c>
      <c r="L1659">
        <v>0</v>
      </c>
      <c r="M1659">
        <v>1.4252771384377946E-3</v>
      </c>
      <c r="N1659">
        <v>0.12602833449281733</v>
      </c>
      <c r="O1659">
        <v>3.8869899434831795E-2</v>
      </c>
      <c r="P1659">
        <v>1.9422546743567737E-2</v>
      </c>
      <c r="Q1659">
        <v>1.3140982327981322E-3</v>
      </c>
      <c r="R1659">
        <v>1.4193572795417422E-3</v>
      </c>
      <c r="S1659">
        <v>0.22410573744057882</v>
      </c>
      <c r="T1659">
        <v>4.013122478122102</v>
      </c>
      <c r="U1659">
        <v>0</v>
      </c>
      <c r="V1659">
        <v>9.4523053561131852E-3</v>
      </c>
      <c r="W1659">
        <v>7.4702210356499363E-2</v>
      </c>
      <c r="X1659">
        <v>1.1083545694004307E-2</v>
      </c>
      <c r="Y1659">
        <v>4.0112120347870249E-3</v>
      </c>
    </row>
    <row r="1660" spans="1:25" x14ac:dyDescent="0.25">
      <c r="A1660" s="1090"/>
      <c r="B1660" s="1448">
        <v>1410</v>
      </c>
      <c r="C1660" s="1094">
        <v>1.013114894957478</v>
      </c>
      <c r="D1660" s="1094">
        <v>0.9951974602069521</v>
      </c>
      <c r="E1660" s="1094">
        <v>1.0140467656306951</v>
      </c>
      <c r="F1660" s="1094">
        <v>1.0369093706593175</v>
      </c>
      <c r="G1660" s="1094">
        <v>1.0226363308984254</v>
      </c>
      <c r="H1660" s="1094">
        <v>1.0028809237165794</v>
      </c>
      <c r="I1660" s="1094">
        <v>1.00280606578085</v>
      </c>
      <c r="K1660">
        <v>4.6421577270657677</v>
      </c>
      <c r="L1660">
        <v>0</v>
      </c>
      <c r="M1660">
        <v>1.4603472357540765E-3</v>
      </c>
      <c r="N1660">
        <v>0.13176971648356708</v>
      </c>
      <c r="O1660">
        <v>3.9269972409501717E-2</v>
      </c>
      <c r="P1660">
        <v>2.0024741618398418E-2</v>
      </c>
      <c r="Q1660">
        <v>1.304734634995182E-3</v>
      </c>
      <c r="R1660">
        <v>1.454586127811567E-3</v>
      </c>
      <c r="S1660">
        <v>0.23524615896081436</v>
      </c>
      <c r="T1660">
        <v>4.1118370771516553</v>
      </c>
      <c r="U1660">
        <v>0</v>
      </c>
      <c r="V1660">
        <v>9.4523053561131817E-3</v>
      </c>
      <c r="W1660">
        <v>7.7751563014741301E-2</v>
      </c>
      <c r="X1660">
        <v>1.1396447094334164E-2</v>
      </c>
      <c r="Y1660">
        <v>4.1107714495928821E-3</v>
      </c>
    </row>
    <row r="1661" spans="1:25" x14ac:dyDescent="0.25">
      <c r="A1661" s="1090"/>
      <c r="B1661" s="1448">
        <v>1411</v>
      </c>
      <c r="C1661" s="1094">
        <v>1.0207409218976229</v>
      </c>
      <c r="D1661" s="1094">
        <v>1.0138416308556426</v>
      </c>
      <c r="E1661" s="1094">
        <v>0.98903856963906545</v>
      </c>
      <c r="F1661" s="1094">
        <v>0.98297332904051149</v>
      </c>
      <c r="G1661" s="1094">
        <v>1.0177444096768311</v>
      </c>
      <c r="H1661" s="1094">
        <v>1.0091806867803801</v>
      </c>
      <c r="I1661" s="1094">
        <v>0.97262750081321037</v>
      </c>
      <c r="K1661">
        <v>4.390823674400278</v>
      </c>
      <c r="L1661">
        <v>0</v>
      </c>
      <c r="M1661">
        <v>1.4469963098474072E-3</v>
      </c>
      <c r="N1661">
        <v>0.12121807699643342</v>
      </c>
      <c r="O1661">
        <v>3.6840350344742936E-2</v>
      </c>
      <c r="P1661">
        <v>1.8615230631122082E-2</v>
      </c>
      <c r="Q1661">
        <v>1.2581773888118456E-3</v>
      </c>
      <c r="R1661">
        <v>1.4410135366712091E-3</v>
      </c>
      <c r="S1661">
        <v>0.21762306331079642</v>
      </c>
      <c r="T1661">
        <v>3.8988905184180624</v>
      </c>
      <c r="U1661">
        <v>0</v>
      </c>
      <c r="V1661">
        <v>9.4523053561131939E-3</v>
      </c>
      <c r="W1661">
        <v>7.274346200048501E-2</v>
      </c>
      <c r="X1661">
        <v>1.011605845607373E-2</v>
      </c>
      <c r="Y1661">
        <v>4.0724142708119162E-3</v>
      </c>
    </row>
    <row r="1662" spans="1:25" x14ac:dyDescent="0.25">
      <c r="A1662" s="1090"/>
      <c r="B1662" s="1448">
        <v>1412</v>
      </c>
      <c r="C1662" s="1094">
        <v>1.0214268614188291</v>
      </c>
      <c r="D1662" s="1094">
        <v>0.99615482601865057</v>
      </c>
      <c r="E1662" s="1094">
        <v>1.0019021586746235</v>
      </c>
      <c r="F1662" s="1094">
        <v>1.0170550918500074</v>
      </c>
      <c r="G1662" s="1094">
        <v>0.98712284623475466</v>
      </c>
      <c r="H1662" s="1094">
        <v>1.0210474720882263</v>
      </c>
      <c r="I1662" s="1094">
        <v>0.99231031298132655</v>
      </c>
      <c r="K1662">
        <v>4.552105117381565</v>
      </c>
      <c r="L1662">
        <v>0</v>
      </c>
      <c r="M1662">
        <v>1.4835265491243198E-3</v>
      </c>
      <c r="N1662">
        <v>0.12913207228204496</v>
      </c>
      <c r="O1662">
        <v>3.8273171664584445E-2</v>
      </c>
      <c r="P1662">
        <v>1.946138292677865E-2</v>
      </c>
      <c r="Q1662">
        <v>1.28029237820842E-3</v>
      </c>
      <c r="R1662">
        <v>1.4776663628870629E-3</v>
      </c>
      <c r="S1662">
        <v>0.22916471151516041</v>
      </c>
      <c r="T1662">
        <v>4.033573978755471</v>
      </c>
      <c r="U1662">
        <v>0</v>
      </c>
      <c r="V1662">
        <v>9.4523053561132026E-3</v>
      </c>
      <c r="W1662">
        <v>7.6819808717598942E-2</v>
      </c>
      <c r="X1662">
        <v>1.0777256015827429E-2</v>
      </c>
      <c r="Y1662">
        <v>4.1759979560088232E-3</v>
      </c>
    </row>
    <row r="1663" spans="1:25" x14ac:dyDescent="0.25">
      <c r="A1663" s="1090"/>
      <c r="B1663" s="1448">
        <v>1413</v>
      </c>
      <c r="C1663" s="1094">
        <v>1.0166093715713251</v>
      </c>
      <c r="D1663" s="1094">
        <v>0.96549447009725409</v>
      </c>
      <c r="E1663" s="1094">
        <v>1.0104287385227939</v>
      </c>
      <c r="F1663" s="1094">
        <v>1.0231822096688798</v>
      </c>
      <c r="G1663" s="1094">
        <v>1.0295863443650575</v>
      </c>
      <c r="H1663" s="1094">
        <v>1.0309312077183381</v>
      </c>
      <c r="I1663" s="1094">
        <v>1.0151292487493901</v>
      </c>
      <c r="K1663">
        <v>4.596002044975906</v>
      </c>
      <c r="L1663">
        <v>0</v>
      </c>
      <c r="M1663">
        <v>1.5057584350797993E-3</v>
      </c>
      <c r="N1663">
        <v>0.13442739095744269</v>
      </c>
      <c r="O1663">
        <v>3.9113196463842405E-2</v>
      </c>
      <c r="P1663">
        <v>1.9742213288534725E-2</v>
      </c>
      <c r="Q1663">
        <v>1.3120620043318067E-3</v>
      </c>
      <c r="R1663">
        <v>1.4999025892331599E-3</v>
      </c>
      <c r="S1663">
        <v>0.2395437297142762</v>
      </c>
      <c r="T1663">
        <v>4.0575425040235089</v>
      </c>
      <c r="U1663">
        <v>0</v>
      </c>
      <c r="V1663">
        <v>9.4523053561132026E-3</v>
      </c>
      <c r="W1663">
        <v>7.9512335901366388E-2</v>
      </c>
      <c r="X1663">
        <v>1.1123323883014805E-2</v>
      </c>
      <c r="Y1663">
        <v>4.2388392293184647E-3</v>
      </c>
    </row>
    <row r="1664" spans="1:25" x14ac:dyDescent="0.25">
      <c r="A1664" s="1090"/>
      <c r="B1664" s="1448">
        <v>1414</v>
      </c>
      <c r="C1664" s="1094">
        <v>0.98701321937366271</v>
      </c>
      <c r="D1664" s="1094">
        <v>0.98899322987501104</v>
      </c>
      <c r="E1664" s="1094">
        <v>1.0407993405032314</v>
      </c>
      <c r="F1664" s="1094">
        <v>1.0227617643782516</v>
      </c>
      <c r="G1664" s="1094">
        <v>1.0190972933878424</v>
      </c>
      <c r="H1664" s="1094">
        <v>1.0075649324867146</v>
      </c>
      <c r="I1664" s="1094">
        <v>0.99916905098955933</v>
      </c>
      <c r="K1664">
        <v>4.5976946686122355</v>
      </c>
      <c r="L1664">
        <v>0</v>
      </c>
      <c r="M1664">
        <v>1.4073099700092017E-3</v>
      </c>
      <c r="N1664">
        <v>0.13743237359782082</v>
      </c>
      <c r="O1664">
        <v>3.9666157759431116E-2</v>
      </c>
      <c r="P1664">
        <v>2.0168812025126142E-2</v>
      </c>
      <c r="Q1664">
        <v>1.3731882974548954E-3</v>
      </c>
      <c r="R1664">
        <v>1.4017077711751421E-3</v>
      </c>
      <c r="S1664">
        <v>0.23916674247372122</v>
      </c>
      <c r="T1664">
        <v>4.0547071976851061</v>
      </c>
      <c r="U1664">
        <v>0</v>
      </c>
      <c r="V1664">
        <v>9.4523053561131904E-3</v>
      </c>
      <c r="W1664">
        <v>7.966618987144157E-2</v>
      </c>
      <c r="X1664">
        <v>1.2105970568183135E-2</v>
      </c>
      <c r="Y1664">
        <v>3.9613331766667958E-3</v>
      </c>
    </row>
    <row r="1665" spans="1:25" x14ac:dyDescent="0.25">
      <c r="A1665" s="1090"/>
      <c r="B1665" s="1448">
        <v>1415</v>
      </c>
      <c r="C1665" s="1094">
        <v>0.9908151868656716</v>
      </c>
      <c r="D1665" s="1094">
        <v>0.99955328939862143</v>
      </c>
      <c r="E1665" s="1094">
        <v>0.9703034322680032</v>
      </c>
      <c r="F1665" s="1094">
        <v>1.0084430753585869</v>
      </c>
      <c r="G1665" s="1094">
        <v>1.0048748374229786</v>
      </c>
      <c r="H1665" s="1094">
        <v>0.98686950696522979</v>
      </c>
      <c r="I1665" s="1094">
        <v>0.9843864490594747</v>
      </c>
      <c r="K1665">
        <v>4.5134986299906119</v>
      </c>
      <c r="L1665">
        <v>0</v>
      </c>
      <c r="M1665">
        <v>1.5641954919357534E-3</v>
      </c>
      <c r="N1665">
        <v>0.12395153338156557</v>
      </c>
      <c r="O1665">
        <v>3.9288631361800289E-2</v>
      </c>
      <c r="P1665">
        <v>1.8860780937710788E-2</v>
      </c>
      <c r="Q1665">
        <v>1.2825257434344228E-3</v>
      </c>
      <c r="R1665">
        <v>1.5577482872078058E-3</v>
      </c>
      <c r="S1665">
        <v>0.23017036606903574</v>
      </c>
      <c r="T1665">
        <v>4.0006409797066738</v>
      </c>
      <c r="U1665">
        <v>0</v>
      </c>
      <c r="V1665">
        <v>9.4523053561131835E-3</v>
      </c>
      <c r="W1665">
        <v>7.5344994038096011E-2</v>
      </c>
      <c r="X1665">
        <v>1.0110645012801371E-2</v>
      </c>
      <c r="Y1665">
        <v>4.4023155881049367E-3</v>
      </c>
    </row>
    <row r="1666" spans="1:25" x14ac:dyDescent="0.25">
      <c r="A1666" s="1090"/>
      <c r="B1666" s="1448">
        <v>1416</v>
      </c>
      <c r="C1666" s="1094">
        <v>1.0008358209715029</v>
      </c>
      <c r="D1666" s="1094">
        <v>1.0211193920738286</v>
      </c>
      <c r="E1666" s="1094">
        <v>1.0109292083342896</v>
      </c>
      <c r="F1666" s="1094">
        <v>0.99140386475126474</v>
      </c>
      <c r="G1666" s="1094">
        <v>0.99235105837855075</v>
      </c>
      <c r="H1666" s="1094">
        <v>1.0031269367084144</v>
      </c>
      <c r="I1666" s="1094">
        <v>1.0020198998534726</v>
      </c>
      <c r="K1666">
        <v>4.4432490122498516</v>
      </c>
      <c r="L1666">
        <v>0</v>
      </c>
      <c r="M1666">
        <v>1.4087601016755519E-3</v>
      </c>
      <c r="N1666">
        <v>0.12592453907650991</v>
      </c>
      <c r="O1666">
        <v>3.7639383525378364E-2</v>
      </c>
      <c r="P1666">
        <v>1.9123303840569636E-2</v>
      </c>
      <c r="Q1666">
        <v>1.3037668984104201E-3</v>
      </c>
      <c r="R1666">
        <v>1.4029498929775278E-3</v>
      </c>
      <c r="S1666">
        <v>0.22903453048785188</v>
      </c>
      <c r="T1666">
        <v>3.9315031580290052</v>
      </c>
      <c r="U1666">
        <v>0</v>
      </c>
      <c r="V1666">
        <v>9.452305356113206E-3</v>
      </c>
      <c r="W1666">
        <v>7.4457983365733379E-2</v>
      </c>
      <c r="X1666">
        <v>1.0851008371259459E-2</v>
      </c>
      <c r="Y1666">
        <v>3.96484350771185E-3</v>
      </c>
    </row>
    <row r="1667" spans="1:25" x14ac:dyDescent="0.25">
      <c r="A1667" s="1090"/>
      <c r="B1667" s="1448">
        <v>1417</v>
      </c>
      <c r="C1667" s="1094">
        <v>1.0101408390935958</v>
      </c>
      <c r="D1667" s="1094">
        <v>0.98702171240751324</v>
      </c>
      <c r="E1667" s="1094">
        <v>1.0194833813251136</v>
      </c>
      <c r="F1667" s="1094">
        <v>0.98899488091209009</v>
      </c>
      <c r="G1667" s="1094">
        <v>1.0212417597380345</v>
      </c>
      <c r="H1667" s="1094">
        <v>1.0349433183053125</v>
      </c>
      <c r="I1667" s="1094">
        <v>1.0140838875197749</v>
      </c>
      <c r="K1667">
        <v>4.4465758219319849</v>
      </c>
      <c r="L1667">
        <v>0</v>
      </c>
      <c r="M1667">
        <v>1.4301597236472249E-3</v>
      </c>
      <c r="N1667">
        <v>0.13113059841779928</v>
      </c>
      <c r="O1667">
        <v>3.7652952869820941E-2</v>
      </c>
      <c r="P1667">
        <v>1.9221612602344014E-2</v>
      </c>
      <c r="Q1667">
        <v>1.3189674486608104E-3</v>
      </c>
      <c r="R1667">
        <v>1.4244287191793002E-3</v>
      </c>
      <c r="S1667">
        <v>0.23406740704734741</v>
      </c>
      <c r="T1667">
        <v>3.9216303481763242</v>
      </c>
      <c r="U1667">
        <v>0</v>
      </c>
      <c r="V1667">
        <v>9.4523053561131921E-3</v>
      </c>
      <c r="W1667">
        <v>7.7093856234715291E-2</v>
      </c>
      <c r="X1667">
        <v>1.0987960472937684E-2</v>
      </c>
      <c r="Y1667">
        <v>4.0255443103888663E-3</v>
      </c>
    </row>
    <row r="1668" spans="1:25" x14ac:dyDescent="0.25">
      <c r="A1668" s="1090"/>
      <c r="B1668" s="1448">
        <v>1418</v>
      </c>
      <c r="C1668" s="1094">
        <v>1.006693972448311</v>
      </c>
      <c r="D1668" s="1094">
        <v>0.9862659999760226</v>
      </c>
      <c r="E1668" s="1094">
        <v>0.96726586049960517</v>
      </c>
      <c r="F1668" s="1094">
        <v>0.99529313172758127</v>
      </c>
      <c r="G1668" s="1094">
        <v>1.0166893859125008</v>
      </c>
      <c r="H1668" s="1094">
        <v>0.96989744208405437</v>
      </c>
      <c r="I1668" s="1094">
        <v>0.95326382360134521</v>
      </c>
      <c r="K1668">
        <v>4.4384198556100758</v>
      </c>
      <c r="L1668">
        <v>0</v>
      </c>
      <c r="M1668">
        <v>1.5110000104442921E-3</v>
      </c>
      <c r="N1668">
        <v>0.11864570420227842</v>
      </c>
      <c r="O1668">
        <v>3.8390150378374989E-2</v>
      </c>
      <c r="P1668">
        <v>1.852797268698652E-2</v>
      </c>
      <c r="Q1668">
        <v>1.2657055514584362E-3</v>
      </c>
      <c r="R1668">
        <v>1.5045797025370923E-3</v>
      </c>
      <c r="S1668">
        <v>0.2171117359169881</v>
      </c>
      <c r="T1668">
        <v>3.9485901120519245</v>
      </c>
      <c r="U1668">
        <v>0</v>
      </c>
      <c r="V1668">
        <v>9.4523053561131835E-3</v>
      </c>
      <c r="W1668">
        <v>7.2271204392672914E-2</v>
      </c>
      <c r="X1668">
        <v>9.9193282725938137E-3</v>
      </c>
      <c r="Y1668">
        <v>4.2520571085960879E-3</v>
      </c>
    </row>
    <row r="1669" spans="1:25" x14ac:dyDescent="0.25">
      <c r="A1669" s="1090"/>
      <c r="B1669" s="1448">
        <v>1419</v>
      </c>
      <c r="C1669" s="1094">
        <v>0.97181177354193637</v>
      </c>
      <c r="D1669" s="1094">
        <v>0.99344621805472655</v>
      </c>
      <c r="E1669" s="1094">
        <v>0.99382446811003411</v>
      </c>
      <c r="F1669" s="1094">
        <v>1.0307690436927914</v>
      </c>
      <c r="G1669" s="1094">
        <v>1.0014907387448002</v>
      </c>
      <c r="H1669" s="1094">
        <v>1.0043047591664642</v>
      </c>
      <c r="I1669" s="1094">
        <v>1.017278345388448</v>
      </c>
      <c r="K1669">
        <v>4.638037740856304</v>
      </c>
      <c r="L1669">
        <v>0</v>
      </c>
      <c r="M1669">
        <v>1.5826758150313499E-3</v>
      </c>
      <c r="N1669">
        <v>0.13450215705761498</v>
      </c>
      <c r="O1669">
        <v>4.0872990155576584E-2</v>
      </c>
      <c r="P1669">
        <v>1.9677470945652607E-2</v>
      </c>
      <c r="Q1669">
        <v>1.3378167465731257E-3</v>
      </c>
      <c r="R1669">
        <v>1.5764039761707064E-3</v>
      </c>
      <c r="S1669">
        <v>0.24802446790885324</v>
      </c>
      <c r="T1669">
        <v>4.0882800162255499</v>
      </c>
      <c r="U1669">
        <v>0</v>
      </c>
      <c r="V1669">
        <v>9.4523053561131904E-3</v>
      </c>
      <c r="W1669">
        <v>8.0453108209109198E-2</v>
      </c>
      <c r="X1669">
        <v>1.0988642100711777E-2</v>
      </c>
      <c r="Y1669">
        <v>4.4550379894085683E-3</v>
      </c>
    </row>
    <row r="1670" spans="1:25" x14ac:dyDescent="0.25">
      <c r="A1670" s="1090"/>
      <c r="B1670" s="1448">
        <v>1420</v>
      </c>
      <c r="C1670" s="1094">
        <v>0.99862280541870851</v>
      </c>
      <c r="D1670" s="1094">
        <v>0.97436730725653398</v>
      </c>
      <c r="E1670" s="1094">
        <v>0.97714108985858916</v>
      </c>
      <c r="F1670" s="1094">
        <v>0.97366294949655663</v>
      </c>
      <c r="G1670" s="1094">
        <v>1.0104060165885407</v>
      </c>
      <c r="H1670" s="1094">
        <v>0.97809233547623176</v>
      </c>
      <c r="I1670" s="1094">
        <v>0.98213558559735137</v>
      </c>
      <c r="K1670">
        <v>4.3591889880923649</v>
      </c>
      <c r="L1670">
        <v>0</v>
      </c>
      <c r="M1670">
        <v>1.4792043275700273E-3</v>
      </c>
      <c r="N1670">
        <v>0.11959808960622841</v>
      </c>
      <c r="O1670">
        <v>3.7977152470655279E-2</v>
      </c>
      <c r="P1670">
        <v>1.8312219167796236E-2</v>
      </c>
      <c r="Q1670">
        <v>1.2932384185939286E-3</v>
      </c>
      <c r="R1670">
        <v>1.4728339067757777E-3</v>
      </c>
      <c r="S1670">
        <v>0.22365038662270331</v>
      </c>
      <c r="T1670">
        <v>3.8624063663623631</v>
      </c>
      <c r="U1670">
        <v>0</v>
      </c>
      <c r="V1670">
        <v>9.4523053561131835E-3</v>
      </c>
      <c r="W1670">
        <v>7.2357485540669925E-2</v>
      </c>
      <c r="X1670">
        <v>9.9857739019377622E-3</v>
      </c>
      <c r="Y1670">
        <v>4.16234106609776E-3</v>
      </c>
    </row>
    <row r="1671" spans="1:25" x14ac:dyDescent="0.25">
      <c r="A1671" s="1090"/>
      <c r="B1671" s="1448">
        <v>1421</v>
      </c>
      <c r="C1671" s="1094">
        <v>1.00414037754463</v>
      </c>
      <c r="D1671" s="1094">
        <v>0.99862617671208875</v>
      </c>
      <c r="E1671" s="1094">
        <v>1.0138171192048913</v>
      </c>
      <c r="F1671" s="1094">
        <v>1.0318267020455392</v>
      </c>
      <c r="G1671" s="1094">
        <v>1.0242822892925694</v>
      </c>
      <c r="H1671" s="1094">
        <v>1.0151631561545353</v>
      </c>
      <c r="I1671" s="1094">
        <v>1.012306538324147</v>
      </c>
      <c r="K1671">
        <v>4.6294315611809393</v>
      </c>
      <c r="L1671">
        <v>0</v>
      </c>
      <c r="M1671">
        <v>1.4828400717815076E-3</v>
      </c>
      <c r="N1671">
        <v>0.13371220846351201</v>
      </c>
      <c r="O1671">
        <v>3.9374157402336039E-2</v>
      </c>
      <c r="P1671">
        <v>1.9948404253623514E-2</v>
      </c>
      <c r="Q1671">
        <v>1.3143295252800503E-3</v>
      </c>
      <c r="R1671">
        <v>1.4770326510668032E-3</v>
      </c>
      <c r="S1671">
        <v>0.23951775787641824</v>
      </c>
      <c r="T1671">
        <v>4.091690849095337</v>
      </c>
      <c r="U1671">
        <v>0</v>
      </c>
      <c r="V1671">
        <v>9.4523053561131973E-3</v>
      </c>
      <c r="W1671">
        <v>7.8909874618254772E-2</v>
      </c>
      <c r="X1671">
        <v>1.1343274972752728E-2</v>
      </c>
      <c r="Y1671">
        <v>4.1742070380231602E-3</v>
      </c>
    </row>
    <row r="1672" spans="1:25" x14ac:dyDescent="0.25">
      <c r="A1672" s="1090"/>
      <c r="B1672" s="1448">
        <v>1422</v>
      </c>
      <c r="C1672" s="1094">
        <v>1.0056333441554113</v>
      </c>
      <c r="D1672" s="1094">
        <v>1.0097571605512727</v>
      </c>
      <c r="E1672" s="1094">
        <v>0.99135530453938048</v>
      </c>
      <c r="F1672" s="1094">
        <v>1.0194614677561102</v>
      </c>
      <c r="G1672" s="1094">
        <v>0.98668800302845783</v>
      </c>
      <c r="H1672" s="1094">
        <v>0.99043033097737054</v>
      </c>
      <c r="I1672" s="1094">
        <v>0.9823235605478845</v>
      </c>
      <c r="K1672">
        <v>4.5558182565002161</v>
      </c>
      <c r="L1672">
        <v>0</v>
      </c>
      <c r="M1672">
        <v>1.4898691812449457E-3</v>
      </c>
      <c r="N1672">
        <v>0.12567902323208685</v>
      </c>
      <c r="O1672">
        <v>3.8828500639904721E-2</v>
      </c>
      <c r="P1672">
        <v>1.934625672989352E-2</v>
      </c>
      <c r="Q1672">
        <v>1.281700954407077E-3</v>
      </c>
      <c r="R1672">
        <v>1.4838162738132917E-3</v>
      </c>
      <c r="S1672">
        <v>0.22755165139071157</v>
      </c>
      <c r="T1672">
        <v>4.0435276326896998</v>
      </c>
      <c r="U1672">
        <v>0</v>
      </c>
      <c r="V1672">
        <v>9.4523053561131939E-3</v>
      </c>
      <c r="W1672">
        <v>7.5301703515256627E-2</v>
      </c>
      <c r="X1672">
        <v>1.0662156825763205E-2</v>
      </c>
      <c r="Y1672">
        <v>4.1933780738098335E-3</v>
      </c>
    </row>
    <row r="1673" spans="1:25" x14ac:dyDescent="0.25">
      <c r="A1673" s="1090"/>
      <c r="B1673" s="1448">
        <v>1423</v>
      </c>
      <c r="C1673" s="1094">
        <v>1.0016248984641984</v>
      </c>
      <c r="D1673" s="1094">
        <v>1.0208346411147098</v>
      </c>
      <c r="E1673" s="1094">
        <v>1.0305906471421544</v>
      </c>
      <c r="F1673" s="1094">
        <v>0.97481990963815157</v>
      </c>
      <c r="G1673" s="1094">
        <v>1.0206959219148324</v>
      </c>
      <c r="H1673" s="1094">
        <v>1.0303306568814199</v>
      </c>
      <c r="I1673" s="1094">
        <v>1.0247682517263395</v>
      </c>
      <c r="K1673">
        <v>4.3848257630993457</v>
      </c>
      <c r="L1673">
        <v>0</v>
      </c>
      <c r="M1673">
        <v>1.3640463375997004E-3</v>
      </c>
      <c r="N1673">
        <v>0.12923547416059877</v>
      </c>
      <c r="O1673">
        <v>3.6854032626758015E-2</v>
      </c>
      <c r="P1673">
        <v>1.9111614486043781E-2</v>
      </c>
      <c r="Q1673">
        <v>1.3247331965163638E-3</v>
      </c>
      <c r="R1673">
        <v>1.3584762922149753E-3</v>
      </c>
      <c r="S1673">
        <v>0.23345697939364257</v>
      </c>
      <c r="T1673">
        <v>3.8650155241373785</v>
      </c>
      <c r="U1673">
        <v>0</v>
      </c>
      <c r="V1673">
        <v>9.4523053561132026E-3</v>
      </c>
      <c r="W1673">
        <v>7.5420933823197922E-2</v>
      </c>
      <c r="X1673">
        <v>1.1120578247920478E-2</v>
      </c>
      <c r="Y1673">
        <v>3.8391577165580813E-3</v>
      </c>
    </row>
    <row r="1674" spans="1:25" x14ac:dyDescent="0.25">
      <c r="A1674" s="1090"/>
      <c r="B1674" s="1448">
        <v>1424</v>
      </c>
      <c r="C1674" s="1094">
        <v>1.0011319367939242</v>
      </c>
      <c r="D1674" s="1094">
        <v>0.95942250260574413</v>
      </c>
      <c r="E1674" s="1094">
        <v>0.97723553302355304</v>
      </c>
      <c r="F1674" s="1094">
        <v>0.99303218766853074</v>
      </c>
      <c r="G1674" s="1094">
        <v>0.96811614271089541</v>
      </c>
      <c r="H1674" s="1094">
        <v>1.0063542285180542</v>
      </c>
      <c r="I1674" s="1094">
        <v>0.97382336892368881</v>
      </c>
      <c r="K1674">
        <v>4.4515117941004956</v>
      </c>
      <c r="L1674">
        <v>0</v>
      </c>
      <c r="M1674">
        <v>1.5574976639985694E-3</v>
      </c>
      <c r="N1674">
        <v>0.12598922961348788</v>
      </c>
      <c r="O1674">
        <v>3.8874524268282501E-2</v>
      </c>
      <c r="P1674">
        <v>1.8673413191556087E-2</v>
      </c>
      <c r="Q1674">
        <v>1.2981041858613907E-3</v>
      </c>
      <c r="R1674">
        <v>1.551105066834049E-3</v>
      </c>
      <c r="S1674">
        <v>0.22729922373227876</v>
      </c>
      <c r="T1674">
        <v>3.939238244187854</v>
      </c>
      <c r="U1674">
        <v>0</v>
      </c>
      <c r="V1674">
        <v>9.4523053561131835E-3</v>
      </c>
      <c r="W1674">
        <v>7.6219218046537363E-2</v>
      </c>
      <c r="X1674">
        <v>1.0090382775546337E-2</v>
      </c>
      <c r="Y1674">
        <v>4.3835413401428179E-3</v>
      </c>
    </row>
    <row r="1675" spans="1:25" x14ac:dyDescent="0.25">
      <c r="A1675" s="1090"/>
      <c r="B1675" s="1448">
        <v>1425</v>
      </c>
      <c r="C1675" s="1094">
        <v>1.0336498595085455</v>
      </c>
      <c r="D1675" s="1094">
        <v>0.97177410969889244</v>
      </c>
      <c r="E1675" s="1094">
        <v>0.98103460915988161</v>
      </c>
      <c r="F1675" s="1094">
        <v>1.0189106942314026</v>
      </c>
      <c r="G1675" s="1094">
        <v>1.0190696648532058</v>
      </c>
      <c r="H1675" s="1094">
        <v>1.0022273450794223</v>
      </c>
      <c r="I1675" s="1094">
        <v>1.0009925275473099</v>
      </c>
      <c r="K1675">
        <v>4.5532327102212005</v>
      </c>
      <c r="L1675">
        <v>0</v>
      </c>
      <c r="M1675">
        <v>1.5212565527740764E-3</v>
      </c>
      <c r="N1675">
        <v>0.12446372140813504</v>
      </c>
      <c r="O1675">
        <v>3.840967435599113E-2</v>
      </c>
      <c r="P1675">
        <v>1.9194798420837905E-2</v>
      </c>
      <c r="Q1675">
        <v>1.2549840807785152E-3</v>
      </c>
      <c r="R1675">
        <v>1.5151455878397548E-3</v>
      </c>
      <c r="S1675">
        <v>0.22902414689018163</v>
      </c>
      <c r="T1675">
        <v>4.0417462323860773</v>
      </c>
      <c r="U1675">
        <v>0</v>
      </c>
      <c r="V1675">
        <v>9.4523053561131956E-3</v>
      </c>
      <c r="W1675">
        <v>7.5100490245816207E-2</v>
      </c>
      <c r="X1675">
        <v>1.031055093507321E-2</v>
      </c>
      <c r="Y1675">
        <v>4.281917107128593E-3</v>
      </c>
    </row>
    <row r="1676" spans="1:25" x14ac:dyDescent="0.25">
      <c r="A1676" s="1090"/>
      <c r="B1676" s="1448">
        <v>1426</v>
      </c>
      <c r="C1676" s="1094">
        <v>0.99755688309002433</v>
      </c>
      <c r="D1676" s="1094">
        <v>0.99102756209927212</v>
      </c>
      <c r="E1676" s="1094">
        <v>1.0013224205375584</v>
      </c>
      <c r="F1676" s="1094">
        <v>0.99971515845567993</v>
      </c>
      <c r="G1676" s="1094">
        <v>0.97725934985503748</v>
      </c>
      <c r="H1676" s="1094">
        <v>0.98825460373940333</v>
      </c>
      <c r="I1676" s="1094">
        <v>0.99189361894442518</v>
      </c>
      <c r="K1676">
        <v>4.4788670091960299</v>
      </c>
      <c r="L1676">
        <v>0</v>
      </c>
      <c r="M1676">
        <v>1.4500294444773727E-3</v>
      </c>
      <c r="N1676">
        <v>0.1259742561604249</v>
      </c>
      <c r="O1676">
        <v>3.8604448726712405E-2</v>
      </c>
      <c r="P1676">
        <v>1.9142445353713934E-2</v>
      </c>
      <c r="Q1676">
        <v>1.3129846528309207E-3</v>
      </c>
      <c r="R1676">
        <v>1.4440092873733619E-3</v>
      </c>
      <c r="S1676">
        <v>0.22971090042692455</v>
      </c>
      <c r="T1676">
        <v>3.9648269901604425</v>
      </c>
      <c r="U1676">
        <v>0</v>
      </c>
      <c r="V1676">
        <v>9.4523053561131991E-3</v>
      </c>
      <c r="W1676">
        <v>7.4970582838972497E-2</v>
      </c>
      <c r="X1676">
        <v>1.0797235185982915E-2</v>
      </c>
      <c r="Y1676">
        <v>4.0808804910109466E-3</v>
      </c>
    </row>
    <row r="1677" spans="1:25" x14ac:dyDescent="0.25">
      <c r="A1677" s="1090"/>
      <c r="B1677" s="1448">
        <v>1427</v>
      </c>
      <c r="C1677" s="1094">
        <v>1.0015827891004299</v>
      </c>
      <c r="D1677" s="1094">
        <v>1.0156311253120012</v>
      </c>
      <c r="E1677" s="1094">
        <v>1.042160339492946</v>
      </c>
      <c r="F1677" s="1094">
        <v>0.96758762789816632</v>
      </c>
      <c r="G1677" s="1094">
        <v>0.9996346801465833</v>
      </c>
      <c r="H1677" s="1094">
        <v>0.99430736368913286</v>
      </c>
      <c r="I1677" s="1094">
        <v>0.98346614631466167</v>
      </c>
      <c r="K1677">
        <v>4.3358493882542817</v>
      </c>
      <c r="L1677">
        <v>0</v>
      </c>
      <c r="M1677">
        <v>1.277670950778317E-3</v>
      </c>
      <c r="N1677">
        <v>0.12523947510529823</v>
      </c>
      <c r="O1677">
        <v>3.6580353929816845E-2</v>
      </c>
      <c r="P1677">
        <v>1.9075515525669669E-2</v>
      </c>
      <c r="Q1677">
        <v>1.3404251425430734E-3</v>
      </c>
      <c r="R1677">
        <v>1.2722243565219807E-3</v>
      </c>
      <c r="S1677">
        <v>0.220703279957988</v>
      </c>
      <c r="T1677">
        <v>3.8359219248881784</v>
      </c>
      <c r="U1677">
        <v>0</v>
      </c>
      <c r="V1677">
        <v>9.4523053561131904E-3</v>
      </c>
      <c r="W1677">
        <v>7.2533356702226437E-2</v>
      </c>
      <c r="X1677">
        <v>1.1412795079436816E-2</v>
      </c>
      <c r="Y1677">
        <v>3.5954031612659009E-3</v>
      </c>
    </row>
    <row r="1678" spans="1:25" x14ac:dyDescent="0.25">
      <c r="A1678" s="1090"/>
      <c r="B1678" s="1448">
        <v>1428</v>
      </c>
      <c r="C1678" s="1094">
        <v>0.99941835045757921</v>
      </c>
      <c r="D1678" s="1094">
        <v>0.96160928198225715</v>
      </c>
      <c r="E1678" s="1094">
        <v>0.98567038743796831</v>
      </c>
      <c r="F1678" s="1094">
        <v>0.98729568165004467</v>
      </c>
      <c r="G1678" s="1094">
        <v>0.99171749162058354</v>
      </c>
      <c r="H1678" s="1094">
        <v>0.99198331138904716</v>
      </c>
      <c r="I1678" s="1094">
        <v>0.99457432234098686</v>
      </c>
      <c r="K1678">
        <v>4.4285038332052391</v>
      </c>
      <c r="L1678">
        <v>0</v>
      </c>
      <c r="M1678">
        <v>1.5008305729901903E-3</v>
      </c>
      <c r="N1678">
        <v>0.12447156121324084</v>
      </c>
      <c r="O1678">
        <v>3.8623047111005358E-2</v>
      </c>
      <c r="P1678">
        <v>1.8703220313858494E-2</v>
      </c>
      <c r="Q1678">
        <v>1.3086842635856664E-3</v>
      </c>
      <c r="R1678">
        <v>1.4945451605993436E-3</v>
      </c>
      <c r="S1678">
        <v>0.23039058294794618</v>
      </c>
      <c r="T1678">
        <v>3.9161622242154865</v>
      </c>
      <c r="U1678">
        <v>0</v>
      </c>
      <c r="V1678">
        <v>9.4523053561131973E-3</v>
      </c>
      <c r="W1678">
        <v>7.4867598628592574E-2</v>
      </c>
      <c r="X1678">
        <v>1.0307195840818104E-2</v>
      </c>
      <c r="Y1678">
        <v>4.2236987269789732E-3</v>
      </c>
    </row>
    <row r="1679" spans="1:25" x14ac:dyDescent="0.25">
      <c r="A1679" s="1090"/>
      <c r="B1679" s="1448">
        <v>1429</v>
      </c>
      <c r="C1679" s="1094">
        <v>1.0322410753353293</v>
      </c>
      <c r="D1679" s="1094">
        <v>0.9956596962565667</v>
      </c>
      <c r="E1679" s="1094">
        <v>1.0163614500658942</v>
      </c>
      <c r="F1679" s="1094">
        <v>0.97553294220942044</v>
      </c>
      <c r="G1679" s="1094">
        <v>1.004898736990915</v>
      </c>
      <c r="H1679" s="1094">
        <v>1.0161435951718127</v>
      </c>
      <c r="I1679" s="1094">
        <v>0.99345477956003259</v>
      </c>
      <c r="K1679">
        <v>4.3653899330989505</v>
      </c>
      <c r="L1679">
        <v>0</v>
      </c>
      <c r="M1679">
        <v>1.3597092269655769E-3</v>
      </c>
      <c r="N1679">
        <v>0.12350848317418706</v>
      </c>
      <c r="O1679">
        <v>3.6239145522130707E-2</v>
      </c>
      <c r="P1679">
        <v>1.8869448534336541E-2</v>
      </c>
      <c r="Q1679">
        <v>1.2828395471627407E-3</v>
      </c>
      <c r="R1679">
        <v>1.3540834698333752E-3</v>
      </c>
      <c r="S1679">
        <v>0.22039545639243527</v>
      </c>
      <c r="T1679">
        <v>3.8683651027794816</v>
      </c>
      <c r="U1679">
        <v>0</v>
      </c>
      <c r="V1679">
        <v>9.4523053561131852E-3</v>
      </c>
      <c r="W1679">
        <v>7.276421341259888E-2</v>
      </c>
      <c r="X1679">
        <v>1.0691820872505576E-2</v>
      </c>
      <c r="Y1679">
        <v>3.8267432651315552E-3</v>
      </c>
    </row>
    <row r="1680" spans="1:25" x14ac:dyDescent="0.25">
      <c r="A1680" s="1090"/>
      <c r="B1680" s="1448">
        <v>1430</v>
      </c>
      <c r="C1680" s="1094">
        <v>1.0010860904846526</v>
      </c>
      <c r="D1680" s="1094">
        <v>0.98076098350781216</v>
      </c>
      <c r="E1680" s="1094">
        <v>1.031813708485793</v>
      </c>
      <c r="F1680" s="1094">
        <v>0.95886779216721285</v>
      </c>
      <c r="G1680" s="1094">
        <v>1.005149203113789</v>
      </c>
      <c r="H1680" s="1094">
        <v>0.99015751536497121</v>
      </c>
      <c r="I1680" s="1094">
        <v>0.97279695418913947</v>
      </c>
      <c r="K1680">
        <v>4.2989054054369422</v>
      </c>
      <c r="L1680">
        <v>0</v>
      </c>
      <c r="M1680">
        <v>1.3076400166967897E-3</v>
      </c>
      <c r="N1680">
        <v>0.12431057328192499</v>
      </c>
      <c r="O1680">
        <v>3.6848005025363617E-2</v>
      </c>
      <c r="P1680">
        <v>1.8767279527823883E-2</v>
      </c>
      <c r="Q1680">
        <v>1.3482340729529425E-3</v>
      </c>
      <c r="R1680">
        <v>1.3019916171612975E-3</v>
      </c>
      <c r="S1680">
        <v>0.2191620952440875</v>
      </c>
      <c r="T1680">
        <v>3.8017237830761563</v>
      </c>
      <c r="U1680">
        <v>0</v>
      </c>
      <c r="V1680">
        <v>9.4523053561131835E-3</v>
      </c>
      <c r="W1680">
        <v>7.2488100939054848E-2</v>
      </c>
      <c r="X1680">
        <v>1.1131149600545252E-2</v>
      </c>
      <c r="Y1680">
        <v>3.679527712455452E-3</v>
      </c>
    </row>
    <row r="1681" spans="1:25" x14ac:dyDescent="0.25">
      <c r="A1681" s="1090"/>
      <c r="B1681" s="1448">
        <v>1431</v>
      </c>
      <c r="C1681" s="1094">
        <v>0.9991367800630131</v>
      </c>
      <c r="D1681" s="1094">
        <v>1.0144020907786893</v>
      </c>
      <c r="E1681" s="1094">
        <v>1.0236436090767291</v>
      </c>
      <c r="F1681" s="1094">
        <v>0.99711165701529192</v>
      </c>
      <c r="G1681" s="1094">
        <v>0.97593683220409877</v>
      </c>
      <c r="H1681" s="1094">
        <v>0.98976997990592508</v>
      </c>
      <c r="I1681" s="1094">
        <v>1.0257585034603756</v>
      </c>
      <c r="K1681">
        <v>4.4733951076127134</v>
      </c>
      <c r="L1681">
        <v>0</v>
      </c>
      <c r="M1681">
        <v>1.3668583644605909E-3</v>
      </c>
      <c r="N1681">
        <v>0.12685947523286809</v>
      </c>
      <c r="O1681">
        <v>3.7933856919433448E-2</v>
      </c>
      <c r="P1681">
        <v>1.9433725148424071E-2</v>
      </c>
      <c r="Q1681">
        <v>1.3236253812261433E-3</v>
      </c>
      <c r="R1681">
        <v>1.3611774674178745E-3</v>
      </c>
      <c r="S1681">
        <v>0.23521348824315652</v>
      </c>
      <c r="T1681">
        <v>3.9536592497247129</v>
      </c>
      <c r="U1681">
        <v>0</v>
      </c>
      <c r="V1681">
        <v>9.4523053561131973E-3</v>
      </c>
      <c r="W1681">
        <v>7.437640459393724E-2</v>
      </c>
      <c r="X1681">
        <v>1.1301866465974341E-2</v>
      </c>
      <c r="Y1681">
        <v>3.8467914439064455E-3</v>
      </c>
    </row>
    <row r="1682" spans="1:25" x14ac:dyDescent="0.25">
      <c r="A1682" s="1090"/>
      <c r="B1682" s="1448">
        <v>1432</v>
      </c>
      <c r="C1682" s="1094">
        <v>1.0025258810554387</v>
      </c>
      <c r="D1682" s="1094">
        <v>0.9966523870416224</v>
      </c>
      <c r="E1682" s="1094">
        <v>0.99121164247974769</v>
      </c>
      <c r="F1682" s="1094">
        <v>1.0112551559149321</v>
      </c>
      <c r="G1682" s="1094">
        <v>0.99496007049987645</v>
      </c>
      <c r="H1682" s="1094">
        <v>0.99533977737168189</v>
      </c>
      <c r="I1682" s="1094">
        <v>0.97075344420627696</v>
      </c>
      <c r="K1682">
        <v>4.5221512001968778</v>
      </c>
      <c r="L1682">
        <v>0</v>
      </c>
      <c r="M1682">
        <v>1.4981119140951404E-3</v>
      </c>
      <c r="N1682">
        <v>0.12631892616785814</v>
      </c>
      <c r="O1682">
        <v>3.8838732064695951E-2</v>
      </c>
      <c r="P1682">
        <v>1.9188195597042296E-2</v>
      </c>
      <c r="Q1682">
        <v>1.2922492906991831E-3</v>
      </c>
      <c r="R1682">
        <v>1.4920065915811505E-3</v>
      </c>
      <c r="S1682">
        <v>0.22558079357137989</v>
      </c>
      <c r="T1682">
        <v>4.0109841911795865</v>
      </c>
      <c r="U1682">
        <v>0</v>
      </c>
      <c r="V1682">
        <v>9.4523053561131904E-3</v>
      </c>
      <c r="W1682">
        <v>7.5692499879788877E-2</v>
      </c>
      <c r="X1682">
        <v>1.0592887875104963E-2</v>
      </c>
      <c r="Y1682">
        <v>4.2165245371229834E-3</v>
      </c>
    </row>
    <row r="1683" spans="1:25" x14ac:dyDescent="0.25">
      <c r="A1683" s="1090"/>
      <c r="B1683" s="1448">
        <v>1433</v>
      </c>
      <c r="C1683" s="1094">
        <v>1.0025845009425698</v>
      </c>
      <c r="D1683" s="1094">
        <v>1.0014612040182418</v>
      </c>
      <c r="E1683" s="1094">
        <v>1.0316861997143263</v>
      </c>
      <c r="F1683" s="1094">
        <v>1.0214535658638622</v>
      </c>
      <c r="G1683" s="1094">
        <v>1.0092741721392542</v>
      </c>
      <c r="H1683" s="1094">
        <v>0.99902100025198148</v>
      </c>
      <c r="I1683" s="1094">
        <v>0.96466994159598607</v>
      </c>
      <c r="K1683">
        <v>4.5702008595803605</v>
      </c>
      <c r="L1683">
        <v>0</v>
      </c>
      <c r="M1683">
        <v>1.3916942889260181E-3</v>
      </c>
      <c r="N1683">
        <v>0.13229111349065653</v>
      </c>
      <c r="O1683">
        <v>3.8869230523344747E-2</v>
      </c>
      <c r="P1683">
        <v>1.9951056645137948E-2</v>
      </c>
      <c r="Q1683">
        <v>1.3348757588524812E-3</v>
      </c>
      <c r="R1683">
        <v>1.3860997454958742E-3</v>
      </c>
      <c r="S1683">
        <v>0.22563357860942465</v>
      </c>
      <c r="T1683">
        <v>4.049869051810469</v>
      </c>
      <c r="U1683">
        <v>0</v>
      </c>
      <c r="V1683">
        <v>9.4523053561131904E-3</v>
      </c>
      <c r="W1683">
        <v>7.7148228426693125E-2</v>
      </c>
      <c r="X1683">
        <v>1.1739789798617447E-2</v>
      </c>
      <c r="Y1683">
        <v>3.9172237044807923E-3</v>
      </c>
    </row>
    <row r="1684" spans="1:25" x14ac:dyDescent="0.25">
      <c r="A1684" s="1090"/>
      <c r="B1684" s="1448">
        <v>1434</v>
      </c>
      <c r="C1684" s="1094">
        <v>1.0007366516814171</v>
      </c>
      <c r="D1684" s="1094">
        <v>0.98091564796540176</v>
      </c>
      <c r="E1684" s="1094">
        <v>1.0051541057939561</v>
      </c>
      <c r="F1684" s="1094">
        <v>0.97754370879805152</v>
      </c>
      <c r="G1684" s="1094">
        <v>1.0087490664363048</v>
      </c>
      <c r="H1684" s="1094">
        <v>0.97685530041848745</v>
      </c>
      <c r="I1684" s="1094">
        <v>0.99235772537879985</v>
      </c>
      <c r="K1684">
        <v>4.3790494420706807</v>
      </c>
      <c r="L1684">
        <v>0</v>
      </c>
      <c r="M1684">
        <v>1.3916558013344147E-3</v>
      </c>
      <c r="N1684">
        <v>0.12226544600065001</v>
      </c>
      <c r="O1684">
        <v>3.7757116363923156E-2</v>
      </c>
      <c r="P1684">
        <v>1.8775792574310776E-2</v>
      </c>
      <c r="Q1684">
        <v>1.3185068039244161E-3</v>
      </c>
      <c r="R1684">
        <v>1.385678555389315E-3</v>
      </c>
      <c r="S1684">
        <v>0.22553790465014661</v>
      </c>
      <c r="T1684">
        <v>3.8767535707548912</v>
      </c>
      <c r="U1684">
        <v>0</v>
      </c>
      <c r="V1684">
        <v>9.4523053561131991E-3</v>
      </c>
      <c r="W1684">
        <v>7.257559071693144E-2</v>
      </c>
      <c r="X1684">
        <v>1.0703152706647685E-2</v>
      </c>
      <c r="Y1684">
        <v>3.9160333890833135E-3</v>
      </c>
    </row>
    <row r="1685" spans="1:25" x14ac:dyDescent="0.25">
      <c r="A1685" s="1090"/>
      <c r="B1685" s="1448">
        <v>1435</v>
      </c>
      <c r="C1685" s="1094">
        <v>1.022692023901834</v>
      </c>
      <c r="D1685" s="1094">
        <v>0.99746374955098926</v>
      </c>
      <c r="E1685" s="1094">
        <v>1.0071629887438518</v>
      </c>
      <c r="F1685" s="1094">
        <v>1.0071585562682304</v>
      </c>
      <c r="G1685" s="1094">
        <v>1.006058680745874</v>
      </c>
      <c r="H1685" s="1094">
        <v>1.0278140451262001</v>
      </c>
      <c r="I1685" s="1094">
        <v>0.99000870387351492</v>
      </c>
      <c r="K1685">
        <v>4.509739277765437</v>
      </c>
      <c r="L1685">
        <v>0</v>
      </c>
      <c r="M1685">
        <v>1.4600035794205143E-3</v>
      </c>
      <c r="N1685">
        <v>0.12907872562275147</v>
      </c>
      <c r="O1685">
        <v>3.7798353304001199E-2</v>
      </c>
      <c r="P1685">
        <v>1.9348335332290936E-2</v>
      </c>
      <c r="Q1685">
        <v>1.2837957106841334E-3</v>
      </c>
      <c r="R1685">
        <v>1.454218213641407E-3</v>
      </c>
      <c r="S1685">
        <v>0.2272468114862034</v>
      </c>
      <c r="T1685">
        <v>3.9941236427381486</v>
      </c>
      <c r="U1685">
        <v>0</v>
      </c>
      <c r="V1685">
        <v>9.4523053561132008E-3</v>
      </c>
      <c r="W1685">
        <v>7.6516360498625813E-2</v>
      </c>
      <c r="X1685">
        <v>1.0787001386333397E-2</v>
      </c>
      <c r="Y1685">
        <v>4.1097316960590916E-3</v>
      </c>
    </row>
    <row r="1686" spans="1:25" x14ac:dyDescent="0.25">
      <c r="A1686" s="1090"/>
      <c r="B1686" s="1448">
        <v>1436</v>
      </c>
      <c r="C1686" s="1094">
        <v>1.0134405837132761</v>
      </c>
      <c r="D1686" s="1094">
        <v>0.99749968553908519</v>
      </c>
      <c r="E1686" s="1094">
        <v>1.0091620956475347</v>
      </c>
      <c r="F1686" s="1094">
        <v>1.030490542211334</v>
      </c>
      <c r="G1686" s="1094">
        <v>1.0040559318513929</v>
      </c>
      <c r="H1686" s="1094">
        <v>1.0257855222710033</v>
      </c>
      <c r="I1686" s="1094">
        <v>1.0285948067863069</v>
      </c>
      <c r="K1686">
        <v>4.6255121665943424</v>
      </c>
      <c r="L1686">
        <v>0</v>
      </c>
      <c r="M1686">
        <v>1.4979996098534584E-3</v>
      </c>
      <c r="N1686">
        <v>0.1332351958453975</v>
      </c>
      <c r="O1686">
        <v>3.9012489719639269E-2</v>
      </c>
      <c r="P1686">
        <v>1.9867270168685437E-2</v>
      </c>
      <c r="Q1686">
        <v>1.2977064482114994E-3</v>
      </c>
      <c r="R1686">
        <v>1.492186072444351E-3</v>
      </c>
      <c r="S1686">
        <v>0.24184896377134008</v>
      </c>
      <c r="T1686">
        <v>4.0865739740397418</v>
      </c>
      <c r="U1686">
        <v>0</v>
      </c>
      <c r="V1686">
        <v>9.4523053561131991E-3</v>
      </c>
      <c r="W1686">
        <v>7.8874213755793079E-2</v>
      </c>
      <c r="X1686">
        <v>1.1138829263080392E-2</v>
      </c>
      <c r="Y1686">
        <v>4.217031763745104E-3</v>
      </c>
    </row>
    <row r="1687" spans="1:25" x14ac:dyDescent="0.25">
      <c r="A1687" s="1090"/>
      <c r="B1687" s="1448">
        <v>1437</v>
      </c>
      <c r="C1687" s="1094">
        <v>0.9935992270787698</v>
      </c>
      <c r="D1687" s="1094">
        <v>0.96199227681328503</v>
      </c>
      <c r="E1687" s="1094">
        <v>1.0205662137448279</v>
      </c>
      <c r="F1687" s="1094">
        <v>0.98045535081359347</v>
      </c>
      <c r="G1687" s="1094">
        <v>0.99579779190655859</v>
      </c>
      <c r="H1687" s="1094">
        <v>0.99347402239525229</v>
      </c>
      <c r="I1687" s="1094">
        <v>1.0168920414545997</v>
      </c>
      <c r="K1687">
        <v>4.4106038413617963</v>
      </c>
      <c r="L1687">
        <v>0</v>
      </c>
      <c r="M1687">
        <v>1.3948044029786909E-3</v>
      </c>
      <c r="N1687">
        <v>0.12827304361660363</v>
      </c>
      <c r="O1687">
        <v>3.8333713796664733E-2</v>
      </c>
      <c r="P1687">
        <v>1.9088891500234996E-2</v>
      </c>
      <c r="Q1687">
        <v>1.3560158074033314E-3</v>
      </c>
      <c r="R1687">
        <v>1.3889312664269429E-3</v>
      </c>
      <c r="S1687">
        <v>0.23593163827432748</v>
      </c>
      <c r="T1687">
        <v>3.8877287855585427</v>
      </c>
      <c r="U1687">
        <v>0</v>
      </c>
      <c r="V1687">
        <v>9.4523053561131887E-3</v>
      </c>
      <c r="W1687">
        <v>7.5359422674219634E-2</v>
      </c>
      <c r="X1687">
        <v>1.1160672115428354E-2</v>
      </c>
      <c r="Y1687">
        <v>3.9252257988083902E-3</v>
      </c>
    </row>
    <row r="1688" spans="1:25" x14ac:dyDescent="0.25">
      <c r="A1688" s="1090"/>
      <c r="B1688" s="1448">
        <v>1438</v>
      </c>
      <c r="C1688" s="1094">
        <v>1.0355071447971376</v>
      </c>
      <c r="D1688" s="1094">
        <v>0.97431610291295445</v>
      </c>
      <c r="E1688" s="1094">
        <v>0.99365506465483644</v>
      </c>
      <c r="F1688" s="1094">
        <v>0.99744733684304687</v>
      </c>
      <c r="G1688" s="1094">
        <v>0.98668472972298882</v>
      </c>
      <c r="H1688" s="1094">
        <v>1.003809594793424</v>
      </c>
      <c r="I1688" s="1094">
        <v>0.98352165529069802</v>
      </c>
      <c r="K1688">
        <v>4.4556552731670527</v>
      </c>
      <c r="L1688">
        <v>0</v>
      </c>
      <c r="M1688">
        <v>1.4485242391517942E-3</v>
      </c>
      <c r="N1688">
        <v>0.12302307860041298</v>
      </c>
      <c r="O1688">
        <v>3.7409766474646861E-2</v>
      </c>
      <c r="P1688">
        <v>1.8955927914243009E-2</v>
      </c>
      <c r="Q1688">
        <v>1.2651446178344463E-3</v>
      </c>
      <c r="R1688">
        <v>1.442590116409039E-3</v>
      </c>
      <c r="S1688">
        <v>0.22136075531390109</v>
      </c>
      <c r="T1688">
        <v>3.9561244997142673</v>
      </c>
      <c r="U1688">
        <v>0</v>
      </c>
      <c r="V1688">
        <v>9.4523053561131869E-3</v>
      </c>
      <c r="W1688">
        <v>7.3595304292544503E-2</v>
      </c>
      <c r="X1688">
        <v>1.0397555200313744E-2</v>
      </c>
      <c r="Y1688">
        <v>4.0768698055171923E-3</v>
      </c>
    </row>
    <row r="1689" spans="1:25" x14ac:dyDescent="0.25">
      <c r="A1689" s="1090"/>
      <c r="B1689" s="1448">
        <v>1439</v>
      </c>
      <c r="C1689" s="1094">
        <v>1.0049026782714967</v>
      </c>
      <c r="D1689" s="1094">
        <v>0.97904743466986599</v>
      </c>
      <c r="E1689" s="1094">
        <v>0.99546381872288725</v>
      </c>
      <c r="F1689" s="1094">
        <v>0.97100853639707685</v>
      </c>
      <c r="G1689" s="1094">
        <v>0.96946681951762881</v>
      </c>
      <c r="H1689" s="1094">
        <v>1.0036266342526292</v>
      </c>
      <c r="I1689" s="1094">
        <v>1.0411907362660489</v>
      </c>
      <c r="K1689">
        <v>4.3661862055821912</v>
      </c>
      <c r="L1689">
        <v>0</v>
      </c>
      <c r="M1689">
        <v>1.4446511118915764E-3</v>
      </c>
      <c r="N1689">
        <v>0.12333986423721346</v>
      </c>
      <c r="O1689">
        <v>3.7442547876384805E-2</v>
      </c>
      <c r="P1689">
        <v>1.8575940963364682E-2</v>
      </c>
      <c r="Q1689">
        <v>1.3031766455008993E-3</v>
      </c>
      <c r="R1689">
        <v>1.4385712851840179E-3</v>
      </c>
      <c r="S1689">
        <v>0.2368044518620071</v>
      </c>
      <c r="T1689">
        <v>3.8511945740258966</v>
      </c>
      <c r="U1689">
        <v>0</v>
      </c>
      <c r="V1689">
        <v>9.4523053561131852E-3</v>
      </c>
      <c r="W1689">
        <v>7.3694333397594541E-2</v>
      </c>
      <c r="X1689">
        <v>1.0319578763171593E-2</v>
      </c>
      <c r="Y1689">
        <v>4.0655122816520353E-3</v>
      </c>
    </row>
    <row r="1690" spans="1:25" x14ac:dyDescent="0.25">
      <c r="A1690" s="1090"/>
      <c r="B1690" s="1448">
        <v>1440</v>
      </c>
      <c r="C1690" s="1094">
        <v>0.99930129234832288</v>
      </c>
      <c r="D1690" s="1094">
        <v>0.99356899388155839</v>
      </c>
      <c r="E1690" s="1094">
        <v>0.98850198938815403</v>
      </c>
      <c r="F1690" s="1094">
        <v>0.98667977197924406</v>
      </c>
      <c r="G1690" s="1094">
        <v>0.97471230221139926</v>
      </c>
      <c r="H1690" s="1094">
        <v>0.98747391613682345</v>
      </c>
      <c r="I1690" s="1094">
        <v>1.0171644773448587</v>
      </c>
      <c r="K1690">
        <v>4.4245777996384232</v>
      </c>
      <c r="L1690">
        <v>0</v>
      </c>
      <c r="M1690">
        <v>1.4651079213542947E-3</v>
      </c>
      <c r="N1690">
        <v>0.12253094805602723</v>
      </c>
      <c r="O1690">
        <v>3.8082694860396261E-2</v>
      </c>
      <c r="P1690">
        <v>1.8742763013725062E-2</v>
      </c>
      <c r="Q1690">
        <v>1.2949966297555677E-3</v>
      </c>
      <c r="R1690">
        <v>1.4589402624798613E-3</v>
      </c>
      <c r="S1690">
        <v>0.23284544782414954</v>
      </c>
      <c r="T1690">
        <v>3.9136121202340535</v>
      </c>
      <c r="U1690">
        <v>0</v>
      </c>
      <c r="V1690">
        <v>9.4523053561131973E-3</v>
      </c>
      <c r="W1690">
        <v>7.3558197364419847E-2</v>
      </c>
      <c r="X1690">
        <v>1.0341417392067386E-2</v>
      </c>
      <c r="Y1690">
        <v>4.1230765665879378E-3</v>
      </c>
    </row>
    <row r="1691" spans="1:25" x14ac:dyDescent="0.25">
      <c r="A1691" s="1090"/>
      <c r="B1691" s="1448">
        <v>1441</v>
      </c>
      <c r="C1691" s="1094">
        <v>0.96037031350095636</v>
      </c>
      <c r="D1691" s="1094">
        <v>1.015842706156274</v>
      </c>
      <c r="E1691" s="1094">
        <v>0.98936434389811911</v>
      </c>
      <c r="F1691" s="1094">
        <v>1.0092657698035092</v>
      </c>
      <c r="G1691" s="1094">
        <v>0.99529480480469446</v>
      </c>
      <c r="H1691" s="1094">
        <v>0.99296774726211301</v>
      </c>
      <c r="I1691" s="1094">
        <v>1.0192229726406727</v>
      </c>
      <c r="K1691">
        <v>4.5418421439813308</v>
      </c>
      <c r="L1691">
        <v>0</v>
      </c>
      <c r="M1691">
        <v>1.5512687557980283E-3</v>
      </c>
      <c r="N1691">
        <v>0.13008423219238188</v>
      </c>
      <c r="O1691">
        <v>4.0169517174276158E-2</v>
      </c>
      <c r="P1691">
        <v>1.9215310493825962E-2</v>
      </c>
      <c r="Q1691">
        <v>1.3365900637300051E-3</v>
      </c>
      <c r="R1691">
        <v>1.5449192584138798E-3</v>
      </c>
      <c r="S1691">
        <v>0.24530731711146742</v>
      </c>
      <c r="T1691">
        <v>4.0031649402191931</v>
      </c>
      <c r="U1691">
        <v>0</v>
      </c>
      <c r="V1691">
        <v>9.4523053561131956E-3</v>
      </c>
      <c r="W1691">
        <v>7.8046764873933153E-2</v>
      </c>
      <c r="X1691">
        <v>1.0705456220509604E-2</v>
      </c>
      <c r="Y1691">
        <v>4.3660597732832875E-3</v>
      </c>
    </row>
    <row r="1692" spans="1:25" x14ac:dyDescent="0.25">
      <c r="A1692" s="1090"/>
      <c r="B1692" s="1448">
        <v>1442</v>
      </c>
      <c r="C1692" s="1094">
        <v>0.96720932988619657</v>
      </c>
      <c r="D1692" s="1094">
        <v>0.99270232663942504</v>
      </c>
      <c r="E1692" s="1094">
        <v>1.0328934020698659</v>
      </c>
      <c r="F1692" s="1094">
        <v>1.025812711320883</v>
      </c>
      <c r="G1692" s="1094">
        <v>1.0138797889832372</v>
      </c>
      <c r="H1692" s="1094">
        <v>1.0118194182422688</v>
      </c>
      <c r="I1692" s="1094">
        <v>1.0458090136521849</v>
      </c>
      <c r="K1692">
        <v>4.6327058831451513</v>
      </c>
      <c r="L1692">
        <v>0</v>
      </c>
      <c r="M1692">
        <v>1.4686939849237557E-3</v>
      </c>
      <c r="N1692">
        <v>0.14011910637476288</v>
      </c>
      <c r="O1692">
        <v>4.0596369824414086E-2</v>
      </c>
      <c r="P1692">
        <v>2.0190563772113E-2</v>
      </c>
      <c r="Q1692">
        <v>1.3899769838213809E-3</v>
      </c>
      <c r="R1692">
        <v>1.4628892593499645E-3</v>
      </c>
      <c r="S1692">
        <v>0.25604478970991557</v>
      </c>
      <c r="T1692">
        <v>4.0671058243919536</v>
      </c>
      <c r="U1692">
        <v>0</v>
      </c>
      <c r="V1692">
        <v>9.4523053561131973E-3</v>
      </c>
      <c r="W1692">
        <v>8.1648074003773607E-2</v>
      </c>
      <c r="X1692">
        <v>1.2030440720617918E-2</v>
      </c>
      <c r="Y1692">
        <v>4.1342367332344978E-3</v>
      </c>
    </row>
    <row r="1693" spans="1:25" x14ac:dyDescent="0.25">
      <c r="A1693" s="1090"/>
      <c r="B1693" s="1448">
        <v>1443</v>
      </c>
      <c r="C1693" s="1094">
        <v>1.0200543296428444</v>
      </c>
      <c r="D1693" s="1094">
        <v>0.98997354140301042</v>
      </c>
      <c r="E1693" s="1094">
        <v>0.97392322176570234</v>
      </c>
      <c r="F1693" s="1094">
        <v>0.99178890038607936</v>
      </c>
      <c r="G1693" s="1094">
        <v>1.0111646351924686</v>
      </c>
      <c r="H1693" s="1094">
        <v>0.99042866037599309</v>
      </c>
      <c r="I1693" s="1094">
        <v>1.0033728009050711</v>
      </c>
      <c r="K1693">
        <v>4.4340362029459905</v>
      </c>
      <c r="L1693">
        <v>0</v>
      </c>
      <c r="M1693">
        <v>1.4941638409203127E-3</v>
      </c>
      <c r="N1693">
        <v>0.11967493100510619</v>
      </c>
      <c r="O1693">
        <v>3.7652917580976497E-2</v>
      </c>
      <c r="P1693">
        <v>1.860030774584133E-2</v>
      </c>
      <c r="Q1693">
        <v>1.2545266091779218E-3</v>
      </c>
      <c r="R1693">
        <v>1.4879248024135634E-3</v>
      </c>
      <c r="S1693">
        <v>0.22626618400924778</v>
      </c>
      <c r="T1693">
        <v>3.9344328640282415</v>
      </c>
      <c r="U1693">
        <v>0</v>
      </c>
      <c r="V1693">
        <v>9.4523053561131904E-3</v>
      </c>
      <c r="W1693">
        <v>7.256426595701751E-2</v>
      </c>
      <c r="X1693">
        <v>9.93915060346999E-3</v>
      </c>
      <c r="Y1693">
        <v>4.2049890893055214E-3</v>
      </c>
    </row>
    <row r="1694" spans="1:25" x14ac:dyDescent="0.25">
      <c r="A1694" s="1090"/>
      <c r="B1694" s="1448">
        <v>1444</v>
      </c>
      <c r="C1694" s="1094">
        <v>1.0049561197488812</v>
      </c>
      <c r="D1694" s="1094">
        <v>1.0124947906912931</v>
      </c>
      <c r="E1694" s="1094">
        <v>0.9813029522193617</v>
      </c>
      <c r="F1694" s="1094">
        <v>1.0226352007208246</v>
      </c>
      <c r="G1694" s="1094">
        <v>1.0393439116945153</v>
      </c>
      <c r="H1694" s="1094">
        <v>1.0081642577296535</v>
      </c>
      <c r="I1694" s="1094">
        <v>1.0138770041378686</v>
      </c>
      <c r="K1694">
        <v>4.5808902205503577</v>
      </c>
      <c r="L1694">
        <v>0</v>
      </c>
      <c r="M1694">
        <v>1.5530892721617323E-3</v>
      </c>
      <c r="N1694">
        <v>0.12717424174793401</v>
      </c>
      <c r="O1694">
        <v>3.9003169145514695E-2</v>
      </c>
      <c r="P1694">
        <v>1.9299387698223522E-2</v>
      </c>
      <c r="Q1694">
        <v>1.2700904865885515E-3</v>
      </c>
      <c r="R1694">
        <v>1.5469096709165766E-3</v>
      </c>
      <c r="S1694">
        <v>0.23670693336878415</v>
      </c>
      <c r="T1694">
        <v>4.0565098074891077</v>
      </c>
      <c r="U1694">
        <v>0</v>
      </c>
      <c r="V1694">
        <v>9.4523053561131939E-3</v>
      </c>
      <c r="W1694">
        <v>7.6721902790742424E-2</v>
      </c>
      <c r="X1694">
        <v>1.0386877237618039E-2</v>
      </c>
      <c r="Y1694">
        <v>4.3716848309767143E-3</v>
      </c>
    </row>
    <row r="1695" spans="1:25" x14ac:dyDescent="0.25">
      <c r="A1695" s="1090"/>
      <c r="B1695" s="1448">
        <v>1445</v>
      </c>
      <c r="C1695" s="1094">
        <v>0.99636962030823806</v>
      </c>
      <c r="D1695" s="1094">
        <v>1.0240927311570727</v>
      </c>
      <c r="E1695" s="1094">
        <v>1.028494229094594</v>
      </c>
      <c r="F1695" s="1094">
        <v>0.99830492187035802</v>
      </c>
      <c r="G1695" s="1094">
        <v>1.0293181653849224</v>
      </c>
      <c r="H1695" s="1094">
        <v>1.003526897156759</v>
      </c>
      <c r="I1695" s="1094">
        <v>0.97215713812873539</v>
      </c>
      <c r="K1695">
        <v>4.4703679657977204</v>
      </c>
      <c r="L1695">
        <v>0</v>
      </c>
      <c r="M1695">
        <v>1.3719377431679939E-3</v>
      </c>
      <c r="N1695">
        <v>0.12917858259314896</v>
      </c>
      <c r="O1695">
        <v>3.7906989809923464E-2</v>
      </c>
      <c r="P1695">
        <v>1.9471947563178552E-2</v>
      </c>
      <c r="Q1695">
        <v>1.3276808560171939E-3</v>
      </c>
      <c r="R1695">
        <v>1.3663205962311479E-3</v>
      </c>
      <c r="S1695">
        <v>0.22409089481368755</v>
      </c>
      <c r="T1695">
        <v>3.958208635916721</v>
      </c>
      <c r="U1695">
        <v>0</v>
      </c>
      <c r="V1695">
        <v>9.4523053561131783E-3</v>
      </c>
      <c r="W1695">
        <v>7.5492510999881648E-2</v>
      </c>
      <c r="X1695">
        <v>1.1382708717395279E-2</v>
      </c>
      <c r="Y1695">
        <v>3.8613263185920655E-3</v>
      </c>
    </row>
    <row r="1696" spans="1:25" x14ac:dyDescent="0.25">
      <c r="A1696" s="1090"/>
      <c r="B1696" s="1448">
        <v>1446</v>
      </c>
      <c r="C1696" s="1094">
        <v>1.0011301612754193</v>
      </c>
      <c r="D1696" s="1094">
        <v>1.0146076383210276</v>
      </c>
      <c r="E1696" s="1094">
        <v>1.0082818088191645</v>
      </c>
      <c r="F1696" s="1094">
        <v>0.97247524981999789</v>
      </c>
      <c r="G1696" s="1094">
        <v>1.0017300262844326</v>
      </c>
      <c r="H1696" s="1094">
        <v>0.98995229207948898</v>
      </c>
      <c r="I1696" s="1094">
        <v>1.0213404256040881</v>
      </c>
      <c r="K1696">
        <v>4.3614878421799128</v>
      </c>
      <c r="L1696">
        <v>0</v>
      </c>
      <c r="M1696">
        <v>1.3745700115796763E-3</v>
      </c>
      <c r="N1696">
        <v>0.121892414204092</v>
      </c>
      <c r="O1696">
        <v>3.7022043561621421E-2</v>
      </c>
      <c r="P1696">
        <v>1.8746452855701784E-2</v>
      </c>
      <c r="Q1696">
        <v>1.3037797470972061E-3</v>
      </c>
      <c r="R1696">
        <v>1.3687140224806654E-3</v>
      </c>
      <c r="S1696">
        <v>0.2298279283196818</v>
      </c>
      <c r="T1696">
        <v>3.8565375744128372</v>
      </c>
      <c r="U1696">
        <v>0</v>
      </c>
      <c r="V1696">
        <v>9.4523053561131991E-3</v>
      </c>
      <c r="W1696">
        <v>7.22020657947091E-2</v>
      </c>
      <c r="X1696">
        <v>1.0641043593252113E-2</v>
      </c>
      <c r="Y1696">
        <v>3.8680903239026515E-3</v>
      </c>
    </row>
    <row r="1697" spans="1:25" x14ac:dyDescent="0.25">
      <c r="A1697" s="1090"/>
      <c r="B1697" s="1448">
        <v>1447</v>
      </c>
      <c r="C1697" s="1094">
        <v>0.98874877416994356</v>
      </c>
      <c r="D1697" s="1094">
        <v>1.0358463805294851</v>
      </c>
      <c r="E1697" s="1094">
        <v>1.0124910906729787</v>
      </c>
      <c r="F1697" s="1094">
        <v>1.0176310587768</v>
      </c>
      <c r="G1697" s="1094">
        <v>1.0134454987825905</v>
      </c>
      <c r="H1697" s="1094">
        <v>1.0207177363513693</v>
      </c>
      <c r="I1697" s="1094">
        <v>1.020807776687608</v>
      </c>
      <c r="K1697">
        <v>4.5716948479677066</v>
      </c>
      <c r="L1697">
        <v>0</v>
      </c>
      <c r="M1697">
        <v>1.4758374976161206E-3</v>
      </c>
      <c r="N1697">
        <v>0.13255506145589158</v>
      </c>
      <c r="O1697">
        <v>3.8873157280762689E-2</v>
      </c>
      <c r="P1697">
        <v>1.9676494902027636E-2</v>
      </c>
      <c r="Q1697">
        <v>1.3139121529420238E-3</v>
      </c>
      <c r="R1697">
        <v>1.4700090885454704E-3</v>
      </c>
      <c r="S1697">
        <v>0.24077646011756568</v>
      </c>
      <c r="T1697">
        <v>4.0354493277351686</v>
      </c>
      <c r="U1697">
        <v>0</v>
      </c>
      <c r="V1697">
        <v>9.45230535611318E-3</v>
      </c>
      <c r="W1697">
        <v>7.8296505835526123E-2</v>
      </c>
      <c r="X1697">
        <v>1.1153093626669143E-2</v>
      </c>
      <c r="Y1697">
        <v>4.1543579141142426E-3</v>
      </c>
    </row>
    <row r="1698" spans="1:25" x14ac:dyDescent="0.25">
      <c r="A1698" s="1090"/>
      <c r="B1698" s="1448">
        <v>1448</v>
      </c>
      <c r="C1698" s="1094">
        <v>0.99562940165295</v>
      </c>
      <c r="D1698" s="1094">
        <v>1.0080691489240021</v>
      </c>
      <c r="E1698" s="1094">
        <v>0.97560094037030409</v>
      </c>
      <c r="F1698" s="1094">
        <v>1.0356219824332755</v>
      </c>
      <c r="G1698" s="1094">
        <v>0.97834229227224423</v>
      </c>
      <c r="H1698" s="1094">
        <v>1.0143278561180697</v>
      </c>
      <c r="I1698" s="1094">
        <v>0.98188100583864091</v>
      </c>
      <c r="K1698">
        <v>4.6368307183137212</v>
      </c>
      <c r="L1698">
        <v>0</v>
      </c>
      <c r="M1698">
        <v>1.6192351423985052E-3</v>
      </c>
      <c r="N1698">
        <v>0.13037540385686466</v>
      </c>
      <c r="O1698">
        <v>3.9978857462202956E-2</v>
      </c>
      <c r="P1698">
        <v>1.9435706786863922E-2</v>
      </c>
      <c r="Q1698">
        <v>1.2778896767889998E-3</v>
      </c>
      <c r="R1698">
        <v>1.6129114866249197E-3</v>
      </c>
      <c r="S1698">
        <v>0.23417175924273315</v>
      </c>
      <c r="T1698">
        <v>4.1082519997671394</v>
      </c>
      <c r="U1698">
        <v>0</v>
      </c>
      <c r="V1698">
        <v>9.4523053561131991E-3</v>
      </c>
      <c r="W1698">
        <v>7.896130121859142E-2</v>
      </c>
      <c r="X1698">
        <v>1.0373607601024563E-2</v>
      </c>
      <c r="Y1698">
        <v>4.558211001168746E-3</v>
      </c>
    </row>
    <row r="1699" spans="1:25" x14ac:dyDescent="0.25">
      <c r="A1699" s="1090"/>
      <c r="B1699" s="1448">
        <v>1449</v>
      </c>
      <c r="C1699" s="1094">
        <v>0.98164601991615208</v>
      </c>
      <c r="D1699" s="1094">
        <v>0.98355769986570929</v>
      </c>
      <c r="E1699" s="1094">
        <v>1.0108324946073668</v>
      </c>
      <c r="F1699" s="1094">
        <v>1.0213642178152205</v>
      </c>
      <c r="G1699" s="1094">
        <v>0.98640220450394434</v>
      </c>
      <c r="H1699" s="1094">
        <v>0.97679951636962292</v>
      </c>
      <c r="I1699" s="1094">
        <v>1.0310186165395907</v>
      </c>
      <c r="K1699">
        <v>4.5903305084632837</v>
      </c>
      <c r="L1699">
        <v>0</v>
      </c>
      <c r="M1699">
        <v>1.4627533907516622E-3</v>
      </c>
      <c r="N1699">
        <v>0.13071504477402052</v>
      </c>
      <c r="O1699">
        <v>4.0132727406092771E-2</v>
      </c>
      <c r="P1699">
        <v>1.9743681143323102E-2</v>
      </c>
      <c r="Q1699">
        <v>1.3492201066601533E-3</v>
      </c>
      <c r="R1699">
        <v>1.4567388989507638E-3</v>
      </c>
      <c r="S1699">
        <v>0.24580501172520183</v>
      </c>
      <c r="T1699">
        <v>4.0503174337010863</v>
      </c>
      <c r="U1699">
        <v>0</v>
      </c>
      <c r="V1699">
        <v>9.4523053561131783E-3</v>
      </c>
      <c r="W1699">
        <v>7.7295579113358534E-2</v>
      </c>
      <c r="X1699">
        <v>1.1408664284041924E-2</v>
      </c>
      <c r="Y1699">
        <v>4.1168553451885531E-3</v>
      </c>
    </row>
    <row r="1700" spans="1:25" x14ac:dyDescent="0.25">
      <c r="A1700" s="1090"/>
      <c r="B1700" s="1448">
        <v>1450</v>
      </c>
      <c r="C1700" s="1094">
        <v>0.96175346875711965</v>
      </c>
      <c r="D1700" s="1094">
        <v>1.030192770420024</v>
      </c>
      <c r="E1700" s="1094">
        <v>1.0059327570745582</v>
      </c>
      <c r="F1700" s="1094">
        <v>1.0403846529060243</v>
      </c>
      <c r="G1700" s="1094">
        <v>1.0228824286482738</v>
      </c>
      <c r="H1700" s="1094">
        <v>1.0027091804332338</v>
      </c>
      <c r="I1700" s="1094">
        <v>1.0029995194030901</v>
      </c>
      <c r="K1700">
        <v>4.6766954598137183</v>
      </c>
      <c r="L1700">
        <v>0</v>
      </c>
      <c r="M1700">
        <v>1.5482918124405248E-3</v>
      </c>
      <c r="N1700">
        <v>0.13639057227930237</v>
      </c>
      <c r="O1700">
        <v>4.0995604059769368E-2</v>
      </c>
      <c r="P1700">
        <v>2.0018134903541374E-2</v>
      </c>
      <c r="Q1700">
        <v>1.3462089788612583E-3</v>
      </c>
      <c r="R1700">
        <v>1.5422030409185162E-3</v>
      </c>
      <c r="S1700">
        <v>0.245885219657</v>
      </c>
      <c r="T1700">
        <v>4.125938111273233</v>
      </c>
      <c r="U1700">
        <v>0</v>
      </c>
      <c r="V1700">
        <v>9.4523053561131869E-3</v>
      </c>
      <c r="W1700">
        <v>8.0917693637208438E-2</v>
      </c>
      <c r="X1700">
        <v>1.1399314904946297E-2</v>
      </c>
      <c r="Y1700">
        <v>4.3583835352679935E-3</v>
      </c>
    </row>
    <row r="1701" spans="1:25" x14ac:dyDescent="0.25">
      <c r="A1701" s="1090"/>
      <c r="B1701" s="1448">
        <v>1451</v>
      </c>
      <c r="C1701" s="1094">
        <v>1.0228039295127447</v>
      </c>
      <c r="D1701" s="1094">
        <v>1.0104415081516029</v>
      </c>
      <c r="E1701" s="1094">
        <v>0.96175722066315805</v>
      </c>
      <c r="F1701" s="1094">
        <v>0.99995888686331957</v>
      </c>
      <c r="G1701" s="1094">
        <v>1.0118452290518822</v>
      </c>
      <c r="H1701" s="1094">
        <v>0.99320741693436521</v>
      </c>
      <c r="I1701" s="1094">
        <v>1.0232009940214639</v>
      </c>
      <c r="K1701">
        <v>4.4692087926293906</v>
      </c>
      <c r="L1701">
        <v>0</v>
      </c>
      <c r="M1701">
        <v>1.5328846906162005E-3</v>
      </c>
      <c r="N1701">
        <v>0.11842455058961358</v>
      </c>
      <c r="O1701">
        <v>3.763324728011519E-2</v>
      </c>
      <c r="P1701">
        <v>1.8590034550190138E-2</v>
      </c>
      <c r="Q1701">
        <v>1.2278168398676416E-3</v>
      </c>
      <c r="R1701">
        <v>1.5265538125384134E-3</v>
      </c>
      <c r="S1701">
        <v>0.23017054716009872</v>
      </c>
      <c r="T1701">
        <v>3.9673137809291039</v>
      </c>
      <c r="U1701">
        <v>0</v>
      </c>
      <c r="V1701">
        <v>9.4523053561131973E-3</v>
      </c>
      <c r="W1701">
        <v>7.2412167373047259E-2</v>
      </c>
      <c r="X1701">
        <v>9.6765158082087969E-3</v>
      </c>
      <c r="Y1701">
        <v>4.3141576211037569E-3</v>
      </c>
    </row>
    <row r="1702" spans="1:25" x14ac:dyDescent="0.25">
      <c r="A1702" s="1090"/>
      <c r="B1702" s="1448">
        <v>1452</v>
      </c>
      <c r="C1702" s="1094">
        <v>1.0118604935531801</v>
      </c>
      <c r="D1702" s="1094">
        <v>0.99755959570468899</v>
      </c>
      <c r="E1702" s="1094">
        <v>1.0255627742603337</v>
      </c>
      <c r="F1702" s="1094">
        <v>1.0059853769176699</v>
      </c>
      <c r="G1702" s="1094">
        <v>1.0037219977124385</v>
      </c>
      <c r="H1702" s="1094">
        <v>0.97749595813074075</v>
      </c>
      <c r="I1702" s="1094">
        <v>1.0178845413653983</v>
      </c>
      <c r="K1702">
        <v>4.5040413766564384</v>
      </c>
      <c r="L1702">
        <v>0</v>
      </c>
      <c r="M1702">
        <v>1.348302405439753E-3</v>
      </c>
      <c r="N1702">
        <v>0.12584766299703321</v>
      </c>
      <c r="O1702">
        <v>3.8030973565555043E-2</v>
      </c>
      <c r="P1702">
        <v>1.9609214804351148E-2</v>
      </c>
      <c r="Q1702">
        <v>1.3178960587481429E-3</v>
      </c>
      <c r="R1702">
        <v>1.3426781128594559E-3</v>
      </c>
      <c r="S1702">
        <v>0.23208939780173202</v>
      </c>
      <c r="T1702">
        <v>3.9887719087558251</v>
      </c>
      <c r="U1702">
        <v>0</v>
      </c>
      <c r="V1702">
        <v>9.4523053561131887E-3</v>
      </c>
      <c r="W1702">
        <v>7.3689123826238614E-2</v>
      </c>
      <c r="X1702">
        <v>1.1444006927856205E-2</v>
      </c>
      <c r="Y1702">
        <v>3.7945108555654471E-3</v>
      </c>
    </row>
    <row r="1703" spans="1:25" x14ac:dyDescent="0.25">
      <c r="A1703" s="1090"/>
      <c r="B1703" s="1448">
        <v>1453</v>
      </c>
      <c r="C1703" s="1094">
        <v>1.0033423860451023</v>
      </c>
      <c r="D1703" s="1094">
        <v>1.0037514843036166</v>
      </c>
      <c r="E1703" s="1094">
        <v>0.97430950053385601</v>
      </c>
      <c r="F1703" s="1094">
        <v>1.0157885800606972</v>
      </c>
      <c r="G1703" s="1094">
        <v>0.99104401385182739</v>
      </c>
      <c r="H1703" s="1094">
        <v>1.033471201841023</v>
      </c>
      <c r="I1703" s="1094">
        <v>0.99719423967934584</v>
      </c>
      <c r="K1703">
        <v>4.5554641894648897</v>
      </c>
      <c r="L1703">
        <v>0</v>
      </c>
      <c r="M1703">
        <v>1.6130071658120521E-3</v>
      </c>
      <c r="N1703">
        <v>0.12937673086399837</v>
      </c>
      <c r="O1703">
        <v>3.8987562360861934E-2</v>
      </c>
      <c r="P1703">
        <v>1.9067943561885157E-2</v>
      </c>
      <c r="Q1703">
        <v>1.2688174554600241E-3</v>
      </c>
      <c r="R1703">
        <v>1.6067042875981636E-3</v>
      </c>
      <c r="S1703">
        <v>0.23465759799099437</v>
      </c>
      <c r="T1703">
        <v>4.0296246150249377</v>
      </c>
      <c r="U1703">
        <v>0</v>
      </c>
      <c r="V1703">
        <v>9.4523053561131852E-3</v>
      </c>
      <c r="W1703">
        <v>7.8426059482196483E-2</v>
      </c>
      <c r="X1703">
        <v>1.0068191263835789E-2</v>
      </c>
      <c r="Y1703">
        <v>4.5406689828219049E-3</v>
      </c>
    </row>
    <row r="1704" spans="1:25" x14ac:dyDescent="0.25">
      <c r="A1704" s="1090"/>
      <c r="B1704" s="1448">
        <v>1454</v>
      </c>
      <c r="C1704" s="1094">
        <v>1.0146221630926591</v>
      </c>
      <c r="D1704" s="1094">
        <v>0.96335628413847929</v>
      </c>
      <c r="E1704" s="1094">
        <v>0.98685194616180183</v>
      </c>
      <c r="F1704" s="1094">
        <v>1.0125238057382711</v>
      </c>
      <c r="G1704" s="1094">
        <v>1.0005930869747801</v>
      </c>
      <c r="H1704" s="1094">
        <v>0.99511501845646289</v>
      </c>
      <c r="I1704" s="1094">
        <v>1.003705847465157</v>
      </c>
      <c r="K1704">
        <v>4.5349020381688465</v>
      </c>
      <c r="L1704">
        <v>0</v>
      </c>
      <c r="M1704">
        <v>1.5158735040886569E-3</v>
      </c>
      <c r="N1704">
        <v>0.12617529644954747</v>
      </c>
      <c r="O1704">
        <v>3.8979912167831823E-2</v>
      </c>
      <c r="P1704">
        <v>1.9182340941075324E-2</v>
      </c>
      <c r="Q1704">
        <v>1.2894549906277868E-3</v>
      </c>
      <c r="R1704">
        <v>1.509702112451656E-3</v>
      </c>
      <c r="S1704">
        <v>0.23303421243785252</v>
      </c>
      <c r="T1704">
        <v>4.0161850917962516</v>
      </c>
      <c r="U1704">
        <v>0</v>
      </c>
      <c r="V1704">
        <v>9.4523053561132008E-3</v>
      </c>
      <c r="W1704">
        <v>7.5831216910260402E-2</v>
      </c>
      <c r="X1704">
        <v>1.0511845080826461E-2</v>
      </c>
      <c r="Y1704">
        <v>4.2665334300921402E-3</v>
      </c>
    </row>
    <row r="1705" spans="1:25" x14ac:dyDescent="0.25">
      <c r="A1705" s="1090"/>
      <c r="B1705" s="1448">
        <v>1455</v>
      </c>
      <c r="C1705" s="1094">
        <v>0.97614511834453432</v>
      </c>
      <c r="D1705" s="1094">
        <v>0.98637884252943542</v>
      </c>
      <c r="E1705" s="1094">
        <v>1.0170679221465548</v>
      </c>
      <c r="F1705" s="1094">
        <v>1.0096451211511424</v>
      </c>
      <c r="G1705" s="1094">
        <v>1.0102156843198613</v>
      </c>
      <c r="H1705" s="1094">
        <v>1.0033988396960936</v>
      </c>
      <c r="I1705" s="1094">
        <v>0.99432326603598176</v>
      </c>
      <c r="K1705">
        <v>4.5407491053206686</v>
      </c>
      <c r="L1705">
        <v>0</v>
      </c>
      <c r="M1705">
        <v>1.4725684968530154E-3</v>
      </c>
      <c r="N1705">
        <v>0.13405183941614729</v>
      </c>
      <c r="O1705">
        <v>3.9805511464365943E-2</v>
      </c>
      <c r="P1705">
        <v>1.9585306341258751E-2</v>
      </c>
      <c r="Q1705">
        <v>1.362467450917042E-3</v>
      </c>
      <c r="R1705">
        <v>1.4666060185393073E-3</v>
      </c>
      <c r="S1705">
        <v>0.23842338050372344</v>
      </c>
      <c r="T1705">
        <v>4.0036061347840528</v>
      </c>
      <c r="U1705">
        <v>0</v>
      </c>
      <c r="V1705">
        <v>9.4523053561132026E-3</v>
      </c>
      <c r="W1705">
        <v>7.8938485974372599E-2</v>
      </c>
      <c r="X1705">
        <v>1.1384895929560056E-2</v>
      </c>
      <c r="Y1705">
        <v>4.1447405784647206E-3</v>
      </c>
    </row>
    <row r="1706" spans="1:25" x14ac:dyDescent="0.25">
      <c r="A1706" s="1090"/>
      <c r="B1706" s="1448">
        <v>1456</v>
      </c>
      <c r="C1706" s="1094">
        <v>0.97013738566900587</v>
      </c>
      <c r="D1706" s="1094">
        <v>0.98392643780229705</v>
      </c>
      <c r="E1706" s="1094">
        <v>1.039820086467484</v>
      </c>
      <c r="F1706" s="1094">
        <v>1.0321295994032555</v>
      </c>
      <c r="G1706" s="1094">
        <v>1.0164368500748724</v>
      </c>
      <c r="H1706" s="1094">
        <v>0.99834924111240841</v>
      </c>
      <c r="I1706" s="1094">
        <v>1.0051059708468584</v>
      </c>
      <c r="K1706">
        <v>4.6473715692068307</v>
      </c>
      <c r="L1706">
        <v>0</v>
      </c>
      <c r="M1706">
        <v>1.4375607839583354E-3</v>
      </c>
      <c r="N1706">
        <v>0.13998095825601481</v>
      </c>
      <c r="O1706">
        <v>4.0816796775311887E-2</v>
      </c>
      <c r="P1706">
        <v>2.0360391754476452E-2</v>
      </c>
      <c r="Q1706">
        <v>1.3988038132896037E-3</v>
      </c>
      <c r="R1706">
        <v>1.431837548888794E-3</v>
      </c>
      <c r="S1706">
        <v>0.24592696944075274</v>
      </c>
      <c r="T1706">
        <v>4.0918834142718818</v>
      </c>
      <c r="U1706">
        <v>0</v>
      </c>
      <c r="V1706">
        <v>9.4523053561131869E-3</v>
      </c>
      <c r="W1706">
        <v>8.119582233449843E-2</v>
      </c>
      <c r="X1706">
        <v>1.2315348210776041E-2</v>
      </c>
      <c r="Y1706">
        <v>4.0464822287852847E-3</v>
      </c>
    </row>
    <row r="1707" spans="1:25" x14ac:dyDescent="0.25">
      <c r="A1707" s="1090"/>
      <c r="B1707" s="1448">
        <v>1457</v>
      </c>
      <c r="C1707" s="1094">
        <v>1.0435239553081201</v>
      </c>
      <c r="D1707" s="1094">
        <v>0.99009253757017346</v>
      </c>
      <c r="E1707" s="1094">
        <v>1.0073776736034099</v>
      </c>
      <c r="F1707" s="1094">
        <v>1.0032365849772305</v>
      </c>
      <c r="G1707" s="1094">
        <v>0.97258602389453719</v>
      </c>
      <c r="H1707" s="1094">
        <v>0.99008120536829503</v>
      </c>
      <c r="I1707" s="1094">
        <v>0.963770116688065</v>
      </c>
      <c r="K1707">
        <v>4.468112970651851</v>
      </c>
      <c r="L1707">
        <v>0</v>
      </c>
      <c r="M1707">
        <v>1.3764391853354414E-3</v>
      </c>
      <c r="N1707">
        <v>0.12174777916056412</v>
      </c>
      <c r="O1707">
        <v>3.7007748037171016E-2</v>
      </c>
      <c r="P1707">
        <v>1.9219923194982367E-2</v>
      </c>
      <c r="Q1707">
        <v>1.2621368229922044E-3</v>
      </c>
      <c r="R1707">
        <v>1.3707550392352019E-3</v>
      </c>
      <c r="S1707">
        <v>0.21406217622139095</v>
      </c>
      <c r="T1707">
        <v>3.9785619724347856</v>
      </c>
      <c r="U1707">
        <v>0</v>
      </c>
      <c r="V1707">
        <v>9.4523053561131904E-3</v>
      </c>
      <c r="W1707">
        <v>7.2160241361398841E-2</v>
      </c>
      <c r="X1707">
        <v>1.0770513815478789E-2</v>
      </c>
      <c r="Y1707">
        <v>3.8738583930752299E-3</v>
      </c>
    </row>
    <row r="1708" spans="1:25" x14ac:dyDescent="0.25">
      <c r="A1708" s="1090"/>
      <c r="B1708" s="1448">
        <v>1458</v>
      </c>
      <c r="C1708" s="1094">
        <v>0.9876433801422223</v>
      </c>
      <c r="D1708" s="1094">
        <v>1.0002839366343634</v>
      </c>
      <c r="E1708" s="1094">
        <v>1.0041700958249147</v>
      </c>
      <c r="F1708" s="1094">
        <v>1.0215313985838064</v>
      </c>
      <c r="G1708" s="1094">
        <v>0.97173957464971028</v>
      </c>
      <c r="H1708" s="1094">
        <v>1.0110037949539248</v>
      </c>
      <c r="I1708" s="1094">
        <v>1.0056172137582078</v>
      </c>
      <c r="K1708">
        <v>4.5882082025558351</v>
      </c>
      <c r="L1708">
        <v>0</v>
      </c>
      <c r="M1708">
        <v>1.516055364522645E-3</v>
      </c>
      <c r="N1708">
        <v>0.13285015400223577</v>
      </c>
      <c r="O1708">
        <v>3.9674722528675141E-2</v>
      </c>
      <c r="P1708">
        <v>1.9623398175152063E-2</v>
      </c>
      <c r="Q1708">
        <v>1.3244641374536917E-3</v>
      </c>
      <c r="R1708">
        <v>1.5100335865375453E-3</v>
      </c>
      <c r="S1708">
        <v>0.23981044048853636</v>
      </c>
      <c r="T1708">
        <v>4.0512386251241876</v>
      </c>
      <c r="U1708">
        <v>0</v>
      </c>
      <c r="V1708">
        <v>9.4523053561131869E-3</v>
      </c>
      <c r="W1708">
        <v>7.8910869424332744E-2</v>
      </c>
      <c r="X1708">
        <v>1.1061774895966976E-2</v>
      </c>
      <c r="Y1708">
        <v>4.2674702011657132E-3</v>
      </c>
    </row>
    <row r="1709" spans="1:25" x14ac:dyDescent="0.25">
      <c r="A1709" s="1090"/>
      <c r="B1709" s="1448">
        <v>1459</v>
      </c>
      <c r="C1709" s="1094">
        <v>1.0240619896360521</v>
      </c>
      <c r="D1709" s="1094">
        <v>1.0334371388630861</v>
      </c>
      <c r="E1709" s="1094">
        <v>0.97958558637245352</v>
      </c>
      <c r="F1709" s="1094">
        <v>0.98499919187385498</v>
      </c>
      <c r="G1709" s="1094">
        <v>0.99068854833877262</v>
      </c>
      <c r="H1709" s="1094">
        <v>0.98069429864177071</v>
      </c>
      <c r="I1709" s="1094">
        <v>0.98513247521911496</v>
      </c>
      <c r="K1709">
        <v>4.3894709131202907</v>
      </c>
      <c r="L1709">
        <v>0</v>
      </c>
      <c r="M1709">
        <v>1.4217089445094197E-3</v>
      </c>
      <c r="N1709">
        <v>0.11579341121027499</v>
      </c>
      <c r="O1709">
        <v>3.6577318974124931E-2</v>
      </c>
      <c r="P1709">
        <v>1.8516269208825053E-2</v>
      </c>
      <c r="Q1709">
        <v>1.2343882488749032E-3</v>
      </c>
      <c r="R1709">
        <v>1.4156723684465757E-3</v>
      </c>
      <c r="S1709">
        <v>0.21672424179422364</v>
      </c>
      <c r="T1709">
        <v>3.9072832461618661</v>
      </c>
      <c r="U1709">
        <v>0</v>
      </c>
      <c r="V1709">
        <v>9.4523053561131939E-3</v>
      </c>
      <c r="W1709">
        <v>6.9938272724954731E-2</v>
      </c>
      <c r="X1709">
        <v>9.9566978223919241E-3</v>
      </c>
      <c r="Y1709">
        <v>4.000798194702432E-3</v>
      </c>
    </row>
    <row r="1710" spans="1:25" x14ac:dyDescent="0.25">
      <c r="A1710" s="1090"/>
      <c r="B1710" s="1448">
        <v>1460</v>
      </c>
      <c r="C1710" s="1094">
        <v>1.0262358533767628</v>
      </c>
      <c r="D1710" s="1094">
        <v>1.0315769086832933</v>
      </c>
      <c r="E1710" s="1094">
        <v>1.0448138097932189</v>
      </c>
      <c r="F1710" s="1094">
        <v>1.0111153256194914</v>
      </c>
      <c r="G1710" s="1094">
        <v>1.0264693478013367</v>
      </c>
      <c r="H1710" s="1094">
        <v>1.0172717710326611</v>
      </c>
      <c r="I1710" s="1094">
        <v>1.0046213107462296</v>
      </c>
      <c r="K1710">
        <v>4.5243679365818403</v>
      </c>
      <c r="L1710">
        <v>0</v>
      </c>
      <c r="M1710">
        <v>1.3172166006900376E-3</v>
      </c>
      <c r="N1710">
        <v>0.13016757184798761</v>
      </c>
      <c r="O1710">
        <v>3.7058069407918476E-2</v>
      </c>
      <c r="P1710">
        <v>1.995358634769288E-2</v>
      </c>
      <c r="Q1710">
        <v>1.3029771120524861E-3</v>
      </c>
      <c r="R1710">
        <v>1.3119634999736464E-3</v>
      </c>
      <c r="S1710">
        <v>0.22732249255034831</v>
      </c>
      <c r="T1710">
        <v>4.0083839343959236</v>
      </c>
      <c r="U1710">
        <v>0</v>
      </c>
      <c r="V1710">
        <v>9.4523053561131817E-3</v>
      </c>
      <c r="W1710">
        <v>7.5256323086726848E-2</v>
      </c>
      <c r="X1710">
        <v>1.1768220563194039E-2</v>
      </c>
      <c r="Y1710">
        <v>3.7077090146003864E-3</v>
      </c>
    </row>
    <row r="1711" spans="1:25" x14ac:dyDescent="0.25">
      <c r="A1711" s="1090"/>
      <c r="B1711" s="1448">
        <v>1461</v>
      </c>
      <c r="C1711" s="1094">
        <v>0.99403616525982708</v>
      </c>
      <c r="D1711" s="1094">
        <v>1.0147426166501239</v>
      </c>
      <c r="E1711" s="1094">
        <v>0.9682672262910903</v>
      </c>
      <c r="F1711" s="1094">
        <v>1.0402166658449572</v>
      </c>
      <c r="G1711" s="1094">
        <v>1.0300925202517317</v>
      </c>
      <c r="H1711" s="1094">
        <v>1.0242062212239449</v>
      </c>
      <c r="I1711" s="1094">
        <v>0.98663438654998248</v>
      </c>
      <c r="K1711">
        <v>4.6598076694740875</v>
      </c>
      <c r="L1711">
        <v>0</v>
      </c>
      <c r="M1711">
        <v>1.6659460379711557E-3</v>
      </c>
      <c r="N1711">
        <v>0.13125439199540295</v>
      </c>
      <c r="O1711">
        <v>4.0166710284391172E-2</v>
      </c>
      <c r="P1711">
        <v>1.9420568543109227E-2</v>
      </c>
      <c r="Q1711">
        <v>1.2684217882839275E-3</v>
      </c>
      <c r="R1711">
        <v>1.659531059175275E-3</v>
      </c>
      <c r="S1711">
        <v>0.23670676157817347</v>
      </c>
      <c r="T1711">
        <v>4.1267733200155821</v>
      </c>
      <c r="U1711">
        <v>0</v>
      </c>
      <c r="V1711">
        <v>9.4523053561131869E-3</v>
      </c>
      <c r="W1711">
        <v>7.9896299234492804E-2</v>
      </c>
      <c r="X1711">
        <v>1.0185344184902922E-2</v>
      </c>
      <c r="Y1711">
        <v>4.68996147243204E-3</v>
      </c>
    </row>
    <row r="1712" spans="1:25" x14ac:dyDescent="0.25">
      <c r="A1712" s="1090"/>
      <c r="B1712" s="1448">
        <v>1462</v>
      </c>
      <c r="C1712" s="1094">
        <v>1.0260469817769058</v>
      </c>
      <c r="D1712" s="1094">
        <v>1.0187454596809391</v>
      </c>
      <c r="E1712" s="1094">
        <v>0.98783772792829927</v>
      </c>
      <c r="F1712" s="1094">
        <v>1.0004511439633523</v>
      </c>
      <c r="G1712" s="1094">
        <v>0.97898571183726901</v>
      </c>
      <c r="H1712" s="1094">
        <v>0.9890061733526706</v>
      </c>
      <c r="I1712" s="1094">
        <v>1.007967501428676</v>
      </c>
      <c r="K1712">
        <v>4.4666552273933222</v>
      </c>
      <c r="L1712">
        <v>0</v>
      </c>
      <c r="M1712">
        <v>1.4365685142472195E-3</v>
      </c>
      <c r="N1712">
        <v>0.11991540376591264</v>
      </c>
      <c r="O1712">
        <v>3.7237529383621383E-2</v>
      </c>
      <c r="P1712">
        <v>1.8945421187023821E-2</v>
      </c>
      <c r="Q1712">
        <v>1.2479628765054063E-3</v>
      </c>
      <c r="R1712">
        <v>1.4306131422562724E-3</v>
      </c>
      <c r="S1712">
        <v>0.22523606343807576</v>
      </c>
      <c r="T1712">
        <v>3.9682609780696163</v>
      </c>
      <c r="U1712">
        <v>0</v>
      </c>
      <c r="V1712">
        <v>9.4523053561131852E-3</v>
      </c>
      <c r="W1712">
        <v>7.2020612656286398E-2</v>
      </c>
      <c r="X1712">
        <v>1.0301884069994107E-2</v>
      </c>
      <c r="Y1712">
        <v>4.0430219621627548E-3</v>
      </c>
    </row>
    <row r="1713" spans="1:25" x14ac:dyDescent="0.25">
      <c r="A1713" s="1090"/>
      <c r="B1713" s="1448">
        <v>1463</v>
      </c>
      <c r="C1713" s="1094">
        <v>1.011824148215801</v>
      </c>
      <c r="D1713" s="1094">
        <v>0.98451486884343198</v>
      </c>
      <c r="E1713" s="1094">
        <v>1.0155738524939806</v>
      </c>
      <c r="F1713" s="1094">
        <v>0.99417852728291489</v>
      </c>
      <c r="G1713" s="1094">
        <v>1.0198400206614249</v>
      </c>
      <c r="H1713" s="1094">
        <v>0.99603551498229459</v>
      </c>
      <c r="I1713" s="1094">
        <v>1.0282415761196622</v>
      </c>
      <c r="K1713">
        <v>4.4609571316854142</v>
      </c>
      <c r="L1713">
        <v>0</v>
      </c>
      <c r="M1713">
        <v>1.3941439814630142E-3</v>
      </c>
      <c r="N1713">
        <v>0.12634092263421029</v>
      </c>
      <c r="O1713">
        <v>3.7852401571669497E-2</v>
      </c>
      <c r="P1713">
        <v>1.9265957162336728E-2</v>
      </c>
      <c r="Q1713">
        <v>1.3137529597964735E-3</v>
      </c>
      <c r="R1713">
        <v>1.3883692122942856E-3</v>
      </c>
      <c r="S1713">
        <v>0.2349667752284561</v>
      </c>
      <c r="T1713">
        <v>3.9423316373359776</v>
      </c>
      <c r="U1713">
        <v>0</v>
      </c>
      <c r="V1713">
        <v>9.4523053561131887E-3</v>
      </c>
      <c r="W1713">
        <v>7.4472132674007263E-2</v>
      </c>
      <c r="X1713">
        <v>1.104338414109627E-2</v>
      </c>
      <c r="Y1713">
        <v>3.9236373909186974E-3</v>
      </c>
    </row>
    <row r="1714" spans="1:25" x14ac:dyDescent="0.25">
      <c r="A1714" s="1090"/>
      <c r="B1714" s="1448">
        <v>1464</v>
      </c>
      <c r="C1714" s="1094">
        <v>1.0269975544470644</v>
      </c>
      <c r="D1714" s="1094">
        <v>0.97018455470353016</v>
      </c>
      <c r="E1714" s="1094">
        <v>1.0194419804169206</v>
      </c>
      <c r="F1714" s="1094">
        <v>1.0045965306126832</v>
      </c>
      <c r="G1714" s="1094">
        <v>0.98002989903250481</v>
      </c>
      <c r="H1714" s="1094">
        <v>0.98091288804348853</v>
      </c>
      <c r="I1714" s="1094">
        <v>1.0127356696471903</v>
      </c>
      <c r="K1714">
        <v>4.4946770646422207</v>
      </c>
      <c r="L1714">
        <v>0</v>
      </c>
      <c r="M1714">
        <v>1.3636644346116866E-3</v>
      </c>
      <c r="N1714">
        <v>0.12499886770136202</v>
      </c>
      <c r="O1714">
        <v>3.7879249631982637E-2</v>
      </c>
      <c r="P1714">
        <v>1.9485412732011761E-2</v>
      </c>
      <c r="Q1714">
        <v>1.3062319955976353E-3</v>
      </c>
      <c r="R1714">
        <v>1.357988071294213E-3</v>
      </c>
      <c r="S1714">
        <v>0.22949293775397453</v>
      </c>
      <c r="T1714">
        <v>3.983496648569155</v>
      </c>
      <c r="U1714">
        <v>0</v>
      </c>
      <c r="V1714">
        <v>9.4523053561131904E-3</v>
      </c>
      <c r="W1714">
        <v>7.3490939397782173E-2</v>
      </c>
      <c r="X1714">
        <v>1.1242369900598553E-2</v>
      </c>
      <c r="Y1714">
        <v>3.8377779669621025E-3</v>
      </c>
    </row>
    <row r="1715" spans="1:25" x14ac:dyDescent="0.25">
      <c r="A1715" s="1090"/>
      <c r="B1715" s="1448">
        <v>1465</v>
      </c>
      <c r="C1715" s="1094">
        <v>1.0322709966996004</v>
      </c>
      <c r="D1715" s="1094">
        <v>0.97228167259947473</v>
      </c>
      <c r="E1715" s="1094">
        <v>1.0185516424649068</v>
      </c>
      <c r="F1715" s="1094">
        <v>0.99868930785575538</v>
      </c>
      <c r="G1715" s="1094">
        <v>1.0144901013279872</v>
      </c>
      <c r="H1715" s="1094">
        <v>1.0295189809669907</v>
      </c>
      <c r="I1715" s="1094">
        <v>1.0048800549290255</v>
      </c>
      <c r="K1715">
        <v>4.4775659262164806</v>
      </c>
      <c r="L1715">
        <v>0</v>
      </c>
      <c r="M1715">
        <v>1.4170262506699961E-3</v>
      </c>
      <c r="N1715">
        <v>0.12957102566501499</v>
      </c>
      <c r="O1715">
        <v>3.7437795167850292E-2</v>
      </c>
      <c r="P1715">
        <v>1.936315713473457E-2</v>
      </c>
      <c r="Q1715">
        <v>1.2974585467618444E-3</v>
      </c>
      <c r="R1715">
        <v>1.4113731406952418E-3</v>
      </c>
      <c r="S1715">
        <v>0.22912871077914576</v>
      </c>
      <c r="T1715">
        <v>3.9601064592621542</v>
      </c>
      <c r="U1715">
        <v>0</v>
      </c>
      <c r="V1715">
        <v>9.4523053561131973E-3</v>
      </c>
      <c r="W1715">
        <v>7.6224330210445002E-2</v>
      </c>
      <c r="X1715">
        <v>1.1001688955384812E-2</v>
      </c>
      <c r="Y1715">
        <v>3.9886482488466499E-3</v>
      </c>
    </row>
    <row r="1716" spans="1:25" x14ac:dyDescent="0.25">
      <c r="A1716" s="1090"/>
      <c r="B1716" s="1448">
        <v>1466</v>
      </c>
      <c r="C1716" s="1094">
        <v>0.980582413307451</v>
      </c>
      <c r="D1716" s="1094">
        <v>0.97295243518653263</v>
      </c>
      <c r="E1716" s="1094">
        <v>0.97690278450295953</v>
      </c>
      <c r="F1716" s="1094">
        <v>0.96458053055006898</v>
      </c>
      <c r="G1716" s="1094">
        <v>0.9580450436655702</v>
      </c>
      <c r="H1716" s="1094">
        <v>0.99470012623692838</v>
      </c>
      <c r="I1716" s="1094">
        <v>1.0032035900274496</v>
      </c>
      <c r="K1716">
        <v>4.3374938502958802</v>
      </c>
      <c r="L1716">
        <v>0</v>
      </c>
      <c r="M1716">
        <v>1.5194084671765762E-3</v>
      </c>
      <c r="N1716">
        <v>0.12276582510206119</v>
      </c>
      <c r="O1716">
        <v>3.833896861513416E-2</v>
      </c>
      <c r="P1716">
        <v>1.8187756082238837E-2</v>
      </c>
      <c r="Q1716">
        <v>1.3175236138445894E-3</v>
      </c>
      <c r="R1716">
        <v>1.5129138268613429E-3</v>
      </c>
      <c r="S1716">
        <v>0.23257101183755097</v>
      </c>
      <c r="T1716">
        <v>3.8263863305248589</v>
      </c>
      <c r="U1716">
        <v>0</v>
      </c>
      <c r="V1716">
        <v>9.4523053561131973E-3</v>
      </c>
      <c r="W1716">
        <v>7.4286134912511834E-2</v>
      </c>
      <c r="X1716">
        <v>9.9188789116621285E-3</v>
      </c>
      <c r="Y1716">
        <v>4.2756099802167113E-3</v>
      </c>
    </row>
    <row r="1717" spans="1:25" x14ac:dyDescent="0.25">
      <c r="A1717" s="1090"/>
      <c r="B1717" s="1448">
        <v>1467</v>
      </c>
      <c r="C1717" s="1094">
        <v>1.011251047447739</v>
      </c>
      <c r="D1717" s="1094">
        <v>0.98932487886115728</v>
      </c>
      <c r="E1717" s="1094">
        <v>0.99526590963706629</v>
      </c>
      <c r="F1717" s="1094">
        <v>1.0133855884369316</v>
      </c>
      <c r="G1717" s="1094">
        <v>1.0226316874277732</v>
      </c>
      <c r="H1717" s="1094">
        <v>0.98768568288058933</v>
      </c>
      <c r="I1717" s="1094">
        <v>0.99060759986673574</v>
      </c>
      <c r="K1717">
        <v>4.5315254617744882</v>
      </c>
      <c r="L1717">
        <v>0</v>
      </c>
      <c r="M1717">
        <v>1.4686433208306916E-3</v>
      </c>
      <c r="N1717">
        <v>0.12532857980480713</v>
      </c>
      <c r="O1717">
        <v>3.8670817943619533E-2</v>
      </c>
      <c r="P1717">
        <v>1.929728091504471E-2</v>
      </c>
      <c r="Q1717">
        <v>1.2893782756044784E-3</v>
      </c>
      <c r="R1717">
        <v>1.4626243392024784E-3</v>
      </c>
      <c r="S1717">
        <v>0.22846586659054197</v>
      </c>
      <c r="T1717">
        <v>4.0192772422820084</v>
      </c>
      <c r="U1717">
        <v>0</v>
      </c>
      <c r="V1717">
        <v>9.4523053561131852E-3</v>
      </c>
      <c r="W1717">
        <v>7.4892619689036016E-2</v>
      </c>
      <c r="X1717">
        <v>1.0723901850669071E-2</v>
      </c>
      <c r="Y1717">
        <v>4.1334880486720051E-3</v>
      </c>
    </row>
    <row r="1718" spans="1:25" x14ac:dyDescent="0.25">
      <c r="A1718" s="1090"/>
      <c r="B1718" s="1448">
        <v>1468</v>
      </c>
      <c r="C1718" s="1094">
        <v>0.95975427150603976</v>
      </c>
      <c r="D1718" s="1094">
        <v>0.97592436990961107</v>
      </c>
      <c r="E1718" s="1094">
        <v>0.9964814685823562</v>
      </c>
      <c r="F1718" s="1094">
        <v>0.98020277320517735</v>
      </c>
      <c r="G1718" s="1094">
        <v>1.0084187408567893</v>
      </c>
      <c r="H1718" s="1094">
        <v>1.0056568239361119</v>
      </c>
      <c r="I1718" s="1094">
        <v>0.98724674848091065</v>
      </c>
      <c r="K1718">
        <v>4.417780169020479</v>
      </c>
      <c r="L1718">
        <v>0</v>
      </c>
      <c r="M1718">
        <v>1.5286395729201736E-3</v>
      </c>
      <c r="N1718">
        <v>0.13091104929083588</v>
      </c>
      <c r="O1718">
        <v>3.961852618894026E-2</v>
      </c>
      <c r="P1718">
        <v>1.8756123160229256E-2</v>
      </c>
      <c r="Q1718">
        <v>1.3674202662987537E-3</v>
      </c>
      <c r="R1718">
        <v>1.5222792374358521E-3</v>
      </c>
      <c r="S1718">
        <v>0.23697332015153716</v>
      </c>
      <c r="T1718">
        <v>3.8876225109815441</v>
      </c>
      <c r="U1718">
        <v>0</v>
      </c>
      <c r="V1718">
        <v>9.4523053561132026E-3</v>
      </c>
      <c r="W1718">
        <v>7.8164113307948174E-2</v>
      </c>
      <c r="X1718">
        <v>1.0619083306997009E-2</v>
      </c>
      <c r="Y1718">
        <v>4.3020773455155464E-3</v>
      </c>
    </row>
    <row r="1719" spans="1:25" x14ac:dyDescent="0.25">
      <c r="A1719" s="1090"/>
      <c r="B1719" s="1448">
        <v>1469</v>
      </c>
      <c r="C1719" s="1094">
        <v>0.97795696239294905</v>
      </c>
      <c r="D1719" s="1094">
        <v>1.0225177122138898</v>
      </c>
      <c r="E1719" s="1094">
        <v>1.0013656152827748</v>
      </c>
      <c r="F1719" s="1094">
        <v>0.99011823299156509</v>
      </c>
      <c r="G1719" s="1094">
        <v>0.99221678104959177</v>
      </c>
      <c r="H1719" s="1094">
        <v>0.98077539236955291</v>
      </c>
      <c r="I1719" s="1094">
        <v>0.98046820791464728</v>
      </c>
      <c r="K1719">
        <v>4.4361499824582369</v>
      </c>
      <c r="L1719">
        <v>0</v>
      </c>
      <c r="M1719">
        <v>1.4356545707724902E-3</v>
      </c>
      <c r="N1719">
        <v>0.12473234816019155</v>
      </c>
      <c r="O1719">
        <v>3.8514890140900454E-2</v>
      </c>
      <c r="P1719">
        <v>1.8959165891529111E-2</v>
      </c>
      <c r="Q1719">
        <v>1.3226946511177276E-3</v>
      </c>
      <c r="R1719">
        <v>1.4295906684780976E-3</v>
      </c>
      <c r="S1719">
        <v>0.22738852611423166</v>
      </c>
      <c r="T1719">
        <v>3.9267643721397998</v>
      </c>
      <c r="U1719">
        <v>0</v>
      </c>
      <c r="V1719">
        <v>9.4523053561131835E-3</v>
      </c>
      <c r="W1719">
        <v>7.4229325702175622E-2</v>
      </c>
      <c r="X1719">
        <v>1.075228583127036E-2</v>
      </c>
      <c r="Y1719">
        <v>4.0401323732034526E-3</v>
      </c>
    </row>
    <row r="1720" spans="1:25" x14ac:dyDescent="0.25">
      <c r="A1720" s="1090"/>
      <c r="B1720" s="1448">
        <v>1470</v>
      </c>
      <c r="C1720" s="1094">
        <v>1.0203503864766652</v>
      </c>
      <c r="D1720" s="1094">
        <v>1.004444578744772</v>
      </c>
      <c r="E1720" s="1094">
        <v>1.006115309947093</v>
      </c>
      <c r="F1720" s="1094">
        <v>1.0240678484076329</v>
      </c>
      <c r="G1720" s="1094">
        <v>0.96449172804413841</v>
      </c>
      <c r="H1720" s="1094">
        <v>1.0010302901233794</v>
      </c>
      <c r="I1720" s="1094">
        <v>1.0065748742672918</v>
      </c>
      <c r="K1720">
        <v>4.5801533520740687</v>
      </c>
      <c r="L1720">
        <v>0</v>
      </c>
      <c r="M1720">
        <v>1.4482096699770764E-3</v>
      </c>
      <c r="N1720">
        <v>0.12763437280496942</v>
      </c>
      <c r="O1720">
        <v>3.8421057305545202E-2</v>
      </c>
      <c r="P1720">
        <v>1.9660226369273233E-2</v>
      </c>
      <c r="Q1720">
        <v>1.2820105687166179E-3</v>
      </c>
      <c r="R1720">
        <v>1.442414395681934E-3</v>
      </c>
      <c r="S1720">
        <v>0.23168609577333352</v>
      </c>
      <c r="T1720">
        <v>4.0612221333148169</v>
      </c>
      <c r="U1720">
        <v>0</v>
      </c>
      <c r="V1720">
        <v>9.4523053561131817E-3</v>
      </c>
      <c r="W1720">
        <v>7.5713518120370013E-2</v>
      </c>
      <c r="X1720">
        <v>1.1011054529902571E-2</v>
      </c>
      <c r="Y1720">
        <v>4.0763732053267498E-3</v>
      </c>
    </row>
    <row r="1721" spans="1:25" x14ac:dyDescent="0.25">
      <c r="A1721" s="1090"/>
      <c r="B1721" s="1448">
        <v>1471</v>
      </c>
      <c r="C1721" s="1094">
        <v>0.97513956379131761</v>
      </c>
      <c r="D1721" s="1094">
        <v>1.0293189723316265</v>
      </c>
      <c r="E1721" s="1094">
        <v>0.97700367020334267</v>
      </c>
      <c r="F1721" s="1094">
        <v>1.0216949573110412</v>
      </c>
      <c r="G1721" s="1094">
        <v>0.96293319659002208</v>
      </c>
      <c r="H1721" s="1094">
        <v>0.97911450754392859</v>
      </c>
      <c r="I1721" s="1094">
        <v>0.98096363591805613</v>
      </c>
      <c r="K1721">
        <v>4.5721330992702658</v>
      </c>
      <c r="L1721">
        <v>0</v>
      </c>
      <c r="M1721">
        <v>1.5568164659911072E-3</v>
      </c>
      <c r="N1721">
        <v>0.1258479579508118</v>
      </c>
      <c r="O1721">
        <v>3.9925410088003495E-2</v>
      </c>
      <c r="P1721">
        <v>1.9201698634436267E-2</v>
      </c>
      <c r="Q1721">
        <v>1.2954793337644471E-3</v>
      </c>
      <c r="R1721">
        <v>1.5504324032869924E-3</v>
      </c>
      <c r="S1721">
        <v>0.23248808295630344</v>
      </c>
      <c r="T1721">
        <v>4.0529490966369268</v>
      </c>
      <c r="U1721">
        <v>0</v>
      </c>
      <c r="V1721">
        <v>9.4523053561131939E-3</v>
      </c>
      <c r="W1721">
        <v>7.614587257368069E-2</v>
      </c>
      <c r="X1721">
        <v>1.04519394613243E-2</v>
      </c>
      <c r="Y1721">
        <v>4.3816403416034027E-3</v>
      </c>
    </row>
    <row r="1722" spans="1:25" x14ac:dyDescent="0.25">
      <c r="A1722" s="1090"/>
      <c r="B1722" s="1448">
        <v>1472</v>
      </c>
      <c r="C1722" s="1094">
        <v>0.98694001945168452</v>
      </c>
      <c r="D1722" s="1094">
        <v>1.022619278506735</v>
      </c>
      <c r="E1722" s="1094">
        <v>1.0138130221702608</v>
      </c>
      <c r="F1722" s="1094">
        <v>1.0342908017539929</v>
      </c>
      <c r="G1722" s="1094">
        <v>0.98383969281516426</v>
      </c>
      <c r="H1722" s="1094">
        <v>1.0278758471649441</v>
      </c>
      <c r="I1722" s="1094">
        <v>0.99800698019993128</v>
      </c>
      <c r="K1722">
        <v>4.6450846191328932</v>
      </c>
      <c r="L1722">
        <v>0</v>
      </c>
      <c r="M1722">
        <v>1.5167497369326225E-3</v>
      </c>
      <c r="N1722">
        <v>0.13677619881589326</v>
      </c>
      <c r="O1722">
        <v>3.9776517017390552E-2</v>
      </c>
      <c r="P1722">
        <v>1.9995231333074109E-2</v>
      </c>
      <c r="Q1722">
        <v>1.3245916463689978E-3</v>
      </c>
      <c r="R1722">
        <v>1.5108969016243089E-3</v>
      </c>
      <c r="S1722">
        <v>0.23994869765132582</v>
      </c>
      <c r="T1722">
        <v>4.1014623539275163</v>
      </c>
      <c r="U1722">
        <v>0</v>
      </c>
      <c r="V1722">
        <v>9.4523053561131973E-3</v>
      </c>
      <c r="W1722">
        <v>8.0718301131112502E-2</v>
      </c>
      <c r="X1722">
        <v>1.1366365093891606E-2</v>
      </c>
      <c r="Y1722">
        <v>4.2699099955118966E-3</v>
      </c>
    </row>
    <row r="1723" spans="1:25" x14ac:dyDescent="0.25">
      <c r="A1723" s="1090"/>
      <c r="B1723" s="1448">
        <v>1473</v>
      </c>
      <c r="C1723" s="1094">
        <v>0.99007646752898681</v>
      </c>
      <c r="D1723" s="1094">
        <v>1.0465338171475351</v>
      </c>
      <c r="E1723" s="1094">
        <v>0.99724387418839411</v>
      </c>
      <c r="F1723" s="1094">
        <v>0.9858016306290075</v>
      </c>
      <c r="G1723" s="1094">
        <v>0.97920961281190322</v>
      </c>
      <c r="H1723" s="1094">
        <v>0.95547674522250725</v>
      </c>
      <c r="I1723" s="1094">
        <v>0.95719426379291561</v>
      </c>
      <c r="K1723">
        <v>4.3949925871947144</v>
      </c>
      <c r="L1723">
        <v>0</v>
      </c>
      <c r="M1723">
        <v>1.3746692574089356E-3</v>
      </c>
      <c r="N1723">
        <v>0.11796854218890973</v>
      </c>
      <c r="O1723">
        <v>3.7555127454227864E-2</v>
      </c>
      <c r="P1723">
        <v>1.8769180159334972E-2</v>
      </c>
      <c r="Q1723">
        <v>1.2898607391554687E-3</v>
      </c>
      <c r="R1723">
        <v>1.3686832183685024E-3</v>
      </c>
      <c r="S1723">
        <v>0.21531961635680288</v>
      </c>
      <c r="T1723">
        <v>3.9097997048030515</v>
      </c>
      <c r="U1723">
        <v>0</v>
      </c>
      <c r="V1723">
        <v>9.4523053561132008E-3</v>
      </c>
      <c r="W1723">
        <v>7.0400063282311021E-2</v>
      </c>
      <c r="X1723">
        <v>1.0576169624715985E-2</v>
      </c>
      <c r="Y1723">
        <v>3.8680032691298964E-3</v>
      </c>
    </row>
    <row r="1724" spans="1:25" x14ac:dyDescent="0.25">
      <c r="A1724" s="1090"/>
      <c r="B1724" s="1448">
        <v>1474</v>
      </c>
      <c r="C1724" s="1094">
        <v>0.99908544130680343</v>
      </c>
      <c r="D1724" s="1094">
        <v>0.9866853543676638</v>
      </c>
      <c r="E1724" s="1094">
        <v>1.0327615646977606</v>
      </c>
      <c r="F1724" s="1094">
        <v>0.99591806177897269</v>
      </c>
      <c r="G1724" s="1094">
        <v>1.0205429163244828</v>
      </c>
      <c r="H1724" s="1094">
        <v>1.0248806052693387</v>
      </c>
      <c r="I1724" s="1094">
        <v>0.98081181705281772</v>
      </c>
      <c r="K1724">
        <v>4.4734548996931078</v>
      </c>
      <c r="L1724">
        <v>0</v>
      </c>
      <c r="M1724">
        <v>1.4021820711476777E-3</v>
      </c>
      <c r="N1724">
        <v>0.13371259524815554</v>
      </c>
      <c r="O1724">
        <v>3.8249615173911379E-2</v>
      </c>
      <c r="P1724">
        <v>1.9511500597040796E-2</v>
      </c>
      <c r="Q1724">
        <v>1.3487564651603287E-3</v>
      </c>
      <c r="R1724">
        <v>1.3965472925056997E-3</v>
      </c>
      <c r="S1724">
        <v>0.22924907734390665</v>
      </c>
      <c r="T1724">
        <v>3.9485854984026201</v>
      </c>
      <c r="U1724">
        <v>0</v>
      </c>
      <c r="V1724">
        <v>9.4523053561131973E-3</v>
      </c>
      <c r="W1724">
        <v>7.7921759944323973E-2</v>
      </c>
      <c r="X1724">
        <v>1.1482676670555258E-2</v>
      </c>
      <c r="Y1724">
        <v>3.9467492699630418E-3</v>
      </c>
    </row>
    <row r="1725" spans="1:25" x14ac:dyDescent="0.25">
      <c r="A1725" s="1090"/>
      <c r="B1725" s="1448">
        <v>1475</v>
      </c>
      <c r="C1725" s="1094">
        <v>0.96056160946589064</v>
      </c>
      <c r="D1725" s="1094">
        <v>0.98781416601122585</v>
      </c>
      <c r="E1725" s="1094">
        <v>1.0080172805211667</v>
      </c>
      <c r="F1725" s="1094">
        <v>1.0044050068884127</v>
      </c>
      <c r="G1725" s="1094">
        <v>0.98483133815957102</v>
      </c>
      <c r="H1725" s="1094">
        <v>0.98840875892067692</v>
      </c>
      <c r="I1725" s="1094">
        <v>1.0337329562861512</v>
      </c>
      <c r="K1725">
        <v>4.5295950542007768</v>
      </c>
      <c r="L1725">
        <v>0</v>
      </c>
      <c r="M1725">
        <v>1.4938877892606848E-3</v>
      </c>
      <c r="N1725">
        <v>0.13238647432091227</v>
      </c>
      <c r="O1725">
        <v>4.028336790732634E-2</v>
      </c>
      <c r="P1725">
        <v>1.9413050550931954E-2</v>
      </c>
      <c r="Q1725">
        <v>1.3731587612054461E-3</v>
      </c>
      <c r="R1725">
        <v>1.4877153479303466E-3</v>
      </c>
      <c r="S1725">
        <v>0.24966495113002754</v>
      </c>
      <c r="T1725">
        <v>3.983171242426653</v>
      </c>
      <c r="U1725">
        <v>0</v>
      </c>
      <c r="V1725">
        <v>9.4523053561131904E-3</v>
      </c>
      <c r="W1725">
        <v>7.8432088543461814E-2</v>
      </c>
      <c r="X1725">
        <v>1.1220190490531839E-2</v>
      </c>
      <c r="Y1725">
        <v>4.2043971549448576E-3</v>
      </c>
    </row>
    <row r="1726" spans="1:25" x14ac:dyDescent="0.25">
      <c r="A1726" s="1090"/>
      <c r="B1726" s="1448">
        <v>1476</v>
      </c>
      <c r="C1726" s="1094">
        <v>1.0403412507339349</v>
      </c>
      <c r="D1726" s="1094">
        <v>0.99662746480974884</v>
      </c>
      <c r="E1726" s="1094">
        <v>1.0107826352389504</v>
      </c>
      <c r="F1726" s="1094">
        <v>0.98881103169636009</v>
      </c>
      <c r="G1726" s="1094">
        <v>1.0357493970817708</v>
      </c>
      <c r="H1726" s="1094">
        <v>0.97862329511299639</v>
      </c>
      <c r="I1726" s="1094">
        <v>0.98660097706534744</v>
      </c>
      <c r="K1726">
        <v>4.4077074243283736</v>
      </c>
      <c r="L1726">
        <v>0</v>
      </c>
      <c r="M1726">
        <v>1.3319958642838208E-3</v>
      </c>
      <c r="N1726">
        <v>0.11899751509613071</v>
      </c>
      <c r="O1726">
        <v>3.6468769794724604E-2</v>
      </c>
      <c r="P1726">
        <v>1.9016265700468851E-2</v>
      </c>
      <c r="Q1726">
        <v>1.2663398138944106E-3</v>
      </c>
      <c r="R1726">
        <v>1.3263499991253945E-3</v>
      </c>
      <c r="S1726">
        <v>0.21642021565848488</v>
      </c>
      <c r="T1726">
        <v>3.9212265300220648</v>
      </c>
      <c r="U1726">
        <v>0</v>
      </c>
      <c r="V1726">
        <v>9.4523053561131991E-3</v>
      </c>
      <c r="W1726">
        <v>7.0369019583984213E-2</v>
      </c>
      <c r="X1726">
        <v>1.0747742808101078E-2</v>
      </c>
      <c r="Y1726">
        <v>3.7483663595604786E-3</v>
      </c>
    </row>
    <row r="1727" spans="1:25" x14ac:dyDescent="0.25">
      <c r="A1727" s="1090"/>
      <c r="B1727" s="1448">
        <v>1477</v>
      </c>
      <c r="C1727" s="1094">
        <v>0.98655070302583703</v>
      </c>
      <c r="D1727" s="1094">
        <v>0.99637114943966198</v>
      </c>
      <c r="E1727" s="1094">
        <v>1.0189400111321474</v>
      </c>
      <c r="F1727" s="1094">
        <v>0.99645974166193174</v>
      </c>
      <c r="G1727" s="1094">
        <v>0.97888676417431553</v>
      </c>
      <c r="H1727" s="1094">
        <v>1.0149451927426019</v>
      </c>
      <c r="I1727" s="1094">
        <v>1.0134422088237014</v>
      </c>
      <c r="K1727">
        <v>4.4836458614363872</v>
      </c>
      <c r="L1727">
        <v>0</v>
      </c>
      <c r="M1727">
        <v>1.4430652082443756E-3</v>
      </c>
      <c r="N1727">
        <v>0.13209491670860296</v>
      </c>
      <c r="O1727">
        <v>3.8701871614508554E-2</v>
      </c>
      <c r="P1727">
        <v>1.9370987523442431E-2</v>
      </c>
      <c r="Q1727">
        <v>1.3448041167562054E-3</v>
      </c>
      <c r="R1727">
        <v>1.4372125399101704E-3</v>
      </c>
      <c r="S1727">
        <v>0.23848597570484933</v>
      </c>
      <c r="T1727">
        <v>3.9512509505368851</v>
      </c>
      <c r="U1727">
        <v>0</v>
      </c>
      <c r="V1727">
        <v>9.4523053561131973E-3</v>
      </c>
      <c r="W1727">
        <v>7.7688952506823367E-2</v>
      </c>
      <c r="X1727">
        <v>1.119927767296546E-2</v>
      </c>
      <c r="Y1727">
        <v>4.0616723637728457E-3</v>
      </c>
    </row>
    <row r="1728" spans="1:25" x14ac:dyDescent="0.25">
      <c r="A1728" s="1090"/>
      <c r="B1728" s="1448">
        <v>1478</v>
      </c>
      <c r="C1728" s="1094">
        <v>0.99295718199552474</v>
      </c>
      <c r="D1728" s="1094">
        <v>0.97297717950820095</v>
      </c>
      <c r="E1728" s="1094">
        <v>1.008516638940594</v>
      </c>
      <c r="F1728" s="1094">
        <v>1.0060938436642848</v>
      </c>
      <c r="G1728" s="1094">
        <v>0.96230595214175618</v>
      </c>
      <c r="H1728" s="1094">
        <v>1.0270165585037891</v>
      </c>
      <c r="I1728" s="1094">
        <v>1.0176766338590333</v>
      </c>
      <c r="K1728">
        <v>4.5304145768504096</v>
      </c>
      <c r="L1728">
        <v>0</v>
      </c>
      <c r="M1728">
        <v>1.5116523856778922E-3</v>
      </c>
      <c r="N1728">
        <v>0.13418080167955385</v>
      </c>
      <c r="O1728">
        <v>3.9268132254760113E-2</v>
      </c>
      <c r="P1728">
        <v>1.9416571227900102E-2</v>
      </c>
      <c r="Q1728">
        <v>1.3369937686821085E-3</v>
      </c>
      <c r="R1728">
        <v>1.505651388518658E-3</v>
      </c>
      <c r="S1728">
        <v>0.24218956291759994</v>
      </c>
      <c r="T1728">
        <v>3.9898496119201754</v>
      </c>
      <c r="U1728">
        <v>0</v>
      </c>
      <c r="V1728">
        <v>9.4523053561131973E-3</v>
      </c>
      <c r="W1728">
        <v>7.9468458528971719E-2</v>
      </c>
      <c r="X1728">
        <v>1.1003054418807025E-2</v>
      </c>
      <c r="Y1728">
        <v>4.2550857749993447E-3</v>
      </c>
    </row>
    <row r="1729" spans="1:25" x14ac:dyDescent="0.25">
      <c r="A1729" s="1090"/>
      <c r="B1729" s="1448">
        <v>1479</v>
      </c>
      <c r="C1729" s="1094">
        <v>1.0130750825631027</v>
      </c>
      <c r="D1729" s="1094">
        <v>1.0147712090772556</v>
      </c>
      <c r="E1729" s="1094">
        <v>1.0057949580347356</v>
      </c>
      <c r="F1729" s="1094">
        <v>1.0159581846447088</v>
      </c>
      <c r="G1729" s="1094">
        <v>1.003842375884517</v>
      </c>
      <c r="H1729" s="1094">
        <v>0.99189506377637071</v>
      </c>
      <c r="I1729" s="1094">
        <v>0.99049261314448045</v>
      </c>
      <c r="K1729">
        <v>4.5399687505904156</v>
      </c>
      <c r="L1729">
        <v>0</v>
      </c>
      <c r="M1729">
        <v>1.4290092476793258E-3</v>
      </c>
      <c r="N1729">
        <v>0.12581404554162171</v>
      </c>
      <c r="O1729">
        <v>3.8235976173719592E-2</v>
      </c>
      <c r="P1729">
        <v>1.9487273701210454E-2</v>
      </c>
      <c r="Q1729">
        <v>1.2855934659962581E-3</v>
      </c>
      <c r="R1729">
        <v>1.4231922606702911E-3</v>
      </c>
      <c r="S1729">
        <v>0.22699961913634542</v>
      </c>
      <c r="T1729">
        <v>4.029073393569738</v>
      </c>
      <c r="U1729">
        <v>0</v>
      </c>
      <c r="V1729">
        <v>9.4523053561131904E-3</v>
      </c>
      <c r="W1729">
        <v>7.4649784589218643E-2</v>
      </c>
      <c r="X1729">
        <v>1.0954526059215325E-2</v>
      </c>
      <c r="Y1729">
        <v>4.0220499842432639E-3</v>
      </c>
    </row>
    <row r="1730" spans="1:25" x14ac:dyDescent="0.25">
      <c r="A1730" s="1090"/>
      <c r="B1730" s="1448">
        <v>1480</v>
      </c>
      <c r="C1730" s="1094">
        <v>1.0070323742269212</v>
      </c>
      <c r="D1730" s="1094">
        <v>1.0001868440378623</v>
      </c>
      <c r="E1730" s="1094">
        <v>0.97446251681701523</v>
      </c>
      <c r="F1730" s="1094">
        <v>0.97191261527267225</v>
      </c>
      <c r="G1730" s="1094">
        <v>1.0032029345636313</v>
      </c>
      <c r="H1730" s="1094">
        <v>0.97562768517969189</v>
      </c>
      <c r="I1730" s="1094">
        <v>0.99889689170750917</v>
      </c>
      <c r="K1730">
        <v>4.3462291723144393</v>
      </c>
      <c r="L1730">
        <v>0</v>
      </c>
      <c r="M1730">
        <v>1.4534813432897343E-3</v>
      </c>
      <c r="N1730">
        <v>0.1165854732041476</v>
      </c>
      <c r="O1730">
        <v>3.721876416206657E-2</v>
      </c>
      <c r="P1730">
        <v>1.8242826799385329E-2</v>
      </c>
      <c r="Q1730">
        <v>1.2661372562883175E-3</v>
      </c>
      <c r="R1730">
        <v>1.4471946353677924E-3</v>
      </c>
      <c r="S1730">
        <v>0.22330683179748401</v>
      </c>
      <c r="T1730">
        <v>3.8555633036732475</v>
      </c>
      <c r="U1730">
        <v>0</v>
      </c>
      <c r="V1730">
        <v>9.4523053561131852E-3</v>
      </c>
      <c r="W1730">
        <v>7.0664771112528502E-2</v>
      </c>
      <c r="X1730">
        <v>9.8451631334665352E-3</v>
      </c>
      <c r="Y1730">
        <v>4.0898825276330219E-3</v>
      </c>
    </row>
    <row r="1731" spans="1:25" x14ac:dyDescent="0.25">
      <c r="A1731" s="1090"/>
      <c r="B1731" s="1448">
        <v>1481</v>
      </c>
      <c r="C1731" s="1094">
        <v>0.98246064391520416</v>
      </c>
      <c r="D1731" s="1094">
        <v>0.97734941806583675</v>
      </c>
      <c r="E1731" s="1094">
        <v>1.0071527906704036</v>
      </c>
      <c r="F1731" s="1094">
        <v>1.006066096997229</v>
      </c>
      <c r="G1731" s="1094">
        <v>0.96484618549895074</v>
      </c>
      <c r="H1731" s="1094">
        <v>1.0022834961616782</v>
      </c>
      <c r="I1731" s="1094">
        <v>0.98629392079031053</v>
      </c>
      <c r="K1731">
        <v>4.5199846312650411</v>
      </c>
      <c r="L1731">
        <v>0</v>
      </c>
      <c r="M1731">
        <v>1.4925829937006796E-3</v>
      </c>
      <c r="N1731">
        <v>0.13194112801557442</v>
      </c>
      <c r="O1731">
        <v>3.9625153110499446E-2</v>
      </c>
      <c r="P1731">
        <v>1.9363779416302719E-2</v>
      </c>
      <c r="Q1731">
        <v>1.3472889675706441E-3</v>
      </c>
      <c r="R1731">
        <v>1.4865113151416697E-3</v>
      </c>
      <c r="S1731">
        <v>0.23498722371550915</v>
      </c>
      <c r="T1731">
        <v>3.9897916284275512</v>
      </c>
      <c r="U1731">
        <v>0</v>
      </c>
      <c r="V1731">
        <v>9.4523053561131939E-3</v>
      </c>
      <c r="W1731">
        <v>7.8213695680584491E-2</v>
      </c>
      <c r="X1731">
        <v>1.1067505787532897E-2</v>
      </c>
      <c r="Y1731">
        <v>4.2009944663605027E-3</v>
      </c>
    </row>
    <row r="1732" spans="1:25" x14ac:dyDescent="0.25">
      <c r="A1732" s="1090"/>
      <c r="B1732" s="1448">
        <v>1482</v>
      </c>
      <c r="C1732" s="1094">
        <v>0.99276602304787986</v>
      </c>
      <c r="D1732" s="1094">
        <v>0.96842828362881861</v>
      </c>
      <c r="E1732" s="1094">
        <v>0.99158922675979566</v>
      </c>
      <c r="F1732" s="1094">
        <v>0.97527980016666838</v>
      </c>
      <c r="G1732" s="1094">
        <v>0.993013696713273</v>
      </c>
      <c r="H1732" s="1094">
        <v>0.98379870611594533</v>
      </c>
      <c r="I1732" s="1094">
        <v>0.99204085251295715</v>
      </c>
      <c r="K1732">
        <v>4.3754378533354021</v>
      </c>
      <c r="L1732">
        <v>0</v>
      </c>
      <c r="M1732">
        <v>1.4578301053352416E-3</v>
      </c>
      <c r="N1732">
        <v>0.12303547940063345</v>
      </c>
      <c r="O1732">
        <v>3.82598680804494E-2</v>
      </c>
      <c r="P1732">
        <v>1.8561074139307406E-2</v>
      </c>
      <c r="Q1732">
        <v>1.3204647102934004E-3</v>
      </c>
      <c r="R1732">
        <v>1.4515984572103264E-3</v>
      </c>
      <c r="S1732">
        <v>0.22834880161798635</v>
      </c>
      <c r="T1732">
        <v>3.8682795304790578</v>
      </c>
      <c r="U1732">
        <v>0</v>
      </c>
      <c r="V1732">
        <v>9.4523053561131852E-3</v>
      </c>
      <c r="W1732">
        <v>7.3706079032861638E-2</v>
      </c>
      <c r="X1732">
        <v>1.0378154102449671E-2</v>
      </c>
      <c r="Y1732">
        <v>4.1023280643759158E-3</v>
      </c>
    </row>
    <row r="1733" spans="1:25" x14ac:dyDescent="0.25">
      <c r="A1733" s="1090"/>
      <c r="B1733" s="1448">
        <v>1483</v>
      </c>
      <c r="C1733" s="1094">
        <v>1.016404805341437</v>
      </c>
      <c r="D1733" s="1094">
        <v>1.0047859703188153</v>
      </c>
      <c r="E1733" s="1094">
        <v>0.98946573144478578</v>
      </c>
      <c r="F1733" s="1094">
        <v>0.98136385246563529</v>
      </c>
      <c r="G1733" s="1094">
        <v>1.0029419028262374</v>
      </c>
      <c r="H1733" s="1094">
        <v>1.0020384938385631</v>
      </c>
      <c r="I1733" s="1094">
        <v>0.97349910533902273</v>
      </c>
      <c r="K1733">
        <v>4.3855267648520115</v>
      </c>
      <c r="L1733">
        <v>0</v>
      </c>
      <c r="M1733">
        <v>1.44441372812084E-3</v>
      </c>
      <c r="N1733">
        <v>0.12115068251636257</v>
      </c>
      <c r="O1733">
        <v>3.7066916286064407E-2</v>
      </c>
      <c r="P1733">
        <v>1.8596722073097392E-2</v>
      </c>
      <c r="Q1733">
        <v>1.2685552859963338E-3</v>
      </c>
      <c r="R1733">
        <v>1.4383892427796139E-3</v>
      </c>
      <c r="S1733">
        <v>0.21859589392155526</v>
      </c>
      <c r="T1733">
        <v>3.8924906020494427</v>
      </c>
      <c r="U1733">
        <v>0</v>
      </c>
      <c r="V1733">
        <v>9.4523053561132043E-3</v>
      </c>
      <c r="W1733">
        <v>7.2681877615697763E-2</v>
      </c>
      <c r="X1733">
        <v>1.0164236417098344E-2</v>
      </c>
      <c r="Y1733">
        <v>4.0649978159189078E-3</v>
      </c>
    </row>
    <row r="1734" spans="1:25" x14ac:dyDescent="0.25">
      <c r="A1734" s="1090"/>
      <c r="B1734" s="1448">
        <v>1484</v>
      </c>
      <c r="C1734" s="1094">
        <v>0.97185350664550352</v>
      </c>
      <c r="D1734" s="1094">
        <v>1.0210472945316842</v>
      </c>
      <c r="E1734" s="1094">
        <v>1.0097091138284331</v>
      </c>
      <c r="F1734" s="1094">
        <v>1.0048967170823</v>
      </c>
      <c r="G1734" s="1094">
        <v>0.97692187573751699</v>
      </c>
      <c r="H1734" s="1094">
        <v>1.012424366028092</v>
      </c>
      <c r="I1734" s="1094">
        <v>1.0393603429222722</v>
      </c>
      <c r="K1734">
        <v>4.5284831634105975</v>
      </c>
      <c r="L1734">
        <v>0</v>
      </c>
      <c r="M1734">
        <v>1.4879296417907133E-3</v>
      </c>
      <c r="N1734">
        <v>0.13253398349254475</v>
      </c>
      <c r="O1734">
        <v>3.9299109805599239E-2</v>
      </c>
      <c r="P1734">
        <v>1.9436827478879943E-2</v>
      </c>
      <c r="Q1734">
        <v>1.3412912655242975E-3</v>
      </c>
      <c r="R1734">
        <v>1.481930575033567E-3</v>
      </c>
      <c r="S1734">
        <v>0.24766598902928169</v>
      </c>
      <c r="T1734">
        <v>3.9850567578901201</v>
      </c>
      <c r="U1734">
        <v>0</v>
      </c>
      <c r="V1734">
        <v>9.4523053561131973E-3</v>
      </c>
      <c r="W1734">
        <v>7.843028407277565E-2</v>
      </c>
      <c r="X1734">
        <v>1.1084565141418111E-2</v>
      </c>
      <c r="Y1734">
        <v>4.18804894509204E-3</v>
      </c>
    </row>
    <row r="1735" spans="1:25" x14ac:dyDescent="0.25">
      <c r="A1735" s="1090"/>
      <c r="B1735" s="1448">
        <v>1485</v>
      </c>
      <c r="C1735" s="1094">
        <v>1.0043041584437729</v>
      </c>
      <c r="D1735" s="1094">
        <v>0.9948251124916434</v>
      </c>
      <c r="E1735" s="1094">
        <v>0.98613406259142655</v>
      </c>
      <c r="F1735" s="1094">
        <v>0.97885775023729726</v>
      </c>
      <c r="G1735" s="1094">
        <v>0.96963318792204556</v>
      </c>
      <c r="H1735" s="1094">
        <v>0.97299600679340548</v>
      </c>
      <c r="I1735" s="1094">
        <v>1.0257063636788164</v>
      </c>
      <c r="K1735">
        <v>4.3853623436358982</v>
      </c>
      <c r="L1735">
        <v>0</v>
      </c>
      <c r="M1735">
        <v>1.4314821565027519E-3</v>
      </c>
      <c r="N1735">
        <v>0.11886939670144892</v>
      </c>
      <c r="O1735">
        <v>3.7589440424591065E-2</v>
      </c>
      <c r="P1735">
        <v>1.8562655760655678E-2</v>
      </c>
      <c r="Q1735">
        <v>1.285262512216314E-3</v>
      </c>
      <c r="R1735">
        <v>1.4253177189502827E-3</v>
      </c>
      <c r="S1735">
        <v>0.2311994466047175</v>
      </c>
      <c r="T1735">
        <v>3.8826753057456154</v>
      </c>
      <c r="U1735">
        <v>0</v>
      </c>
      <c r="V1735">
        <v>9.4523053561131869E-3</v>
      </c>
      <c r="W1735">
        <v>7.1475370097012603E-2</v>
      </c>
      <c r="X1735">
        <v>1.023126817946895E-2</v>
      </c>
      <c r="Y1735">
        <v>4.0280566916135827E-3</v>
      </c>
    </row>
    <row r="1736" spans="1:25" x14ac:dyDescent="0.25">
      <c r="A1736" s="1090"/>
      <c r="B1736" s="1448">
        <v>1486</v>
      </c>
      <c r="C1736" s="1094">
        <v>0.99995088083379802</v>
      </c>
      <c r="D1736" s="1094">
        <v>1.0207124299762573</v>
      </c>
      <c r="E1736" s="1094">
        <v>0.99044350932657133</v>
      </c>
      <c r="F1736" s="1094">
        <v>1.023715486305657</v>
      </c>
      <c r="G1736" s="1094">
        <v>0.97115219350062187</v>
      </c>
      <c r="H1736" s="1094">
        <v>1.0495948147668788</v>
      </c>
      <c r="I1736" s="1094">
        <v>0.99004787381294368</v>
      </c>
      <c r="K1736">
        <v>4.5937984722539644</v>
      </c>
      <c r="L1736">
        <v>0</v>
      </c>
      <c r="M1736">
        <v>1.5906192413396062E-3</v>
      </c>
      <c r="N1736">
        <v>0.13384851995318689</v>
      </c>
      <c r="O1736">
        <v>3.9049555341628274E-2</v>
      </c>
      <c r="P1736">
        <v>1.9443318271483403E-2</v>
      </c>
      <c r="Q1736">
        <v>1.2824244046613447E-3</v>
      </c>
      <c r="R1736">
        <v>1.5845465223248232E-3</v>
      </c>
      <c r="S1736">
        <v>0.23506642856050966</v>
      </c>
      <c r="T1736">
        <v>4.0604362069040514</v>
      </c>
      <c r="U1736">
        <v>0</v>
      </c>
      <c r="V1736">
        <v>9.4523053561131852E-3</v>
      </c>
      <c r="W1736">
        <v>8.0246273784937733E-2</v>
      </c>
      <c r="X1736">
        <v>1.050146294991249E-2</v>
      </c>
      <c r="Y1736">
        <v>4.4780494464940939E-3</v>
      </c>
    </row>
    <row r="1737" spans="1:25" x14ac:dyDescent="0.25">
      <c r="A1737" s="1090"/>
      <c r="B1737" s="1448">
        <v>1487</v>
      </c>
      <c r="C1737" s="1094">
        <v>0.97942716572383992</v>
      </c>
      <c r="D1737" s="1094">
        <v>1.0160654889351299</v>
      </c>
      <c r="E1737" s="1094">
        <v>0.96621574163659885</v>
      </c>
      <c r="F1737" s="1094">
        <v>1.0010977114449555</v>
      </c>
      <c r="G1737" s="1094">
        <v>1.0094932834162897</v>
      </c>
      <c r="H1737" s="1094">
        <v>1.0056696927373596</v>
      </c>
      <c r="I1737" s="1094">
        <v>1.0272030095388984</v>
      </c>
      <c r="K1737">
        <v>4.4989697129342439</v>
      </c>
      <c r="L1737">
        <v>0</v>
      </c>
      <c r="M1737">
        <v>1.6040531290856393E-3</v>
      </c>
      <c r="N1737">
        <v>0.12558214736062914</v>
      </c>
      <c r="O1737">
        <v>3.9226553550317289E-2</v>
      </c>
      <c r="P1737">
        <v>1.8726015213550835E-2</v>
      </c>
      <c r="Q1737">
        <v>1.284362762840701E-3</v>
      </c>
      <c r="R1737">
        <v>1.5975178294233606E-3</v>
      </c>
      <c r="S1737">
        <v>0.24207305541700219</v>
      </c>
      <c r="T1737">
        <v>3.9716590909963179</v>
      </c>
      <c r="U1737">
        <v>0</v>
      </c>
      <c r="V1737">
        <v>9.4523053561131939E-3</v>
      </c>
      <c r="W1737">
        <v>7.6551989688260866E-2</v>
      </c>
      <c r="X1737">
        <v>9.9060205382033376E-3</v>
      </c>
      <c r="Y1737">
        <v>4.5147073506670073E-3</v>
      </c>
    </row>
    <row r="1738" spans="1:25" x14ac:dyDescent="0.25">
      <c r="A1738" s="1090"/>
      <c r="B1738" s="1448">
        <v>1488</v>
      </c>
      <c r="C1738" s="1094">
        <v>1.0176550753190385</v>
      </c>
      <c r="D1738" s="1094">
        <v>0.98953467299612219</v>
      </c>
      <c r="E1738" s="1094">
        <v>1.0123438894562966</v>
      </c>
      <c r="F1738" s="1094">
        <v>0.97011505650657714</v>
      </c>
      <c r="G1738" s="1094">
        <v>1.0098767584940282</v>
      </c>
      <c r="H1738" s="1094">
        <v>0.97506516310952651</v>
      </c>
      <c r="I1738" s="1094">
        <v>0.99685272120098545</v>
      </c>
      <c r="K1738">
        <v>4.338517685831679</v>
      </c>
      <c r="L1738">
        <v>0</v>
      </c>
      <c r="M1738">
        <v>1.330611049092899E-3</v>
      </c>
      <c r="N1738">
        <v>0.11941285660599425</v>
      </c>
      <c r="O1738">
        <v>3.6671213119095686E-2</v>
      </c>
      <c r="P1738">
        <v>1.8718294843562751E-2</v>
      </c>
      <c r="Q1738">
        <v>1.2999991287430796E-3</v>
      </c>
      <c r="R1738">
        <v>1.3248418436941618E-3</v>
      </c>
      <c r="S1738">
        <v>0.22093765024921255</v>
      </c>
      <c r="T1738">
        <v>3.847028467794408</v>
      </c>
      <c r="U1738">
        <v>0</v>
      </c>
      <c r="V1738">
        <v>9.4523053561131852E-3</v>
      </c>
      <c r="W1738">
        <v>7.0540738034792563E-2</v>
      </c>
      <c r="X1738">
        <v>1.0717825707989329E-2</v>
      </c>
      <c r="Y1738">
        <v>3.7441041971695939E-3</v>
      </c>
    </row>
    <row r="1739" spans="1:25" x14ac:dyDescent="0.25">
      <c r="A1739" s="1090"/>
      <c r="B1739" s="1448">
        <v>1489</v>
      </c>
      <c r="C1739" s="1094">
        <v>0.97839255775930911</v>
      </c>
      <c r="D1739" s="1094">
        <v>1.0362695830442814</v>
      </c>
      <c r="E1739" s="1094">
        <v>0.96767704640732632</v>
      </c>
      <c r="F1739" s="1094">
        <v>0.99302799218192039</v>
      </c>
      <c r="G1739" s="1094">
        <v>0.98928916959035407</v>
      </c>
      <c r="H1739" s="1094">
        <v>1.0266677957896244</v>
      </c>
      <c r="I1739" s="1094">
        <v>0.98930879041893327</v>
      </c>
      <c r="K1739">
        <v>4.4576086148554426</v>
      </c>
      <c r="L1739">
        <v>0</v>
      </c>
      <c r="M1739">
        <v>1.6084289308262679E-3</v>
      </c>
      <c r="N1739">
        <v>0.1264789655982633</v>
      </c>
      <c r="O1739">
        <v>3.8635948327517433E-2</v>
      </c>
      <c r="P1739">
        <v>1.8561371020004276E-2</v>
      </c>
      <c r="Q1739">
        <v>1.2772672990381002E-3</v>
      </c>
      <c r="R1739">
        <v>1.6019578835358406E-3</v>
      </c>
      <c r="S1739">
        <v>0.23231874606944131</v>
      </c>
      <c r="T1739">
        <v>3.9395879111391268</v>
      </c>
      <c r="U1739">
        <v>0</v>
      </c>
      <c r="V1739">
        <v>9.4523053561131921E-3</v>
      </c>
      <c r="W1739">
        <v>7.7020827394185976E-2</v>
      </c>
      <c r="X1739">
        <v>9.7544884164714185E-3</v>
      </c>
      <c r="Y1739">
        <v>4.5272552825709718E-3</v>
      </c>
    </row>
    <row r="1740" spans="1:25" x14ac:dyDescent="0.25">
      <c r="A1740" s="1090"/>
      <c r="B1740" s="1448">
        <v>1490</v>
      </c>
      <c r="C1740" s="1094">
        <v>1.0275632556246634</v>
      </c>
      <c r="D1740" s="1094">
        <v>0.97612031750988415</v>
      </c>
      <c r="E1740" s="1094">
        <v>1.036144294552021</v>
      </c>
      <c r="F1740" s="1094">
        <v>0.96999337161680521</v>
      </c>
      <c r="G1740" s="1094">
        <v>1.0132898500079435</v>
      </c>
      <c r="H1740" s="1094">
        <v>0.98470037690454981</v>
      </c>
      <c r="I1740" s="1094">
        <v>0.9982830560513376</v>
      </c>
      <c r="K1740">
        <v>4.3411517392500407</v>
      </c>
      <c r="L1740">
        <v>0</v>
      </c>
      <c r="M1740">
        <v>1.2722792464632455E-3</v>
      </c>
      <c r="N1740">
        <v>0.12251015993421199</v>
      </c>
      <c r="O1740">
        <v>3.635555592835446E-2</v>
      </c>
      <c r="P1740">
        <v>1.903875650938236E-2</v>
      </c>
      <c r="Q1740">
        <v>1.3207772929351917E-3</v>
      </c>
      <c r="R1740">
        <v>1.2668162476877456E-3</v>
      </c>
      <c r="S1740">
        <v>0.22072570822379173</v>
      </c>
      <c r="T1740">
        <v>3.8456772427651331</v>
      </c>
      <c r="U1740">
        <v>0</v>
      </c>
      <c r="V1740">
        <v>9.4523053561131869E-3</v>
      </c>
      <c r="W1740">
        <v>7.1234184676986861E-2</v>
      </c>
      <c r="X1740">
        <v>1.1262392129095921E-2</v>
      </c>
      <c r="Y1740">
        <v>3.5801194328107739E-3</v>
      </c>
    </row>
    <row r="1741" spans="1:25" x14ac:dyDescent="0.25">
      <c r="A1741" s="1090"/>
      <c r="B1741" s="1448">
        <v>1491</v>
      </c>
      <c r="C1741" s="1094">
        <v>1.0320334972406822</v>
      </c>
      <c r="D1741" s="1094">
        <v>1.0179962335495789</v>
      </c>
      <c r="E1741" s="1094">
        <v>1.0303017015464884</v>
      </c>
      <c r="F1741" s="1094">
        <v>1.002076799931628</v>
      </c>
      <c r="G1741" s="1094">
        <v>0.98194652201213362</v>
      </c>
      <c r="H1741" s="1094">
        <v>1.0018617649011383</v>
      </c>
      <c r="I1741" s="1094">
        <v>0.99700644323274346</v>
      </c>
      <c r="K1741">
        <v>4.4766781772518671</v>
      </c>
      <c r="L1741">
        <v>0</v>
      </c>
      <c r="M1741">
        <v>1.3254022847929254E-3</v>
      </c>
      <c r="N1741">
        <v>0.12546666705897469</v>
      </c>
      <c r="O1741">
        <v>3.6811143160295393E-2</v>
      </c>
      <c r="P1741">
        <v>1.9560403379982334E-2</v>
      </c>
      <c r="Q1741">
        <v>1.2868204059391572E-3</v>
      </c>
      <c r="R1741">
        <v>1.3199870258075704E-3</v>
      </c>
      <c r="S1741">
        <v>0.22272374141046744</v>
      </c>
      <c r="T1741">
        <v>3.9730958893813244</v>
      </c>
      <c r="U1741">
        <v>0</v>
      </c>
      <c r="V1741">
        <v>9.4523053561132008E-3</v>
      </c>
      <c r="W1741">
        <v>7.3235493485368772E-2</v>
      </c>
      <c r="X1741">
        <v>1.1320744761209939E-2</v>
      </c>
      <c r="Y1741">
        <v>3.730384111174274E-3</v>
      </c>
    </row>
    <row r="1742" spans="1:25" x14ac:dyDescent="0.25">
      <c r="A1742" s="1090"/>
      <c r="B1742" s="1448">
        <v>1492</v>
      </c>
      <c r="C1742" s="1094">
        <v>1.001031165541046</v>
      </c>
      <c r="D1742" s="1094">
        <v>0.99401703568640565</v>
      </c>
      <c r="E1742" s="1094">
        <v>0.99565473219856016</v>
      </c>
      <c r="F1742" s="1094">
        <v>1.008038796358617</v>
      </c>
      <c r="G1742" s="1094">
        <v>0.99283633347000666</v>
      </c>
      <c r="H1742" s="1094">
        <v>1.0034670108351866</v>
      </c>
      <c r="I1742" s="1094">
        <v>0.9764873439294578</v>
      </c>
      <c r="K1742">
        <v>4.5132996300114794</v>
      </c>
      <c r="L1742">
        <v>0</v>
      </c>
      <c r="M1742">
        <v>1.4953628455773745E-3</v>
      </c>
      <c r="N1742">
        <v>0.1277614076924905</v>
      </c>
      <c r="O1742">
        <v>3.8783335221352806E-2</v>
      </c>
      <c r="P1742">
        <v>1.9202528215866904E-2</v>
      </c>
      <c r="Q1742">
        <v>1.3005136524167332E-3</v>
      </c>
      <c r="R1742">
        <v>1.489298875073157E-3</v>
      </c>
      <c r="S1742">
        <v>0.22755134659701415</v>
      </c>
      <c r="T1742">
        <v>3.9980559035758918</v>
      </c>
      <c r="U1742">
        <v>0</v>
      </c>
      <c r="V1742">
        <v>9.4523053561131939E-3</v>
      </c>
      <c r="W1742">
        <v>7.6326282298766673E-2</v>
      </c>
      <c r="X1742">
        <v>1.0663199048521992E-2</v>
      </c>
      <c r="Y1742">
        <v>4.2088723235470154E-3</v>
      </c>
    </row>
    <row r="1743" spans="1:25" x14ac:dyDescent="0.25">
      <c r="A1743" s="1090"/>
      <c r="B1743" s="1448">
        <v>1493</v>
      </c>
      <c r="C1743" s="1094">
        <v>1.0390642071995881</v>
      </c>
      <c r="D1743" s="1094">
        <v>1.0216762948425773</v>
      </c>
      <c r="E1743" s="1094">
        <v>0.99404453968451456</v>
      </c>
      <c r="F1743" s="1094">
        <v>0.97979381307466162</v>
      </c>
      <c r="G1743" s="1094">
        <v>0.96412820481055161</v>
      </c>
      <c r="H1743" s="1094">
        <v>1.004190021155815</v>
      </c>
      <c r="I1743" s="1094">
        <v>1.0087178631498732</v>
      </c>
      <c r="K1743">
        <v>4.3747459095529537</v>
      </c>
      <c r="L1743">
        <v>0</v>
      </c>
      <c r="M1743">
        <v>1.3908384537035206E-3</v>
      </c>
      <c r="N1743">
        <v>0.11825174336604381</v>
      </c>
      <c r="O1743">
        <v>3.5930632874675877E-2</v>
      </c>
      <c r="P1743">
        <v>1.8639773981493319E-2</v>
      </c>
      <c r="Q1743">
        <v>1.2375166347893824E-3</v>
      </c>
      <c r="R1743">
        <v>1.3850406168028108E-3</v>
      </c>
      <c r="S1743">
        <v>0.22036064649527204</v>
      </c>
      <c r="T1743">
        <v>3.8860916532162517</v>
      </c>
      <c r="U1743">
        <v>0</v>
      </c>
      <c r="V1743">
        <v>9.4523053561132043E-3</v>
      </c>
      <c r="W1743">
        <v>7.0722282090931843E-2</v>
      </c>
      <c r="X1743">
        <v>1.0150922848345451E-2</v>
      </c>
      <c r="Y1743">
        <v>3.9142305259335444E-3</v>
      </c>
    </row>
    <row r="1744" spans="1:25" x14ac:dyDescent="0.25">
      <c r="A1744" s="1090"/>
      <c r="B1744" s="1448">
        <v>1494</v>
      </c>
      <c r="C1744" s="1094">
        <v>1.024305623850591</v>
      </c>
      <c r="D1744" s="1094">
        <v>1.0363639839939875</v>
      </c>
      <c r="E1744" s="1094">
        <v>0.99590352859230424</v>
      </c>
      <c r="F1744" s="1094">
        <v>1.0016897518971546</v>
      </c>
      <c r="G1744" s="1094">
        <v>0.96098485135062961</v>
      </c>
      <c r="H1744" s="1094">
        <v>0.98058535167627425</v>
      </c>
      <c r="I1744" s="1094">
        <v>1.0134973523403645</v>
      </c>
      <c r="K1744">
        <v>4.4698706841928058</v>
      </c>
      <c r="L1744">
        <v>0</v>
      </c>
      <c r="M1744">
        <v>1.39488794618995E-3</v>
      </c>
      <c r="N1744">
        <v>0.11925043880678407</v>
      </c>
      <c r="O1744">
        <v>3.7038423099360958E-2</v>
      </c>
      <c r="P1744">
        <v>1.908149179357679E-2</v>
      </c>
      <c r="Q1744">
        <v>1.2501968941178694E-3</v>
      </c>
      <c r="R1744">
        <v>1.3890628871808116E-3</v>
      </c>
      <c r="S1744">
        <v>0.22526496492177114</v>
      </c>
      <c r="T1744">
        <v>3.972864987104531</v>
      </c>
      <c r="U1744">
        <v>0</v>
      </c>
      <c r="V1744">
        <v>9.4523053561131973E-3</v>
      </c>
      <c r="W1744">
        <v>7.1229708724802485E-2</v>
      </c>
      <c r="X1744">
        <v>1.0518394781647424E-2</v>
      </c>
      <c r="Y1744">
        <v>3.9255977691075913E-3</v>
      </c>
    </row>
    <row r="1745" spans="1:25" x14ac:dyDescent="0.25">
      <c r="A1745" s="1090"/>
      <c r="B1745" s="1448">
        <v>1495</v>
      </c>
      <c r="C1745" s="1094">
        <v>0.9938771897164157</v>
      </c>
      <c r="D1745" s="1094">
        <v>1.0061339725101979</v>
      </c>
      <c r="E1745" s="1094">
        <v>0.99887347340432386</v>
      </c>
      <c r="F1745" s="1094">
        <v>1.0311546704956229</v>
      </c>
      <c r="G1745" s="1094">
        <v>0.99530201957055897</v>
      </c>
      <c r="H1745" s="1094">
        <v>1.027373864750174</v>
      </c>
      <c r="I1745" s="1094">
        <v>1.0206474470262281</v>
      </c>
      <c r="K1745">
        <v>4.6341552960101087</v>
      </c>
      <c r="L1745">
        <v>0</v>
      </c>
      <c r="M1745">
        <v>1.5590011422090761E-3</v>
      </c>
      <c r="N1745">
        <v>0.13449989722156824</v>
      </c>
      <c r="O1745">
        <v>3.9742211101889822E-2</v>
      </c>
      <c r="P1745">
        <v>1.9741050391003288E-2</v>
      </c>
      <c r="Q1745">
        <v>1.3071490542856429E-3</v>
      </c>
      <c r="R1745">
        <v>1.5529640950732841E-3</v>
      </c>
      <c r="S1745">
        <v>0.24430841271146839</v>
      </c>
      <c r="T1745">
        <v>4.0896108910943392</v>
      </c>
      <c r="U1745">
        <v>0</v>
      </c>
      <c r="V1745">
        <v>9.452305356113206E-3</v>
      </c>
      <c r="W1745">
        <v>8.0177004219277745E-2</v>
      </c>
      <c r="X1745">
        <v>1.0933616811417697E-2</v>
      </c>
      <c r="Y1745">
        <v>4.3887950958769852E-3</v>
      </c>
    </row>
    <row r="1746" spans="1:25" x14ac:dyDescent="0.25">
      <c r="A1746" s="1090"/>
      <c r="B1746" s="1448">
        <v>1496</v>
      </c>
      <c r="C1746" s="1094">
        <v>1.0143562410239952</v>
      </c>
      <c r="D1746" s="1094">
        <v>1.0034405286205748</v>
      </c>
      <c r="E1746" s="1094">
        <v>1.033385728315708</v>
      </c>
      <c r="F1746" s="1094">
        <v>1.0185024790445221</v>
      </c>
      <c r="G1746" s="1094">
        <v>0.99342234682765762</v>
      </c>
      <c r="H1746" s="1094">
        <v>1.0314901912830163</v>
      </c>
      <c r="I1746" s="1094">
        <v>1.0254054028106112</v>
      </c>
      <c r="K1746">
        <v>4.5748976365935352</v>
      </c>
      <c r="L1746">
        <v>0</v>
      </c>
      <c r="M1746">
        <v>1.4099648368443738E-3</v>
      </c>
      <c r="N1746">
        <v>0.13471844978414518</v>
      </c>
      <c r="O1746">
        <v>3.8265157133209729E-2</v>
      </c>
      <c r="P1746">
        <v>1.998299704300412E-2</v>
      </c>
      <c r="Q1746">
        <v>1.3202250718332179E-3</v>
      </c>
      <c r="R1746">
        <v>1.4044594215322169E-3</v>
      </c>
      <c r="S1746">
        <v>0.23897987882216962</v>
      </c>
      <c r="T1746">
        <v>4.0381036907971799</v>
      </c>
      <c r="U1746">
        <v>0</v>
      </c>
      <c r="V1746">
        <v>9.4523053561132026E-3</v>
      </c>
      <c r="W1746">
        <v>7.847554683344117E-2</v>
      </c>
      <c r="X1746">
        <v>1.1635781617092741E-2</v>
      </c>
      <c r="Y1746">
        <v>3.9691095506544536E-3</v>
      </c>
    </row>
    <row r="1747" spans="1:25" x14ac:dyDescent="0.25">
      <c r="A1747" s="1090"/>
      <c r="B1747" s="1448">
        <v>1497</v>
      </c>
      <c r="C1747" s="1094">
        <v>0.9815772564968942</v>
      </c>
      <c r="D1747" s="1094">
        <v>1.0059558095385606</v>
      </c>
      <c r="E1747" s="1094">
        <v>0.98151582342133648</v>
      </c>
      <c r="F1747" s="1094">
        <v>1.0255782222449836</v>
      </c>
      <c r="G1747" s="1094">
        <v>1.0213613013090765</v>
      </c>
      <c r="H1747" s="1094">
        <v>0.98346385793105418</v>
      </c>
      <c r="I1747" s="1094">
        <v>1.0059700672193495</v>
      </c>
      <c r="K1747">
        <v>4.5976311349763161</v>
      </c>
      <c r="L1747">
        <v>0</v>
      </c>
      <c r="M1747">
        <v>1.5589085064380574E-3</v>
      </c>
      <c r="N1747">
        <v>0.12772007699312921</v>
      </c>
      <c r="O1747">
        <v>4.0149458338032261E-2</v>
      </c>
      <c r="P1747">
        <v>1.9367057630843468E-2</v>
      </c>
      <c r="Q1747">
        <v>1.3039562160439536E-3</v>
      </c>
      <c r="R1747">
        <v>1.5525681379635276E-3</v>
      </c>
      <c r="S1747">
        <v>0.23943106926373239</v>
      </c>
      <c r="T1747">
        <v>4.0681755673625464</v>
      </c>
      <c r="U1747">
        <v>0</v>
      </c>
      <c r="V1747">
        <v>9.4523053561131991E-3</v>
      </c>
      <c r="W1747">
        <v>7.7039969340393213E-2</v>
      </c>
      <c r="X1747">
        <v>1.0610338753098532E-2</v>
      </c>
      <c r="Y1747">
        <v>4.3876760908549209E-3</v>
      </c>
    </row>
    <row r="1748" spans="1:25" x14ac:dyDescent="0.25">
      <c r="A1748" s="1090"/>
      <c r="B1748" s="1448">
        <v>1498</v>
      </c>
      <c r="C1748" s="1094">
        <v>0.96662531146875641</v>
      </c>
      <c r="D1748" s="1094">
        <v>0.98655647561673199</v>
      </c>
      <c r="E1748" s="1094">
        <v>1.024780803140493</v>
      </c>
      <c r="F1748" s="1094">
        <v>0.98266422452593405</v>
      </c>
      <c r="G1748" s="1094">
        <v>1.007490793427898</v>
      </c>
      <c r="H1748" s="1094">
        <v>0.99972524410099639</v>
      </c>
      <c r="I1748" s="1094">
        <v>0.9915472429395471</v>
      </c>
      <c r="K1748">
        <v>4.4257508322500829</v>
      </c>
      <c r="L1748">
        <v>0</v>
      </c>
      <c r="M1748">
        <v>1.418781976767149E-3</v>
      </c>
      <c r="N1748">
        <v>0.13211969261500051</v>
      </c>
      <c r="O1748">
        <v>3.9066219780837588E-2</v>
      </c>
      <c r="P1748">
        <v>1.9185426573938884E-2</v>
      </c>
      <c r="Q1748">
        <v>1.3847901187450035E-3</v>
      </c>
      <c r="R1748">
        <v>1.4128585221121137E-3</v>
      </c>
      <c r="S1748">
        <v>0.23546403890388998</v>
      </c>
      <c r="T1748">
        <v>3.8963315150928417</v>
      </c>
      <c r="U1748">
        <v>0</v>
      </c>
      <c r="V1748">
        <v>9.4523053561131973E-3</v>
      </c>
      <c r="W1748">
        <v>7.7401869116873745E-2</v>
      </c>
      <c r="X1748">
        <v>1.1358052096359528E-2</v>
      </c>
      <c r="Y1748">
        <v>3.9928460501342366E-3</v>
      </c>
    </row>
    <row r="1749" spans="1:25" x14ac:dyDescent="0.25">
      <c r="A1749" s="1090"/>
      <c r="B1749" s="1448">
        <v>1499</v>
      </c>
      <c r="C1749" s="1094">
        <v>0.96354365549105925</v>
      </c>
      <c r="D1749" s="1094">
        <v>0.99455344518083577</v>
      </c>
      <c r="E1749" s="1094">
        <v>1.0242116123221334</v>
      </c>
      <c r="F1749" s="1094">
        <v>1.0313524861519872</v>
      </c>
      <c r="G1749" s="1094">
        <v>0.96117406566104968</v>
      </c>
      <c r="H1749" s="1094">
        <v>1.0271840344278318</v>
      </c>
      <c r="I1749" s="1094">
        <v>1.0053474116426426</v>
      </c>
      <c r="K1749">
        <v>4.652476545970095</v>
      </c>
      <c r="L1749">
        <v>0</v>
      </c>
      <c r="M1749">
        <v>1.5314628811462804E-3</v>
      </c>
      <c r="N1749">
        <v>0.14241614927653035</v>
      </c>
      <c r="O1749">
        <v>4.1004566221148689E-2</v>
      </c>
      <c r="P1749">
        <v>2.013471708506058E-2</v>
      </c>
      <c r="Q1749">
        <v>1.384075135367945E-3</v>
      </c>
      <c r="R1749">
        <v>1.5255325098343664E-3</v>
      </c>
      <c r="S1749">
        <v>0.24910167481942894</v>
      </c>
      <c r="T1749">
        <v>4.0894059209861506</v>
      </c>
      <c r="U1749">
        <v>0</v>
      </c>
      <c r="V1749">
        <v>9.4523053561131835E-3</v>
      </c>
      <c r="W1749">
        <v>8.346558865233189E-2</v>
      </c>
      <c r="X1749">
        <v>1.1806207467587027E-2</v>
      </c>
      <c r="Y1749">
        <v>4.3112713416893454E-3</v>
      </c>
    </row>
    <row r="1750" spans="1:25" x14ac:dyDescent="0.25">
      <c r="A1750" s="1090"/>
      <c r="B1750" s="1448">
        <v>1500</v>
      </c>
      <c r="C1750" s="1094">
        <v>1.0058266493673222</v>
      </c>
      <c r="D1750" s="1094">
        <v>1.0237181820052859</v>
      </c>
      <c r="E1750" s="1094">
        <v>0.97769863614723973</v>
      </c>
      <c r="F1750" s="1094">
        <v>1.022293450330293</v>
      </c>
      <c r="G1750" s="1094">
        <v>0.96696549627025596</v>
      </c>
      <c r="H1750" s="1094">
        <v>1.0276995363539974</v>
      </c>
      <c r="I1750" s="1094">
        <v>1.0157683082184166</v>
      </c>
      <c r="K1750">
        <v>4.5826004496951587</v>
      </c>
      <c r="L1750">
        <v>0</v>
      </c>
      <c r="M1750">
        <v>1.586286072235976E-3</v>
      </c>
      <c r="N1750">
        <v>0.12852025458255445</v>
      </c>
      <c r="O1750">
        <v>3.8809819410729619E-2</v>
      </c>
      <c r="P1750">
        <v>1.9245341939364453E-2</v>
      </c>
      <c r="Q1750">
        <v>1.2594600182345326E-3</v>
      </c>
      <c r="R1750">
        <v>1.5800922996419726E-3</v>
      </c>
      <c r="S1750">
        <v>0.23762773369414139</v>
      </c>
      <c r="T1750">
        <v>4.0552958974133482</v>
      </c>
      <c r="U1750">
        <v>0</v>
      </c>
      <c r="V1750">
        <v>9.4523053561131869E-3</v>
      </c>
      <c r="W1750">
        <v>7.7725694556198641E-2</v>
      </c>
      <c r="X1750">
        <v>1.0204675023939378E-2</v>
      </c>
      <c r="Y1750">
        <v>4.465461473128542E-3</v>
      </c>
    </row>
    <row r="1751" spans="1:25" x14ac:dyDescent="0.25">
      <c r="A1751" s="1090"/>
      <c r="B1751" s="1448">
        <v>1501</v>
      </c>
      <c r="C1751" s="1094">
        <v>0.95930533014916575</v>
      </c>
      <c r="D1751" s="1094">
        <v>0.97255876111297401</v>
      </c>
      <c r="E1751" s="1094">
        <v>0.96896892627933973</v>
      </c>
      <c r="F1751" s="1094">
        <v>0.99279367124713414</v>
      </c>
      <c r="G1751" s="1094">
        <v>1.0102062244214927</v>
      </c>
      <c r="H1751" s="1094">
        <v>0.99073978323337875</v>
      </c>
      <c r="I1751" s="1094">
        <v>1.0068585314824781</v>
      </c>
      <c r="K1751">
        <v>4.4715199562071426</v>
      </c>
      <c r="L1751">
        <v>0</v>
      </c>
      <c r="M1751">
        <v>1.6189479286463366E-3</v>
      </c>
      <c r="N1751">
        <v>0.12777666774185087</v>
      </c>
      <c r="O1751">
        <v>4.0398840585066355E-2</v>
      </c>
      <c r="P1751">
        <v>1.862261556093435E-2</v>
      </c>
      <c r="Q1751">
        <v>1.3376777427535247E-3</v>
      </c>
      <c r="R1751">
        <v>1.6121967751496322E-3</v>
      </c>
      <c r="S1751">
        <v>0.2429391606993293</v>
      </c>
      <c r="T1751">
        <v>3.9386087070043518</v>
      </c>
      <c r="U1751">
        <v>0</v>
      </c>
      <c r="V1751">
        <v>9.4523053561131991E-3</v>
      </c>
      <c r="W1751">
        <v>7.7741686495485893E-2</v>
      </c>
      <c r="X1751">
        <v>1.0092855002776952E-2</v>
      </c>
      <c r="Y1751">
        <v>4.5561911719739405E-3</v>
      </c>
    </row>
    <row r="1752" spans="1:25" x14ac:dyDescent="0.25">
      <c r="A1752" s="1090"/>
      <c r="B1752" s="1448">
        <v>1502</v>
      </c>
      <c r="C1752" s="1094">
        <v>0.99482724784948373</v>
      </c>
      <c r="D1752" s="1094">
        <v>0.97963790208439205</v>
      </c>
      <c r="E1752" s="1094">
        <v>1.0096055853227717</v>
      </c>
      <c r="F1752" s="1094">
        <v>0.99367815020807282</v>
      </c>
      <c r="G1752" s="1094">
        <v>0.99737126773293694</v>
      </c>
      <c r="H1752" s="1094">
        <v>0.9779807514330997</v>
      </c>
      <c r="I1752" s="1094">
        <v>0.98550170713225238</v>
      </c>
      <c r="K1752">
        <v>4.4521362591660143</v>
      </c>
      <c r="L1752">
        <v>0</v>
      </c>
      <c r="M1752">
        <v>1.4119994052484539E-3</v>
      </c>
      <c r="N1752">
        <v>0.12570827170634688</v>
      </c>
      <c r="O1752">
        <v>3.8597603342901098E-2</v>
      </c>
      <c r="P1752">
        <v>1.9141252244739119E-2</v>
      </c>
      <c r="Q1752">
        <v>1.3320791923470447E-3</v>
      </c>
      <c r="R1752">
        <v>1.4060397139056837E-3</v>
      </c>
      <c r="S1752">
        <v>0.22796119493213809</v>
      </c>
      <c r="T1752">
        <v>3.9405718800990033</v>
      </c>
      <c r="U1752">
        <v>0</v>
      </c>
      <c r="V1752">
        <v>9.4523053561131991E-3</v>
      </c>
      <c r="W1752">
        <v>7.4396170730899394E-2</v>
      </c>
      <c r="X1752">
        <v>1.1007885675314197E-2</v>
      </c>
      <c r="Y1752">
        <v>3.9735755775514867E-3</v>
      </c>
    </row>
    <row r="1753" spans="1:25" x14ac:dyDescent="0.25">
      <c r="A1753" s="1090"/>
      <c r="B1753" s="1448">
        <v>1503</v>
      </c>
      <c r="C1753" s="1094">
        <v>1.0210624395328483</v>
      </c>
      <c r="D1753" s="1094">
        <v>1.030184281957242</v>
      </c>
      <c r="E1753" s="1094">
        <v>0.99788180421723494</v>
      </c>
      <c r="F1753" s="1094">
        <v>1.0137083950353609</v>
      </c>
      <c r="G1753" s="1094">
        <v>0.9804334462876243</v>
      </c>
      <c r="H1753" s="1094">
        <v>1.0196051778699446</v>
      </c>
      <c r="I1753" s="1094">
        <v>1.0033166886220328</v>
      </c>
      <c r="K1753">
        <v>4.5335850388332162</v>
      </c>
      <c r="L1753">
        <v>0</v>
      </c>
      <c r="M1753">
        <v>1.4697803757732129E-3</v>
      </c>
      <c r="N1753">
        <v>0.1264182305053094</v>
      </c>
      <c r="O1753">
        <v>3.7678622669412236E-2</v>
      </c>
      <c r="P1753">
        <v>1.9342124724778996E-2</v>
      </c>
      <c r="Q1753">
        <v>1.2593092948573405E-3</v>
      </c>
      <c r="R1753">
        <v>1.4639471592900993E-3</v>
      </c>
      <c r="S1753">
        <v>0.22884398012487758</v>
      </c>
      <c r="T1753">
        <v>4.0204564034928962</v>
      </c>
      <c r="U1753">
        <v>0</v>
      </c>
      <c r="V1753">
        <v>9.4523053561132043E-3</v>
      </c>
      <c r="W1753">
        <v>7.5410007409355745E-2</v>
      </c>
      <c r="X1753">
        <v>1.0592662032861022E-2</v>
      </c>
      <c r="Y1753">
        <v>4.1372264392321592E-3</v>
      </c>
    </row>
    <row r="1754" spans="1:25" x14ac:dyDescent="0.25">
      <c r="A1754" s="1090"/>
      <c r="B1754" s="1448">
        <v>1504</v>
      </c>
      <c r="C1754" s="1094">
        <v>0.98576630859651782</v>
      </c>
      <c r="D1754" s="1094">
        <v>0.9711679075819416</v>
      </c>
      <c r="E1754" s="1094">
        <v>0.98947304296493166</v>
      </c>
      <c r="F1754" s="1094">
        <v>0.98938344612652884</v>
      </c>
      <c r="G1754" s="1094">
        <v>1.0245683405544681</v>
      </c>
      <c r="H1754" s="1094">
        <v>1.0173763451715632</v>
      </c>
      <c r="I1754" s="1094">
        <v>0.97964166602220293</v>
      </c>
      <c r="K1754">
        <v>4.4466590621098456</v>
      </c>
      <c r="L1754">
        <v>0</v>
      </c>
      <c r="M1754">
        <v>1.5452774467506856E-3</v>
      </c>
      <c r="N1754">
        <v>0.12962597077836713</v>
      </c>
      <c r="O1754">
        <v>3.9059340724280224E-2</v>
      </c>
      <c r="P1754">
        <v>1.8799115705468293E-2</v>
      </c>
      <c r="Q1754">
        <v>1.3259177171670398E-3</v>
      </c>
      <c r="R1754">
        <v>1.5389806784851037E-3</v>
      </c>
      <c r="S1754">
        <v>0.2316083476753642</v>
      </c>
      <c r="T1754">
        <v>3.9242993151465542</v>
      </c>
      <c r="U1754">
        <v>0</v>
      </c>
      <c r="V1754">
        <v>9.4523053561131817E-3</v>
      </c>
      <c r="W1754">
        <v>7.7766066656305866E-2</v>
      </c>
      <c r="X1754">
        <v>1.0379702225479922E-2</v>
      </c>
      <c r="Y1754">
        <v>4.3492768930154359E-3</v>
      </c>
    </row>
    <row r="1755" spans="1:25" x14ac:dyDescent="0.25">
      <c r="A1755" s="1090"/>
      <c r="B1755" s="1448">
        <v>1505</v>
      </c>
      <c r="C1755" s="1094">
        <v>0.96965762788644883</v>
      </c>
      <c r="D1755" s="1094">
        <v>0.98767353151555481</v>
      </c>
      <c r="E1755" s="1094">
        <v>1.0162332949871051</v>
      </c>
      <c r="F1755" s="1094">
        <v>0.9941728292972104</v>
      </c>
      <c r="G1755" s="1094">
        <v>1.0067852935051811</v>
      </c>
      <c r="H1755" s="1094">
        <v>0.96403089014617138</v>
      </c>
      <c r="I1755" s="1094">
        <v>1.0166234187441614</v>
      </c>
      <c r="K1755">
        <v>4.4693737699108036</v>
      </c>
      <c r="L1755">
        <v>0</v>
      </c>
      <c r="M1755">
        <v>1.4042578214425491E-3</v>
      </c>
      <c r="N1755">
        <v>0.12748845365024541</v>
      </c>
      <c r="O1755">
        <v>3.9442971867955916E-2</v>
      </c>
      <c r="P1755">
        <v>1.9296567708055243E-2</v>
      </c>
      <c r="Q1755">
        <v>1.3698936565996755E-3</v>
      </c>
      <c r="R1755">
        <v>1.3982480188712211E-3</v>
      </c>
      <c r="S1755">
        <v>0.23963460357746766</v>
      </c>
      <c r="T1755">
        <v>3.9422842713571411</v>
      </c>
      <c r="U1755">
        <v>0</v>
      </c>
      <c r="V1755">
        <v>9.4523053561131817E-3</v>
      </c>
      <c r="W1755">
        <v>7.5115421505200536E-2</v>
      </c>
      <c r="X1755">
        <v>1.1343735382080805E-2</v>
      </c>
      <c r="Y1755">
        <v>3.9515556525163203E-3</v>
      </c>
    </row>
    <row r="1756" spans="1:25" x14ac:dyDescent="0.25">
      <c r="A1756" s="1090"/>
      <c r="B1756" s="1448">
        <v>1506</v>
      </c>
      <c r="C1756" s="1094">
        <v>1.019543861234586</v>
      </c>
      <c r="D1756" s="1094">
        <v>0.97061895262950837</v>
      </c>
      <c r="E1756" s="1094">
        <v>1.0255883988303778</v>
      </c>
      <c r="F1756" s="1094">
        <v>1.0368119449209969</v>
      </c>
      <c r="G1756" s="1094">
        <v>0.97768819960860043</v>
      </c>
      <c r="H1756" s="1094">
        <v>1.0230952793508401</v>
      </c>
      <c r="I1756" s="1094">
        <v>1.0227265255944622</v>
      </c>
      <c r="K1756">
        <v>4.6549273468220651</v>
      </c>
      <c r="L1756">
        <v>0</v>
      </c>
      <c r="M1756">
        <v>1.4591210466301627E-3</v>
      </c>
      <c r="N1756">
        <v>0.1362431304091162</v>
      </c>
      <c r="O1756">
        <v>3.9329146323175052E-2</v>
      </c>
      <c r="P1756">
        <v>2.0221195530752814E-2</v>
      </c>
      <c r="Q1756">
        <v>1.3223953163288738E-3</v>
      </c>
      <c r="R1756">
        <v>1.4534779805377188E-3</v>
      </c>
      <c r="S1756">
        <v>0.24180336929360735</v>
      </c>
      <c r="T1756">
        <v>4.1109994741990841</v>
      </c>
      <c r="U1756">
        <v>0</v>
      </c>
      <c r="V1756">
        <v>9.4523053561131973E-3</v>
      </c>
      <c r="W1756">
        <v>7.9774751274869757E-2</v>
      </c>
      <c r="X1756">
        <v>1.1679582444313261E-2</v>
      </c>
      <c r="Y1756">
        <v>4.107639740793945E-3</v>
      </c>
    </row>
    <row r="1757" spans="1:25" x14ac:dyDescent="0.25">
      <c r="A1757" s="1090"/>
      <c r="B1757" s="1448">
        <v>1507</v>
      </c>
      <c r="C1757" s="1094">
        <v>0.98466434764719024</v>
      </c>
      <c r="D1757" s="1094">
        <v>1.0079576426036532</v>
      </c>
      <c r="E1757" s="1094">
        <v>1.0342399820554364</v>
      </c>
      <c r="F1757" s="1094">
        <v>0.99029298619909722</v>
      </c>
      <c r="G1757" s="1094">
        <v>1.0081503176310864</v>
      </c>
      <c r="H1757" s="1094">
        <v>1.0277157671569519</v>
      </c>
      <c r="I1757" s="1094">
        <v>0.98810123599618804</v>
      </c>
      <c r="K1757">
        <v>4.4547814656909965</v>
      </c>
      <c r="L1757">
        <v>0</v>
      </c>
      <c r="M1757">
        <v>1.4021819612691996E-3</v>
      </c>
      <c r="N1757">
        <v>0.1342965788346491</v>
      </c>
      <c r="O1757">
        <v>3.8252522531250617E-2</v>
      </c>
      <c r="P1757">
        <v>1.9441560504110337E-2</v>
      </c>
      <c r="Q1757">
        <v>1.3585675034936185E-3</v>
      </c>
      <c r="R1757">
        <v>1.3965309415002397E-3</v>
      </c>
      <c r="S1757">
        <v>0.23213620075816976</v>
      </c>
      <c r="T1757">
        <v>3.9262285355176174</v>
      </c>
      <c r="U1757">
        <v>0</v>
      </c>
      <c r="V1757">
        <v>9.4523053561131887E-3</v>
      </c>
      <c r="W1757">
        <v>7.8185665798488679E-2</v>
      </c>
      <c r="X1757">
        <v>1.1488476846099544E-2</v>
      </c>
      <c r="Y1757">
        <v>3.946703060773272E-3</v>
      </c>
    </row>
    <row r="1758" spans="1:25" x14ac:dyDescent="0.25">
      <c r="A1758" s="1090"/>
      <c r="B1758" s="1448">
        <v>1508</v>
      </c>
      <c r="C1758" s="1094">
        <v>0.99492541146826075</v>
      </c>
      <c r="D1758" s="1094">
        <v>0.98349700546203878</v>
      </c>
      <c r="E1758" s="1094">
        <v>1.0103346478699822</v>
      </c>
      <c r="F1758" s="1094">
        <v>0.96182511226992862</v>
      </c>
      <c r="G1758" s="1094">
        <v>0.97131098582215891</v>
      </c>
      <c r="H1758" s="1094">
        <v>0.98877444209662357</v>
      </c>
      <c r="I1758" s="1094">
        <v>0.95590264990192197</v>
      </c>
      <c r="K1758">
        <v>4.3077822324131771</v>
      </c>
      <c r="L1758">
        <v>0</v>
      </c>
      <c r="M1758">
        <v>1.3775821922199089E-3</v>
      </c>
      <c r="N1758">
        <v>0.12289787644535127</v>
      </c>
      <c r="O1758">
        <v>3.7293063383704882E-2</v>
      </c>
      <c r="P1758">
        <v>1.8521459910010026E-2</v>
      </c>
      <c r="Q1758">
        <v>1.330680686445009E-3</v>
      </c>
      <c r="R1758">
        <v>1.3716415949308718E-3</v>
      </c>
      <c r="S1758">
        <v>0.21684658880499044</v>
      </c>
      <c r="T1758">
        <v>3.8142275596811932</v>
      </c>
      <c r="U1758">
        <v>0</v>
      </c>
      <c r="V1758">
        <v>9.4523053561131956E-3</v>
      </c>
      <c r="W1758">
        <v>7.2697344310389378E-2</v>
      </c>
      <c r="X1758">
        <v>1.0644930565107062E-2</v>
      </c>
      <c r="Y1758">
        <v>3.8763638671565192E-3</v>
      </c>
    </row>
    <row r="1759" spans="1:25" x14ac:dyDescent="0.25">
      <c r="A1759" s="1090"/>
      <c r="B1759" s="1448">
        <v>1509</v>
      </c>
      <c r="C1759" s="1094">
        <v>0.97505892341792555</v>
      </c>
      <c r="D1759" s="1094">
        <v>1.0022706489972877</v>
      </c>
      <c r="E1759" s="1094">
        <v>0.9742638681318484</v>
      </c>
      <c r="F1759" s="1094">
        <v>0.97963867275993211</v>
      </c>
      <c r="G1759" s="1094">
        <v>0.9725558904368139</v>
      </c>
      <c r="H1759" s="1094">
        <v>0.99045230051412958</v>
      </c>
      <c r="I1759" s="1094">
        <v>0.99304229033066926</v>
      </c>
      <c r="K1759">
        <v>4.3975863582727399</v>
      </c>
      <c r="L1759">
        <v>0</v>
      </c>
      <c r="M1759">
        <v>1.5353773544304469E-3</v>
      </c>
      <c r="N1759">
        <v>0.12309398522824286</v>
      </c>
      <c r="O1759">
        <v>3.8713903545876026E-2</v>
      </c>
      <c r="P1759">
        <v>1.8413247756858733E-2</v>
      </c>
      <c r="Q1759">
        <v>1.306341285983801E-3</v>
      </c>
      <c r="R1759">
        <v>1.5288871966444742E-3</v>
      </c>
      <c r="S1759">
        <v>0.23146719294065779</v>
      </c>
      <c r="T1759">
        <v>3.8862199654206835</v>
      </c>
      <c r="U1759">
        <v>0</v>
      </c>
      <c r="V1759">
        <v>9.4523053561131973E-3</v>
      </c>
      <c r="W1759">
        <v>7.4619903782869881E-2</v>
      </c>
      <c r="X1759">
        <v>9.9852511705056605E-3</v>
      </c>
      <c r="Y1759">
        <v>4.3207519427329328E-3</v>
      </c>
    </row>
    <row r="1760" spans="1:25" x14ac:dyDescent="0.25">
      <c r="A1760" s="1090"/>
      <c r="B1760" s="1448">
        <v>1510</v>
      </c>
      <c r="C1760" s="1094">
        <v>0.97171240395787561</v>
      </c>
      <c r="D1760" s="1094">
        <v>1.0004242855055192</v>
      </c>
      <c r="E1760" s="1094">
        <v>0.99663139962550762</v>
      </c>
      <c r="F1760" s="1094">
        <v>0.99545766677296244</v>
      </c>
      <c r="G1760" s="1094">
        <v>0.9900037193391571</v>
      </c>
      <c r="H1760" s="1094">
        <v>1.0411249247885201</v>
      </c>
      <c r="I1760" s="1094">
        <v>0.9929344786116191</v>
      </c>
      <c r="K1760">
        <v>4.4860966234707043</v>
      </c>
      <c r="L1760">
        <v>0</v>
      </c>
      <c r="M1760">
        <v>1.5711410872981948E-3</v>
      </c>
      <c r="N1760">
        <v>0.13463808586950685</v>
      </c>
      <c r="O1760">
        <v>3.9346729051688289E-2</v>
      </c>
      <c r="P1760">
        <v>1.9040983160625989E-2</v>
      </c>
      <c r="Q1760">
        <v>1.3374360387240943E-3</v>
      </c>
      <c r="R1760">
        <v>1.5649229822774389E-3</v>
      </c>
      <c r="S1760">
        <v>0.23879194424767877</v>
      </c>
      <c r="T1760">
        <v>3.9481198782874909</v>
      </c>
      <c r="U1760">
        <v>0</v>
      </c>
      <c r="V1760">
        <v>9.4523053561132008E-3</v>
      </c>
      <c r="W1760">
        <v>8.038128014359279E-2</v>
      </c>
      <c r="X1760">
        <v>1.0571607596165147E-2</v>
      </c>
      <c r="Y1760">
        <v>4.4225918241337751E-3</v>
      </c>
    </row>
    <row r="1761" spans="1:25" x14ac:dyDescent="0.25">
      <c r="A1761" s="1090"/>
      <c r="B1761" s="1448">
        <v>1511</v>
      </c>
      <c r="C1761" s="1094">
        <v>1.0198890805278475</v>
      </c>
      <c r="D1761" s="1094">
        <v>1.0281133968182261</v>
      </c>
      <c r="E1761" s="1094">
        <v>0.99109348914178619</v>
      </c>
      <c r="F1761" s="1094">
        <v>1.0260915591902473</v>
      </c>
      <c r="G1761" s="1094">
        <v>1.0146605683223067</v>
      </c>
      <c r="H1761" s="1094">
        <v>0.98325605767536728</v>
      </c>
      <c r="I1761" s="1094">
        <v>0.98545844314827225</v>
      </c>
      <c r="K1761">
        <v>4.5739038191301127</v>
      </c>
      <c r="L1761">
        <v>0</v>
      </c>
      <c r="M1761">
        <v>1.4581126022164164E-3</v>
      </c>
      <c r="N1761">
        <v>0.1229043230436956</v>
      </c>
      <c r="O1761">
        <v>3.8259852154606651E-2</v>
      </c>
      <c r="P1761">
        <v>1.944684414034796E-2</v>
      </c>
      <c r="Q1761">
        <v>1.2544281901014191E-3</v>
      </c>
      <c r="R1761">
        <v>1.4521838916040431E-3</v>
      </c>
      <c r="S1761">
        <v>0.22434671933589123</v>
      </c>
      <c r="T1761">
        <v>4.0698350831334933</v>
      </c>
      <c r="U1761">
        <v>0</v>
      </c>
      <c r="V1761">
        <v>9.4523053561131973E-3</v>
      </c>
      <c r="W1761">
        <v>7.3652327091890415E-2</v>
      </c>
      <c r="X1761">
        <v>1.0653882847914929E-2</v>
      </c>
      <c r="Y1761">
        <v>4.1039825466683616E-3</v>
      </c>
    </row>
    <row r="1762" spans="1:25" x14ac:dyDescent="0.25">
      <c r="A1762" s="1090"/>
      <c r="B1762" s="1448">
        <v>1512</v>
      </c>
      <c r="C1762" s="1094">
        <v>1.0378811439745912</v>
      </c>
      <c r="D1762" s="1094">
        <v>0.99948561718811524</v>
      </c>
      <c r="E1762" s="1094">
        <v>0.96662459800330014</v>
      </c>
      <c r="F1762" s="1094">
        <v>0.98513757839435145</v>
      </c>
      <c r="G1762" s="1094">
        <v>0.95896284567789891</v>
      </c>
      <c r="H1762" s="1094">
        <v>1.0038990374644585</v>
      </c>
      <c r="I1762" s="1094">
        <v>0.99121438074193424</v>
      </c>
      <c r="K1762">
        <v>4.3954665862079674</v>
      </c>
      <c r="L1762">
        <v>0</v>
      </c>
      <c r="M1762">
        <v>1.4955925797159554E-3</v>
      </c>
      <c r="N1762">
        <v>0.1172244048533419</v>
      </c>
      <c r="O1762">
        <v>3.6665007040288647E-2</v>
      </c>
      <c r="P1762">
        <v>1.8348710049932868E-2</v>
      </c>
      <c r="Q1762">
        <v>1.2204662264160247E-3</v>
      </c>
      <c r="R1762">
        <v>1.4893899459579776E-3</v>
      </c>
      <c r="S1762">
        <v>0.21901765239845827</v>
      </c>
      <c r="T1762">
        <v>3.9083248001365294</v>
      </c>
      <c r="U1762">
        <v>0</v>
      </c>
      <c r="V1762">
        <v>9.4523053561131869E-3</v>
      </c>
      <c r="W1762">
        <v>7.1437101689803759E-2</v>
      </c>
      <c r="X1762">
        <v>9.573211394023692E-3</v>
      </c>
      <c r="Y1762">
        <v>4.2091296968204536E-3</v>
      </c>
    </row>
    <row r="1763" spans="1:25" x14ac:dyDescent="0.25">
      <c r="A1763" s="1090"/>
      <c r="B1763" s="1448">
        <v>1513</v>
      </c>
      <c r="C1763" s="1094">
        <v>0.99561073126362543</v>
      </c>
      <c r="D1763" s="1094">
        <v>1.0308199168922787</v>
      </c>
      <c r="E1763" s="1094">
        <v>1.0160093704092918</v>
      </c>
      <c r="F1763" s="1094">
        <v>1.0146656752042016</v>
      </c>
      <c r="G1763" s="1094">
        <v>1.0260057070075865</v>
      </c>
      <c r="H1763" s="1094">
        <v>1.0013687469690664</v>
      </c>
      <c r="I1763" s="1094">
        <v>0.97814828650823027</v>
      </c>
      <c r="K1763">
        <v>4.5409092523640142</v>
      </c>
      <c r="L1763">
        <v>0</v>
      </c>
      <c r="M1763">
        <v>1.4258742442155344E-3</v>
      </c>
      <c r="N1763">
        <v>0.12939668781232058</v>
      </c>
      <c r="O1763">
        <v>3.8543334903442562E-2</v>
      </c>
      <c r="P1763">
        <v>1.9611867354515582E-2</v>
      </c>
      <c r="Q1763">
        <v>1.3113102416244264E-3</v>
      </c>
      <c r="R1763">
        <v>1.4201176368925724E-3</v>
      </c>
      <c r="S1763">
        <v>0.22755169071792378</v>
      </c>
      <c r="T1763">
        <v>4.0235550077785467</v>
      </c>
      <c r="U1763">
        <v>0</v>
      </c>
      <c r="V1763">
        <v>9.4523053561131921E-3</v>
      </c>
      <c r="W1763">
        <v>7.6251155539109064E-2</v>
      </c>
      <c r="X1763">
        <v>1.1228288405029064E-2</v>
      </c>
      <c r="Y1763">
        <v>4.0133608627110091E-3</v>
      </c>
    </row>
    <row r="1764" spans="1:25" x14ac:dyDescent="0.25">
      <c r="A1764" s="1090"/>
      <c r="B1764" s="1448">
        <v>1514</v>
      </c>
      <c r="C1764" s="1094">
        <v>1.000336592731347</v>
      </c>
      <c r="D1764" s="1094">
        <v>0.99181911337919482</v>
      </c>
      <c r="E1764" s="1094">
        <v>1.0029969428990912</v>
      </c>
      <c r="F1764" s="1094">
        <v>0.98192271873837911</v>
      </c>
      <c r="G1764" s="1094">
        <v>1.0044700206653432</v>
      </c>
      <c r="H1764" s="1094">
        <v>1.0101043580619997</v>
      </c>
      <c r="I1764" s="1094">
        <v>0.99728540474216776</v>
      </c>
      <c r="K1764">
        <v>4.4066993265073595</v>
      </c>
      <c r="L1764">
        <v>0</v>
      </c>
      <c r="M1764">
        <v>1.4461999274737794E-3</v>
      </c>
      <c r="N1764">
        <v>0.12626847813123707</v>
      </c>
      <c r="O1764">
        <v>3.7788621245460681E-2</v>
      </c>
      <c r="P1764">
        <v>1.8841656774398707E-2</v>
      </c>
      <c r="Q1764">
        <v>1.3107952997626368E-3</v>
      </c>
      <c r="R1764">
        <v>1.4402195496494906E-3</v>
      </c>
      <c r="S1764">
        <v>0.22912871742388072</v>
      </c>
      <c r="T1764">
        <v>3.8942003970818488</v>
      </c>
      <c r="U1764">
        <v>0</v>
      </c>
      <c r="V1764">
        <v>9.4523053561131921E-3</v>
      </c>
      <c r="W1764">
        <v>7.5060807145248751E-2</v>
      </c>
      <c r="X1764">
        <v>1.0583358024361871E-2</v>
      </c>
      <c r="Y1764">
        <v>4.0701704028704988E-3</v>
      </c>
    </row>
    <row r="1765" spans="1:25" x14ac:dyDescent="0.25">
      <c r="A1765" s="1090"/>
      <c r="B1765" s="1448">
        <v>1515</v>
      </c>
      <c r="C1765" s="1094">
        <v>1.0081671377552124</v>
      </c>
      <c r="D1765" s="1094">
        <v>1.0029071814987143</v>
      </c>
      <c r="E1765" s="1094">
        <v>0.99631607786465426</v>
      </c>
      <c r="F1765" s="1094">
        <v>0.98504839370280628</v>
      </c>
      <c r="G1765" s="1094">
        <v>1.0281805981680792</v>
      </c>
      <c r="H1765" s="1094">
        <v>0.99913743453574566</v>
      </c>
      <c r="I1765" s="1094">
        <v>1.0387473107512022</v>
      </c>
      <c r="K1765">
        <v>4.4205938972185157</v>
      </c>
      <c r="L1765">
        <v>0</v>
      </c>
      <c r="M1765">
        <v>1.4376530549181621E-3</v>
      </c>
      <c r="N1765">
        <v>0.12305790658307622</v>
      </c>
      <c r="O1765">
        <v>3.74923335382569E-2</v>
      </c>
      <c r="P1765">
        <v>1.8835049791896739E-2</v>
      </c>
      <c r="Q1765">
        <v>1.2874488901682467E-3</v>
      </c>
      <c r="R1765">
        <v>1.4316617573517456E-3</v>
      </c>
      <c r="S1765">
        <v>0.23565853169683643</v>
      </c>
      <c r="T1765">
        <v>3.9068471405996901</v>
      </c>
      <c r="U1765">
        <v>0</v>
      </c>
      <c r="V1765">
        <v>9.4523053561131887E-3</v>
      </c>
      <c r="W1765">
        <v>7.3483408080715379E-2</v>
      </c>
      <c r="X1765">
        <v>1.0439778550847262E-2</v>
      </c>
      <c r="Y1765">
        <v>4.0459854284805368E-3</v>
      </c>
    </row>
    <row r="1766" spans="1:25" x14ac:dyDescent="0.25">
      <c r="A1766" s="1090"/>
      <c r="B1766" s="1448">
        <v>1516</v>
      </c>
      <c r="C1766" s="1094">
        <v>0.9986601511084634</v>
      </c>
      <c r="D1766" s="1094">
        <v>0.98537720305918164</v>
      </c>
      <c r="E1766" s="1094">
        <v>0.96314689328554892</v>
      </c>
      <c r="F1766" s="1094">
        <v>0.98304578816057797</v>
      </c>
      <c r="G1766" s="1094">
        <v>0.96998210501901072</v>
      </c>
      <c r="H1766" s="1094">
        <v>1.0021422360146381</v>
      </c>
      <c r="I1766" s="1094">
        <v>0.97646306467653254</v>
      </c>
      <c r="K1766">
        <v>4.4022400034860096</v>
      </c>
      <c r="L1766">
        <v>0</v>
      </c>
      <c r="M1766">
        <v>1.568540959165059E-3</v>
      </c>
      <c r="N1766">
        <v>0.12167652925730968</v>
      </c>
      <c r="O1766">
        <v>3.8264401592441794E-2</v>
      </c>
      <c r="P1766">
        <v>1.8288968898675755E-2</v>
      </c>
      <c r="Q1766">
        <v>1.27174932411749E-3</v>
      </c>
      <c r="R1766">
        <v>1.5620105760043197E-3</v>
      </c>
      <c r="S1766">
        <v>0.22476192914984458</v>
      </c>
      <c r="T1766">
        <v>3.9001584793257882</v>
      </c>
      <c r="U1766">
        <v>0</v>
      </c>
      <c r="V1766">
        <v>9.4523053561131921E-3</v>
      </c>
      <c r="W1766">
        <v>7.4328972726403153E-2</v>
      </c>
      <c r="X1766">
        <v>9.6288370968213976E-3</v>
      </c>
      <c r="Y1766">
        <v>4.4143611416542407E-3</v>
      </c>
    </row>
    <row r="1767" spans="1:25" x14ac:dyDescent="0.25">
      <c r="A1767" s="1090"/>
      <c r="B1767" s="1448">
        <v>1517</v>
      </c>
      <c r="C1767" s="1094">
        <v>0.98014689345367911</v>
      </c>
      <c r="D1767" s="1094">
        <v>0.99403074448412476</v>
      </c>
      <c r="E1767" s="1094">
        <v>0.96203130303532625</v>
      </c>
      <c r="F1767" s="1094">
        <v>0.98581730609577078</v>
      </c>
      <c r="G1767" s="1094">
        <v>1.0376462707648035</v>
      </c>
      <c r="H1767" s="1094">
        <v>0.99981335584190734</v>
      </c>
      <c r="I1767" s="1094">
        <v>0.98964157892560445</v>
      </c>
      <c r="K1767">
        <v>4.4241507502161124</v>
      </c>
      <c r="L1767">
        <v>0</v>
      </c>
      <c r="M1767">
        <v>1.5970735612066769E-3</v>
      </c>
      <c r="N1767">
        <v>0.12348016651714017</v>
      </c>
      <c r="O1767">
        <v>3.8968236385249953E-2</v>
      </c>
      <c r="P1767">
        <v>1.8352865085147621E-2</v>
      </c>
      <c r="Q1767">
        <v>1.2899826767616865E-3</v>
      </c>
      <c r="R1767">
        <v>1.5904275578649001E-3</v>
      </c>
      <c r="S1767">
        <v>0.23173723830848533</v>
      </c>
      <c r="T1767">
        <v>3.9111969059150784</v>
      </c>
      <c r="U1767">
        <v>0</v>
      </c>
      <c r="V1767">
        <v>9.4523053561131991E-3</v>
      </c>
      <c r="W1767">
        <v>7.5489133343657602E-2</v>
      </c>
      <c r="X1767">
        <v>9.6958929298897982E-3</v>
      </c>
      <c r="Y1767">
        <v>4.4946697019261732E-3</v>
      </c>
    </row>
    <row r="1768" spans="1:25" x14ac:dyDescent="0.25">
      <c r="A1768" s="1090"/>
      <c r="B1768" s="1448">
        <v>1518</v>
      </c>
      <c r="C1768" s="1094">
        <v>0.98395471838612913</v>
      </c>
      <c r="D1768" s="1094">
        <v>0.96866887062355234</v>
      </c>
      <c r="E1768" s="1094">
        <v>1.0038285425025741</v>
      </c>
      <c r="F1768" s="1094">
        <v>1.0315376619905414</v>
      </c>
      <c r="G1768" s="1094">
        <v>0.99721584922633288</v>
      </c>
      <c r="H1768" s="1094">
        <v>0.99201423969842872</v>
      </c>
      <c r="I1768" s="1094">
        <v>0.98244959385381492</v>
      </c>
      <c r="K1768">
        <v>4.6286410887037182</v>
      </c>
      <c r="L1768">
        <v>0</v>
      </c>
      <c r="M1768">
        <v>1.5283169641585955E-3</v>
      </c>
      <c r="N1768">
        <v>0.13378423967450481</v>
      </c>
      <c r="O1768">
        <v>4.0735969478412341E-2</v>
      </c>
      <c r="P1768">
        <v>1.9789140531030619E-2</v>
      </c>
      <c r="Q1768">
        <v>1.3462249149465834E-3</v>
      </c>
      <c r="R1768">
        <v>1.5221900536034195E-3</v>
      </c>
      <c r="S1768">
        <v>0.23753689009772361</v>
      </c>
      <c r="T1768">
        <v>4.0909353390443011</v>
      </c>
      <c r="U1768">
        <v>0</v>
      </c>
      <c r="V1768">
        <v>9.4523053561131817E-3</v>
      </c>
      <c r="W1768">
        <v>7.9483998237857428E-2</v>
      </c>
      <c r="X1768">
        <v>1.1281282974190218E-2</v>
      </c>
      <c r="Y1768">
        <v>4.301825305196229E-3</v>
      </c>
    </row>
    <row r="1769" spans="1:25" x14ac:dyDescent="0.25">
      <c r="A1769" s="1090"/>
      <c r="B1769" s="1448">
        <v>1519</v>
      </c>
      <c r="C1769" s="1094">
        <v>1.0058900517444691</v>
      </c>
      <c r="D1769" s="1094">
        <v>0.99892402635212085</v>
      </c>
      <c r="E1769" s="1094">
        <v>0.9954552795178031</v>
      </c>
      <c r="F1769" s="1094">
        <v>0.99831384399206891</v>
      </c>
      <c r="G1769" s="1094">
        <v>1.0142384666093447</v>
      </c>
      <c r="H1769" s="1094">
        <v>0.97581425530037202</v>
      </c>
      <c r="I1769" s="1094">
        <v>0.96940845461373848</v>
      </c>
      <c r="K1769">
        <v>4.4581736874566333</v>
      </c>
      <c r="L1769">
        <v>0</v>
      </c>
      <c r="M1769">
        <v>1.4310065837296812E-3</v>
      </c>
      <c r="N1769">
        <v>0.12217159314184428</v>
      </c>
      <c r="O1769">
        <v>3.8149785672247694E-2</v>
      </c>
      <c r="P1769">
        <v>1.8995089926909351E-2</v>
      </c>
      <c r="Q1769">
        <v>1.2914633958164242E-3</v>
      </c>
      <c r="R1769">
        <v>1.4249812513964389E-3</v>
      </c>
      <c r="S1769">
        <v>0.22099028144902416</v>
      </c>
      <c r="T1769">
        <v>3.9594926624880498</v>
      </c>
      <c r="U1769">
        <v>0</v>
      </c>
      <c r="V1769">
        <v>9.4523053561131852E-3</v>
      </c>
      <c r="W1769">
        <v>7.299672571541875E-2</v>
      </c>
      <c r="X1769">
        <v>1.0612699834927193E-2</v>
      </c>
      <c r="Y1769">
        <v>4.0271058086183377E-3</v>
      </c>
    </row>
    <row r="1770" spans="1:25" x14ac:dyDescent="0.25">
      <c r="A1770" s="1090"/>
      <c r="B1770" s="1448">
        <v>1520</v>
      </c>
      <c r="C1770" s="1094">
        <v>0.9969152747384975</v>
      </c>
      <c r="D1770" s="1094">
        <v>0.9691067244007745</v>
      </c>
      <c r="E1770" s="1094">
        <v>1.0205989173945682</v>
      </c>
      <c r="F1770" s="1094">
        <v>0.99438813282577609</v>
      </c>
      <c r="G1770" s="1094">
        <v>0.97314236694938028</v>
      </c>
      <c r="H1770" s="1094">
        <v>0.99484838722109437</v>
      </c>
      <c r="I1770" s="1094">
        <v>1.0030881620718468</v>
      </c>
      <c r="K1770">
        <v>4.4662133299963669</v>
      </c>
      <c r="L1770">
        <v>0</v>
      </c>
      <c r="M1770">
        <v>1.407535416351566E-3</v>
      </c>
      <c r="N1770">
        <v>0.12946475857062847</v>
      </c>
      <c r="O1770">
        <v>3.8634868339314378E-2</v>
      </c>
      <c r="P1770">
        <v>1.9334290799541326E-2</v>
      </c>
      <c r="Q1770">
        <v>1.3475650930973532E-3</v>
      </c>
      <c r="R1770">
        <v>1.4016994459601045E-3</v>
      </c>
      <c r="S1770">
        <v>0.23372018115233559</v>
      </c>
      <c r="T1770">
        <v>3.9429742138372759</v>
      </c>
      <c r="U1770">
        <v>0</v>
      </c>
      <c r="V1770">
        <v>9.4523053561131887E-3</v>
      </c>
      <c r="W1770">
        <v>7.6057888095621709E-2</v>
      </c>
      <c r="X1770">
        <v>1.1271785073855551E-2</v>
      </c>
      <c r="Y1770">
        <v>3.961309648973497E-3</v>
      </c>
    </row>
    <row r="1771" spans="1:25" x14ac:dyDescent="0.25">
      <c r="A1771" s="1090"/>
      <c r="B1771" s="1448">
        <v>1521</v>
      </c>
      <c r="C1771" s="1094">
        <v>0.99032307672301234</v>
      </c>
      <c r="D1771" s="1094">
        <v>1.0034229554892766</v>
      </c>
      <c r="E1771" s="1094">
        <v>0.99739405063638542</v>
      </c>
      <c r="F1771" s="1094">
        <v>0.98946048809830456</v>
      </c>
      <c r="G1771" s="1094">
        <v>1.0186378702567236</v>
      </c>
      <c r="H1771" s="1094">
        <v>1.0172731758761493</v>
      </c>
      <c r="I1771" s="1094">
        <v>1.0142598580817082</v>
      </c>
      <c r="K1771">
        <v>4.4480896788382633</v>
      </c>
      <c r="L1771">
        <v>0</v>
      </c>
      <c r="M1771">
        <v>1.4930700133859204E-3</v>
      </c>
      <c r="N1771">
        <v>0.12822224825806383</v>
      </c>
      <c r="O1771">
        <v>3.8323577449614891E-2</v>
      </c>
      <c r="P1771">
        <v>1.8932447546560607E-2</v>
      </c>
      <c r="Q1771">
        <v>1.3115907594612177E-3</v>
      </c>
      <c r="R1771">
        <v>1.4869858371685308E-3</v>
      </c>
      <c r="S1771">
        <v>0.23630966285075825</v>
      </c>
      <c r="T1771">
        <v>3.9243054774278927</v>
      </c>
      <c r="U1771">
        <v>0</v>
      </c>
      <c r="V1771">
        <v>9.4523053561131904E-3</v>
      </c>
      <c r="W1771">
        <v>7.6511384922327105E-2</v>
      </c>
      <c r="X1771">
        <v>1.0524732941850965E-2</v>
      </c>
      <c r="Y1771">
        <v>4.2023355018364532E-3</v>
      </c>
    </row>
    <row r="1772" spans="1:25" x14ac:dyDescent="0.25">
      <c r="A1772" s="1090"/>
      <c r="B1772" s="1448">
        <v>1522</v>
      </c>
      <c r="C1772" s="1094">
        <v>1.0421005249808821</v>
      </c>
      <c r="D1772" s="1094">
        <v>1.0154089510667594</v>
      </c>
      <c r="E1772" s="1094">
        <v>1.0203485968018875</v>
      </c>
      <c r="F1772" s="1094">
        <v>1.0016954276108607</v>
      </c>
      <c r="G1772" s="1094">
        <v>1.0235931770538249</v>
      </c>
      <c r="H1772" s="1094">
        <v>1.0195401664053798</v>
      </c>
      <c r="I1772" s="1094">
        <v>0.98963045690355689</v>
      </c>
      <c r="K1772">
        <v>4.4729616606181617</v>
      </c>
      <c r="L1772">
        <v>0</v>
      </c>
      <c r="M1772">
        <v>1.3650356775437393E-3</v>
      </c>
      <c r="N1772">
        <v>0.12547904909660121</v>
      </c>
      <c r="O1772">
        <v>3.6544300323916486E-2</v>
      </c>
      <c r="P1772">
        <v>1.9402699802429035E-2</v>
      </c>
      <c r="Q1772">
        <v>1.2650237210528167E-3</v>
      </c>
      <c r="R1772">
        <v>1.3595531146697905E-3</v>
      </c>
      <c r="S1772">
        <v>0.22031798070839581</v>
      </c>
      <c r="T1772">
        <v>3.9719587457061563</v>
      </c>
      <c r="U1772">
        <v>0</v>
      </c>
      <c r="V1772">
        <v>9.4523053561131991E-3</v>
      </c>
      <c r="W1772">
        <v>7.3728666724591496E-2</v>
      </c>
      <c r="X1772">
        <v>1.0976170842749508E-2</v>
      </c>
      <c r="Y1772">
        <v>3.8422008990268942E-3</v>
      </c>
    </row>
    <row r="1773" spans="1:25" x14ac:dyDescent="0.25">
      <c r="A1773" s="1090"/>
      <c r="B1773" s="1448">
        <v>1523</v>
      </c>
      <c r="C1773" s="1094">
        <v>0.96800215216578367</v>
      </c>
      <c r="D1773" s="1094">
        <v>0.98622219216298146</v>
      </c>
      <c r="E1773" s="1094">
        <v>0.98947568526849916</v>
      </c>
      <c r="F1773" s="1094">
        <v>0.9925705793590831</v>
      </c>
      <c r="G1773" s="1094">
        <v>1.005765824940744</v>
      </c>
      <c r="H1773" s="1094">
        <v>1.010144439373158</v>
      </c>
      <c r="I1773" s="1094">
        <v>1.0183373454843863</v>
      </c>
      <c r="K1773">
        <v>4.4742293914135169</v>
      </c>
      <c r="L1773">
        <v>0</v>
      </c>
      <c r="M1773">
        <v>1.5578381717190593E-3</v>
      </c>
      <c r="N1773">
        <v>0.13067854818181071</v>
      </c>
      <c r="O1773">
        <v>3.9659472298441613E-2</v>
      </c>
      <c r="P1773">
        <v>1.8911991122581483E-2</v>
      </c>
      <c r="Q1773">
        <v>1.3419706961439609E-3</v>
      </c>
      <c r="R1773">
        <v>1.5514652179708839E-3</v>
      </c>
      <c r="S1773">
        <v>0.24396769048510916</v>
      </c>
      <c r="T1773">
        <v>3.9369406884070752</v>
      </c>
      <c r="U1773">
        <v>0</v>
      </c>
      <c r="V1773">
        <v>9.452305356113206E-3</v>
      </c>
      <c r="W1773">
        <v>7.8397394816824034E-2</v>
      </c>
      <c r="X1773">
        <v>1.0501143848408459E-2</v>
      </c>
      <c r="Y1773">
        <v>4.3845591547517502E-3</v>
      </c>
    </row>
    <row r="1774" spans="1:25" x14ac:dyDescent="0.25">
      <c r="A1774" s="1090"/>
      <c r="B1774" s="1448">
        <v>1524</v>
      </c>
      <c r="C1774" s="1094">
        <v>0.99768515260281898</v>
      </c>
      <c r="D1774" s="1094">
        <v>1.0143998853260467</v>
      </c>
      <c r="E1774" s="1094">
        <v>1.0178729121895984</v>
      </c>
      <c r="F1774" s="1094">
        <v>1.0114537845308922</v>
      </c>
      <c r="G1774" s="1094">
        <v>1.0146255573504785</v>
      </c>
      <c r="H1774" s="1094">
        <v>1.0144136454450012</v>
      </c>
      <c r="I1774" s="1094">
        <v>0.9819691828577094</v>
      </c>
      <c r="K1774">
        <v>4.5333205387785647</v>
      </c>
      <c r="L1774">
        <v>0</v>
      </c>
      <c r="M1774">
        <v>1.4404812967388581E-3</v>
      </c>
      <c r="N1774">
        <v>0.13145033543782086</v>
      </c>
      <c r="O1774">
        <v>3.8575567057703236E-2</v>
      </c>
      <c r="P1774">
        <v>1.958885467590199E-2</v>
      </c>
      <c r="Q1774">
        <v>1.3190982676103866E-3</v>
      </c>
      <c r="R1774">
        <v>1.4347223467724665E-3</v>
      </c>
      <c r="S1774">
        <v>0.22954241080100382</v>
      </c>
      <c r="T1774">
        <v>4.010747395633941</v>
      </c>
      <c r="U1774">
        <v>0</v>
      </c>
      <c r="V1774">
        <v>9.4523053561131939E-3</v>
      </c>
      <c r="W1774">
        <v>7.736494202029906E-2</v>
      </c>
      <c r="X1774">
        <v>1.1230753590286241E-2</v>
      </c>
      <c r="Y1774">
        <v>4.054634887848442E-3</v>
      </c>
    </row>
    <row r="1775" spans="1:25" x14ac:dyDescent="0.25">
      <c r="A1775" s="1090"/>
      <c r="B1775" s="1448">
        <v>1525</v>
      </c>
      <c r="C1775" s="1094">
        <v>0.99413650941693987</v>
      </c>
      <c r="D1775" s="1094">
        <v>0.99816778205436874</v>
      </c>
      <c r="E1775" s="1094">
        <v>1.0284899155667433</v>
      </c>
      <c r="F1775" s="1094">
        <v>0.99653410952010046</v>
      </c>
      <c r="G1775" s="1094">
        <v>1.0065408363113015</v>
      </c>
      <c r="H1775" s="1094">
        <v>0.97107802986436287</v>
      </c>
      <c r="I1775" s="1094">
        <v>0.994918354779882</v>
      </c>
      <c r="K1775">
        <v>4.4641114704144877</v>
      </c>
      <c r="L1775">
        <v>0</v>
      </c>
      <c r="M1775">
        <v>1.3419129764742604E-3</v>
      </c>
      <c r="N1775">
        <v>0.12633159909260164</v>
      </c>
      <c r="O1775">
        <v>3.8315750868517087E-2</v>
      </c>
      <c r="P1775">
        <v>1.9461642443098739E-2</v>
      </c>
      <c r="Q1775">
        <v>1.3443763519238683E-3</v>
      </c>
      <c r="R1775">
        <v>1.336225121757183E-3</v>
      </c>
      <c r="S1775">
        <v>0.22890619019774372</v>
      </c>
      <c r="T1775">
        <v>3.9511876511910962</v>
      </c>
      <c r="U1775">
        <v>0</v>
      </c>
      <c r="V1775">
        <v>9.4523053561131939E-3</v>
      </c>
      <c r="W1775">
        <v>7.3828932913637471E-2</v>
      </c>
      <c r="X1775">
        <v>1.1512435644425273E-2</v>
      </c>
      <c r="Y1775">
        <v>3.7762742100478598E-3</v>
      </c>
    </row>
    <row r="1776" spans="1:25" x14ac:dyDescent="0.25">
      <c r="A1776" s="1090"/>
      <c r="B1776" s="1448">
        <v>1526</v>
      </c>
      <c r="C1776" s="1094">
        <v>1.0038772150797513</v>
      </c>
      <c r="D1776" s="1094">
        <v>1.0166378065481998</v>
      </c>
      <c r="E1776" s="1094">
        <v>0.99283083489918367</v>
      </c>
      <c r="F1776" s="1094">
        <v>0.98488363767388465</v>
      </c>
      <c r="G1776" s="1094">
        <v>1.0046166341487606</v>
      </c>
      <c r="H1776" s="1094">
        <v>0.98194622606498994</v>
      </c>
      <c r="I1776" s="1094">
        <v>0.97105570062188173</v>
      </c>
      <c r="K1776">
        <v>4.3991531822561116</v>
      </c>
      <c r="L1776">
        <v>0</v>
      </c>
      <c r="M1776">
        <v>1.4214083275151785E-3</v>
      </c>
      <c r="N1776">
        <v>0.12040805743226787</v>
      </c>
      <c r="O1776">
        <v>3.7465347891354604E-2</v>
      </c>
      <c r="P1776">
        <v>1.870854075861916E-2</v>
      </c>
      <c r="Q1776">
        <v>1.2820885458434282E-3</v>
      </c>
      <c r="R1776">
        <v>1.4153800182868468E-3</v>
      </c>
      <c r="S1776">
        <v>0.21907261983188026</v>
      </c>
      <c r="T1776">
        <v>3.9063247555121876</v>
      </c>
      <c r="U1776">
        <v>0</v>
      </c>
      <c r="V1776">
        <v>9.4523053561131904E-3</v>
      </c>
      <c r="W1776">
        <v>7.2071259530404094E-2</v>
      </c>
      <c r="X1776">
        <v>1.037426371583672E-2</v>
      </c>
      <c r="Y1776">
        <v>3.999971990831159E-3</v>
      </c>
    </row>
    <row r="1777" spans="1:25" x14ac:dyDescent="0.25">
      <c r="A1777" s="1090"/>
      <c r="B1777" s="1448">
        <v>1527</v>
      </c>
      <c r="C1777" s="1094">
        <v>0.993916894701391</v>
      </c>
      <c r="D1777" s="1094">
        <v>1.0097580752975857</v>
      </c>
      <c r="E1777" s="1094">
        <v>1.0223135817653108</v>
      </c>
      <c r="F1777" s="1094">
        <v>1.0081940194372336</v>
      </c>
      <c r="G1777" s="1094">
        <v>1.0151602029905402</v>
      </c>
      <c r="H1777" s="1094">
        <v>0.98562757682979207</v>
      </c>
      <c r="I1777" s="1094">
        <v>0.99159540388462208</v>
      </c>
      <c r="K1777">
        <v>4.5161817104782074</v>
      </c>
      <c r="L1777">
        <v>0</v>
      </c>
      <c r="M1777">
        <v>1.3898740899236631E-3</v>
      </c>
      <c r="N1777">
        <v>0.12849274115243556</v>
      </c>
      <c r="O1777">
        <v>3.8636999801540735E-2</v>
      </c>
      <c r="P1777">
        <v>1.9595555013750886E-2</v>
      </c>
      <c r="Q1777">
        <v>1.3315246416462831E-3</v>
      </c>
      <c r="R1777">
        <v>1.3841367628478741E-3</v>
      </c>
      <c r="S1777">
        <v>0.23029435597300485</v>
      </c>
      <c r="T1777">
        <v>3.9976525440217952</v>
      </c>
      <c r="U1777">
        <v>0</v>
      </c>
      <c r="V1777">
        <v>9.4523053561131869E-3</v>
      </c>
      <c r="W1777">
        <v>7.5400676503590447E-2</v>
      </c>
      <c r="X1777">
        <v>1.1419069175756072E-2</v>
      </c>
      <c r="Y1777">
        <v>3.9116761656509099E-3</v>
      </c>
    </row>
    <row r="1778" spans="1:25" x14ac:dyDescent="0.25">
      <c r="A1778" s="1090"/>
      <c r="B1778" s="1448">
        <v>1528</v>
      </c>
      <c r="C1778" s="1094">
        <v>0.99996022784260497</v>
      </c>
      <c r="D1778" s="1094">
        <v>1.0339909532789213</v>
      </c>
      <c r="E1778" s="1094">
        <v>1.0163225532408757</v>
      </c>
      <c r="F1778" s="1094">
        <v>1.0013521909014813</v>
      </c>
      <c r="G1778" s="1094">
        <v>1.0153387810432366</v>
      </c>
      <c r="H1778" s="1094">
        <v>1.023821518934015</v>
      </c>
      <c r="I1778" s="1094">
        <v>1.019803600985788</v>
      </c>
      <c r="K1778">
        <v>4.4957796350876746</v>
      </c>
      <c r="L1778">
        <v>0</v>
      </c>
      <c r="M1778">
        <v>1.4298312809543402E-3</v>
      </c>
      <c r="N1778">
        <v>0.12988083103371872</v>
      </c>
      <c r="O1778">
        <v>3.7823523576723139E-2</v>
      </c>
      <c r="P1778">
        <v>1.941027930941203E-2</v>
      </c>
      <c r="Q1778">
        <v>1.3043498634426514E-3</v>
      </c>
      <c r="R1778">
        <v>1.4241105341253292E-3</v>
      </c>
      <c r="S1778">
        <v>0.23559217802138868</v>
      </c>
      <c r="T1778">
        <v>3.9707498728261896</v>
      </c>
      <c r="U1778">
        <v>0</v>
      </c>
      <c r="V1778">
        <v>9.4523053561131973E-3</v>
      </c>
      <c r="W1778">
        <v>7.6520429900618386E-2</v>
      </c>
      <c r="X1778">
        <v>1.1026940851760189E-2</v>
      </c>
      <c r="Y1778">
        <v>4.0246450951340633E-3</v>
      </c>
    </row>
    <row r="1779" spans="1:25" x14ac:dyDescent="0.25">
      <c r="A1779" s="1090"/>
      <c r="B1779" s="1448">
        <v>1529</v>
      </c>
      <c r="C1779" s="1094">
        <v>0.99163375528085296</v>
      </c>
      <c r="D1779" s="1094">
        <v>1.0333120077255415</v>
      </c>
      <c r="E1779" s="1094">
        <v>1.0259299781424416</v>
      </c>
      <c r="F1779" s="1094">
        <v>1.0088365965062189</v>
      </c>
      <c r="G1779" s="1094">
        <v>0.99513004595518939</v>
      </c>
      <c r="H1779" s="1094">
        <v>0.98758680484853989</v>
      </c>
      <c r="I1779" s="1094">
        <v>0.98082980329574498</v>
      </c>
      <c r="K1779">
        <v>4.5146506966504498</v>
      </c>
      <c r="L1779">
        <v>0</v>
      </c>
      <c r="M1779">
        <v>1.3733679332179974E-3</v>
      </c>
      <c r="N1779">
        <v>0.12833349508031527</v>
      </c>
      <c r="O1779">
        <v>3.8369852755250358E-2</v>
      </c>
      <c r="P1779">
        <v>1.9643207301964186E-2</v>
      </c>
      <c r="Q1779">
        <v>1.3263798227861068E-3</v>
      </c>
      <c r="R1779">
        <v>1.3677135787004851E-3</v>
      </c>
      <c r="S1779">
        <v>0.22699859434939204</v>
      </c>
      <c r="T1779">
        <v>4.0000631787946261</v>
      </c>
      <c r="U1779">
        <v>0</v>
      </c>
      <c r="V1779">
        <v>9.4523053561131991E-3</v>
      </c>
      <c r="W1779">
        <v>7.5126358025911597E-2</v>
      </c>
      <c r="X1779">
        <v>1.1477716525207817E-2</v>
      </c>
      <c r="Y1779">
        <v>3.8652629933995926E-3</v>
      </c>
    </row>
    <row r="1780" spans="1:25" x14ac:dyDescent="0.25">
      <c r="A1780" s="1090"/>
      <c r="B1780" s="1448">
        <v>1530</v>
      </c>
      <c r="C1780" s="1094">
        <v>0.99946602925139705</v>
      </c>
      <c r="D1780" s="1094">
        <v>0.99325059353607981</v>
      </c>
      <c r="E1780" s="1094">
        <v>0.99312400465779782</v>
      </c>
      <c r="F1780" s="1094">
        <v>0.99898413616241455</v>
      </c>
      <c r="G1780" s="1094">
        <v>1.0043933829158382</v>
      </c>
      <c r="H1780" s="1094">
        <v>1.0408784430330016</v>
      </c>
      <c r="I1780" s="1094">
        <v>0.96620522829771516</v>
      </c>
      <c r="K1780">
        <v>4.4820985986333062</v>
      </c>
      <c r="L1780">
        <v>0</v>
      </c>
      <c r="M1780">
        <v>1.5483423566530433E-3</v>
      </c>
      <c r="N1780">
        <v>0.13131380109733942</v>
      </c>
      <c r="O1780">
        <v>3.8524432596770256E-2</v>
      </c>
      <c r="P1780">
        <v>1.9001286992387203E-2</v>
      </c>
      <c r="Q1780">
        <v>1.3001191553632576E-3</v>
      </c>
      <c r="R1780">
        <v>1.5422345790954987E-3</v>
      </c>
      <c r="S1780">
        <v>0.22693470048443115</v>
      </c>
      <c r="T1780">
        <v>3.9622400964413611</v>
      </c>
      <c r="U1780">
        <v>0</v>
      </c>
      <c r="V1780">
        <v>9.4523053561132043E-3</v>
      </c>
      <c r="W1780">
        <v>7.8583337531378819E-2</v>
      </c>
      <c r="X1780">
        <v>1.0396154091147677E-2</v>
      </c>
      <c r="Y1780">
        <v>4.3584726645639719E-3</v>
      </c>
    </row>
    <row r="1781" spans="1:25" x14ac:dyDescent="0.25">
      <c r="A1781" s="1090"/>
      <c r="B1781" s="1448">
        <v>1531</v>
      </c>
      <c r="C1781" s="1094">
        <v>0.95971571533905686</v>
      </c>
      <c r="D1781" s="1094">
        <v>0.9884878318312621</v>
      </c>
      <c r="E1781" s="1094">
        <v>1.022833191278385</v>
      </c>
      <c r="F1781" s="1094">
        <v>1.0019130237275811</v>
      </c>
      <c r="G1781" s="1094">
        <v>1.0108307663690093</v>
      </c>
      <c r="H1781" s="1094">
        <v>1.019287549388358</v>
      </c>
      <c r="I1781" s="1094">
        <v>1.0359218536524499</v>
      </c>
      <c r="K1781">
        <v>4.5304166035093925</v>
      </c>
      <c r="L1781">
        <v>0</v>
      </c>
      <c r="M1781">
        <v>1.4903398558466839E-3</v>
      </c>
      <c r="N1781">
        <v>0.1380080896350761</v>
      </c>
      <c r="O1781">
        <v>4.0100936498966303E-2</v>
      </c>
      <c r="P1781">
        <v>1.9590360307819289E-2</v>
      </c>
      <c r="Q1781">
        <v>1.3913799032855404E-3</v>
      </c>
      <c r="R1781">
        <v>1.4843538296841635E-3</v>
      </c>
      <c r="S1781">
        <v>0.2524864169850139</v>
      </c>
      <c r="T1781">
        <v>3.972727773554777</v>
      </c>
      <c r="U1781">
        <v>0</v>
      </c>
      <c r="V1781">
        <v>9.4523053561131991E-3</v>
      </c>
      <c r="W1781">
        <v>8.095636208558829E-2</v>
      </c>
      <c r="X1781">
        <v>1.1514067961170273E-2</v>
      </c>
      <c r="Y1781">
        <v>4.194897247741366E-3</v>
      </c>
    </row>
    <row r="1782" spans="1:25" x14ac:dyDescent="0.25">
      <c r="A1782" s="1090"/>
      <c r="B1782" s="1448">
        <v>1532</v>
      </c>
      <c r="C1782" s="1094">
        <v>0.97779280814575509</v>
      </c>
      <c r="D1782" s="1094">
        <v>1.0294630427056386</v>
      </c>
      <c r="E1782" s="1094">
        <v>0.99471986055341166</v>
      </c>
      <c r="F1782" s="1094">
        <v>1.0055927938461122</v>
      </c>
      <c r="G1782" s="1094">
        <v>1.0440664803652659</v>
      </c>
      <c r="H1782" s="1094">
        <v>0.99231905944831256</v>
      </c>
      <c r="I1782" s="1094">
        <v>1.0085512561185981</v>
      </c>
      <c r="K1782">
        <v>4.5122551379435629</v>
      </c>
      <c r="L1782">
        <v>0</v>
      </c>
      <c r="M1782">
        <v>1.4921497140214751E-3</v>
      </c>
      <c r="N1782">
        <v>0.1271270250259571</v>
      </c>
      <c r="O1782">
        <v>3.9063984746686972E-2</v>
      </c>
      <c r="P1782">
        <v>1.918734669427646E-2</v>
      </c>
      <c r="Q1782">
        <v>1.3118369884858793E-3</v>
      </c>
      <c r="R1782">
        <v>1.4860159726928746E-3</v>
      </c>
      <c r="S1782">
        <v>0.23682960300652253</v>
      </c>
      <c r="T1782">
        <v>3.9883905193839007</v>
      </c>
      <c r="U1782">
        <v>0</v>
      </c>
      <c r="V1782">
        <v>9.4523053561131939E-3</v>
      </c>
      <c r="W1782">
        <v>7.5995454111061567E-2</v>
      </c>
      <c r="X1782">
        <v>1.0703601781103408E-2</v>
      </c>
      <c r="Y1782">
        <v>4.1995945907826E-3</v>
      </c>
    </row>
    <row r="1783" spans="1:25" x14ac:dyDescent="0.25">
      <c r="A1783" s="1090"/>
      <c r="B1783" s="1448">
        <v>1533</v>
      </c>
      <c r="C1783" s="1094">
        <v>0.99365549501766748</v>
      </c>
      <c r="D1783" s="1094">
        <v>1.0290656447849458</v>
      </c>
      <c r="E1783" s="1094">
        <v>0.97186425972090962</v>
      </c>
      <c r="F1783" s="1094">
        <v>1.0036311290473414</v>
      </c>
      <c r="G1783" s="1094">
        <v>1.0051524586460081</v>
      </c>
      <c r="H1783" s="1094">
        <v>1.0063773029362337</v>
      </c>
      <c r="I1783" s="1094">
        <v>0.9757562744677869</v>
      </c>
      <c r="K1783">
        <v>4.4896745401756437</v>
      </c>
      <c r="L1783">
        <v>0</v>
      </c>
      <c r="M1783">
        <v>1.5595678994412693E-3</v>
      </c>
      <c r="N1783">
        <v>0.12416647958296857</v>
      </c>
      <c r="O1783">
        <v>3.8527567804912462E-2</v>
      </c>
      <c r="P1783">
        <v>1.8780508739943455E-2</v>
      </c>
      <c r="Q1783">
        <v>1.2657846432184102E-3</v>
      </c>
      <c r="R1783">
        <v>1.5532342734986848E-3</v>
      </c>
      <c r="S1783">
        <v>0.22623556881431217</v>
      </c>
      <c r="T1783">
        <v>3.9814907917806757</v>
      </c>
      <c r="U1783">
        <v>0</v>
      </c>
      <c r="V1783">
        <v>9.4523053561131973E-3</v>
      </c>
      <c r="W1783">
        <v>7.5394490242327347E-2</v>
      </c>
      <c r="X1783">
        <v>9.9778181963762307E-3</v>
      </c>
      <c r="Y1783">
        <v>4.389558640734318E-3</v>
      </c>
    </row>
    <row r="1784" spans="1:25" x14ac:dyDescent="0.25">
      <c r="A1784" s="1090"/>
      <c r="B1784" s="1448">
        <v>1534</v>
      </c>
      <c r="C1784" s="1094">
        <v>1.0287234479130565</v>
      </c>
      <c r="D1784" s="1094">
        <v>0.9930801812234813</v>
      </c>
      <c r="E1784" s="1094">
        <v>1.0067084435983624</v>
      </c>
      <c r="F1784" s="1094">
        <v>1.033453061764825</v>
      </c>
      <c r="G1784" s="1094">
        <v>0.97736416967262607</v>
      </c>
      <c r="H1784" s="1094">
        <v>1.0281084962465648</v>
      </c>
      <c r="I1784" s="1094">
        <v>1.0339226148703937</v>
      </c>
      <c r="K1784">
        <v>4.6334566960568875</v>
      </c>
      <c r="L1784">
        <v>0</v>
      </c>
      <c r="M1784">
        <v>1.4936668595497793E-3</v>
      </c>
      <c r="N1784">
        <v>0.13189069350817009</v>
      </c>
      <c r="O1784">
        <v>3.8628916696288117E-2</v>
      </c>
      <c r="P1784">
        <v>1.987905318635318E-2</v>
      </c>
      <c r="Q1784">
        <v>1.2780234831580787E-3</v>
      </c>
      <c r="R1784">
        <v>1.4878997481089693E-3</v>
      </c>
      <c r="S1784">
        <v>0.240464868593013</v>
      </c>
      <c r="T1784">
        <v>4.0984185035538658</v>
      </c>
      <c r="U1784">
        <v>0</v>
      </c>
      <c r="V1784">
        <v>9.4523053561131869E-3</v>
      </c>
      <c r="W1784">
        <v>7.8207172290985505E-2</v>
      </c>
      <c r="X1784">
        <v>1.1038008216453576E-2</v>
      </c>
      <c r="Y1784">
        <v>4.2049182839279343E-3</v>
      </c>
    </row>
    <row r="1785" spans="1:25" x14ac:dyDescent="0.25">
      <c r="A1785" s="1090"/>
      <c r="B1785" s="1448">
        <v>1535</v>
      </c>
      <c r="C1785" s="1094">
        <v>1.006002313013284</v>
      </c>
      <c r="D1785" s="1094">
        <v>0.975945904750814</v>
      </c>
      <c r="E1785" s="1094">
        <v>0.99087397890633122</v>
      </c>
      <c r="F1785" s="1094">
        <v>0.98173895378604326</v>
      </c>
      <c r="G1785" s="1094">
        <v>0.96211161091931097</v>
      </c>
      <c r="H1785" s="1094">
        <v>1.0106248822017303</v>
      </c>
      <c r="I1785" s="1094">
        <v>0.99851167467733837</v>
      </c>
      <c r="K1785">
        <v>4.4050413587454944</v>
      </c>
      <c r="L1785">
        <v>0</v>
      </c>
      <c r="M1785">
        <v>1.4852628366712505E-3</v>
      </c>
      <c r="N1785">
        <v>0.12510283847290737</v>
      </c>
      <c r="O1785">
        <v>3.7893983793888343E-2</v>
      </c>
      <c r="P1785">
        <v>1.8671122546719352E-2</v>
      </c>
      <c r="Q1785">
        <v>1.2982660600500183E-3</v>
      </c>
      <c r="R1785">
        <v>1.4791229436366712E-3</v>
      </c>
      <c r="S1785">
        <v>0.22926739133263824</v>
      </c>
      <c r="T1785">
        <v>3.8939255064803242</v>
      </c>
      <c r="U1785">
        <v>0</v>
      </c>
      <c r="V1785">
        <v>9.4523053561131887E-3</v>
      </c>
      <c r="W1785">
        <v>7.4981013443331523E-2</v>
      </c>
      <c r="X1785">
        <v>1.0274956788144416E-2</v>
      </c>
      <c r="Y1785">
        <v>4.1801143644118952E-3</v>
      </c>
    </row>
    <row r="1786" spans="1:25" x14ac:dyDescent="0.25">
      <c r="A1786" s="1090"/>
      <c r="B1786" s="1448">
        <v>1536</v>
      </c>
      <c r="C1786" s="1094">
        <v>0.98559105903866362</v>
      </c>
      <c r="D1786" s="1094">
        <v>0.99969104349336813</v>
      </c>
      <c r="E1786" s="1094">
        <v>0.97267480411803697</v>
      </c>
      <c r="F1786" s="1094">
        <v>0.98205635130463609</v>
      </c>
      <c r="G1786" s="1094">
        <v>0.98703214352250501</v>
      </c>
      <c r="H1786" s="1094">
        <v>0.98106946077659174</v>
      </c>
      <c r="I1786" s="1094">
        <v>1.0197508316909794</v>
      </c>
      <c r="K1786">
        <v>4.4069734128127189</v>
      </c>
      <c r="L1786">
        <v>0</v>
      </c>
      <c r="M1786">
        <v>1.5148736225856869E-3</v>
      </c>
      <c r="N1786">
        <v>0.12087492133318313</v>
      </c>
      <c r="O1786">
        <v>3.8445147071267373E-2</v>
      </c>
      <c r="P1786">
        <v>1.844969645502962E-2</v>
      </c>
      <c r="Q1786">
        <v>1.2919237756575056E-3</v>
      </c>
      <c r="R1786">
        <v>1.5084247421506694E-3</v>
      </c>
      <c r="S1786">
        <v>0.23500456970188796</v>
      </c>
      <c r="T1786">
        <v>3.8958710754821468</v>
      </c>
      <c r="U1786">
        <v>0</v>
      </c>
      <c r="V1786">
        <v>9.4523053561131852E-3</v>
      </c>
      <c r="W1786">
        <v>7.3354876981137684E-2</v>
      </c>
      <c r="X1786">
        <v>9.9724220526341955E-3</v>
      </c>
      <c r="Y1786">
        <v>4.2629234840989442E-3</v>
      </c>
    </row>
    <row r="1787" spans="1:25" x14ac:dyDescent="0.25">
      <c r="A1787" s="1090"/>
      <c r="B1787" s="1448">
        <v>1537</v>
      </c>
      <c r="C1787" s="1094">
        <v>0.98850519954528449</v>
      </c>
      <c r="D1787" s="1094">
        <v>0.99120309739333745</v>
      </c>
      <c r="E1787" s="1094">
        <v>1.0337076289603999</v>
      </c>
      <c r="F1787" s="1094">
        <v>0.97841502696655325</v>
      </c>
      <c r="G1787" s="1094">
        <v>0.96334173055882344</v>
      </c>
      <c r="H1787" s="1094">
        <v>1.022264882481045</v>
      </c>
      <c r="I1787" s="1094">
        <v>0.98494769315564534</v>
      </c>
      <c r="K1787">
        <v>4.4010680773931039</v>
      </c>
      <c r="L1787">
        <v>0</v>
      </c>
      <c r="M1787">
        <v>1.3835235136244136E-3</v>
      </c>
      <c r="N1787">
        <v>0.13229184604708322</v>
      </c>
      <c r="O1787">
        <v>3.7903768994312061E-2</v>
      </c>
      <c r="P1787">
        <v>1.920181541596121E-2</v>
      </c>
      <c r="Q1787">
        <v>1.3617845711513057E-3</v>
      </c>
      <c r="R1787">
        <v>1.3778501930372378E-3</v>
      </c>
      <c r="S1787">
        <v>0.22939858407511809</v>
      </c>
      <c r="T1787">
        <v>3.8791553271680312</v>
      </c>
      <c r="U1787">
        <v>0</v>
      </c>
      <c r="V1787">
        <v>9.4523053561131939E-3</v>
      </c>
      <c r="W1787">
        <v>7.7045624770534643E-2</v>
      </c>
      <c r="X1787">
        <v>1.136878447597444E-2</v>
      </c>
      <c r="Y1787">
        <v>3.8939098394091512E-3</v>
      </c>
    </row>
    <row r="1788" spans="1:25" x14ac:dyDescent="0.25">
      <c r="A1788" s="1090"/>
      <c r="B1788" s="1448">
        <v>1538</v>
      </c>
      <c r="C1788" s="1094">
        <v>1.010373706796541</v>
      </c>
      <c r="D1788" s="1094">
        <v>1.0160988687677182</v>
      </c>
      <c r="E1788" s="1094">
        <v>1.037018805600145</v>
      </c>
      <c r="F1788" s="1094">
        <v>0.95482325064401907</v>
      </c>
      <c r="G1788" s="1094">
        <v>0.9984066308220485</v>
      </c>
      <c r="H1788" s="1094">
        <v>0.97238771908313493</v>
      </c>
      <c r="I1788" s="1094">
        <v>1.0001084266413593</v>
      </c>
      <c r="K1788">
        <v>4.2729649985101155</v>
      </c>
      <c r="L1788">
        <v>0</v>
      </c>
      <c r="M1788">
        <v>1.2355218699790201E-3</v>
      </c>
      <c r="N1788">
        <v>0.11926380438709862</v>
      </c>
      <c r="O1788">
        <v>3.5810449895932059E-2</v>
      </c>
      <c r="P1788">
        <v>1.8761099072342392E-2</v>
      </c>
      <c r="Q1788">
        <v>1.3228210969840276E-3</v>
      </c>
      <c r="R1788">
        <v>1.2300645383757651E-3</v>
      </c>
      <c r="S1788">
        <v>0.21892613688313198</v>
      </c>
      <c r="T1788">
        <v>3.7855019059014232</v>
      </c>
      <c r="U1788">
        <v>0</v>
      </c>
      <c r="V1788">
        <v>9.4523053561131939E-3</v>
      </c>
      <c r="W1788">
        <v>6.9306597811854151E-2</v>
      </c>
      <c r="X1788">
        <v>1.1149079140402446E-2</v>
      </c>
      <c r="Y1788">
        <v>3.4762562964348468E-3</v>
      </c>
    </row>
    <row r="1789" spans="1:25" x14ac:dyDescent="0.25">
      <c r="A1789" s="1090"/>
      <c r="B1789" s="1448">
        <v>1539</v>
      </c>
      <c r="C1789" s="1094">
        <v>1.0048949970703265</v>
      </c>
      <c r="D1789" s="1094">
        <v>1.0098874892969407</v>
      </c>
      <c r="E1789" s="1094">
        <v>0.96917684461393894</v>
      </c>
      <c r="F1789" s="1094">
        <v>0.99899672260190742</v>
      </c>
      <c r="G1789" s="1094">
        <v>0.99364693120248182</v>
      </c>
      <c r="H1789" s="1094">
        <v>1.002624897525614</v>
      </c>
      <c r="I1789" s="1094">
        <v>0.97386029765131665</v>
      </c>
      <c r="K1789">
        <v>4.4654053673913214</v>
      </c>
      <c r="L1789">
        <v>0</v>
      </c>
      <c r="M1789">
        <v>1.5495648965032991E-3</v>
      </c>
      <c r="N1789">
        <v>0.1223853065114761</v>
      </c>
      <c r="O1789">
        <v>3.8225335624839249E-2</v>
      </c>
      <c r="P1789">
        <v>1.8648760642803908E-2</v>
      </c>
      <c r="Q1789">
        <v>1.2581248738295242E-3</v>
      </c>
      <c r="R1789">
        <v>1.5432191595329983E-3</v>
      </c>
      <c r="S1789">
        <v>0.22355551826418485</v>
      </c>
      <c r="T1789">
        <v>3.9632094087498615</v>
      </c>
      <c r="U1789">
        <v>0</v>
      </c>
      <c r="V1789">
        <v>9.4523053561131991E-3</v>
      </c>
      <c r="W1789">
        <v>7.4450796851274037E-2</v>
      </c>
      <c r="X1789">
        <v>9.8649010898548984E-3</v>
      </c>
      <c r="Y1789">
        <v>4.3612551640495054E-3</v>
      </c>
    </row>
    <row r="1790" spans="1:25" x14ac:dyDescent="0.25">
      <c r="A1790" s="1090"/>
      <c r="B1790" s="1448">
        <v>1540</v>
      </c>
      <c r="C1790" s="1094">
        <v>0.97335222160457446</v>
      </c>
      <c r="D1790" s="1094">
        <v>1.0029519279596224</v>
      </c>
      <c r="E1790" s="1094">
        <v>1.0021105567822057</v>
      </c>
      <c r="F1790" s="1094">
        <v>1.006091938715818</v>
      </c>
      <c r="G1790" s="1094">
        <v>0.9849463265506454</v>
      </c>
      <c r="H1790" s="1094">
        <v>1.0361088555336206</v>
      </c>
      <c r="I1790" s="1094">
        <v>0.97995635036827833</v>
      </c>
      <c r="K1790">
        <v>4.5278183022909095</v>
      </c>
      <c r="L1790">
        <v>0</v>
      </c>
      <c r="M1790">
        <v>1.5578740147068873E-3</v>
      </c>
      <c r="N1790">
        <v>0.13568938516231099</v>
      </c>
      <c r="O1790">
        <v>3.9621178318223073E-2</v>
      </c>
      <c r="P1790">
        <v>1.9299306430424278E-2</v>
      </c>
      <c r="Q1790">
        <v>1.3401165427378782E-3</v>
      </c>
      <c r="R1790">
        <v>1.5517437856847739E-3</v>
      </c>
      <c r="S1790">
        <v>0.23641501972004736</v>
      </c>
      <c r="T1790">
        <v>3.9900868539363765</v>
      </c>
      <c r="U1790">
        <v>0</v>
      </c>
      <c r="V1790">
        <v>9.4523053561131869E-3</v>
      </c>
      <c r="W1790">
        <v>8.0709357100810356E-2</v>
      </c>
      <c r="X1790">
        <v>1.0825563544510215E-2</v>
      </c>
      <c r="Y1790">
        <v>4.3853464083788429E-3</v>
      </c>
    </row>
    <row r="1791" spans="1:25" x14ac:dyDescent="0.25">
      <c r="A1791" s="1090"/>
      <c r="B1791" s="1448">
        <v>1541</v>
      </c>
      <c r="C1791" s="1094">
        <v>0.9759326000431956</v>
      </c>
      <c r="D1791" s="1094">
        <v>1.0457056704664587</v>
      </c>
      <c r="E1791" s="1094">
        <v>1.0084415261717818</v>
      </c>
      <c r="F1791" s="1094">
        <v>0.99081560453640038</v>
      </c>
      <c r="G1791" s="1094">
        <v>1.0426298504023856</v>
      </c>
      <c r="H1791" s="1094">
        <v>0.98986235639272291</v>
      </c>
      <c r="I1791" s="1094">
        <v>1.0042802346590902</v>
      </c>
      <c r="K1791">
        <v>4.4453023565048584</v>
      </c>
      <c r="L1791">
        <v>0</v>
      </c>
      <c r="M1791">
        <v>1.4186906457547123E-3</v>
      </c>
      <c r="N1791">
        <v>0.12587428041267631</v>
      </c>
      <c r="O1791">
        <v>3.8228601814136606E-2</v>
      </c>
      <c r="P1791">
        <v>1.9094427775893649E-2</v>
      </c>
      <c r="Q1791">
        <v>1.3215681047896968E-3</v>
      </c>
      <c r="R1791">
        <v>1.4127575660723484E-3</v>
      </c>
      <c r="S1791">
        <v>0.2326363328225837</v>
      </c>
      <c r="T1791">
        <v>3.9292637755927102</v>
      </c>
      <c r="U1791">
        <v>0</v>
      </c>
      <c r="V1791">
        <v>9.4523053561131973E-3</v>
      </c>
      <c r="W1791">
        <v>7.4552691831851703E-2</v>
      </c>
      <c r="X1791">
        <v>1.0891745133125824E-2</v>
      </c>
      <c r="Y1791">
        <v>3.9925607406582318E-3</v>
      </c>
    </row>
    <row r="1792" spans="1:25" x14ac:dyDescent="0.25">
      <c r="A1792" s="1090"/>
      <c r="B1792" s="1448">
        <v>1542</v>
      </c>
      <c r="C1792" s="1094">
        <v>0.98841151497945512</v>
      </c>
      <c r="D1792" s="1094">
        <v>1.0063960931003175</v>
      </c>
      <c r="E1792" s="1094">
        <v>0.96274776678516516</v>
      </c>
      <c r="F1792" s="1094">
        <v>1.0092710739231299</v>
      </c>
      <c r="G1792" s="1094">
        <v>0.98979716467618406</v>
      </c>
      <c r="H1792" s="1094">
        <v>1.0309094175346725</v>
      </c>
      <c r="I1792" s="1094">
        <v>1.0032439100542387</v>
      </c>
      <c r="K1792">
        <v>4.5331320858759181</v>
      </c>
      <c r="L1792">
        <v>0</v>
      </c>
      <c r="M1792">
        <v>1.6609258533294255E-3</v>
      </c>
      <c r="N1792">
        <v>0.12871895855639959</v>
      </c>
      <c r="O1792">
        <v>3.9361618906797208E-2</v>
      </c>
      <c r="P1792">
        <v>1.880300472755074E-2</v>
      </c>
      <c r="Q1792">
        <v>1.2736871097962289E-3</v>
      </c>
      <c r="R1792">
        <v>1.6543777592481184E-3</v>
      </c>
      <c r="S1792">
        <v>0.23820870562082488</v>
      </c>
      <c r="T1792">
        <v>4.0042208980955278</v>
      </c>
      <c r="U1792">
        <v>0</v>
      </c>
      <c r="V1792">
        <v>9.4523053561131973E-3</v>
      </c>
      <c r="W1792">
        <v>7.8652763480768897E-2</v>
      </c>
      <c r="X1792">
        <v>9.7712942628164472E-3</v>
      </c>
      <c r="Y1792">
        <v>4.6753978534020586E-3</v>
      </c>
    </row>
    <row r="1793" spans="1:25" x14ac:dyDescent="0.25">
      <c r="A1793" s="1090"/>
      <c r="B1793" s="1448">
        <v>1543</v>
      </c>
      <c r="C1793" s="1094">
        <v>0.98614727694457249</v>
      </c>
      <c r="D1793" s="1094">
        <v>0.97070542265677795</v>
      </c>
      <c r="E1793" s="1094">
        <v>1.004491184603918</v>
      </c>
      <c r="F1793" s="1094">
        <v>1.0256798880501694</v>
      </c>
      <c r="G1793" s="1094">
        <v>0.98774830601622088</v>
      </c>
      <c r="H1793" s="1094">
        <v>1.000315794631994</v>
      </c>
      <c r="I1793" s="1094">
        <v>1.0202970496810477</v>
      </c>
      <c r="K1793">
        <v>4.6130618380481225</v>
      </c>
      <c r="L1793">
        <v>0</v>
      </c>
      <c r="M1793">
        <v>1.5255671145131438E-3</v>
      </c>
      <c r="N1793">
        <v>0.13380733149196725</v>
      </c>
      <c r="O1793">
        <v>4.037585714694128E-2</v>
      </c>
      <c r="P1793">
        <v>1.9730044953735187E-2</v>
      </c>
      <c r="Q1793">
        <v>1.342864206347926E-3</v>
      </c>
      <c r="R1793">
        <v>1.5194674831310504E-3</v>
      </c>
      <c r="S1793">
        <v>0.24571160092225061</v>
      </c>
      <c r="T1793">
        <v>4.0676783905495402</v>
      </c>
      <c r="U1793">
        <v>0</v>
      </c>
      <c r="V1793">
        <v>9.4523053561132026E-3</v>
      </c>
      <c r="W1793">
        <v>7.9462221729355284E-2</v>
      </c>
      <c r="X1793">
        <v>1.1213190210065173E-2</v>
      </c>
      <c r="Y1793">
        <v>4.2941311131828933E-3</v>
      </c>
    </row>
    <row r="1794" spans="1:25" x14ac:dyDescent="0.25">
      <c r="A1794" s="1090"/>
      <c r="B1794" s="1448">
        <v>1544</v>
      </c>
      <c r="C1794" s="1094">
        <v>0.98835039610451636</v>
      </c>
      <c r="D1794" s="1094">
        <v>0.99873501190123637</v>
      </c>
      <c r="E1794" s="1094">
        <v>0.99726850658350175</v>
      </c>
      <c r="F1794" s="1094">
        <v>0.99126059188722326</v>
      </c>
      <c r="G1794" s="1094">
        <v>0.98418723516469619</v>
      </c>
      <c r="H1794" s="1094">
        <v>0.99618792107375842</v>
      </c>
      <c r="I1794" s="1094">
        <v>1.003078762091993</v>
      </c>
      <c r="K1794">
        <v>4.4492448976949923</v>
      </c>
      <c r="L1794">
        <v>0</v>
      </c>
      <c r="M1794">
        <v>1.4708358375118693E-3</v>
      </c>
      <c r="N1794">
        <v>0.12625584842166573</v>
      </c>
      <c r="O1794">
        <v>3.8542921599985298E-2</v>
      </c>
      <c r="P1794">
        <v>1.894891908203741E-2</v>
      </c>
      <c r="Q1794">
        <v>1.3165307349209928E-3</v>
      </c>
      <c r="R1794">
        <v>1.4647264732506697E-3</v>
      </c>
      <c r="S1794">
        <v>0.23318527834576636</v>
      </c>
      <c r="T1794">
        <v>3.9314496256387566</v>
      </c>
      <c r="U1794">
        <v>0</v>
      </c>
      <c r="V1794">
        <v>9.4523053561131973E-3</v>
      </c>
      <c r="W1794">
        <v>7.5344420649233135E-2</v>
      </c>
      <c r="X1794">
        <v>1.0615728390788811E-2</v>
      </c>
      <c r="Y1794">
        <v>4.1394288399825363E-3</v>
      </c>
    </row>
    <row r="1795" spans="1:25" x14ac:dyDescent="0.25">
      <c r="A1795" s="1090"/>
      <c r="B1795" s="1448">
        <v>1545</v>
      </c>
      <c r="C1795" s="1094">
        <v>1.0215092525185083</v>
      </c>
      <c r="D1795" s="1094">
        <v>1.0292113904203573</v>
      </c>
      <c r="E1795" s="1094">
        <v>0.97707470861793966</v>
      </c>
      <c r="F1795" s="1094">
        <v>1.0218398919731302</v>
      </c>
      <c r="G1795" s="1094">
        <v>0.96256475569473776</v>
      </c>
      <c r="H1795" s="1094">
        <v>0.97231759472899759</v>
      </c>
      <c r="I1795" s="1094">
        <v>0.97730364309101281</v>
      </c>
      <c r="K1795">
        <v>4.5480789638138894</v>
      </c>
      <c r="L1795">
        <v>0</v>
      </c>
      <c r="M1795">
        <v>1.4758809410709266E-3</v>
      </c>
      <c r="N1795">
        <v>0.1193271869305651</v>
      </c>
      <c r="O1795">
        <v>3.8119583359623233E-2</v>
      </c>
      <c r="P1795">
        <v>1.9152303084455469E-2</v>
      </c>
      <c r="Q1795">
        <v>1.2368013484768512E-3</v>
      </c>
      <c r="R1795">
        <v>1.4697873257157696E-3</v>
      </c>
      <c r="S1795">
        <v>0.22063703365977963</v>
      </c>
      <c r="T1795">
        <v>4.0535212409135086</v>
      </c>
      <c r="U1795">
        <v>0</v>
      </c>
      <c r="V1795">
        <v>9.4523053561131991E-3</v>
      </c>
      <c r="W1795">
        <v>7.2196877885105551E-2</v>
      </c>
      <c r="X1795">
        <v>1.0287993696185146E-2</v>
      </c>
      <c r="Y1795">
        <v>4.1537311954267164E-3</v>
      </c>
    </row>
    <row r="1796" spans="1:25" x14ac:dyDescent="0.25">
      <c r="A1796" s="1090"/>
      <c r="B1796" s="1448">
        <v>1546</v>
      </c>
      <c r="C1796" s="1094">
        <v>0.98467843520692999</v>
      </c>
      <c r="D1796" s="1094">
        <v>0.98420062896709892</v>
      </c>
      <c r="E1796" s="1094">
        <v>1.0066093770385252</v>
      </c>
      <c r="F1796" s="1094">
        <v>0.98571952087902059</v>
      </c>
      <c r="G1796" s="1094">
        <v>1.0408956318660096</v>
      </c>
      <c r="H1796" s="1094">
        <v>1.0383354875126585</v>
      </c>
      <c r="I1796" s="1094">
        <v>1.021633523651444</v>
      </c>
      <c r="K1796">
        <v>4.4465791024748729</v>
      </c>
      <c r="L1796">
        <v>0</v>
      </c>
      <c r="M1796">
        <v>1.5092241702836058E-3</v>
      </c>
      <c r="N1796">
        <v>0.13320574047706091</v>
      </c>
      <c r="O1796">
        <v>3.8632011749656525E-2</v>
      </c>
      <c r="P1796">
        <v>1.9018577267812847E-2</v>
      </c>
      <c r="Q1796">
        <v>1.3398821437977484E-3</v>
      </c>
      <c r="R1796">
        <v>1.5031761460173297E-3</v>
      </c>
      <c r="S1796">
        <v>0.24184463323759647</v>
      </c>
      <c r="T1796">
        <v>3.9091228268432805</v>
      </c>
      <c r="U1796">
        <v>0</v>
      </c>
      <c r="V1796">
        <v>9.4523053561132026E-3</v>
      </c>
      <c r="W1796">
        <v>7.8992220217903336E-2</v>
      </c>
      <c r="X1796">
        <v>1.0728862655198982E-2</v>
      </c>
      <c r="Y1796">
        <v>4.2480905507147667E-3</v>
      </c>
    </row>
    <row r="1797" spans="1:25" x14ac:dyDescent="0.25">
      <c r="A1797" s="1090"/>
      <c r="B1797" s="1448">
        <v>1547</v>
      </c>
      <c r="C1797" s="1094">
        <v>1.0202458724773855</v>
      </c>
      <c r="D1797" s="1094">
        <v>1.0179688977142287</v>
      </c>
      <c r="E1797" s="1094">
        <v>1.0051648622623419</v>
      </c>
      <c r="F1797" s="1094">
        <v>0.98197757271735353</v>
      </c>
      <c r="G1797" s="1094">
        <v>1.0275427150989933</v>
      </c>
      <c r="H1797" s="1094">
        <v>1.0378098740772501</v>
      </c>
      <c r="I1797" s="1094">
        <v>1.0003810059412446</v>
      </c>
      <c r="K1797">
        <v>4.4016408267388787</v>
      </c>
      <c r="L1797">
        <v>0</v>
      </c>
      <c r="M1797">
        <v>1.4352928694033238E-3</v>
      </c>
      <c r="N1797">
        <v>0.12613749679221711</v>
      </c>
      <c r="O1797">
        <v>3.6655334450287458E-2</v>
      </c>
      <c r="P1797">
        <v>1.8856459977953422E-2</v>
      </c>
      <c r="Q1797">
        <v>1.2742662677537498E-3</v>
      </c>
      <c r="R1797">
        <v>1.4295163650978773E-3</v>
      </c>
      <c r="S1797">
        <v>0.22558707344815054</v>
      </c>
      <c r="T1797">
        <v>3.8943370357392997</v>
      </c>
      <c r="U1797">
        <v>0</v>
      </c>
      <c r="V1797">
        <v>9.4523053561132043E-3</v>
      </c>
      <c r="W1797">
        <v>7.4873460327089816E-2</v>
      </c>
      <c r="X1797">
        <v>1.0433248498135178E-2</v>
      </c>
      <c r="Y1797">
        <v>4.039922386178155E-3</v>
      </c>
    </row>
    <row r="1798" spans="1:25" x14ac:dyDescent="0.25">
      <c r="A1798" s="1090"/>
      <c r="B1798" s="1448">
        <v>1548</v>
      </c>
      <c r="C1798" s="1094">
        <v>1.0057702767565742</v>
      </c>
      <c r="D1798" s="1094">
        <v>0.98738816632148141</v>
      </c>
      <c r="E1798" s="1094">
        <v>0.98766066502819683</v>
      </c>
      <c r="F1798" s="1094">
        <v>0.99153260752185912</v>
      </c>
      <c r="G1798" s="1094">
        <v>1.0072035141135636</v>
      </c>
      <c r="H1798" s="1094">
        <v>0.97614710096637314</v>
      </c>
      <c r="I1798" s="1094">
        <v>0.98559088646443227</v>
      </c>
      <c r="K1798">
        <v>4.4334073946285164</v>
      </c>
      <c r="L1798">
        <v>0</v>
      </c>
      <c r="M1798">
        <v>1.4522150403516196E-3</v>
      </c>
      <c r="N1798">
        <v>0.12114661517506535</v>
      </c>
      <c r="O1798">
        <v>3.812459401452125E-2</v>
      </c>
      <c r="P1798">
        <v>1.8780155554548539E-2</v>
      </c>
      <c r="Q1798">
        <v>1.2889462405601957E-3</v>
      </c>
      <c r="R1798">
        <v>1.4460608619326324E-3</v>
      </c>
      <c r="S1798">
        <v>0.22449684473117693</v>
      </c>
      <c r="T1798">
        <v>3.932892582825394</v>
      </c>
      <c r="U1798">
        <v>0</v>
      </c>
      <c r="V1798">
        <v>9.4523053561131939E-3</v>
      </c>
      <c r="W1798">
        <v>7.2768852969589293E-2</v>
      </c>
      <c r="X1798">
        <v>1.0375973542621011E-2</v>
      </c>
      <c r="Y1798">
        <v>4.0866783973457534E-3</v>
      </c>
    </row>
    <row r="1799" spans="1:25" x14ac:dyDescent="0.25">
      <c r="A1799" s="1090"/>
      <c r="B1799" s="1448">
        <v>1549</v>
      </c>
      <c r="C1799" s="1094">
        <v>1.0027486627430087</v>
      </c>
      <c r="D1799" s="1094">
        <v>0.9739187438183996</v>
      </c>
      <c r="E1799" s="1094">
        <v>0.98622923190106349</v>
      </c>
      <c r="F1799" s="1094">
        <v>1.0175073672108201</v>
      </c>
      <c r="G1799" s="1094">
        <v>1.0232265127057403</v>
      </c>
      <c r="H1799" s="1094">
        <v>0.98758217022426231</v>
      </c>
      <c r="I1799" s="1094">
        <v>0.99144834790143388</v>
      </c>
      <c r="K1799">
        <v>4.5555437674730905</v>
      </c>
      <c r="L1799">
        <v>0</v>
      </c>
      <c r="M1799">
        <v>1.5250107171043206E-3</v>
      </c>
      <c r="N1799">
        <v>0.12670021295884878</v>
      </c>
      <c r="O1799">
        <v>3.9467467306380816E-2</v>
      </c>
      <c r="P1799">
        <v>1.9259256232116762E-2</v>
      </c>
      <c r="Q1799">
        <v>1.2983457234487924E-3</v>
      </c>
      <c r="R1799">
        <v>1.5187852867413324E-3</v>
      </c>
      <c r="S1799">
        <v>0.23232758372517837</v>
      </c>
      <c r="T1799">
        <v>4.0359767220010312</v>
      </c>
      <c r="U1799">
        <v>0</v>
      </c>
      <c r="V1799">
        <v>9.4523053561131956E-3</v>
      </c>
      <c r="W1799">
        <v>7.6179040908515058E-2</v>
      </c>
      <c r="X1799">
        <v>1.0596855517718327E-2</v>
      </c>
      <c r="Y1799">
        <v>4.2922031741023181E-3</v>
      </c>
    </row>
    <row r="1800" spans="1:25" x14ac:dyDescent="0.25">
      <c r="A1800" s="1090"/>
      <c r="B1800" s="1448">
        <v>1550</v>
      </c>
      <c r="C1800" s="1094">
        <v>0.99707107827583907</v>
      </c>
      <c r="D1800" s="1094">
        <v>0.97451802334521298</v>
      </c>
      <c r="E1800" s="1094">
        <v>0.97949814812750091</v>
      </c>
      <c r="F1800" s="1094">
        <v>1.0027944898463295</v>
      </c>
      <c r="G1800" s="1094">
        <v>0.97649806245257675</v>
      </c>
      <c r="H1800" s="1094">
        <v>0.98044689380689953</v>
      </c>
      <c r="I1800" s="1094">
        <v>0.98614279549845874</v>
      </c>
      <c r="K1800">
        <v>4.489580413538345</v>
      </c>
      <c r="L1800">
        <v>0</v>
      </c>
      <c r="M1800">
        <v>1.5216774663820505E-3</v>
      </c>
      <c r="N1800">
        <v>0.12391256413153781</v>
      </c>
      <c r="O1800">
        <v>3.9155473587905415E-2</v>
      </c>
      <c r="P1800">
        <v>1.8888695050697762E-2</v>
      </c>
      <c r="Q1800">
        <v>1.2978264167493169E-3</v>
      </c>
      <c r="R1800">
        <v>1.5153290092034129E-3</v>
      </c>
      <c r="S1800">
        <v>0.22954790040560158</v>
      </c>
      <c r="T1800">
        <v>3.9778767978857621</v>
      </c>
      <c r="U1800">
        <v>0</v>
      </c>
      <c r="V1800">
        <v>9.4523053561131904E-3</v>
      </c>
      <c r="W1800">
        <v>7.4846659727526341E-2</v>
      </c>
      <c r="X1800">
        <v>1.0326103963723091E-2</v>
      </c>
      <c r="Y1800">
        <v>4.2824354699058497E-3</v>
      </c>
    </row>
    <row r="1801" spans="1:25" x14ac:dyDescent="0.25">
      <c r="A1801" s="1090"/>
      <c r="B1801" s="1448">
        <v>1551</v>
      </c>
      <c r="C1801" s="1094">
        <v>1.0005651534116713</v>
      </c>
      <c r="D1801" s="1094">
        <v>0.98146912479443227</v>
      </c>
      <c r="E1801" s="1094">
        <v>0.97982753403734346</v>
      </c>
      <c r="F1801" s="1094">
        <v>0.98503414586963189</v>
      </c>
      <c r="G1801" s="1094">
        <v>1.001844593164813</v>
      </c>
      <c r="H1801" s="1094">
        <v>0.969313369884924</v>
      </c>
      <c r="I1801" s="1094">
        <v>1.0123718409925846</v>
      </c>
      <c r="K1801">
        <v>4.4117761919255258</v>
      </c>
      <c r="L1801">
        <v>0</v>
      </c>
      <c r="M1801">
        <v>1.4675059052284053E-3</v>
      </c>
      <c r="N1801">
        <v>0.1196032935003402</v>
      </c>
      <c r="O1801">
        <v>3.8216636547679782E-2</v>
      </c>
      <c r="P1801">
        <v>1.8582808436563084E-2</v>
      </c>
      <c r="Q1801">
        <v>1.2899914963124836E-3</v>
      </c>
      <c r="R1801">
        <v>1.4612019381071381E-3</v>
      </c>
      <c r="S1801">
        <v>0.23068561279302302</v>
      </c>
      <c r="T1801">
        <v>3.9074127357080215</v>
      </c>
      <c r="U1801">
        <v>0</v>
      </c>
      <c r="V1801">
        <v>9.4523053561132026E-3</v>
      </c>
      <c r="W1801">
        <v>7.2227434203577454E-2</v>
      </c>
      <c r="X1801">
        <v>1.0182209616428553E-2</v>
      </c>
      <c r="Y1801">
        <v>4.1294682345813872E-3</v>
      </c>
    </row>
    <row r="1802" spans="1:25" x14ac:dyDescent="0.25">
      <c r="A1802" s="1090"/>
      <c r="B1802" s="1448">
        <v>1552</v>
      </c>
      <c r="C1802" s="1094">
        <v>1.0301641472606899</v>
      </c>
      <c r="D1802" s="1094">
        <v>1.0072066923383414</v>
      </c>
      <c r="E1802" s="1094">
        <v>0.96447844597626808</v>
      </c>
      <c r="F1802" s="1094">
        <v>0.96359543276072201</v>
      </c>
      <c r="G1802" s="1094">
        <v>1.0318668711596621</v>
      </c>
      <c r="H1802" s="1094">
        <v>0.97783998720998</v>
      </c>
      <c r="I1802" s="1094">
        <v>0.98698383080588592</v>
      </c>
      <c r="K1802">
        <v>4.2954661644894712</v>
      </c>
      <c r="L1802">
        <v>0</v>
      </c>
      <c r="M1802">
        <v>1.4377582029724497E-3</v>
      </c>
      <c r="N1802">
        <v>0.11195211818287316</v>
      </c>
      <c r="O1802">
        <v>3.6034513421101637E-2</v>
      </c>
      <c r="P1802">
        <v>1.791881530827159E-2</v>
      </c>
      <c r="Q1802">
        <v>1.2235270186317546E-3</v>
      </c>
      <c r="R1802">
        <v>1.4315002446419558E-3</v>
      </c>
      <c r="S1802">
        <v>0.21415192358768978</v>
      </c>
      <c r="T1802">
        <v>3.8229409704441908</v>
      </c>
      <c r="U1802">
        <v>0</v>
      </c>
      <c r="V1802">
        <v>9.4523053561132026E-3</v>
      </c>
      <c r="W1802">
        <v>6.8325532331260042E-2</v>
      </c>
      <c r="X1802">
        <v>9.4271878164337193E-3</v>
      </c>
      <c r="Y1802">
        <v>4.0455289812317587E-3</v>
      </c>
    </row>
    <row r="1803" spans="1:25" x14ac:dyDescent="0.25">
      <c r="A1803" s="1090"/>
      <c r="B1803" s="1448">
        <v>1553</v>
      </c>
      <c r="C1803" s="1094">
        <v>0.99376752556471915</v>
      </c>
      <c r="D1803" s="1094">
        <v>1.0001598296139451</v>
      </c>
      <c r="E1803" s="1094">
        <v>0.98027702721818655</v>
      </c>
      <c r="F1803" s="1094">
        <v>1.0319391491804537</v>
      </c>
      <c r="G1803" s="1094">
        <v>1.024856529130171</v>
      </c>
      <c r="H1803" s="1094">
        <v>1.0339476495139772</v>
      </c>
      <c r="I1803" s="1094">
        <v>0.97012320973484611</v>
      </c>
      <c r="K1803">
        <v>4.626251280194162</v>
      </c>
      <c r="L1803">
        <v>0</v>
      </c>
      <c r="M1803">
        <v>1.6368483808279154E-3</v>
      </c>
      <c r="N1803">
        <v>0.13364342621744618</v>
      </c>
      <c r="O1803">
        <v>4.00040590444238E-2</v>
      </c>
      <c r="P1803">
        <v>1.9434602249993188E-2</v>
      </c>
      <c r="Q1803">
        <v>1.2895546705058876E-3</v>
      </c>
      <c r="R1803">
        <v>1.6305549481960952E-3</v>
      </c>
      <c r="S1803">
        <v>0.23327760923075888</v>
      </c>
      <c r="T1803">
        <v>4.0934566807536283</v>
      </c>
      <c r="U1803">
        <v>0</v>
      </c>
      <c r="V1803">
        <v>9.4523053561131973E-3</v>
      </c>
      <c r="W1803">
        <v>8.0681303857195824E-2</v>
      </c>
      <c r="X1803">
        <v>1.040995947614304E-2</v>
      </c>
      <c r="Y1803">
        <v>4.6080727705834568E-3</v>
      </c>
    </row>
    <row r="1804" spans="1:25" x14ac:dyDescent="0.25">
      <c r="A1804" s="1090"/>
      <c r="B1804" s="1448">
        <v>1554</v>
      </c>
      <c r="C1804" s="1094">
        <v>0.99203655584770045</v>
      </c>
      <c r="D1804" s="1094">
        <v>0.97526841542071674</v>
      </c>
      <c r="E1804" s="1094">
        <v>1.0186609465377345</v>
      </c>
      <c r="F1804" s="1094">
        <v>0.99233336040928399</v>
      </c>
      <c r="G1804" s="1094">
        <v>0.99338464483600886</v>
      </c>
      <c r="H1804" s="1094">
        <v>1.0171771031714132</v>
      </c>
      <c r="I1804" s="1094">
        <v>1.0316001744998153</v>
      </c>
      <c r="K1804">
        <v>4.4713738016245497</v>
      </c>
      <c r="L1804">
        <v>0</v>
      </c>
      <c r="M1804">
        <v>1.4454787170461035E-3</v>
      </c>
      <c r="N1804">
        <v>0.13220559140541804</v>
      </c>
      <c r="O1804">
        <v>3.8660025771552059E-2</v>
      </c>
      <c r="P1804">
        <v>1.931014438824033E-2</v>
      </c>
      <c r="Q1804">
        <v>1.348549592204823E-3</v>
      </c>
      <c r="R1804">
        <v>1.4396049001209454E-3</v>
      </c>
      <c r="S1804">
        <v>0.24250416294737545</v>
      </c>
      <c r="T1804">
        <v>3.9348991042259471</v>
      </c>
      <c r="U1804">
        <v>0</v>
      </c>
      <c r="V1804">
        <v>9.4523053561131973E-3</v>
      </c>
      <c r="W1804">
        <v>7.7768524873704864E-2</v>
      </c>
      <c r="X1804">
        <v>1.116283352454E-2</v>
      </c>
      <c r="Y1804">
        <v>4.0684333563765591E-3</v>
      </c>
    </row>
    <row r="1805" spans="1:25" x14ac:dyDescent="0.25">
      <c r="A1805" s="1090"/>
      <c r="B1805" s="1448">
        <v>1555</v>
      </c>
      <c r="C1805" s="1094">
        <v>0.98369522482892247</v>
      </c>
      <c r="D1805" s="1094">
        <v>0.99233342594038132</v>
      </c>
      <c r="E1805" s="1094">
        <v>1.0121259871055683</v>
      </c>
      <c r="F1805" s="1094">
        <v>0.97229275834436257</v>
      </c>
      <c r="G1805" s="1094">
        <v>1.0369399698357438</v>
      </c>
      <c r="H1805" s="1094">
        <v>1.0377324243478467</v>
      </c>
      <c r="I1805" s="1094">
        <v>1.019037617661722</v>
      </c>
      <c r="K1805">
        <v>4.3861333935584801</v>
      </c>
      <c r="L1805">
        <v>0</v>
      </c>
      <c r="M1805">
        <v>1.4673091648779602E-3</v>
      </c>
      <c r="N1805">
        <v>0.1316314313525479</v>
      </c>
      <c r="O1805">
        <v>3.7980919485694979E-2</v>
      </c>
      <c r="P1805">
        <v>1.8836024059187155E-2</v>
      </c>
      <c r="Q1805">
        <v>1.343111239505153E-3</v>
      </c>
      <c r="R1805">
        <v>1.4613447881645621E-3</v>
      </c>
      <c r="S1805">
        <v>0.23859656104783469</v>
      </c>
      <c r="T1805">
        <v>3.8556722475735361</v>
      </c>
      <c r="U1805">
        <v>0</v>
      </c>
      <c r="V1805">
        <v>9.4523053561131765E-3</v>
      </c>
      <c r="W1805">
        <v>7.7769972942255045E-2</v>
      </c>
      <c r="X1805">
        <v>1.0726912938773661E-2</v>
      </c>
      <c r="Y1805">
        <v>4.1298719397497539E-3</v>
      </c>
    </row>
    <row r="1806" spans="1:25" x14ac:dyDescent="0.25">
      <c r="A1806" s="1090"/>
      <c r="B1806" s="1448">
        <v>1556</v>
      </c>
      <c r="C1806" s="1094">
        <v>0.97085233341866539</v>
      </c>
      <c r="D1806" s="1094">
        <v>0.99639073297911007</v>
      </c>
      <c r="E1806" s="1094">
        <v>1.0067988853220258</v>
      </c>
      <c r="F1806" s="1094">
        <v>1.0030415580994838</v>
      </c>
      <c r="G1806" s="1094">
        <v>0.99400303326794026</v>
      </c>
      <c r="H1806" s="1094">
        <v>1.0151185509164002</v>
      </c>
      <c r="I1806" s="1094">
        <v>1.016217869410974</v>
      </c>
      <c r="K1806">
        <v>4.5200740170034495</v>
      </c>
      <c r="L1806">
        <v>0</v>
      </c>
      <c r="M1806">
        <v>1.5145949664950704E-3</v>
      </c>
      <c r="N1806">
        <v>0.13375197758630636</v>
      </c>
      <c r="O1806">
        <v>3.9673541826089807E-2</v>
      </c>
      <c r="P1806">
        <v>1.9345611857106343E-2</v>
      </c>
      <c r="Q1806">
        <v>1.3525074517830539E-3</v>
      </c>
      <c r="R1806">
        <v>1.5084933788470237E-3</v>
      </c>
      <c r="S1806">
        <v>0.24410366068321299</v>
      </c>
      <c r="T1806">
        <v>3.9778105801917234</v>
      </c>
      <c r="U1806">
        <v>0</v>
      </c>
      <c r="V1806">
        <v>9.4523053561131991E-3</v>
      </c>
      <c r="W1806">
        <v>7.9306031414032627E-2</v>
      </c>
      <c r="X1806">
        <v>1.1020784768084378E-2</v>
      </c>
      <c r="Y1806">
        <v>4.2631174566430058E-3</v>
      </c>
    </row>
    <row r="1807" spans="1:25" x14ac:dyDescent="0.25">
      <c r="A1807" s="1090"/>
      <c r="B1807" s="1448">
        <v>1557</v>
      </c>
      <c r="C1807" s="1094">
        <v>1.0074731832729034</v>
      </c>
      <c r="D1807" s="1094">
        <v>1.0163946800575268</v>
      </c>
      <c r="E1807" s="1094">
        <v>1.0239644534637442</v>
      </c>
      <c r="F1807" s="1094">
        <v>0.95839622106870881</v>
      </c>
      <c r="G1807" s="1094">
        <v>1.0162245634533895</v>
      </c>
      <c r="H1807" s="1094">
        <v>1.0050857767812229</v>
      </c>
      <c r="I1807" s="1094">
        <v>1.0074844480977836</v>
      </c>
      <c r="K1807">
        <v>4.2989805457544259</v>
      </c>
      <c r="L1807">
        <v>0</v>
      </c>
      <c r="M1807">
        <v>1.3213621805452996E-3</v>
      </c>
      <c r="N1807">
        <v>0.12274087820169115</v>
      </c>
      <c r="O1807">
        <v>3.6128816916451457E-2</v>
      </c>
      <c r="P1807">
        <v>1.8675853847398546E-2</v>
      </c>
      <c r="Q1807">
        <v>1.3119982852057726E-3</v>
      </c>
      <c r="R1807">
        <v>1.3157365272411532E-3</v>
      </c>
      <c r="S1807">
        <v>0.22406670374032994</v>
      </c>
      <c r="T1807">
        <v>3.8001366428749908</v>
      </c>
      <c r="U1807">
        <v>0</v>
      </c>
      <c r="V1807">
        <v>9.4523053561132008E-3</v>
      </c>
      <c r="W1807">
        <v>7.1946359530875303E-2</v>
      </c>
      <c r="X1807">
        <v>1.080824077695618E-2</v>
      </c>
      <c r="Y1807">
        <v>3.7183718777153659E-3</v>
      </c>
    </row>
    <row r="1808" spans="1:25" x14ac:dyDescent="0.25">
      <c r="A1808" s="1090"/>
      <c r="B1808" s="1448">
        <v>1558</v>
      </c>
      <c r="C1808" s="1094">
        <v>1.0244756625568696</v>
      </c>
      <c r="D1808" s="1094">
        <v>0.98283017775637072</v>
      </c>
      <c r="E1808" s="1094">
        <v>0.98434735766750614</v>
      </c>
      <c r="F1808" s="1094">
        <v>0.9984998708013999</v>
      </c>
      <c r="G1808" s="1094">
        <v>0.99555932242964251</v>
      </c>
      <c r="H1808" s="1094">
        <v>0.95737349730956123</v>
      </c>
      <c r="I1808" s="1094">
        <v>0.98292802957018754</v>
      </c>
      <c r="K1808">
        <v>4.4500903025490759</v>
      </c>
      <c r="L1808">
        <v>0</v>
      </c>
      <c r="M1808">
        <v>1.4205292257681945E-3</v>
      </c>
      <c r="N1808">
        <v>0.11733819277708767</v>
      </c>
      <c r="O1808">
        <v>3.7783595453734935E-2</v>
      </c>
      <c r="P1808">
        <v>1.8836841807464741E-2</v>
      </c>
      <c r="Q1808">
        <v>1.264129177219963E-3</v>
      </c>
      <c r="R1808">
        <v>1.4144339309318825E-3</v>
      </c>
      <c r="S1808">
        <v>0.21977591529344925</v>
      </c>
      <c r="T1808">
        <v>3.9606549269973383</v>
      </c>
      <c r="U1808">
        <v>0</v>
      </c>
      <c r="V1808">
        <v>9.45230535611318E-3</v>
      </c>
      <c r="W1808">
        <v>7.064078004889196E-2</v>
      </c>
      <c r="X1808">
        <v>1.0352412656876447E-2</v>
      </c>
      <c r="Y1808">
        <v>3.9972982757356772E-3</v>
      </c>
    </row>
    <row r="1809" spans="1:25" x14ac:dyDescent="0.25">
      <c r="A1809" s="1090"/>
      <c r="B1809" s="1448">
        <v>1559</v>
      </c>
      <c r="C1809" s="1094">
        <v>0.97843681451735309</v>
      </c>
      <c r="D1809" s="1094">
        <v>0.99927851782276633</v>
      </c>
      <c r="E1809" s="1094">
        <v>0.99284248094997629</v>
      </c>
      <c r="F1809" s="1094">
        <v>1.0373122652023818</v>
      </c>
      <c r="G1809" s="1094">
        <v>0.95629542259835465</v>
      </c>
      <c r="H1809" s="1094">
        <v>1.0113741068894231</v>
      </c>
      <c r="I1809" s="1094">
        <v>1.0045043263970235</v>
      </c>
      <c r="K1809">
        <v>4.6612009021378666</v>
      </c>
      <c r="L1809">
        <v>0</v>
      </c>
      <c r="M1809">
        <v>1.5925944704543987E-3</v>
      </c>
      <c r="N1809">
        <v>0.13495876648623056</v>
      </c>
      <c r="O1809">
        <v>4.076553554398292E-2</v>
      </c>
      <c r="P1809">
        <v>1.976440916295898E-2</v>
      </c>
      <c r="Q1809">
        <v>1.3245308221562712E-3</v>
      </c>
      <c r="R1809">
        <v>1.5863668150113775E-3</v>
      </c>
      <c r="S1809">
        <v>0.24444886005943478</v>
      </c>
      <c r="T1809">
        <v>4.114270936265072</v>
      </c>
      <c r="U1809">
        <v>0</v>
      </c>
      <c r="V1809">
        <v>9.4523053561131904E-3</v>
      </c>
      <c r="W1809">
        <v>8.0780070359582332E-2</v>
      </c>
      <c r="X1809">
        <v>1.0958522005179215E-2</v>
      </c>
      <c r="Y1809">
        <v>4.4831937325990672E-3</v>
      </c>
    </row>
    <row r="1810" spans="1:25" x14ac:dyDescent="0.25">
      <c r="A1810" s="1090"/>
      <c r="B1810" s="1448">
        <v>1560</v>
      </c>
      <c r="C1810" s="1094">
        <v>1.0219230182921371</v>
      </c>
      <c r="D1810" s="1094">
        <v>0.97360371901257536</v>
      </c>
      <c r="E1810" s="1094">
        <v>0.99908639245277608</v>
      </c>
      <c r="F1810" s="1094">
        <v>0.97979180548774802</v>
      </c>
      <c r="G1810" s="1094">
        <v>0.98129914629609771</v>
      </c>
      <c r="H1810" s="1094">
        <v>0.99845485071831563</v>
      </c>
      <c r="I1810" s="1094">
        <v>0.9926602890927988</v>
      </c>
      <c r="K1810">
        <v>4.3856993414545906</v>
      </c>
      <c r="L1810">
        <v>0</v>
      </c>
      <c r="M1810">
        <v>1.4183263764854742E-3</v>
      </c>
      <c r="N1810">
        <v>0.12240131829156627</v>
      </c>
      <c r="O1810">
        <v>3.7210838884100678E-2</v>
      </c>
      <c r="P1810">
        <v>1.8722876922079138E-2</v>
      </c>
      <c r="Q1810">
        <v>1.2883337715405175E-3</v>
      </c>
      <c r="R1810">
        <v>1.4123799803117045E-3</v>
      </c>
      <c r="S1810">
        <v>0.22335486198732427</v>
      </c>
      <c r="T1810">
        <v>3.8858952565519007</v>
      </c>
      <c r="U1810">
        <v>0</v>
      </c>
      <c r="V1810">
        <v>9.4523053561131939E-3</v>
      </c>
      <c r="W1810">
        <v>7.2954389365166919E-2</v>
      </c>
      <c r="X1810">
        <v>1.0433613066500213E-2</v>
      </c>
      <c r="Y1810">
        <v>3.991493654471343E-3</v>
      </c>
    </row>
    <row r="1811" spans="1:25" x14ac:dyDescent="0.25">
      <c r="A1811" s="1090"/>
      <c r="B1811" s="1448">
        <v>1561</v>
      </c>
      <c r="C1811" s="1094">
        <v>1.0207841721917241</v>
      </c>
      <c r="D1811" s="1094">
        <v>0.99936163159046265</v>
      </c>
      <c r="E1811" s="1094">
        <v>0.99721535954722396</v>
      </c>
      <c r="F1811" s="1094">
        <v>0.98712497565857615</v>
      </c>
      <c r="G1811" s="1094">
        <v>0.97128863290239231</v>
      </c>
      <c r="H1811" s="1094">
        <v>0.98556258497629123</v>
      </c>
      <c r="I1811" s="1094">
        <v>0.97099693128237996</v>
      </c>
      <c r="K1811">
        <v>4.4055107704157344</v>
      </c>
      <c r="L1811">
        <v>0</v>
      </c>
      <c r="M1811">
        <v>1.4028641252454678E-3</v>
      </c>
      <c r="N1811">
        <v>0.12039469154667004</v>
      </c>
      <c r="O1811">
        <v>3.7153617846252728E-2</v>
      </c>
      <c r="P1811">
        <v>1.8800888304747774E-2</v>
      </c>
      <c r="Q1811">
        <v>1.2743221751376527E-3</v>
      </c>
      <c r="R1811">
        <v>1.3969496984367752E-3</v>
      </c>
      <c r="S1811">
        <v>0.21714293784739427</v>
      </c>
      <c r="T1811">
        <v>3.9150493127763513</v>
      </c>
      <c r="U1811">
        <v>0</v>
      </c>
      <c r="V1811">
        <v>9.4523053561131852E-3</v>
      </c>
      <c r="W1811">
        <v>7.1849303243384607E-2</v>
      </c>
      <c r="X1811">
        <v>1.0451419246644484E-2</v>
      </c>
      <c r="Y1811">
        <v>3.9478864998465004E-3</v>
      </c>
    </row>
    <row r="1812" spans="1:25" x14ac:dyDescent="0.25">
      <c r="A1812" s="1090"/>
      <c r="B1812" s="1448">
        <v>1562</v>
      </c>
      <c r="C1812" s="1094">
        <v>1.0011471984717162</v>
      </c>
      <c r="D1812" s="1094">
        <v>1.0190554045303133</v>
      </c>
      <c r="E1812" s="1094">
        <v>0.99889460988072321</v>
      </c>
      <c r="F1812" s="1094">
        <v>1.0283234442778586</v>
      </c>
      <c r="G1812" s="1094">
        <v>0.99278643455447457</v>
      </c>
      <c r="H1812" s="1094">
        <v>0.98976544282461953</v>
      </c>
      <c r="I1812" s="1094">
        <v>0.97580186866537533</v>
      </c>
      <c r="K1812">
        <v>4.5944006521076561</v>
      </c>
      <c r="L1812">
        <v>0</v>
      </c>
      <c r="M1812">
        <v>1.4793112261531273E-3</v>
      </c>
      <c r="N1812">
        <v>0.12761252769852782</v>
      </c>
      <c r="O1812">
        <v>3.9144820182961323E-2</v>
      </c>
      <c r="P1812">
        <v>1.9614948433139934E-2</v>
      </c>
      <c r="Q1812">
        <v>1.291073536357056E-3</v>
      </c>
      <c r="R1812">
        <v>1.4733487969906492E-3</v>
      </c>
      <c r="S1812">
        <v>0.22772672460103893</v>
      </c>
      <c r="T1812">
        <v>4.078381278455713</v>
      </c>
      <c r="U1812">
        <v>0</v>
      </c>
      <c r="V1812">
        <v>9.4523053561131869E-3</v>
      </c>
      <c r="W1812">
        <v>7.6070272981483986E-2</v>
      </c>
      <c r="X1812">
        <v>1.0948867106328922E-2</v>
      </c>
      <c r="Y1812">
        <v>4.1637961851549955E-3</v>
      </c>
    </row>
    <row r="1813" spans="1:25" x14ac:dyDescent="0.25">
      <c r="A1813" s="1090"/>
      <c r="B1813" s="1448">
        <v>1563</v>
      </c>
      <c r="C1813" s="1094">
        <v>1.0093608784383303</v>
      </c>
      <c r="D1813" s="1094">
        <v>0.97528422526088798</v>
      </c>
      <c r="E1813" s="1094">
        <v>1.0149897529794014</v>
      </c>
      <c r="F1813" s="1094">
        <v>1.0163652864333066</v>
      </c>
      <c r="G1813" s="1094">
        <v>0.98833452961019663</v>
      </c>
      <c r="H1813" s="1094">
        <v>0.96652028887498231</v>
      </c>
      <c r="I1813" s="1094">
        <v>0.99753891361254887</v>
      </c>
      <c r="K1813">
        <v>4.5456507161076845</v>
      </c>
      <c r="L1813">
        <v>0</v>
      </c>
      <c r="M1813">
        <v>1.3932228135399448E-3</v>
      </c>
      <c r="N1813">
        <v>0.12603510694890921</v>
      </c>
      <c r="O1813">
        <v>3.89421103644675E-2</v>
      </c>
      <c r="P1813">
        <v>1.9641132357510971E-2</v>
      </c>
      <c r="Q1813">
        <v>1.3212755787425018E-3</v>
      </c>
      <c r="R1813">
        <v>1.3874049290000193E-3</v>
      </c>
      <c r="S1813">
        <v>0.23032917033582206</v>
      </c>
      <c r="T1813">
        <v>4.0303338091032783</v>
      </c>
      <c r="U1813">
        <v>0</v>
      </c>
      <c r="V1813">
        <v>9.4523053561132026E-3</v>
      </c>
      <c r="W1813">
        <v>7.4320900956938232E-2</v>
      </c>
      <c r="X1813">
        <v>1.1359810737727342E-2</v>
      </c>
      <c r="Y1813">
        <v>3.920912252709555E-3</v>
      </c>
    </row>
    <row r="1814" spans="1:25" x14ac:dyDescent="0.25">
      <c r="A1814" s="1090"/>
      <c r="B1814" s="1448">
        <v>1564</v>
      </c>
      <c r="C1814" s="1094">
        <v>1.0198149253663851</v>
      </c>
      <c r="D1814" s="1094">
        <v>0.98011944945766849</v>
      </c>
      <c r="E1814" s="1094">
        <v>1.0013348906598658</v>
      </c>
      <c r="F1814" s="1094">
        <v>1.008909137222419</v>
      </c>
      <c r="G1814" s="1094">
        <v>1.0210481097450712</v>
      </c>
      <c r="H1814" s="1094">
        <v>0.96746465487561517</v>
      </c>
      <c r="I1814" s="1094">
        <v>0.99993138970935624</v>
      </c>
      <c r="K1814">
        <v>4.5065934625818782</v>
      </c>
      <c r="L1814">
        <v>0</v>
      </c>
      <c r="M1814">
        <v>1.4074410406736465E-3</v>
      </c>
      <c r="N1814">
        <v>0.1222725907301547</v>
      </c>
      <c r="O1814">
        <v>3.827816940982072E-2</v>
      </c>
      <c r="P1814">
        <v>1.929684030471223E-2</v>
      </c>
      <c r="Q1814">
        <v>1.2900403172120814E-3</v>
      </c>
      <c r="R1814">
        <v>1.4015263040118584E-3</v>
      </c>
      <c r="S1814">
        <v>0.22711715371647626</v>
      </c>
      <c r="T1814">
        <v>4.0012894326846302</v>
      </c>
      <c r="U1814">
        <v>0</v>
      </c>
      <c r="V1814">
        <v>9.4523053561131939E-3</v>
      </c>
      <c r="W1814">
        <v>7.2767011937680676E-2</v>
      </c>
      <c r="X1814">
        <v>1.0875012525128874E-2</v>
      </c>
      <c r="Y1814">
        <v>3.9608203366089927E-3</v>
      </c>
    </row>
    <row r="1815" spans="1:25" x14ac:dyDescent="0.25">
      <c r="A1815" s="1090"/>
      <c r="B1815" s="1448">
        <v>1565</v>
      </c>
      <c r="C1815" s="1094">
        <v>1.0374084562942889</v>
      </c>
      <c r="D1815" s="1094">
        <v>1.0074387477233921</v>
      </c>
      <c r="E1815" s="1094">
        <v>1.039329270355362</v>
      </c>
      <c r="F1815" s="1094">
        <v>1.0054599982055565</v>
      </c>
      <c r="G1815" s="1094">
        <v>1.0024029745062457</v>
      </c>
      <c r="H1815" s="1094">
        <v>0.97994495851569496</v>
      </c>
      <c r="I1815" s="1094">
        <v>0.97522845375309641</v>
      </c>
      <c r="K1815">
        <v>4.4808671823022657</v>
      </c>
      <c r="L1815">
        <v>0</v>
      </c>
      <c r="M1815">
        <v>1.2748361825084677E-3</v>
      </c>
      <c r="N1815">
        <v>0.12393331398544315</v>
      </c>
      <c r="O1815">
        <v>3.6837413856062651E-2</v>
      </c>
      <c r="P1815">
        <v>1.9719752623186412E-2</v>
      </c>
      <c r="Q1815">
        <v>1.2952681835010805E-3</v>
      </c>
      <c r="R1815">
        <v>1.2695288755137338E-3</v>
      </c>
      <c r="S1815">
        <v>0.21634299799160531</v>
      </c>
      <c r="T1815">
        <v>3.9861700622376581</v>
      </c>
      <c r="U1815">
        <v>0</v>
      </c>
      <c r="V1815">
        <v>9.4523053561131973E-3</v>
      </c>
      <c r="W1815">
        <v>7.1910623705111629E-2</v>
      </c>
      <c r="X1815">
        <v>1.1622966144431444E-2</v>
      </c>
      <c r="Y1815">
        <v>3.5877855261463557E-3</v>
      </c>
    </row>
    <row r="1816" spans="1:25" x14ac:dyDescent="0.25">
      <c r="A1816" s="1090"/>
      <c r="B1816" s="1448">
        <v>1566</v>
      </c>
      <c r="C1816" s="1094">
        <v>0.96818336184653619</v>
      </c>
      <c r="D1816" s="1094">
        <v>1.0040509350096227</v>
      </c>
      <c r="E1816" s="1094">
        <v>1.0445203334921895</v>
      </c>
      <c r="F1816" s="1094">
        <v>0.97014454266555072</v>
      </c>
      <c r="G1816" s="1094">
        <v>1.0145504822652116</v>
      </c>
      <c r="H1816" s="1094">
        <v>0.99866887947116756</v>
      </c>
      <c r="I1816" s="1094">
        <v>1.038496406433983</v>
      </c>
      <c r="K1816">
        <v>4.3796254340423681</v>
      </c>
      <c r="L1816">
        <v>0</v>
      </c>
      <c r="M1816">
        <v>1.330485055963553E-3</v>
      </c>
      <c r="N1816">
        <v>0.13133253148910573</v>
      </c>
      <c r="O1816">
        <v>3.8100403297449147E-2</v>
      </c>
      <c r="P1816">
        <v>1.9258498666977569E-2</v>
      </c>
      <c r="Q1816">
        <v>1.3957849664837339E-3</v>
      </c>
      <c r="R1816">
        <v>1.3248529105859199E-3</v>
      </c>
      <c r="S1816">
        <v>0.24271166369984784</v>
      </c>
      <c r="T1816">
        <v>3.8459732753714668</v>
      </c>
      <c r="U1816">
        <v>0</v>
      </c>
      <c r="V1816">
        <v>9.4523053561131973E-3</v>
      </c>
      <c r="W1816">
        <v>7.5944459191452734E-2</v>
      </c>
      <c r="X1816">
        <v>1.1718008675794679E-2</v>
      </c>
      <c r="Y1816">
        <v>3.7441354730506195E-3</v>
      </c>
    </row>
    <row r="1817" spans="1:25" x14ac:dyDescent="0.25">
      <c r="A1817" s="1090"/>
      <c r="B1817" s="1448">
        <v>1567</v>
      </c>
      <c r="C1817" s="1094">
        <v>0.99947563792622174</v>
      </c>
      <c r="D1817" s="1094">
        <v>1.0198437302145897</v>
      </c>
      <c r="E1817" s="1094">
        <v>0.97816909327263557</v>
      </c>
      <c r="F1817" s="1094">
        <v>0.99481106753215709</v>
      </c>
      <c r="G1817" s="1094">
        <v>1.0190531634093944</v>
      </c>
      <c r="H1817" s="1094">
        <v>0.9934677443321358</v>
      </c>
      <c r="I1817" s="1094">
        <v>1.0435529099932495</v>
      </c>
      <c r="K1817">
        <v>4.4624643203981638</v>
      </c>
      <c r="L1817">
        <v>0</v>
      </c>
      <c r="M1817">
        <v>1.5026683709005824E-3</v>
      </c>
      <c r="N1817">
        <v>0.12188561822158336</v>
      </c>
      <c r="O1817">
        <v>3.8060985540781182E-2</v>
      </c>
      <c r="P1817">
        <v>1.8769308074300925E-2</v>
      </c>
      <c r="Q1817">
        <v>1.2699061100151083E-3</v>
      </c>
      <c r="R1817">
        <v>1.4964319400840123E-3</v>
      </c>
      <c r="S1817">
        <v>0.23874406706168078</v>
      </c>
      <c r="T1817">
        <v>3.9462590938694424</v>
      </c>
      <c r="U1817">
        <v>0</v>
      </c>
      <c r="V1817">
        <v>9.4523053561131973E-3</v>
      </c>
      <c r="W1817">
        <v>7.3689450404966342E-2</v>
      </c>
      <c r="X1817">
        <v>1.01107912802393E-2</v>
      </c>
      <c r="Y1817">
        <v>4.2290309098514467E-3</v>
      </c>
    </row>
    <row r="1818" spans="1:25" x14ac:dyDescent="0.25">
      <c r="A1818" s="1090"/>
      <c r="B1818" s="1448">
        <v>1568</v>
      </c>
      <c r="C1818" s="1094">
        <v>0.98908348522147493</v>
      </c>
      <c r="D1818" s="1094">
        <v>0.99185874418799624</v>
      </c>
      <c r="E1818" s="1094">
        <v>0.9844245422311364</v>
      </c>
      <c r="F1818" s="1094">
        <v>1.0035681913639034</v>
      </c>
      <c r="G1818" s="1094">
        <v>0.97402670940710845</v>
      </c>
      <c r="H1818" s="1094">
        <v>0.97983475464656655</v>
      </c>
      <c r="I1818" s="1094">
        <v>0.97318421752004969</v>
      </c>
      <c r="K1818">
        <v>4.4911534267935158</v>
      </c>
      <c r="L1818">
        <v>0</v>
      </c>
      <c r="M1818">
        <v>1.5077218000525523E-3</v>
      </c>
      <c r="N1818">
        <v>0.12458391327785133</v>
      </c>
      <c r="O1818">
        <v>3.9190098248451641E-2</v>
      </c>
      <c r="P1818">
        <v>1.8961735773367024E-2</v>
      </c>
      <c r="Q1818">
        <v>1.3046698581195143E-3</v>
      </c>
      <c r="R1818">
        <v>1.5014324689992357E-3</v>
      </c>
      <c r="S1818">
        <v>0.22720847679495104</v>
      </c>
      <c r="T1818">
        <v>3.9807559822120187</v>
      </c>
      <c r="U1818">
        <v>0</v>
      </c>
      <c r="V1818">
        <v>9.4523053561131939E-3</v>
      </c>
      <c r="W1818">
        <v>7.4998946320410653E-2</v>
      </c>
      <c r="X1818">
        <v>1.0460425496945213E-2</v>
      </c>
      <c r="Y1818">
        <v>4.2431627863381898E-3</v>
      </c>
    </row>
    <row r="1819" spans="1:25" x14ac:dyDescent="0.25">
      <c r="A1819" s="1090"/>
      <c r="B1819" s="1448">
        <v>1569</v>
      </c>
      <c r="C1819" s="1094">
        <v>1.0022863114260963</v>
      </c>
      <c r="D1819" s="1094">
        <v>1.0240933850043734</v>
      </c>
      <c r="E1819" s="1094">
        <v>1.0008120872138695</v>
      </c>
      <c r="F1819" s="1094">
        <v>0.9571304159940347</v>
      </c>
      <c r="G1819" s="1094">
        <v>1.0045331033600631</v>
      </c>
      <c r="H1819" s="1094">
        <v>0.98616706868753012</v>
      </c>
      <c r="I1819" s="1094">
        <v>1.0187476878441566</v>
      </c>
      <c r="K1819">
        <v>4.2896276607652428</v>
      </c>
      <c r="L1819">
        <v>0</v>
      </c>
      <c r="M1819">
        <v>1.3625227084617681E-3</v>
      </c>
      <c r="N1819">
        <v>0.11817017090014971</v>
      </c>
      <c r="O1819">
        <v>3.6309158811527652E-2</v>
      </c>
      <c r="P1819">
        <v>1.8347980519234204E-2</v>
      </c>
      <c r="Q1819">
        <v>1.289181812764266E-3</v>
      </c>
      <c r="R1819">
        <v>1.3566027455021641E-3</v>
      </c>
      <c r="S1819">
        <v>0.22563500169090461</v>
      </c>
      <c r="T1819">
        <v>3.7959563382914299</v>
      </c>
      <c r="U1819">
        <v>0</v>
      </c>
      <c r="V1819">
        <v>9.4523053561131973E-3</v>
      </c>
      <c r="W1819">
        <v>7.0350410683413689E-2</v>
      </c>
      <c r="X1819">
        <v>1.0289169732152385E-2</v>
      </c>
      <c r="Y1819">
        <v>3.833862930509151E-3</v>
      </c>
    </row>
    <row r="1820" spans="1:25" x14ac:dyDescent="0.25">
      <c r="A1820" s="1090"/>
      <c r="B1820" s="1448">
        <v>1570</v>
      </c>
      <c r="C1820" s="1094">
        <v>0.99462311709417517</v>
      </c>
      <c r="D1820" s="1094">
        <v>0.99207522563826667</v>
      </c>
      <c r="E1820" s="1094">
        <v>1.032761745712248</v>
      </c>
      <c r="F1820" s="1094">
        <v>1.03191600212996</v>
      </c>
      <c r="G1820" s="1094">
        <v>1.0014218276256663</v>
      </c>
      <c r="H1820" s="1094">
        <v>1.0016350628286672</v>
      </c>
      <c r="I1820" s="1094">
        <v>1.001439224867718</v>
      </c>
      <c r="K1820">
        <v>4.6314243725821829</v>
      </c>
      <c r="L1820">
        <v>0</v>
      </c>
      <c r="M1820">
        <v>1.4229725984695482E-3</v>
      </c>
      <c r="N1820">
        <v>0.1357020188672636</v>
      </c>
      <c r="O1820">
        <v>3.9723317078780268E-2</v>
      </c>
      <c r="P1820">
        <v>2.0220273939344252E-2</v>
      </c>
      <c r="Q1820">
        <v>1.3518587549611095E-3</v>
      </c>
      <c r="R1820">
        <v>1.4173248622320889E-3</v>
      </c>
      <c r="S1820">
        <v>0.23863199793700404</v>
      </c>
      <c r="T1820">
        <v>4.0913090252942315</v>
      </c>
      <c r="U1820">
        <v>0</v>
      </c>
      <c r="V1820">
        <v>9.4523053561131991E-3</v>
      </c>
      <c r="W1820">
        <v>7.9081098180486337E-2</v>
      </c>
      <c r="X1820">
        <v>1.1952656641929786E-2</v>
      </c>
      <c r="Y1820">
        <v>4.0054682683022249E-3</v>
      </c>
    </row>
    <row r="1821" spans="1:25" x14ac:dyDescent="0.25">
      <c r="A1821" s="1090"/>
      <c r="B1821" s="1448">
        <v>1571</v>
      </c>
      <c r="C1821" s="1094">
        <v>1.0289039418414274</v>
      </c>
      <c r="D1821" s="1094">
        <v>1.0000887213110181</v>
      </c>
      <c r="E1821" s="1094">
        <v>1.0053593963618972</v>
      </c>
      <c r="F1821" s="1094">
        <v>1.0033501336268351</v>
      </c>
      <c r="G1821" s="1094">
        <v>1.0347607567098029</v>
      </c>
      <c r="H1821" s="1094">
        <v>0.99524307855659211</v>
      </c>
      <c r="I1821" s="1094">
        <v>0.97626856890560876</v>
      </c>
      <c r="K1821">
        <v>4.4774583026051706</v>
      </c>
      <c r="L1821">
        <v>0</v>
      </c>
      <c r="M1821">
        <v>1.4037654217538686E-3</v>
      </c>
      <c r="N1821">
        <v>0.12342757920294856</v>
      </c>
      <c r="O1821">
        <v>3.7400843860192927E-2</v>
      </c>
      <c r="P1821">
        <v>1.9219084366922112E-2</v>
      </c>
      <c r="Q1821">
        <v>1.2727431207783838E-3</v>
      </c>
      <c r="R1821">
        <v>1.3979991455073811E-3</v>
      </c>
      <c r="S1821">
        <v>0.21963977537430085</v>
      </c>
      <c r="T1821">
        <v>3.9790891499792007</v>
      </c>
      <c r="U1821">
        <v>0</v>
      </c>
      <c r="V1821">
        <v>9.4523053561131869E-3</v>
      </c>
      <c r="W1821">
        <v>7.3255293037734842E-2</v>
      </c>
      <c r="X1821">
        <v>1.0756442265836223E-2</v>
      </c>
      <c r="Y1821">
        <v>3.9508523173895265E-3</v>
      </c>
    </row>
    <row r="1822" spans="1:25" x14ac:dyDescent="0.25">
      <c r="A1822" s="1090"/>
      <c r="B1822" s="1448">
        <v>1572</v>
      </c>
      <c r="C1822" s="1094">
        <v>1.0104195972676189</v>
      </c>
      <c r="D1822" s="1094">
        <v>1.0005869764207116</v>
      </c>
      <c r="E1822" s="1094">
        <v>0.97511383952454556</v>
      </c>
      <c r="F1822" s="1094">
        <v>1.0160426267060811</v>
      </c>
      <c r="G1822" s="1094">
        <v>0.99432453960399036</v>
      </c>
      <c r="H1822" s="1094">
        <v>0.99201040265601792</v>
      </c>
      <c r="I1822" s="1094">
        <v>1.0108352607280311</v>
      </c>
      <c r="K1822">
        <v>4.5454055518687113</v>
      </c>
      <c r="L1822">
        <v>0</v>
      </c>
      <c r="M1822">
        <v>1.5371828500773421E-3</v>
      </c>
      <c r="N1822">
        <v>0.12356958921665705</v>
      </c>
      <c r="O1822">
        <v>3.8767580759158871E-2</v>
      </c>
      <c r="P1822">
        <v>1.9077821056993103E-2</v>
      </c>
      <c r="Q1822">
        <v>1.2624068196705064E-3</v>
      </c>
      <c r="R1822">
        <v>1.5309267723156883E-3</v>
      </c>
      <c r="S1822">
        <v>0.23327371638316702</v>
      </c>
      <c r="T1822">
        <v>4.0306009108658882</v>
      </c>
      <c r="U1822">
        <v>0</v>
      </c>
      <c r="V1822">
        <v>9.4523053561131973E-3</v>
      </c>
      <c r="W1822">
        <v>7.4864448379737922E-2</v>
      </c>
      <c r="X1822">
        <v>1.0216513169787963E-2</v>
      </c>
      <c r="Y1822">
        <v>4.3265159392940206E-3</v>
      </c>
    </row>
    <row r="1823" spans="1:25" x14ac:dyDescent="0.25">
      <c r="A1823" s="1090"/>
      <c r="B1823" s="1448">
        <v>1573</v>
      </c>
      <c r="C1823" s="1094">
        <v>1.0147460844550722</v>
      </c>
      <c r="D1823" s="1094">
        <v>0.99841400056928831</v>
      </c>
      <c r="E1823" s="1094">
        <v>0.99305419235206771</v>
      </c>
      <c r="F1823" s="1094">
        <v>1.0174393709170988</v>
      </c>
      <c r="G1823" s="1094">
        <v>0.97042750413600953</v>
      </c>
      <c r="H1823" s="1094">
        <v>0.98294790818021471</v>
      </c>
      <c r="I1823" s="1094">
        <v>0.97681300813363126</v>
      </c>
      <c r="K1823">
        <v>4.5413718973489381</v>
      </c>
      <c r="L1823">
        <v>0</v>
      </c>
      <c r="M1823">
        <v>1.4638237428242691E-3</v>
      </c>
      <c r="N1823">
        <v>0.12410058156786284</v>
      </c>
      <c r="O1823">
        <v>3.8565727636014985E-2</v>
      </c>
      <c r="P1823">
        <v>1.9318923371741993E-2</v>
      </c>
      <c r="Q1823">
        <v>1.2778120511094833E-3</v>
      </c>
      <c r="R1823">
        <v>1.4578195184267557E-3</v>
      </c>
      <c r="S1823">
        <v>0.22414429807325553</v>
      </c>
      <c r="T1823">
        <v>4.0354412412282592</v>
      </c>
      <c r="U1823">
        <v>0</v>
      </c>
      <c r="V1823">
        <v>9.4523053561131817E-3</v>
      </c>
      <c r="W1823">
        <v>7.4270184369291697E-2</v>
      </c>
      <c r="X1823">
        <v>1.068691866135719E-2</v>
      </c>
      <c r="Y1823">
        <v>4.1199092583291E-3</v>
      </c>
    </row>
    <row r="1824" spans="1:25" x14ac:dyDescent="0.25">
      <c r="A1824" s="1090"/>
      <c r="B1824" s="1448">
        <v>1574</v>
      </c>
      <c r="C1824" s="1094">
        <v>0.97887494601744862</v>
      </c>
      <c r="D1824" s="1094">
        <v>0.99385198833327981</v>
      </c>
      <c r="E1824" s="1094">
        <v>0.9905718175689896</v>
      </c>
      <c r="F1824" s="1094">
        <v>1.004108142805362</v>
      </c>
      <c r="G1824" s="1094">
        <v>0.98354484347460347</v>
      </c>
      <c r="H1824" s="1094">
        <v>0.99641725318500929</v>
      </c>
      <c r="I1824" s="1094">
        <v>1.0178257088439153</v>
      </c>
      <c r="K1824">
        <v>4.5141999006519518</v>
      </c>
      <c r="L1824">
        <v>0</v>
      </c>
      <c r="M1824">
        <v>1.5289312108496031E-3</v>
      </c>
      <c r="N1824">
        <v>0.12867007955182247</v>
      </c>
      <c r="O1824">
        <v>3.9544993301359833E-2</v>
      </c>
      <c r="P1824">
        <v>1.9122345780172755E-2</v>
      </c>
      <c r="Q1824">
        <v>1.3242316141734152E-3</v>
      </c>
      <c r="R1824">
        <v>1.5226629055395643E-3</v>
      </c>
      <c r="S1824">
        <v>0.24136545650069574</v>
      </c>
      <c r="T1824">
        <v>3.9826612642106536</v>
      </c>
      <c r="U1824">
        <v>0</v>
      </c>
      <c r="V1824">
        <v>9.4523053561131939E-3</v>
      </c>
      <c r="W1824">
        <v>7.7134907954112611E-2</v>
      </c>
      <c r="X1824">
        <v>1.0627423067287641E-2</v>
      </c>
      <c r="Y1824">
        <v>4.3031616208683097E-3</v>
      </c>
    </row>
    <row r="1825" spans="1:25" x14ac:dyDescent="0.25">
      <c r="A1825" s="1090"/>
      <c r="B1825" s="1448">
        <v>1575</v>
      </c>
      <c r="C1825" s="1094">
        <v>1.0320476755652055</v>
      </c>
      <c r="D1825" s="1094">
        <v>0.98246863623857139</v>
      </c>
      <c r="E1825" s="1094">
        <v>0.97846228990284256</v>
      </c>
      <c r="F1825" s="1094">
        <v>1.0437257826842299</v>
      </c>
      <c r="G1825" s="1094">
        <v>1.0456126260142493</v>
      </c>
      <c r="H1825" s="1094">
        <v>0.96767667087084341</v>
      </c>
      <c r="I1825" s="1094">
        <v>0.99966381532740467</v>
      </c>
      <c r="K1825">
        <v>4.6505644021713586</v>
      </c>
      <c r="L1825">
        <v>0</v>
      </c>
      <c r="M1825">
        <v>1.5083172712736545E-3</v>
      </c>
      <c r="N1825">
        <v>0.12246117331184533</v>
      </c>
      <c r="O1825">
        <v>3.9251988017996835E-2</v>
      </c>
      <c r="P1825">
        <v>1.9600149315172028E-2</v>
      </c>
      <c r="Q1825">
        <v>1.2486499036023378E-3</v>
      </c>
      <c r="R1825">
        <v>1.5021905617236422E-3</v>
      </c>
      <c r="S1825">
        <v>0.22941643260132558</v>
      </c>
      <c r="T1825">
        <v>4.1402843015080313</v>
      </c>
      <c r="U1825">
        <v>0</v>
      </c>
      <c r="V1825">
        <v>9.4523053561131904E-3</v>
      </c>
      <c r="W1825">
        <v>7.4022530650434529E-2</v>
      </c>
      <c r="X1825">
        <v>1.0587693002131714E-2</v>
      </c>
      <c r="Y1825">
        <v>4.2453052142550031E-3</v>
      </c>
    </row>
    <row r="1826" spans="1:25" x14ac:dyDescent="0.25">
      <c r="A1826" s="1090"/>
      <c r="B1826" s="1448">
        <v>1576</v>
      </c>
      <c r="C1826" s="1094">
        <v>0.97538336076728271</v>
      </c>
      <c r="D1826" s="1094">
        <v>1.0257993502905884</v>
      </c>
      <c r="E1826" s="1094">
        <v>1.0302907688099803</v>
      </c>
      <c r="F1826" s="1094">
        <v>0.98386444543222196</v>
      </c>
      <c r="G1826" s="1094">
        <v>0.97721577918767843</v>
      </c>
      <c r="H1826" s="1094">
        <v>0.99060561978097716</v>
      </c>
      <c r="I1826" s="1094">
        <v>1.0190492827569786</v>
      </c>
      <c r="K1826">
        <v>4.4242979853502344</v>
      </c>
      <c r="L1826">
        <v>0</v>
      </c>
      <c r="M1826">
        <v>1.3574063036895004E-3</v>
      </c>
      <c r="N1826">
        <v>0.12847629565544469</v>
      </c>
      <c r="O1826">
        <v>3.8124694528499113E-2</v>
      </c>
      <c r="P1826">
        <v>1.9288370365075691E-2</v>
      </c>
      <c r="Q1826">
        <v>1.3573939183467987E-3</v>
      </c>
      <c r="R1826">
        <v>1.3516938692571846E-3</v>
      </c>
      <c r="S1826">
        <v>0.23648013008311741</v>
      </c>
      <c r="T1826">
        <v>3.9008868267127652</v>
      </c>
      <c r="U1826">
        <v>0</v>
      </c>
      <c r="V1826">
        <v>9.4523053561131869E-3</v>
      </c>
      <c r="W1826">
        <v>7.4992770986760646E-2</v>
      </c>
      <c r="X1826">
        <v>1.1424920107079685E-2</v>
      </c>
      <c r="Y1826">
        <v>3.819990071465868E-3</v>
      </c>
    </row>
    <row r="1827" spans="1:25" x14ac:dyDescent="0.25">
      <c r="A1827" s="1090"/>
      <c r="B1827" s="1448">
        <v>1577</v>
      </c>
      <c r="C1827" s="1094">
        <v>1.0415904901204489</v>
      </c>
      <c r="D1827" s="1094">
        <v>0.99730993791641864</v>
      </c>
      <c r="E1827" s="1094">
        <v>1.0180299935446433</v>
      </c>
      <c r="F1827" s="1094">
        <v>1.0344537895665207</v>
      </c>
      <c r="G1827" s="1094">
        <v>0.9837875513614236</v>
      </c>
      <c r="H1827" s="1094">
        <v>1.0255977836387626</v>
      </c>
      <c r="I1827" s="1094">
        <v>0.99856645224655827</v>
      </c>
      <c r="K1827">
        <v>4.6233382502937781</v>
      </c>
      <c r="L1827">
        <v>0</v>
      </c>
      <c r="M1827">
        <v>1.4358185645731378E-3</v>
      </c>
      <c r="N1827">
        <v>0.13110301938035096</v>
      </c>
      <c r="O1827">
        <v>3.804636925670192E-2</v>
      </c>
      <c r="P1827">
        <v>2.0009221676692012E-2</v>
      </c>
      <c r="Q1827">
        <v>1.2722810962117203E-3</v>
      </c>
      <c r="R1827">
        <v>1.4302665913073381E-3</v>
      </c>
      <c r="S1827">
        <v>0.22904371824024042</v>
      </c>
      <c r="T1827">
        <v>4.1019438576525369</v>
      </c>
      <c r="U1827">
        <v>0</v>
      </c>
      <c r="V1827">
        <v>9.4523053561131956E-3</v>
      </c>
      <c r="W1827">
        <v>7.7152437016314329E-2</v>
      </c>
      <c r="X1827">
        <v>1.1278550009156648E-2</v>
      </c>
      <c r="Y1827">
        <v>4.042042582723151E-3</v>
      </c>
    </row>
    <row r="1828" spans="1:25" x14ac:dyDescent="0.25">
      <c r="A1828" s="1090"/>
      <c r="B1828" s="1448">
        <v>1578</v>
      </c>
      <c r="C1828" s="1094">
        <v>1.043501042236137</v>
      </c>
      <c r="D1828" s="1094">
        <v>0.99680557504292788</v>
      </c>
      <c r="E1828" s="1094">
        <v>0.98430298459344401</v>
      </c>
      <c r="F1828" s="1094">
        <v>1.0020917572189834</v>
      </c>
      <c r="G1828" s="1094">
        <v>1.0021622086400102</v>
      </c>
      <c r="H1828" s="1094">
        <v>1.0107020169256304</v>
      </c>
      <c r="I1828" s="1094">
        <v>1.0037979929370946</v>
      </c>
      <c r="K1828">
        <v>4.4740945454553431</v>
      </c>
      <c r="L1828">
        <v>0</v>
      </c>
      <c r="M1828">
        <v>1.4694047491417208E-3</v>
      </c>
      <c r="N1828">
        <v>0.12138878371994598</v>
      </c>
      <c r="O1828">
        <v>3.7018784601980416E-2</v>
      </c>
      <c r="P1828">
        <v>1.8918533063927788E-2</v>
      </c>
      <c r="Q1828">
        <v>1.2340442766775727E-3</v>
      </c>
      <c r="R1828">
        <v>1.4634537324255514E-3</v>
      </c>
      <c r="S1828">
        <v>0.22383806911467349</v>
      </c>
      <c r="T1828">
        <v>3.9749042291282795</v>
      </c>
      <c r="U1828">
        <v>0</v>
      </c>
      <c r="V1828">
        <v>9.4523053561131835E-3</v>
      </c>
      <c r="W1828">
        <v>7.3081561057191158E-2</v>
      </c>
      <c r="X1828">
        <v>1.012835417603053E-2</v>
      </c>
      <c r="Y1828">
        <v>4.1358319772415875E-3</v>
      </c>
    </row>
    <row r="1829" spans="1:25" x14ac:dyDescent="0.25">
      <c r="A1829" s="1090"/>
      <c r="B1829" s="1448">
        <v>1579</v>
      </c>
      <c r="C1829" s="1094">
        <v>0.99978979789725453</v>
      </c>
      <c r="D1829" s="1094">
        <v>0.98849521385720418</v>
      </c>
      <c r="E1829" s="1094">
        <v>1.0249863139381432</v>
      </c>
      <c r="F1829" s="1094">
        <v>1.0110688204655962</v>
      </c>
      <c r="G1829" s="1094">
        <v>0.98153827830117468</v>
      </c>
      <c r="H1829" s="1094">
        <v>0.99298491348626128</v>
      </c>
      <c r="I1829" s="1094">
        <v>1.0357019860444341</v>
      </c>
      <c r="K1829">
        <v>4.5423683742786727</v>
      </c>
      <c r="L1829">
        <v>0</v>
      </c>
      <c r="M1829">
        <v>1.3999806801658513E-3</v>
      </c>
      <c r="N1829">
        <v>0.13045983604730671</v>
      </c>
      <c r="O1829">
        <v>3.8830169396883836E-2</v>
      </c>
      <c r="P1829">
        <v>1.9739076163113756E-2</v>
      </c>
      <c r="Q1829">
        <v>1.3380355856871717E-3</v>
      </c>
      <c r="R1829">
        <v>1.3942606961960455E-3</v>
      </c>
      <c r="S1829">
        <v>0.24171491231213757</v>
      </c>
      <c r="T1829">
        <v>4.0089498836800344</v>
      </c>
      <c r="U1829">
        <v>0</v>
      </c>
      <c r="V1829">
        <v>9.4523053561131904E-3</v>
      </c>
      <c r="W1829">
        <v>7.6419009724245895E-2</v>
      </c>
      <c r="X1829">
        <v>1.1530578822900227E-2</v>
      </c>
      <c r="Y1829">
        <v>3.9402871742185881E-3</v>
      </c>
    </row>
    <row r="1830" spans="1:25" x14ac:dyDescent="0.25">
      <c r="A1830" s="1090"/>
      <c r="B1830" s="1448">
        <v>1580</v>
      </c>
      <c r="C1830" s="1094">
        <v>1.0143437561026991</v>
      </c>
      <c r="D1830" s="1094">
        <v>1.0065259690244879</v>
      </c>
      <c r="E1830" s="1094">
        <v>0.97373052720904663</v>
      </c>
      <c r="F1830" s="1094">
        <v>1.0088750008117462</v>
      </c>
      <c r="G1830" s="1094">
        <v>1.0345372260193257</v>
      </c>
      <c r="H1830" s="1094">
        <v>0.98886090959001827</v>
      </c>
      <c r="I1830" s="1094">
        <v>1.0071265584164539</v>
      </c>
      <c r="K1830">
        <v>4.5092468223866105</v>
      </c>
      <c r="L1830">
        <v>0</v>
      </c>
      <c r="M1830">
        <v>1.5164602332873316E-3</v>
      </c>
      <c r="N1830">
        <v>0.12139908828253443</v>
      </c>
      <c r="O1830">
        <v>3.8263894100376394E-2</v>
      </c>
      <c r="P1830">
        <v>1.891547523977832E-2</v>
      </c>
      <c r="Q1830">
        <v>1.2530388392967406E-3</v>
      </c>
      <c r="R1830">
        <v>1.5102250279234758E-3</v>
      </c>
      <c r="S1830">
        <v>0.22976161013224036</v>
      </c>
      <c r="T1830">
        <v>4.0022210304448151</v>
      </c>
      <c r="U1830">
        <v>0</v>
      </c>
      <c r="V1830">
        <v>9.4523053561131817E-3</v>
      </c>
      <c r="W1830">
        <v>7.3619459378057028E-2</v>
      </c>
      <c r="X1830">
        <v>1.0099144589626421E-2</v>
      </c>
      <c r="Y1830">
        <v>4.2680112291382123E-3</v>
      </c>
    </row>
    <row r="1831" spans="1:25" x14ac:dyDescent="0.25">
      <c r="A1831" s="1090"/>
      <c r="B1831" s="1448">
        <v>1581</v>
      </c>
      <c r="C1831" s="1094">
        <v>1.0052360935763081</v>
      </c>
      <c r="D1831" s="1094">
        <v>0.98652649390113278</v>
      </c>
      <c r="E1831" s="1094">
        <v>0.99169338881320113</v>
      </c>
      <c r="F1831" s="1094">
        <v>1.040717016636503</v>
      </c>
      <c r="G1831" s="1094">
        <v>1.0023546708311772</v>
      </c>
      <c r="H1831" s="1094">
        <v>1.0082984260470027</v>
      </c>
      <c r="I1831" s="1094">
        <v>0.99491326048779338</v>
      </c>
      <c r="K1831">
        <v>4.6614511970529131</v>
      </c>
      <c r="L1831">
        <v>0</v>
      </c>
      <c r="M1831">
        <v>1.5622319149108564E-3</v>
      </c>
      <c r="N1831">
        <v>0.13193568527220603</v>
      </c>
      <c r="O1831">
        <v>4.0022217088216523E-2</v>
      </c>
      <c r="P1831">
        <v>1.9774306209739634E-2</v>
      </c>
      <c r="Q1831">
        <v>1.2945776104444496E-3</v>
      </c>
      <c r="R1831">
        <v>1.5561243218001244E-3</v>
      </c>
      <c r="S1831">
        <v>0.23685720396726961</v>
      </c>
      <c r="T1831">
        <v>4.1278208461807901</v>
      </c>
      <c r="U1831">
        <v>0</v>
      </c>
      <c r="V1831">
        <v>9.4523053561131904E-3</v>
      </c>
      <c r="W1831">
        <v>7.9032272750008542E-2</v>
      </c>
      <c r="X1831">
        <v>1.0870164073355781E-2</v>
      </c>
      <c r="Y1831">
        <v>4.3977261378789359E-3</v>
      </c>
    </row>
    <row r="1832" spans="1:25" x14ac:dyDescent="0.25">
      <c r="A1832" s="1090"/>
      <c r="B1832" s="1448">
        <v>1582</v>
      </c>
      <c r="C1832" s="1094">
        <v>0.97478836610970709</v>
      </c>
      <c r="D1832" s="1094">
        <v>1.0212694190399176</v>
      </c>
      <c r="E1832" s="1094">
        <v>0.98996882870885572</v>
      </c>
      <c r="F1832" s="1094">
        <v>1.0024139240928689</v>
      </c>
      <c r="G1832" s="1094">
        <v>0.99501032748552831</v>
      </c>
      <c r="H1832" s="1094">
        <v>1.0116384344926537</v>
      </c>
      <c r="I1832" s="1094">
        <v>1.0357076808003864</v>
      </c>
      <c r="K1832">
        <v>4.5126086290591765</v>
      </c>
      <c r="L1832">
        <v>0</v>
      </c>
      <c r="M1832">
        <v>1.5412806006211441E-3</v>
      </c>
      <c r="N1832">
        <v>0.12948479871846344</v>
      </c>
      <c r="O1832">
        <v>3.9218792418678886E-2</v>
      </c>
      <c r="P1832">
        <v>1.9102381562629007E-2</v>
      </c>
      <c r="Q1832">
        <v>1.3147026879803657E-3</v>
      </c>
      <c r="R1832">
        <v>1.5350462643288192E-3</v>
      </c>
      <c r="S1832">
        <v>0.24555946432740852</v>
      </c>
      <c r="T1832">
        <v>3.9759644984586004</v>
      </c>
      <c r="U1832">
        <v>0</v>
      </c>
      <c r="V1832">
        <v>9.4523053561131973E-3</v>
      </c>
      <c r="W1832">
        <v>7.7655165628051234E-2</v>
      </c>
      <c r="X1832">
        <v>1.0524596299307853E-2</v>
      </c>
      <c r="Y1832">
        <v>4.3381579382314643E-3</v>
      </c>
    </row>
    <row r="1833" spans="1:25" x14ac:dyDescent="0.25">
      <c r="A1833" s="1090"/>
      <c r="B1833" s="1448">
        <v>1583</v>
      </c>
      <c r="C1833" s="1094">
        <v>0.99449447035425831</v>
      </c>
      <c r="D1833" s="1094">
        <v>0.98657212302145425</v>
      </c>
      <c r="E1833" s="1094">
        <v>0.99814080460552401</v>
      </c>
      <c r="F1833" s="1094">
        <v>0.98094164277160756</v>
      </c>
      <c r="G1833" s="1094">
        <v>0.99292844406563274</v>
      </c>
      <c r="H1833" s="1094">
        <v>1.0289571991360327</v>
      </c>
      <c r="I1833" s="1094">
        <v>0.982506774607948</v>
      </c>
      <c r="K1833">
        <v>4.4073389370431624</v>
      </c>
      <c r="L1833">
        <v>0</v>
      </c>
      <c r="M1833">
        <v>1.4987669318186701E-3</v>
      </c>
      <c r="N1833">
        <v>0.12899812046551654</v>
      </c>
      <c r="O1833">
        <v>3.8086354337028477E-2</v>
      </c>
      <c r="P1833">
        <v>1.875469624444423E-2</v>
      </c>
      <c r="Q1833">
        <v>1.3158103305274771E-3</v>
      </c>
      <c r="R1833">
        <v>1.4926766744373244E-3</v>
      </c>
      <c r="S1833">
        <v>0.22867035494617072</v>
      </c>
      <c r="T1833">
        <v>3.890490905762765</v>
      </c>
      <c r="U1833">
        <v>0</v>
      </c>
      <c r="V1833">
        <v>9.4523053561131869E-3</v>
      </c>
      <c r="W1833">
        <v>7.69354560002634E-2</v>
      </c>
      <c r="X1833">
        <v>1.0422605615283825E-2</v>
      </c>
      <c r="Y1833">
        <v>4.2184182424329364E-3</v>
      </c>
    </row>
    <row r="1834" spans="1:25" x14ac:dyDescent="0.25">
      <c r="A1834" s="1090"/>
      <c r="B1834" s="1448">
        <v>1584</v>
      </c>
      <c r="C1834" s="1094">
        <v>1.0329339534592346</v>
      </c>
      <c r="D1834" s="1094">
        <v>1.03379351400061</v>
      </c>
      <c r="E1834" s="1094">
        <v>0.96306767983589403</v>
      </c>
      <c r="F1834" s="1094">
        <v>1.0018678381179706</v>
      </c>
      <c r="G1834" s="1094">
        <v>0.98233510130525414</v>
      </c>
      <c r="H1834" s="1094">
        <v>0.96709849217519239</v>
      </c>
      <c r="I1834" s="1094">
        <v>1.0066790911514341</v>
      </c>
      <c r="K1834">
        <v>4.4588239230890689</v>
      </c>
      <c r="L1834">
        <v>0</v>
      </c>
      <c r="M1834">
        <v>1.4632701865911787E-3</v>
      </c>
      <c r="N1834">
        <v>0.11347564786608202</v>
      </c>
      <c r="O1834">
        <v>3.6987104744673718E-2</v>
      </c>
      <c r="P1834">
        <v>1.8601918092736432E-2</v>
      </c>
      <c r="Q1834">
        <v>1.2061018386911647E-3</v>
      </c>
      <c r="R1834">
        <v>1.4570754429474161E-3</v>
      </c>
      <c r="S1834">
        <v>0.22108601890815915</v>
      </c>
      <c r="T1834">
        <v>3.9748365898250939</v>
      </c>
      <c r="U1834">
        <v>0</v>
      </c>
      <c r="V1834">
        <v>9.4523053561131904E-3</v>
      </c>
      <c r="W1834">
        <v>6.932307709399077E-2</v>
      </c>
      <c r="X1834">
        <v>9.7435476629550329E-3</v>
      </c>
      <c r="Y1834">
        <v>4.1178064442170112E-3</v>
      </c>
    </row>
    <row r="1835" spans="1:25" x14ac:dyDescent="0.25">
      <c r="A1835" s="1090"/>
      <c r="B1835" s="1448">
        <v>1585</v>
      </c>
      <c r="C1835" s="1094">
        <v>0.98674942816874589</v>
      </c>
      <c r="D1835" s="1094">
        <v>1.0235825313420932</v>
      </c>
      <c r="E1835" s="1094">
        <v>0.98093841972753393</v>
      </c>
      <c r="F1835" s="1094">
        <v>1.0321907204721672</v>
      </c>
      <c r="G1835" s="1094">
        <v>0.95818867358606008</v>
      </c>
      <c r="H1835" s="1094">
        <v>0.9868044081309344</v>
      </c>
      <c r="I1835" s="1094">
        <v>1.0075481604490673</v>
      </c>
      <c r="K1835">
        <v>4.6223732190351976</v>
      </c>
      <c r="L1835">
        <v>0</v>
      </c>
      <c r="M1835">
        <v>1.5570404346638446E-3</v>
      </c>
      <c r="N1835">
        <v>0.1273537334088945</v>
      </c>
      <c r="O1835">
        <v>3.9922288367921277E-2</v>
      </c>
      <c r="P1835">
        <v>1.947272627064699E-2</v>
      </c>
      <c r="Q1835">
        <v>1.2874949321979281E-3</v>
      </c>
      <c r="R1835">
        <v>1.5507693732489264E-3</v>
      </c>
      <c r="S1835">
        <v>0.23863287008885822</v>
      </c>
      <c r="T1835">
        <v>4.0944283609234091</v>
      </c>
      <c r="U1835">
        <v>0</v>
      </c>
      <c r="V1835">
        <v>9.4523053561131904E-3</v>
      </c>
      <c r="W1835">
        <v>7.6849363130853082E-2</v>
      </c>
      <c r="X1835">
        <v>1.0597754973277689E-2</v>
      </c>
      <c r="Y1835">
        <v>4.382592644442268E-3</v>
      </c>
    </row>
    <row r="1836" spans="1:25" x14ac:dyDescent="0.25">
      <c r="A1836" s="1090"/>
      <c r="B1836" s="1448">
        <v>1586</v>
      </c>
      <c r="C1836" s="1094">
        <v>1.0124534495104731</v>
      </c>
      <c r="D1836" s="1094">
        <v>1.0188762461150254</v>
      </c>
      <c r="E1836" s="1094">
        <v>0.96290717807942761</v>
      </c>
      <c r="F1836" s="1094">
        <v>1.0258415733532664</v>
      </c>
      <c r="G1836" s="1094">
        <v>1.0188184876977915</v>
      </c>
      <c r="H1836" s="1094">
        <v>0.97475362666406906</v>
      </c>
      <c r="I1836" s="1094">
        <v>0.98093391630299143</v>
      </c>
      <c r="K1836">
        <v>4.571388876828947</v>
      </c>
      <c r="L1836">
        <v>0</v>
      </c>
      <c r="M1836">
        <v>1.5500487254310621E-3</v>
      </c>
      <c r="N1836">
        <v>0.12016376647234119</v>
      </c>
      <c r="O1836">
        <v>3.8864665662290611E-2</v>
      </c>
      <c r="P1836">
        <v>1.903711424136113E-2</v>
      </c>
      <c r="Q1836">
        <v>1.2375001106030201E-3</v>
      </c>
      <c r="R1836">
        <v>1.5436896832344976E-3</v>
      </c>
      <c r="S1836">
        <v>0.2248839004973518</v>
      </c>
      <c r="T1836">
        <v>4.0699569951660166</v>
      </c>
      <c r="U1836">
        <v>0</v>
      </c>
      <c r="V1836">
        <v>9.4523053561131973E-3</v>
      </c>
      <c r="W1836">
        <v>7.3417063367145111E-2</v>
      </c>
      <c r="X1836">
        <v>1.0019340097963621E-2</v>
      </c>
      <c r="Y1836">
        <v>4.3625848999527279E-3</v>
      </c>
    </row>
    <row r="1837" spans="1:25" x14ac:dyDescent="0.25">
      <c r="A1837" s="1090"/>
      <c r="B1837" s="1448">
        <v>1587</v>
      </c>
      <c r="C1837" s="1094">
        <v>1.0072724736728265</v>
      </c>
      <c r="D1837" s="1094">
        <v>0.9834209872643298</v>
      </c>
      <c r="E1837" s="1094">
        <v>1.0076759303718348</v>
      </c>
      <c r="F1837" s="1094">
        <v>0.97653246584109343</v>
      </c>
      <c r="G1837" s="1094">
        <v>0.98835159240851289</v>
      </c>
      <c r="H1837" s="1094">
        <v>1.001679802397387</v>
      </c>
      <c r="I1837" s="1094">
        <v>1.0042043141012373</v>
      </c>
      <c r="K1837">
        <v>4.3809185857226316</v>
      </c>
      <c r="L1837">
        <v>0</v>
      </c>
      <c r="M1837">
        <v>1.407355748366784E-3</v>
      </c>
      <c r="N1837">
        <v>0.12458445976750047</v>
      </c>
      <c r="O1837">
        <v>3.7418187172044835E-2</v>
      </c>
      <c r="P1837">
        <v>1.8804584566185438E-2</v>
      </c>
      <c r="Q1837">
        <v>1.3114354017006202E-3</v>
      </c>
      <c r="R1837">
        <v>1.4014547959151661E-3</v>
      </c>
      <c r="S1837">
        <v>0.22825918882528151</v>
      </c>
      <c r="T1837">
        <v>3.8726496874428062</v>
      </c>
      <c r="U1837">
        <v>0</v>
      </c>
      <c r="V1837">
        <v>9.4523053561131904E-3</v>
      </c>
      <c r="W1837">
        <v>7.382674166844215E-2</v>
      </c>
      <c r="X1837">
        <v>1.0657278225740325E-2</v>
      </c>
      <c r="Y1837">
        <v>3.9606182492683542E-3</v>
      </c>
    </row>
    <row r="1838" spans="1:25" x14ac:dyDescent="0.25">
      <c r="A1838" s="1090"/>
      <c r="B1838" s="1448">
        <v>1588</v>
      </c>
      <c r="C1838" s="1094">
        <v>0.97462086540322701</v>
      </c>
      <c r="D1838" s="1094">
        <v>0.99686821978652307</v>
      </c>
      <c r="E1838" s="1094">
        <v>1.0002633597031323</v>
      </c>
      <c r="F1838" s="1094">
        <v>0.99343559334061216</v>
      </c>
      <c r="G1838" s="1094">
        <v>0.99118025269345256</v>
      </c>
      <c r="H1838" s="1094">
        <v>1.0301963297347572</v>
      </c>
      <c r="I1838" s="1094">
        <v>0.99367007786376382</v>
      </c>
      <c r="K1838">
        <v>4.4737812268246415</v>
      </c>
      <c r="L1838">
        <v>0</v>
      </c>
      <c r="M1838">
        <v>1.5372785350508214E-3</v>
      </c>
      <c r="N1838">
        <v>0.13315503786908728</v>
      </c>
      <c r="O1838">
        <v>3.9179982050978397E-2</v>
      </c>
      <c r="P1838">
        <v>1.9048967695325346E-2</v>
      </c>
      <c r="Q1838">
        <v>1.339512651012081E-3</v>
      </c>
      <c r="R1838">
        <v>1.5311174427853893E-3</v>
      </c>
      <c r="S1838">
        <v>0.23734600649544915</v>
      </c>
      <c r="T1838">
        <v>3.9399625567182546</v>
      </c>
      <c r="U1838">
        <v>0</v>
      </c>
      <c r="V1838">
        <v>9.4523053561131817E-3</v>
      </c>
      <c r="W1838">
        <v>7.930076634656788E-2</v>
      </c>
      <c r="X1838">
        <v>1.0675197945524384E-2</v>
      </c>
      <c r="Y1838">
        <v>4.327054788598397E-3</v>
      </c>
    </row>
    <row r="1839" spans="1:25" x14ac:dyDescent="0.25">
      <c r="A1839" s="1090"/>
      <c r="B1839" s="1448">
        <v>1589</v>
      </c>
      <c r="C1839" s="1094">
        <v>1.0206055931068687</v>
      </c>
      <c r="D1839" s="1094">
        <v>1.025301019276613</v>
      </c>
      <c r="E1839" s="1094">
        <v>1.0052949476808837</v>
      </c>
      <c r="F1839" s="1094">
        <v>1.0337430689061906</v>
      </c>
      <c r="G1839" s="1094">
        <v>1.039897327094937</v>
      </c>
      <c r="H1839" s="1094">
        <v>0.9777617348528076</v>
      </c>
      <c r="I1839" s="1094">
        <v>0.97077910763616682</v>
      </c>
      <c r="K1839">
        <v>4.6041160423837377</v>
      </c>
      <c r="L1839">
        <v>0</v>
      </c>
      <c r="M1839">
        <v>1.4182638772794551E-3</v>
      </c>
      <c r="N1839">
        <v>0.1246847045395528</v>
      </c>
      <c r="O1839">
        <v>3.846256621209198E-2</v>
      </c>
      <c r="P1839">
        <v>1.9778262849348749E-2</v>
      </c>
      <c r="Q1839">
        <v>1.2703067172634319E-3</v>
      </c>
      <c r="R1839">
        <v>1.412507540690295E-3</v>
      </c>
      <c r="S1839">
        <v>0.22174912230328894</v>
      </c>
      <c r="T1839">
        <v>4.099624079796925</v>
      </c>
      <c r="U1839">
        <v>0</v>
      </c>
      <c r="V1839">
        <v>9.4523053561131956E-3</v>
      </c>
      <c r="W1839">
        <v>7.4004619251881676E-2</v>
      </c>
      <c r="X1839">
        <v>1.1103977544018775E-2</v>
      </c>
      <c r="Y1839">
        <v>3.9918541498400141E-3</v>
      </c>
    </row>
    <row r="1840" spans="1:25" x14ac:dyDescent="0.25">
      <c r="A1840" s="1090"/>
      <c r="B1840" s="1448">
        <v>1590</v>
      </c>
      <c r="C1840" s="1094">
        <v>1.0045442124037733</v>
      </c>
      <c r="D1840" s="1094">
        <v>0.98847630339140524</v>
      </c>
      <c r="E1840" s="1094">
        <v>0.98951070941139352</v>
      </c>
      <c r="F1840" s="1094">
        <v>0.99874067853421322</v>
      </c>
      <c r="G1840" s="1094">
        <v>1.017945658022684</v>
      </c>
      <c r="H1840" s="1094">
        <v>0.9817445343503558</v>
      </c>
      <c r="I1840" s="1094">
        <v>1.021789914225721</v>
      </c>
      <c r="K1840">
        <v>4.4755089315624765</v>
      </c>
      <c r="L1840">
        <v>0</v>
      </c>
      <c r="M1840">
        <v>1.4665480576994585E-3</v>
      </c>
      <c r="N1840">
        <v>0.12302207506367246</v>
      </c>
      <c r="O1840">
        <v>3.8419015504633801E-2</v>
      </c>
      <c r="P1840">
        <v>1.8980272267935205E-2</v>
      </c>
      <c r="Q1840">
        <v>1.2920128306376033E-3</v>
      </c>
      <c r="R1840">
        <v>1.4604129886287686E-3</v>
      </c>
      <c r="S1840">
        <v>0.23451520066038417</v>
      </c>
      <c r="T1840">
        <v>3.9614124852120876</v>
      </c>
      <c r="U1840">
        <v>0</v>
      </c>
      <c r="V1840">
        <v>9.4523053561131904E-3</v>
      </c>
      <c r="W1840">
        <v>7.3802321688559089E-2</v>
      </c>
      <c r="X1840">
        <v>1.0492139444399739E-2</v>
      </c>
      <c r="Y1840">
        <v>4.1272386031220732E-3</v>
      </c>
    </row>
    <row r="1841" spans="1:25" x14ac:dyDescent="0.25">
      <c r="A1841" s="1090"/>
      <c r="B1841" s="1448">
        <v>1591</v>
      </c>
      <c r="C1841" s="1094">
        <v>1.0365160723722242</v>
      </c>
      <c r="D1841" s="1094">
        <v>0.9980087752469301</v>
      </c>
      <c r="E1841" s="1094">
        <v>1.0003764092079916</v>
      </c>
      <c r="F1841" s="1094">
        <v>0.97423161651029744</v>
      </c>
      <c r="G1841" s="1094">
        <v>0.96789445985987066</v>
      </c>
      <c r="H1841" s="1094">
        <v>1.0122219700872834</v>
      </c>
      <c r="I1841" s="1094">
        <v>0.99018275630125363</v>
      </c>
      <c r="K1841">
        <v>4.353947960134418</v>
      </c>
      <c r="L1841">
        <v>0</v>
      </c>
      <c r="M1841">
        <v>1.3919505054136895E-3</v>
      </c>
      <c r="N1841">
        <v>0.12058918268911963</v>
      </c>
      <c r="O1841">
        <v>3.6110955073584826E-2</v>
      </c>
      <c r="P1841">
        <v>1.8616564698783821E-2</v>
      </c>
      <c r="Q1841">
        <v>1.2590700956106086E-3</v>
      </c>
      <c r="R1841">
        <v>1.3861613483352163E-3</v>
      </c>
      <c r="S1841">
        <v>0.21813215086041302</v>
      </c>
      <c r="T1841">
        <v>3.8637954492959956</v>
      </c>
      <c r="U1841">
        <v>0</v>
      </c>
      <c r="V1841">
        <v>9.4523053561131887E-3</v>
      </c>
      <c r="W1841">
        <v>7.1811658586103375E-2</v>
      </c>
      <c r="X1841">
        <v>1.0269014836963825E-2</v>
      </c>
      <c r="Y1841">
        <v>3.9173977988079273E-3</v>
      </c>
    </row>
    <row r="1842" spans="1:25" x14ac:dyDescent="0.25">
      <c r="A1842" s="1090"/>
      <c r="B1842" s="1448">
        <v>1592</v>
      </c>
      <c r="C1842" s="1094">
        <v>1.0090979902743871</v>
      </c>
      <c r="D1842" s="1094">
        <v>1.0021295224951796</v>
      </c>
      <c r="E1842" s="1094">
        <v>1.0050574950243556</v>
      </c>
      <c r="F1842" s="1094">
        <v>0.96123970758845168</v>
      </c>
      <c r="G1842" s="1094">
        <v>0.9861082107867627</v>
      </c>
      <c r="H1842" s="1094">
        <v>0.95806028937848042</v>
      </c>
      <c r="I1842" s="1094">
        <v>0.97132044722363786</v>
      </c>
      <c r="K1842">
        <v>4.2904723569349636</v>
      </c>
      <c r="L1842">
        <v>0</v>
      </c>
      <c r="M1842">
        <v>1.3200150285002301E-3</v>
      </c>
      <c r="N1842">
        <v>0.11591976426551077</v>
      </c>
      <c r="O1842">
        <v>3.6506604418483614E-2</v>
      </c>
      <c r="P1842">
        <v>1.8425403326562662E-2</v>
      </c>
      <c r="Q1842">
        <v>1.2963316369424516E-3</v>
      </c>
      <c r="R1842">
        <v>1.314136628393242E-3</v>
      </c>
      <c r="S1842">
        <v>0.21375045830398112</v>
      </c>
      <c r="T1842">
        <v>3.8120985113681711</v>
      </c>
      <c r="U1842">
        <v>0</v>
      </c>
      <c r="V1842">
        <v>9.4523053561131921E-3</v>
      </c>
      <c r="W1842">
        <v>6.8813332789945794E-2</v>
      </c>
      <c r="X1842">
        <v>1.0501673427934998E-2</v>
      </c>
      <c r="Y1842">
        <v>3.7138504414246701E-3</v>
      </c>
    </row>
    <row r="1843" spans="1:25" x14ac:dyDescent="0.25">
      <c r="A1843" s="1090"/>
      <c r="B1843" s="1448">
        <v>1593</v>
      </c>
      <c r="C1843" s="1094">
        <v>0.9863367053306733</v>
      </c>
      <c r="D1843" s="1094">
        <v>1.0073439241990154</v>
      </c>
      <c r="E1843" s="1094">
        <v>1.0189417686700413</v>
      </c>
      <c r="F1843" s="1094">
        <v>0.96940914341422557</v>
      </c>
      <c r="G1843" s="1094">
        <v>0.99463464609172803</v>
      </c>
      <c r="H1843" s="1094">
        <v>0.98719024310256009</v>
      </c>
      <c r="I1843" s="1094">
        <v>1.0076423348956212</v>
      </c>
      <c r="K1843">
        <v>4.3535106106444728</v>
      </c>
      <c r="L1843">
        <v>0</v>
      </c>
      <c r="M1843">
        <v>1.3599765114164978E-3</v>
      </c>
      <c r="N1843">
        <v>0.12446107791349541</v>
      </c>
      <c r="O1843">
        <v>3.7494774767132685E-2</v>
      </c>
      <c r="P1843">
        <v>1.8836860312636514E-2</v>
      </c>
      <c r="Q1843">
        <v>1.3392178845287371E-3</v>
      </c>
      <c r="R1843">
        <v>1.3541481850093389E-3</v>
      </c>
      <c r="S1843">
        <v>0.22995774791219215</v>
      </c>
      <c r="T1843">
        <v>3.8439874439236652</v>
      </c>
      <c r="U1843">
        <v>0</v>
      </c>
      <c r="V1843">
        <v>9.4523053561131921E-3</v>
      </c>
      <c r="W1843">
        <v>7.3199178835713419E-2</v>
      </c>
      <c r="X1843">
        <v>1.0960905910241422E-2</v>
      </c>
      <c r="Y1843">
        <v>3.8269261551596009E-3</v>
      </c>
    </row>
    <row r="1844" spans="1:25" x14ac:dyDescent="0.25">
      <c r="A1844" s="1090"/>
      <c r="B1844" s="1448">
        <v>1594</v>
      </c>
      <c r="C1844" s="1094">
        <v>0.97742473679662101</v>
      </c>
      <c r="D1844" s="1094">
        <v>0.96740108824690996</v>
      </c>
      <c r="E1844" s="1094">
        <v>0.99518381099936604</v>
      </c>
      <c r="F1844" s="1094">
        <v>1.0359413146493057</v>
      </c>
      <c r="G1844" s="1094">
        <v>1.0097172588914891</v>
      </c>
      <c r="H1844" s="1094">
        <v>1.0073552615823607</v>
      </c>
      <c r="I1844" s="1094">
        <v>1.0443434271789125</v>
      </c>
      <c r="K1844">
        <v>4.6704869907863236</v>
      </c>
      <c r="L1844">
        <v>0</v>
      </c>
      <c r="M1844">
        <v>1.5986228647323338E-3</v>
      </c>
      <c r="N1844">
        <v>0.13641025330221526</v>
      </c>
      <c r="O1844">
        <v>4.126850691086742E-2</v>
      </c>
      <c r="P1844">
        <v>1.982789505748012E-2</v>
      </c>
      <c r="Q1844">
        <v>1.3459170667524186E-3</v>
      </c>
      <c r="R1844">
        <v>1.5923384237648574E-3</v>
      </c>
      <c r="S1844">
        <v>0.256328626085639</v>
      </c>
      <c r="T1844">
        <v>4.1087407277040704</v>
      </c>
      <c r="U1844">
        <v>0</v>
      </c>
      <c r="V1844">
        <v>9.4523053561132026E-3</v>
      </c>
      <c r="W1844">
        <v>8.1519235042166058E-2</v>
      </c>
      <c r="X1844">
        <v>1.1099738747135364E-2</v>
      </c>
      <c r="Y1844">
        <v>4.5000699548471629E-3</v>
      </c>
    </row>
    <row r="1845" spans="1:25" x14ac:dyDescent="0.25">
      <c r="A1845" s="1090"/>
      <c r="B1845" s="1448">
        <v>1595</v>
      </c>
      <c r="C1845" s="1094">
        <v>0.99397497091656095</v>
      </c>
      <c r="D1845" s="1094">
        <v>0.98564788198477671</v>
      </c>
      <c r="E1845" s="1094">
        <v>0.99607267774085384</v>
      </c>
      <c r="F1845" s="1094">
        <v>0.98415195587616733</v>
      </c>
      <c r="G1845" s="1094">
        <v>1.0047499495486385</v>
      </c>
      <c r="H1845" s="1094">
        <v>0.96153073467354322</v>
      </c>
      <c r="I1845" s="1094">
        <v>0.98995818245878653</v>
      </c>
      <c r="K1845">
        <v>4.4046848343789549</v>
      </c>
      <c r="L1845">
        <v>0</v>
      </c>
      <c r="M1845">
        <v>1.4125161432111306E-3</v>
      </c>
      <c r="N1845">
        <v>0.12079883713958861</v>
      </c>
      <c r="O1845">
        <v>3.8259440391379691E-2</v>
      </c>
      <c r="P1845">
        <v>1.8772002490231501E-2</v>
      </c>
      <c r="Q1845">
        <v>1.3146551609404629E-3</v>
      </c>
      <c r="R1845">
        <v>1.406393823024827E-3</v>
      </c>
      <c r="S1845">
        <v>0.2260608047835698</v>
      </c>
      <c r="T1845">
        <v>3.9033008749998328</v>
      </c>
      <c r="U1845">
        <v>0</v>
      </c>
      <c r="V1845">
        <v>9.45230535611318E-3</v>
      </c>
      <c r="W1845">
        <v>7.2146314516641774E-2</v>
      </c>
      <c r="X1845">
        <v>1.0611145543889207E-2</v>
      </c>
      <c r="Y1845">
        <v>3.9745763169571381E-3</v>
      </c>
    </row>
    <row r="1846" spans="1:25" x14ac:dyDescent="0.25">
      <c r="A1846" s="1090"/>
      <c r="B1846" s="1448">
        <v>1596</v>
      </c>
      <c r="C1846" s="1094">
        <v>0.97609766838772394</v>
      </c>
      <c r="D1846" s="1094">
        <v>0.99351658600979809</v>
      </c>
      <c r="E1846" s="1094">
        <v>1.0159980238288002</v>
      </c>
      <c r="F1846" s="1094">
        <v>1.0006427070112556</v>
      </c>
      <c r="G1846" s="1094">
        <v>0.99410943589122924</v>
      </c>
      <c r="H1846" s="1094">
        <v>0.98758883003746178</v>
      </c>
      <c r="I1846" s="1094">
        <v>1.0000403453645406</v>
      </c>
      <c r="K1846">
        <v>4.4964636562243383</v>
      </c>
      <c r="L1846">
        <v>0</v>
      </c>
      <c r="M1846">
        <v>1.4356672682177779E-3</v>
      </c>
      <c r="N1846">
        <v>0.13026617810453425</v>
      </c>
      <c r="O1846">
        <v>3.9346454602910315E-2</v>
      </c>
      <c r="P1846">
        <v>1.9397420152893384E-2</v>
      </c>
      <c r="Q1846">
        <v>1.3573774751714277E-3</v>
      </c>
      <c r="R1846">
        <v>1.4297082272083069E-3</v>
      </c>
      <c r="S1846">
        <v>0.23660469188872343</v>
      </c>
      <c r="T1846">
        <v>3.9679487622807903</v>
      </c>
      <c r="U1846">
        <v>0</v>
      </c>
      <c r="V1846">
        <v>9.4523053561131991E-3</v>
      </c>
      <c r="W1846">
        <v>7.676411297459354E-2</v>
      </c>
      <c r="X1846">
        <v>1.1291847826465301E-2</v>
      </c>
      <c r="Y1846">
        <v>4.0404646031502083E-3</v>
      </c>
    </row>
    <row r="1847" spans="1:25" x14ac:dyDescent="0.25">
      <c r="A1847" s="1090"/>
      <c r="B1847" s="1448">
        <v>1597</v>
      </c>
      <c r="C1847" s="1094">
        <v>1.0032825635980005</v>
      </c>
      <c r="D1847" s="1094">
        <v>0.98493147324560648</v>
      </c>
      <c r="E1847" s="1094">
        <v>0.99196091343280723</v>
      </c>
      <c r="F1847" s="1094">
        <v>1.0106373498234913</v>
      </c>
      <c r="G1847" s="1094">
        <v>1.0467909405401168</v>
      </c>
      <c r="H1847" s="1094">
        <v>0.98854279710135617</v>
      </c>
      <c r="I1847" s="1094">
        <v>0.96328999235134782</v>
      </c>
      <c r="K1847">
        <v>4.5175097014408667</v>
      </c>
      <c r="L1847">
        <v>0</v>
      </c>
      <c r="M1847">
        <v>1.4905517906890235E-3</v>
      </c>
      <c r="N1847">
        <v>0.12595711102965493</v>
      </c>
      <c r="O1847">
        <v>3.8964491658686901E-2</v>
      </c>
      <c r="P1847">
        <v>1.9180114366125264E-2</v>
      </c>
      <c r="Q1847">
        <v>1.2982373193494519E-3</v>
      </c>
      <c r="R1847">
        <v>1.4844317876846766E-3</v>
      </c>
      <c r="S1847">
        <v>0.22388490342534018</v>
      </c>
      <c r="T1847">
        <v>4.0085048057079868</v>
      </c>
      <c r="U1847">
        <v>0</v>
      </c>
      <c r="V1847">
        <v>9.4523053561131921E-3</v>
      </c>
      <c r="W1847">
        <v>7.5437262809563893E-2</v>
      </c>
      <c r="X1847">
        <v>1.064147220804226E-2</v>
      </c>
      <c r="Y1847">
        <v>4.1951175630026288E-3</v>
      </c>
    </row>
    <row r="1848" spans="1:25" x14ac:dyDescent="0.25">
      <c r="A1848" s="1090"/>
      <c r="B1848" s="1448">
        <v>1598</v>
      </c>
      <c r="C1848" s="1094">
        <v>0.97259182653608001</v>
      </c>
      <c r="D1848" s="1094">
        <v>0.97485380387689324</v>
      </c>
      <c r="E1848" s="1094">
        <v>1.0244164932011981</v>
      </c>
      <c r="F1848" s="1094">
        <v>1.0088470764014006</v>
      </c>
      <c r="G1848" s="1094">
        <v>1.0189237185315123</v>
      </c>
      <c r="H1848" s="1094">
        <v>0.96544087145788182</v>
      </c>
      <c r="I1848" s="1094">
        <v>0.99856646796042292</v>
      </c>
      <c r="K1848">
        <v>4.5317983746833823</v>
      </c>
      <c r="L1848">
        <v>0</v>
      </c>
      <c r="M1848">
        <v>1.4056228467313741E-3</v>
      </c>
      <c r="N1848">
        <v>0.13074853560632108</v>
      </c>
      <c r="O1848">
        <v>4.0054437558015452E-2</v>
      </c>
      <c r="P1848">
        <v>1.9673153312059384E-2</v>
      </c>
      <c r="Q1848">
        <v>1.3824549601900199E-3</v>
      </c>
      <c r="R1848">
        <v>1.3997030057050666E-3</v>
      </c>
      <c r="S1848">
        <v>0.2380395014071458</v>
      </c>
      <c r="T1848">
        <v>4.0001621579877362</v>
      </c>
      <c r="U1848">
        <v>0</v>
      </c>
      <c r="V1848">
        <v>9.4523053561131939E-3</v>
      </c>
      <c r="W1848">
        <v>7.6617133193739792E-2</v>
      </c>
      <c r="X1848">
        <v>1.1718947586695005E-2</v>
      </c>
      <c r="Y1848">
        <v>3.9556675563917577E-3</v>
      </c>
    </row>
    <row r="1849" spans="1:25" x14ac:dyDescent="0.25">
      <c r="A1849" s="1090"/>
      <c r="B1849" s="1448">
        <v>1599</v>
      </c>
      <c r="C1849" s="1094">
        <v>1.0122449888580514</v>
      </c>
      <c r="D1849" s="1094">
        <v>0.9819765624083665</v>
      </c>
      <c r="E1849" s="1094">
        <v>0.95824309063988877</v>
      </c>
      <c r="F1849" s="1094">
        <v>1.02278190000944</v>
      </c>
      <c r="G1849" s="1094">
        <v>0.98145999297004693</v>
      </c>
      <c r="H1849" s="1094">
        <v>1.0241273238589299</v>
      </c>
      <c r="I1849" s="1094">
        <v>1.0014552866161204</v>
      </c>
      <c r="K1849">
        <v>4.5822767435585421</v>
      </c>
      <c r="L1849">
        <v>0</v>
      </c>
      <c r="M1849">
        <v>1.6643665682093197E-3</v>
      </c>
      <c r="N1849">
        <v>0.12727380129079754</v>
      </c>
      <c r="O1849">
        <v>3.9365197258056567E-2</v>
      </c>
      <c r="P1849">
        <v>1.8962871948344142E-2</v>
      </c>
      <c r="Q1849">
        <v>1.2510150462424108E-3</v>
      </c>
      <c r="R1849">
        <v>1.6578483587423572E-3</v>
      </c>
      <c r="S1849">
        <v>0.23552521046874439</v>
      </c>
      <c r="T1849">
        <v>4.0580030911333029</v>
      </c>
      <c r="U1849">
        <v>0</v>
      </c>
      <c r="V1849">
        <v>9.4523053561131887E-3</v>
      </c>
      <c r="W1849">
        <v>7.8013333498801338E-2</v>
      </c>
      <c r="X1849">
        <v>9.7512297350637513E-3</v>
      </c>
      <c r="Y1849">
        <v>4.6852060325405127E-3</v>
      </c>
    </row>
    <row r="1850" spans="1:25" x14ac:dyDescent="0.25">
      <c r="A1850" s="1090"/>
      <c r="B1850" s="1448">
        <v>1600</v>
      </c>
      <c r="C1850" s="1094">
        <v>0.95607383548790426</v>
      </c>
      <c r="D1850" s="1094">
        <v>1.0188694916454686</v>
      </c>
      <c r="E1850" s="1094">
        <v>1.0213693932920014</v>
      </c>
      <c r="F1850" s="1094">
        <v>0.96711425009296403</v>
      </c>
      <c r="G1850" s="1094">
        <v>0.9897068433137941</v>
      </c>
      <c r="H1850" s="1094">
        <v>1.0051223669473053</v>
      </c>
      <c r="I1850" s="1094">
        <v>1.0246179819614438</v>
      </c>
      <c r="K1850">
        <v>4.3658824821049143</v>
      </c>
      <c r="L1850">
        <v>0</v>
      </c>
      <c r="M1850">
        <v>1.4114153685012259E-3</v>
      </c>
      <c r="N1850">
        <v>0.13010836174589602</v>
      </c>
      <c r="O1850">
        <v>3.8398041149029692E-2</v>
      </c>
      <c r="P1850">
        <v>1.8880845882443729E-2</v>
      </c>
      <c r="Q1850">
        <v>1.3781635762066043E-3</v>
      </c>
      <c r="R1850">
        <v>1.4054604724287273E-3</v>
      </c>
      <c r="S1850">
        <v>0.24141388764353783</v>
      </c>
      <c r="T1850">
        <v>3.8347990068895337</v>
      </c>
      <c r="U1850">
        <v>0</v>
      </c>
      <c r="V1850">
        <v>9.4523053561131939E-3</v>
      </c>
      <c r="W1850">
        <v>7.6396759418097537E-2</v>
      </c>
      <c r="X1850">
        <v>1.1089126743212515E-2</v>
      </c>
      <c r="Y1850">
        <v>3.9719385969146145E-3</v>
      </c>
    </row>
    <row r="1851" spans="1:25" x14ac:dyDescent="0.25">
      <c r="A1851" s="1090"/>
      <c r="B1851" s="1448">
        <v>1601</v>
      </c>
      <c r="C1851" s="1094">
        <v>0.99850578065451268</v>
      </c>
      <c r="D1851" s="1094">
        <v>0.99833006732400664</v>
      </c>
      <c r="E1851" s="1094">
        <v>1.0149978216675952</v>
      </c>
      <c r="F1851" s="1094">
        <v>1.0100402686314225</v>
      </c>
      <c r="G1851" s="1094">
        <v>1.0058971884204628</v>
      </c>
      <c r="H1851" s="1094">
        <v>1.0101861962290508</v>
      </c>
      <c r="I1851" s="1094">
        <v>0.98414187119977348</v>
      </c>
      <c r="K1851">
        <v>4.5284417644299015</v>
      </c>
      <c r="L1851">
        <v>0</v>
      </c>
      <c r="M1851">
        <v>1.4492462357731028E-3</v>
      </c>
      <c r="N1851">
        <v>0.13112676812495128</v>
      </c>
      <c r="O1851">
        <v>3.8756667106825612E-2</v>
      </c>
      <c r="P1851">
        <v>1.9526345858039688E-2</v>
      </c>
      <c r="Q1851">
        <v>1.3232292324468493E-3</v>
      </c>
      <c r="R1851">
        <v>1.4434198879791898E-3</v>
      </c>
      <c r="S1851">
        <v>0.23043026469670233</v>
      </c>
      <c r="T1851">
        <v>4.0052520333501587</v>
      </c>
      <c r="U1851">
        <v>0</v>
      </c>
      <c r="V1851">
        <v>9.4523053561131939E-3</v>
      </c>
      <c r="W1851">
        <v>7.7322955274519808E-2</v>
      </c>
      <c r="X1851">
        <v>1.1177806974612617E-2</v>
      </c>
      <c r="Y1851">
        <v>4.0792148033245035E-3</v>
      </c>
    </row>
    <row r="1852" spans="1:25" x14ac:dyDescent="0.25">
      <c r="A1852" s="1090"/>
      <c r="B1852" s="1448">
        <v>1602</v>
      </c>
      <c r="C1852" s="1094">
        <v>0.99714950798191149</v>
      </c>
      <c r="D1852" s="1094">
        <v>0.98359005394739585</v>
      </c>
      <c r="E1852" s="1094">
        <v>1.021817540332348</v>
      </c>
      <c r="F1852" s="1094">
        <v>0.98080747948120617</v>
      </c>
      <c r="G1852" s="1094">
        <v>1.0286285461742861</v>
      </c>
      <c r="H1852" s="1094">
        <v>0.98403508166919906</v>
      </c>
      <c r="I1852" s="1094">
        <v>1.01570173275029</v>
      </c>
      <c r="K1852">
        <v>4.4037750967966565</v>
      </c>
      <c r="L1852">
        <v>0</v>
      </c>
      <c r="M1852">
        <v>1.3613458194929055E-3</v>
      </c>
      <c r="N1852">
        <v>0.12565543583488306</v>
      </c>
      <c r="O1852">
        <v>3.7864561257039485E-2</v>
      </c>
      <c r="P1852">
        <v>1.9096934425836275E-2</v>
      </c>
      <c r="Q1852">
        <v>1.3406586794949809E-3</v>
      </c>
      <c r="R1852">
        <v>1.3555606526436609E-3</v>
      </c>
      <c r="S1852">
        <v>0.23254134874737795</v>
      </c>
      <c r="T1852">
        <v>3.8890788049085834</v>
      </c>
      <c r="U1852">
        <v>0</v>
      </c>
      <c r="V1852">
        <v>9.4523053561131852E-3</v>
      </c>
      <c r="W1852">
        <v>7.3760079089283781E-2</v>
      </c>
      <c r="X1852">
        <v>1.1159835768363888E-2</v>
      </c>
      <c r="Y1852">
        <v>3.8309178965309954E-3</v>
      </c>
    </row>
    <row r="1853" spans="1:25" x14ac:dyDescent="0.25">
      <c r="A1853" s="1090"/>
      <c r="B1853" s="1448">
        <v>1603</v>
      </c>
      <c r="C1853" s="1094">
        <v>1.0157951557957403</v>
      </c>
      <c r="D1853" s="1094">
        <v>0.9695355839422346</v>
      </c>
      <c r="E1853" s="1094">
        <v>1.0097019411068389</v>
      </c>
      <c r="F1853" s="1094">
        <v>1.0042008759364343</v>
      </c>
      <c r="G1853" s="1094">
        <v>0.99505806642633754</v>
      </c>
      <c r="H1853" s="1094">
        <v>0.99763438171088137</v>
      </c>
      <c r="I1853" s="1094">
        <v>1.0060108111971127</v>
      </c>
      <c r="K1853">
        <v>4.5004294890340679</v>
      </c>
      <c r="L1853">
        <v>0</v>
      </c>
      <c r="M1853">
        <v>1.4311517714347334E-3</v>
      </c>
      <c r="N1853">
        <v>0.12746590367005803</v>
      </c>
      <c r="O1853">
        <v>3.8359236216851111E-2</v>
      </c>
      <c r="P1853">
        <v>1.9351133205192796E-2</v>
      </c>
      <c r="Q1853">
        <v>1.3101105806783728E-3</v>
      </c>
      <c r="R1853">
        <v>1.4252920391384313E-3</v>
      </c>
      <c r="S1853">
        <v>0.2317456993528586</v>
      </c>
      <c r="T1853">
        <v>3.9822975766821775</v>
      </c>
      <c r="U1853">
        <v>0</v>
      </c>
      <c r="V1853">
        <v>9.452305356113206E-3</v>
      </c>
      <c r="W1853">
        <v>7.5431484954402536E-2</v>
      </c>
      <c r="X1853">
        <v>1.0993914629519886E-2</v>
      </c>
      <c r="Y1853">
        <v>4.0279841185047304E-3</v>
      </c>
    </row>
    <row r="1854" spans="1:25" x14ac:dyDescent="0.25">
      <c r="A1854" s="1090"/>
      <c r="B1854" s="1448">
        <v>1604</v>
      </c>
      <c r="C1854" s="1094">
        <v>0.98722397703814879</v>
      </c>
      <c r="D1854" s="1094">
        <v>1.0029217257125917</v>
      </c>
      <c r="E1854" s="1094">
        <v>0.99515948853220282</v>
      </c>
      <c r="F1854" s="1094">
        <v>0.9963779771180119</v>
      </c>
      <c r="G1854" s="1094">
        <v>1.0243754033253059</v>
      </c>
      <c r="H1854" s="1094">
        <v>0.97317683246292697</v>
      </c>
      <c r="I1854" s="1094">
        <v>0.99577448199926388</v>
      </c>
      <c r="K1854">
        <v>4.4631739084844337</v>
      </c>
      <c r="L1854">
        <v>0</v>
      </c>
      <c r="M1854">
        <v>1.4498999875217737E-3</v>
      </c>
      <c r="N1854">
        <v>0.12367370061411777</v>
      </c>
      <c r="O1854">
        <v>3.8735846665541453E-2</v>
      </c>
      <c r="P1854">
        <v>1.8999293585418915E-2</v>
      </c>
      <c r="Q1854">
        <v>1.3134473350032941E-3</v>
      </c>
      <c r="R1854">
        <v>1.4437667141301814E-3</v>
      </c>
      <c r="S1854">
        <v>0.23051120390557062</v>
      </c>
      <c r="T1854">
        <v>3.9518259144340937</v>
      </c>
      <c r="U1854">
        <v>0</v>
      </c>
      <c r="V1854">
        <v>9.4523053561131991E-3</v>
      </c>
      <c r="W1854">
        <v>7.3909046454692345E-2</v>
      </c>
      <c r="X1854">
        <v>1.0679088446764498E-2</v>
      </c>
      <c r="Y1854">
        <v>4.0801949605061283E-3</v>
      </c>
    </row>
    <row r="1855" spans="1:25" x14ac:dyDescent="0.25">
      <c r="A1855" s="1090"/>
      <c r="B1855" s="1448">
        <v>1605</v>
      </c>
      <c r="C1855" s="1094">
        <v>0.98958618490851691</v>
      </c>
      <c r="D1855" s="1094">
        <v>0.9911407386309361</v>
      </c>
      <c r="E1855" s="1094">
        <v>0.98423039030504622</v>
      </c>
      <c r="F1855" s="1094">
        <v>0.9722544551300405</v>
      </c>
      <c r="G1855" s="1094">
        <v>0.99954577378250398</v>
      </c>
      <c r="H1855" s="1094">
        <v>1.0036613420619744</v>
      </c>
      <c r="I1855" s="1094">
        <v>1.0243484235198494</v>
      </c>
      <c r="K1855">
        <v>4.3719011762688877</v>
      </c>
      <c r="L1855">
        <v>0</v>
      </c>
      <c r="M1855">
        <v>1.4966768954984403E-3</v>
      </c>
      <c r="N1855">
        <v>0.1235961410039096</v>
      </c>
      <c r="O1855">
        <v>3.7960290907547885E-2</v>
      </c>
      <c r="P1855">
        <v>1.8439633148170112E-2</v>
      </c>
      <c r="Q1855">
        <v>1.3041656758554553E-3</v>
      </c>
      <c r="R1855">
        <v>1.4903863730413621E-3</v>
      </c>
      <c r="S1855">
        <v>0.23588623994124283</v>
      </c>
      <c r="T1855">
        <v>3.8565540847028612</v>
      </c>
      <c r="U1855">
        <v>0</v>
      </c>
      <c r="V1855">
        <v>9.4523053561131939E-3</v>
      </c>
      <c r="W1855">
        <v>7.4414180670504509E-2</v>
      </c>
      <c r="X1855">
        <v>1.0088479709306092E-2</v>
      </c>
      <c r="Y1855">
        <v>4.2119456758317074E-3</v>
      </c>
    </row>
    <row r="1856" spans="1:25" x14ac:dyDescent="0.25">
      <c r="A1856" s="1090"/>
      <c r="B1856" s="1448">
        <v>1606</v>
      </c>
      <c r="C1856" s="1094">
        <v>1.0217973947633643</v>
      </c>
      <c r="D1856" s="1094">
        <v>1.0120065208977209</v>
      </c>
      <c r="E1856" s="1094">
        <v>0.98340623500667956</v>
      </c>
      <c r="F1856" s="1094">
        <v>0.98201595651189388</v>
      </c>
      <c r="G1856" s="1094">
        <v>0.97296968322269528</v>
      </c>
      <c r="H1856" s="1094">
        <v>0.95622797820552774</v>
      </c>
      <c r="I1856" s="1094">
        <v>1.0167979451657236</v>
      </c>
      <c r="K1856">
        <v>4.3816466079955321</v>
      </c>
      <c r="L1856">
        <v>0</v>
      </c>
      <c r="M1856">
        <v>1.3856201664789382E-3</v>
      </c>
      <c r="N1856">
        <v>0.11412672879528127</v>
      </c>
      <c r="O1856">
        <v>3.6829975665014641E-2</v>
      </c>
      <c r="P1856">
        <v>1.8545880311526177E-2</v>
      </c>
      <c r="Q1856">
        <v>1.2516775740657835E-3</v>
      </c>
      <c r="R1856">
        <v>1.3795680369140906E-3</v>
      </c>
      <c r="S1856">
        <v>0.22334292206190456</v>
      </c>
      <c r="T1856">
        <v>3.8953052157152075</v>
      </c>
      <c r="U1856">
        <v>0</v>
      </c>
      <c r="V1856">
        <v>9.452305356113206E-3</v>
      </c>
      <c r="W1856">
        <v>6.8751590835716359E-2</v>
      </c>
      <c r="X1856">
        <v>1.0147599212902397E-2</v>
      </c>
      <c r="Y1856">
        <v>3.8987645973563123E-3</v>
      </c>
    </row>
    <row r="1857" spans="1:25" x14ac:dyDescent="0.25">
      <c r="A1857" s="1090"/>
      <c r="B1857" s="1448">
        <v>1607</v>
      </c>
      <c r="C1857" s="1094">
        <v>1.0248396366845951</v>
      </c>
      <c r="D1857" s="1094">
        <v>0.99754640631320368</v>
      </c>
      <c r="E1857" s="1094">
        <v>0.97437481616803601</v>
      </c>
      <c r="F1857" s="1094">
        <v>0.98831455210060393</v>
      </c>
      <c r="G1857" s="1094">
        <v>1.0003182976719707</v>
      </c>
      <c r="H1857" s="1094">
        <v>0.97096975481437942</v>
      </c>
      <c r="I1857" s="1094">
        <v>0.99622669071315717</v>
      </c>
      <c r="K1857">
        <v>4.4086321882972177</v>
      </c>
      <c r="L1857">
        <v>0</v>
      </c>
      <c r="M1857">
        <v>1.4470889300166622E-3</v>
      </c>
      <c r="N1857">
        <v>0.11604846775370113</v>
      </c>
      <c r="O1857">
        <v>3.7229174020351523E-2</v>
      </c>
      <c r="P1857">
        <v>1.8522279258176459E-2</v>
      </c>
      <c r="Q1857">
        <v>1.2453583557465852E-3</v>
      </c>
      <c r="R1857">
        <v>1.440903784782297E-3</v>
      </c>
      <c r="S1857">
        <v>0.22114234198199956</v>
      </c>
      <c r="T1857">
        <v>3.9206328919698841</v>
      </c>
      <c r="U1857">
        <v>0</v>
      </c>
      <c r="V1857">
        <v>9.4523053561131852E-3</v>
      </c>
      <c r="W1857">
        <v>7.0343524138611696E-2</v>
      </c>
      <c r="X1857">
        <v>9.949926504273272E-3</v>
      </c>
      <c r="Y1857">
        <v>4.072104103594691E-3</v>
      </c>
    </row>
    <row r="1858" spans="1:25" x14ac:dyDescent="0.25">
      <c r="A1858" s="1090"/>
      <c r="B1858" s="1448">
        <v>1608</v>
      </c>
      <c r="C1858" s="1094">
        <v>0.98696717916368448</v>
      </c>
      <c r="D1858" s="1094">
        <v>0.98828215774242545</v>
      </c>
      <c r="E1858" s="1094">
        <v>0.96915044968242903</v>
      </c>
      <c r="F1858" s="1094">
        <v>1.0060623310255472</v>
      </c>
      <c r="G1858" s="1094">
        <v>0.98391786329589181</v>
      </c>
      <c r="H1858" s="1094">
        <v>1.0092950079827108</v>
      </c>
      <c r="I1858" s="1094">
        <v>0.99258732667677452</v>
      </c>
      <c r="K1858">
        <v>4.5149819012928001</v>
      </c>
      <c r="L1858">
        <v>0</v>
      </c>
      <c r="M1858">
        <v>1.6133794559818977E-3</v>
      </c>
      <c r="N1858">
        <v>0.12742252293926684</v>
      </c>
      <c r="O1858">
        <v>3.9535655929669372E-2</v>
      </c>
      <c r="P1858">
        <v>1.8824484667297119E-2</v>
      </c>
      <c r="Q1858">
        <v>1.292077361670228E-3</v>
      </c>
      <c r="R1858">
        <v>1.6068619584095733E-3</v>
      </c>
      <c r="S1858">
        <v>0.23514889883748147</v>
      </c>
      <c r="T1858">
        <v>3.9912410434346617</v>
      </c>
      <c r="U1858">
        <v>0</v>
      </c>
      <c r="V1858">
        <v>9.4523053561131904E-3</v>
      </c>
      <c r="W1858">
        <v>7.7516504827148044E-2</v>
      </c>
      <c r="X1858">
        <v>1.0013810864490429E-2</v>
      </c>
      <c r="Y1858">
        <v>4.5411145725725464E-3</v>
      </c>
    </row>
    <row r="1859" spans="1:25" x14ac:dyDescent="0.25">
      <c r="A1859" s="1090"/>
      <c r="B1859" s="1448">
        <v>1609</v>
      </c>
      <c r="C1859" s="1094">
        <v>0.95458546414555656</v>
      </c>
      <c r="D1859" s="1094">
        <v>1.0076070988787924</v>
      </c>
      <c r="E1859" s="1094">
        <v>1.004334034979848</v>
      </c>
      <c r="F1859" s="1094">
        <v>1.0321862304139664</v>
      </c>
      <c r="G1859" s="1094">
        <v>0.98597136298706434</v>
      </c>
      <c r="H1859" s="1094">
        <v>1.0141924750246412</v>
      </c>
      <c r="I1859" s="1094">
        <v>1.0220659311956044</v>
      </c>
      <c r="K1859">
        <v>4.6564544440475739</v>
      </c>
      <c r="L1859">
        <v>0</v>
      </c>
      <c r="M1859">
        <v>1.5846710802205548E-3</v>
      </c>
      <c r="N1859">
        <v>0.13893773620382524</v>
      </c>
      <c r="O1859">
        <v>4.1354774634839407E-2</v>
      </c>
      <c r="P1859">
        <v>1.9881897777258725E-2</v>
      </c>
      <c r="Q1859">
        <v>1.3665301813877621E-3</v>
      </c>
      <c r="R1859">
        <v>1.5784610620057425E-3</v>
      </c>
      <c r="S1859">
        <v>0.25368084982431605</v>
      </c>
      <c r="T1859">
        <v>4.0934876420366866</v>
      </c>
      <c r="U1859">
        <v>0</v>
      </c>
      <c r="V1859">
        <v>9.4523053561131939E-3</v>
      </c>
      <c r="W1859">
        <v>8.251767869222168E-2</v>
      </c>
      <c r="X1859">
        <v>1.132038788810914E-2</v>
      </c>
      <c r="Y1859">
        <v>4.4608514710294542E-3</v>
      </c>
    </row>
    <row r="1860" spans="1:25" x14ac:dyDescent="0.25">
      <c r="A1860" s="1090"/>
      <c r="B1860" s="1448">
        <v>1610</v>
      </c>
      <c r="C1860" s="1094">
        <v>0.99504598548279222</v>
      </c>
      <c r="D1860" s="1094">
        <v>1.0175439571499783</v>
      </c>
      <c r="E1860" s="1094">
        <v>0.95900394049134952</v>
      </c>
      <c r="F1860" s="1094">
        <v>0.98552011098067793</v>
      </c>
      <c r="G1860" s="1094">
        <v>1.0022842272634893</v>
      </c>
      <c r="H1860" s="1094">
        <v>0.98469095442077781</v>
      </c>
      <c r="I1860" s="1094">
        <v>1.0169090594225303</v>
      </c>
      <c r="K1860">
        <v>4.4136205711463079</v>
      </c>
      <c r="L1860">
        <v>0</v>
      </c>
      <c r="M1860">
        <v>1.5442359481914127E-3</v>
      </c>
      <c r="N1860">
        <v>0.11831790932892532</v>
      </c>
      <c r="O1860">
        <v>3.8036305155605743E-2</v>
      </c>
      <c r="P1860">
        <v>1.8305141882381363E-2</v>
      </c>
      <c r="Q1860">
        <v>1.2554949537586452E-3</v>
      </c>
      <c r="R1860">
        <v>1.537709172600134E-3</v>
      </c>
      <c r="S1860">
        <v>0.23169983134445452</v>
      </c>
      <c r="T1860">
        <v>3.9101335917671727</v>
      </c>
      <c r="U1860">
        <v>0</v>
      </c>
      <c r="V1860">
        <v>9.4523053561132026E-3</v>
      </c>
      <c r="W1860">
        <v>7.2485407437875404E-2</v>
      </c>
      <c r="X1860">
        <v>9.5954271752981771E-3</v>
      </c>
      <c r="Y1860">
        <v>4.3456835203096291E-3</v>
      </c>
    </row>
    <row r="1861" spans="1:25" x14ac:dyDescent="0.25">
      <c r="A1861" s="1090"/>
      <c r="B1861" s="1448">
        <v>1611</v>
      </c>
      <c r="C1861" s="1094">
        <v>1.0351732188368254</v>
      </c>
      <c r="D1861" s="1094">
        <v>1.0209422565242117</v>
      </c>
      <c r="E1861" s="1094">
        <v>1.0245692639317185</v>
      </c>
      <c r="F1861" s="1094">
        <v>1.0035946311851509</v>
      </c>
      <c r="G1861" s="1094">
        <v>0.97795474437088614</v>
      </c>
      <c r="H1861" s="1094">
        <v>0.96370291279980225</v>
      </c>
      <c r="I1861" s="1094">
        <v>0.99236032739612612</v>
      </c>
      <c r="K1861">
        <v>4.4694017102406285</v>
      </c>
      <c r="L1861">
        <v>0</v>
      </c>
      <c r="M1861">
        <v>1.2870078552759334E-3</v>
      </c>
      <c r="N1861">
        <v>0.11976572532161626</v>
      </c>
      <c r="O1861">
        <v>3.6750612314571204E-2</v>
      </c>
      <c r="P1861">
        <v>1.9487360374384633E-2</v>
      </c>
      <c r="Q1861">
        <v>1.27526337750599E-3</v>
      </c>
      <c r="R1861">
        <v>1.2815494885360242E-3</v>
      </c>
      <c r="S1861">
        <v>0.21828970401315484</v>
      </c>
      <c r="T1861">
        <v>3.979330009617855</v>
      </c>
      <c r="U1861">
        <v>0</v>
      </c>
      <c r="V1861">
        <v>9.4523053561132008E-3</v>
      </c>
      <c r="W1861">
        <v>7.0174206035936423E-2</v>
      </c>
      <c r="X1861">
        <v>1.1260225499948926E-2</v>
      </c>
      <c r="Y1861">
        <v>3.6217566962777389E-3</v>
      </c>
    </row>
    <row r="1862" spans="1:25" x14ac:dyDescent="0.25">
      <c r="A1862" s="1090"/>
      <c r="B1862" s="1448">
        <v>1612</v>
      </c>
      <c r="C1862" s="1094">
        <v>1.0314217857269847</v>
      </c>
      <c r="D1862" s="1094">
        <v>1.0011738737630573</v>
      </c>
      <c r="E1862" s="1094">
        <v>1.00703287304218</v>
      </c>
      <c r="F1862" s="1094">
        <v>1.0309034240601238</v>
      </c>
      <c r="G1862" s="1094">
        <v>1.0006356206897558</v>
      </c>
      <c r="H1862" s="1094">
        <v>1.0255805008375716</v>
      </c>
      <c r="I1862" s="1094">
        <v>1.0021095899311987</v>
      </c>
      <c r="K1862">
        <v>4.611447590196919</v>
      </c>
      <c r="L1862">
        <v>0</v>
      </c>
      <c r="M1862">
        <v>1.4766285721898745E-3</v>
      </c>
      <c r="N1862">
        <v>0.13050905075491642</v>
      </c>
      <c r="O1862">
        <v>3.8305996052936581E-2</v>
      </c>
      <c r="P1862">
        <v>1.9795655492001209E-2</v>
      </c>
      <c r="Q1862">
        <v>1.2708998331285727E-3</v>
      </c>
      <c r="R1862">
        <v>1.47089911380375E-3</v>
      </c>
      <c r="S1862">
        <v>0.23130679009346874</v>
      </c>
      <c r="T1862">
        <v>4.0882945793502383</v>
      </c>
      <c r="U1862">
        <v>0</v>
      </c>
      <c r="V1862">
        <v>9.4523053561131783E-3</v>
      </c>
      <c r="W1862">
        <v>7.7371011718179228E-2</v>
      </c>
      <c r="X1862">
        <v>1.0990157810882865E-2</v>
      </c>
      <c r="Y1862">
        <v>4.1568731934443553E-3</v>
      </c>
    </row>
    <row r="1863" spans="1:25" x14ac:dyDescent="0.25">
      <c r="A1863" s="1090"/>
      <c r="B1863" s="1448">
        <v>1613</v>
      </c>
      <c r="C1863" s="1094">
        <v>1.0191212688516413</v>
      </c>
      <c r="D1863" s="1094">
        <v>1.0100304914100211</v>
      </c>
      <c r="E1863" s="1094">
        <v>0.99914833185733576</v>
      </c>
      <c r="F1863" s="1094">
        <v>1.0018608809611504</v>
      </c>
      <c r="G1863" s="1094">
        <v>1.0073646513897925</v>
      </c>
      <c r="H1863" s="1094">
        <v>0.99698989652878112</v>
      </c>
      <c r="I1863" s="1094">
        <v>1.03582964958853</v>
      </c>
      <c r="K1863">
        <v>4.4871347724475115</v>
      </c>
      <c r="L1863">
        <v>0</v>
      </c>
      <c r="M1863">
        <v>1.4306284047091063E-3</v>
      </c>
      <c r="N1863">
        <v>0.12349630149317135</v>
      </c>
      <c r="O1863">
        <v>3.7596695911585626E-2</v>
      </c>
      <c r="P1863">
        <v>1.9172180306380741E-2</v>
      </c>
      <c r="Q1863">
        <v>1.2731010322339794E-3</v>
      </c>
      <c r="R1863">
        <v>1.4247533947029953E-3</v>
      </c>
      <c r="S1863">
        <v>0.23447384068131835</v>
      </c>
      <c r="T1863">
        <v>3.9734197682674148</v>
      </c>
      <c r="U1863">
        <v>0</v>
      </c>
      <c r="V1863">
        <v>9.4523053561131852E-3</v>
      </c>
      <c r="W1863">
        <v>7.3603944801921367E-2</v>
      </c>
      <c r="X1863">
        <v>1.0626047739172447E-2</v>
      </c>
      <c r="Y1863">
        <v>4.026461868206631E-3</v>
      </c>
    </row>
    <row r="1864" spans="1:25" x14ac:dyDescent="0.25">
      <c r="A1864" s="1090"/>
      <c r="B1864" s="1448">
        <v>1614</v>
      </c>
      <c r="C1864" s="1094">
        <v>0.98496992127198479</v>
      </c>
      <c r="D1864" s="1094">
        <v>1.0385667910005798</v>
      </c>
      <c r="E1864" s="1094">
        <v>0.97095002871641556</v>
      </c>
      <c r="F1864" s="1094">
        <v>1.0124878937181228</v>
      </c>
      <c r="G1864" s="1094">
        <v>0.97056210716380575</v>
      </c>
      <c r="H1864" s="1094">
        <v>1.0034566108703542</v>
      </c>
      <c r="I1864" s="1094">
        <v>1.0150062496851604</v>
      </c>
      <c r="K1864">
        <v>4.5395678336011098</v>
      </c>
      <c r="L1864">
        <v>0</v>
      </c>
      <c r="M1864">
        <v>1.5797594168945762E-3</v>
      </c>
      <c r="N1864">
        <v>0.12543606573580082</v>
      </c>
      <c r="O1864">
        <v>3.9072746482492725E-2</v>
      </c>
      <c r="P1864">
        <v>1.897608992276487E-2</v>
      </c>
      <c r="Q1864">
        <v>1.2712460184161356E-3</v>
      </c>
      <c r="R1864">
        <v>1.5733811729983181E-3</v>
      </c>
      <c r="S1864">
        <v>0.23796168235469209</v>
      </c>
      <c r="T1864">
        <v>4.016662077695103</v>
      </c>
      <c r="U1864">
        <v>0</v>
      </c>
      <c r="V1864">
        <v>9.4523053561131973E-3</v>
      </c>
      <c r="W1864">
        <v>7.621339252331856E-2</v>
      </c>
      <c r="X1864">
        <v>1.0082110439438085E-2</v>
      </c>
      <c r="Y1864">
        <v>4.4464953168632925E-3</v>
      </c>
    </row>
    <row r="1865" spans="1:25" x14ac:dyDescent="0.25">
      <c r="A1865" s="1090"/>
      <c r="B1865" s="1448">
        <v>1615</v>
      </c>
      <c r="C1865" s="1094">
        <v>1.0112725795309598</v>
      </c>
      <c r="D1865" s="1094">
        <v>0.97395182224722376</v>
      </c>
      <c r="E1865" s="1094">
        <v>0.99547573386803445</v>
      </c>
      <c r="F1865" s="1094">
        <v>0.99995149550142381</v>
      </c>
      <c r="G1865" s="1094">
        <v>0.9838981421244658</v>
      </c>
      <c r="H1865" s="1094">
        <v>0.9993885185372553</v>
      </c>
      <c r="I1865" s="1094">
        <v>0.99942323962758928</v>
      </c>
      <c r="K1865">
        <v>4.4805403057731192</v>
      </c>
      <c r="L1865">
        <v>0</v>
      </c>
      <c r="M1865">
        <v>1.4749568952100167E-3</v>
      </c>
      <c r="N1865">
        <v>0.12594487579967825</v>
      </c>
      <c r="O1865">
        <v>3.8395703730126317E-2</v>
      </c>
      <c r="P1865">
        <v>1.9067535442096915E-2</v>
      </c>
      <c r="Q1865">
        <v>1.2976871728299043E-3</v>
      </c>
      <c r="R1865">
        <v>1.4689028928377404E-3</v>
      </c>
      <c r="S1865">
        <v>0.23041071976135377</v>
      </c>
      <c r="T1865">
        <v>3.9659871029705753</v>
      </c>
      <c r="U1865">
        <v>0</v>
      </c>
      <c r="V1865">
        <v>9.4523053561131817E-3</v>
      </c>
      <c r="W1865">
        <v>7.5250193842547081E-2</v>
      </c>
      <c r="X1865">
        <v>1.058900397958085E-2</v>
      </c>
      <c r="Y1865">
        <v>4.1512317205901492E-3</v>
      </c>
    </row>
    <row r="1866" spans="1:25" x14ac:dyDescent="0.25">
      <c r="A1866" s="1090"/>
      <c r="B1866" s="1448">
        <v>1616</v>
      </c>
      <c r="C1866" s="1094">
        <v>1.0056809380398677</v>
      </c>
      <c r="D1866" s="1094">
        <v>1.0067531221348378</v>
      </c>
      <c r="E1866" s="1094">
        <v>0.96955615069677326</v>
      </c>
      <c r="F1866" s="1094">
        <v>0.98733348856363767</v>
      </c>
      <c r="G1866" s="1094">
        <v>0.99198846342685132</v>
      </c>
      <c r="H1866" s="1094">
        <v>0.9907596686033483</v>
      </c>
      <c r="I1866" s="1094">
        <v>1.0034323637087788</v>
      </c>
      <c r="K1866">
        <v>4.4180021832476912</v>
      </c>
      <c r="L1866">
        <v>0</v>
      </c>
      <c r="M1866">
        <v>1.512919102723461E-3</v>
      </c>
      <c r="N1866">
        <v>0.11961393254705933</v>
      </c>
      <c r="O1866">
        <v>3.7793963105408654E-2</v>
      </c>
      <c r="P1866">
        <v>1.8466743106708514E-2</v>
      </c>
      <c r="Q1866">
        <v>1.2591230773848568E-3</v>
      </c>
      <c r="R1866">
        <v>1.5065754806549579E-3</v>
      </c>
      <c r="S1866">
        <v>0.22767582718801804</v>
      </c>
      <c r="T1866">
        <v>3.9169246737916614</v>
      </c>
      <c r="U1866">
        <v>0</v>
      </c>
      <c r="V1866">
        <v>9.4523053561131939E-3</v>
      </c>
      <c r="W1866">
        <v>7.2745838634251991E-2</v>
      </c>
      <c r="X1866">
        <v>9.8184227332250573E-3</v>
      </c>
      <c r="Y1866">
        <v>4.2576973299276273E-3</v>
      </c>
    </row>
    <row r="1867" spans="1:25" x14ac:dyDescent="0.25">
      <c r="A1867" s="1090"/>
      <c r="B1867" s="1448">
        <v>1617</v>
      </c>
      <c r="C1867" s="1094">
        <v>1.0045374016326014</v>
      </c>
      <c r="D1867" s="1094">
        <v>1.0326853355666723</v>
      </c>
      <c r="E1867" s="1094">
        <v>1.0329698581683402</v>
      </c>
      <c r="F1867" s="1094">
        <v>0.97146056624710309</v>
      </c>
      <c r="G1867" s="1094">
        <v>0.95808069957647979</v>
      </c>
      <c r="H1867" s="1094">
        <v>0.99825270134834732</v>
      </c>
      <c r="I1867" s="1094">
        <v>1.0076230400083557</v>
      </c>
      <c r="K1867">
        <v>4.3542745227368194</v>
      </c>
      <c r="L1867">
        <v>0</v>
      </c>
      <c r="M1867">
        <v>1.3006114156775233E-3</v>
      </c>
      <c r="N1867">
        <v>0.12407691832848088</v>
      </c>
      <c r="O1867">
        <v>3.6436199963807557E-2</v>
      </c>
      <c r="P1867">
        <v>1.9043683912766587E-2</v>
      </c>
      <c r="Q1867">
        <v>1.3174382117257691E-3</v>
      </c>
      <c r="R1867">
        <v>1.2951108646820952E-3</v>
      </c>
      <c r="S1867">
        <v>0.22521240986035401</v>
      </c>
      <c r="T1867">
        <v>3.8516095862968922</v>
      </c>
      <c r="U1867">
        <v>0</v>
      </c>
      <c r="V1867">
        <v>9.452305356113206E-3</v>
      </c>
      <c r="W1867">
        <v>7.2296560456341336E-2</v>
      </c>
      <c r="X1867">
        <v>1.1174838720698268E-2</v>
      </c>
      <c r="Y1867">
        <v>3.6600821806286247E-3</v>
      </c>
    </row>
    <row r="1868" spans="1:25" x14ac:dyDescent="0.25">
      <c r="A1868" s="1090"/>
      <c r="B1868" s="1448">
        <v>1618</v>
      </c>
      <c r="C1868" s="1094">
        <v>1.0053564103670467</v>
      </c>
      <c r="D1868" s="1094">
        <v>1.041198246252071</v>
      </c>
      <c r="E1868" s="1094">
        <v>1.0385459667737298</v>
      </c>
      <c r="F1868" s="1094">
        <v>1.0082575773133393</v>
      </c>
      <c r="G1868" s="1094">
        <v>1.0005451223951169</v>
      </c>
      <c r="H1868" s="1094">
        <v>1.0103392730710306</v>
      </c>
      <c r="I1868" s="1094">
        <v>1.0023699195147602</v>
      </c>
      <c r="K1868">
        <v>4.517008887835229</v>
      </c>
      <c r="L1868">
        <v>0</v>
      </c>
      <c r="M1868">
        <v>1.3444546234272997E-3</v>
      </c>
      <c r="N1868">
        <v>0.13041701521771645</v>
      </c>
      <c r="O1868">
        <v>3.7623677617077328E-2</v>
      </c>
      <c r="P1868">
        <v>1.9824202280617695E-2</v>
      </c>
      <c r="Q1868">
        <v>1.318193231453723E-3</v>
      </c>
      <c r="R1868">
        <v>1.3390408678504106E-3</v>
      </c>
      <c r="S1868">
        <v>0.22991961035845712</v>
      </c>
      <c r="T1868">
        <v>3.9972906305258253</v>
      </c>
      <c r="U1868">
        <v>0</v>
      </c>
      <c r="V1868">
        <v>9.4523053561131991E-3</v>
      </c>
      <c r="W1868">
        <v>7.5711736151519174E-2</v>
      </c>
      <c r="X1868">
        <v>1.1672699128541793E-2</v>
      </c>
      <c r="Y1868">
        <v>3.7842317234793661E-3</v>
      </c>
    </row>
    <row r="1869" spans="1:25" x14ac:dyDescent="0.25">
      <c r="A1869" s="1090"/>
      <c r="B1869" s="1448">
        <v>1619</v>
      </c>
      <c r="C1869" s="1094">
        <v>0.96607017745247414</v>
      </c>
      <c r="D1869" s="1094">
        <v>0.99691413827959496</v>
      </c>
      <c r="E1869" s="1094">
        <v>1.018362876401018</v>
      </c>
      <c r="F1869" s="1094">
        <v>1.0280291341050329</v>
      </c>
      <c r="G1869" s="1094">
        <v>1.0287629396015172</v>
      </c>
      <c r="H1869" s="1094">
        <v>0.99754396941321188</v>
      </c>
      <c r="I1869" s="1094">
        <v>0.99262860229448024</v>
      </c>
      <c r="K1869">
        <v>4.623181545208805</v>
      </c>
      <c r="L1869">
        <v>0</v>
      </c>
      <c r="M1869">
        <v>1.4955867750254465E-3</v>
      </c>
      <c r="N1869">
        <v>0.13667664802306528</v>
      </c>
      <c r="O1869">
        <v>4.0769822795286424E-2</v>
      </c>
      <c r="P1869">
        <v>1.9957317941022394E-2</v>
      </c>
      <c r="Q1869">
        <v>1.3723435261629902E-3</v>
      </c>
      <c r="R1869">
        <v>1.4896040457201588E-3</v>
      </c>
      <c r="S1869">
        <v>0.24221566567349775</v>
      </c>
      <c r="T1869">
        <v>4.0764551053128066</v>
      </c>
      <c r="U1869">
        <v>0</v>
      </c>
      <c r="V1869">
        <v>9.4523053561131973E-3</v>
      </c>
      <c r="W1869">
        <v>8.0414572915801549E-2</v>
      </c>
      <c r="X1869">
        <v>1.1664011635257494E-2</v>
      </c>
      <c r="Y1869">
        <v>4.2097347590941206E-3</v>
      </c>
    </row>
    <row r="1870" spans="1:25" x14ac:dyDescent="0.25">
      <c r="A1870" s="1090"/>
      <c r="B1870" s="1448">
        <v>1620</v>
      </c>
      <c r="C1870" s="1094">
        <v>0.98631807022032858</v>
      </c>
      <c r="D1870" s="1094">
        <v>1.0152984046740545</v>
      </c>
      <c r="E1870" s="1094">
        <v>0.96235937359423362</v>
      </c>
      <c r="F1870" s="1094">
        <v>0.97561323027763902</v>
      </c>
      <c r="G1870" s="1094">
        <v>0.99824324753127314</v>
      </c>
      <c r="H1870" s="1094">
        <v>0.98382544467059974</v>
      </c>
      <c r="I1870" s="1094">
        <v>1.0272816386575445</v>
      </c>
      <c r="K1870">
        <v>4.3771208015848364</v>
      </c>
      <c r="L1870">
        <v>0</v>
      </c>
      <c r="M1870">
        <v>1.531519563715007E-3</v>
      </c>
      <c r="N1870">
        <v>0.11851395129336273</v>
      </c>
      <c r="O1870">
        <v>3.799823956174668E-2</v>
      </c>
      <c r="P1870">
        <v>1.8191251103839932E-2</v>
      </c>
      <c r="Q1870">
        <v>1.2714684696298348E-3</v>
      </c>
      <c r="R1870">
        <v>1.5249753281190905E-3</v>
      </c>
      <c r="S1870">
        <v>0.23462656082590094</v>
      </c>
      <c r="T1870">
        <v>3.8707001665774254</v>
      </c>
      <c r="U1870">
        <v>0</v>
      </c>
      <c r="V1870">
        <v>9.4523053561131817E-3</v>
      </c>
      <c r="W1870">
        <v>7.2436573556201464E-2</v>
      </c>
      <c r="X1870">
        <v>9.6271323725885607E-3</v>
      </c>
      <c r="Y1870">
        <v>4.309696703623165E-3</v>
      </c>
    </row>
    <row r="1871" spans="1:25" x14ac:dyDescent="0.25">
      <c r="A1871" s="1090"/>
      <c r="B1871" s="1448">
        <v>1621</v>
      </c>
      <c r="C1871" s="1094">
        <v>1.0112411092866351</v>
      </c>
      <c r="D1871" s="1094">
        <v>0.99541019053169777</v>
      </c>
      <c r="E1871" s="1094">
        <v>0.96175585976996836</v>
      </c>
      <c r="F1871" s="1094">
        <v>0.97442288535158528</v>
      </c>
      <c r="G1871" s="1094">
        <v>0.99863083655527285</v>
      </c>
      <c r="H1871" s="1094">
        <v>1.0095362831067509</v>
      </c>
      <c r="I1871" s="1094">
        <v>1.0268343363559469</v>
      </c>
      <c r="K1871">
        <v>4.3701759341996826</v>
      </c>
      <c r="L1871">
        <v>0</v>
      </c>
      <c r="M1871">
        <v>1.5450624078466165E-3</v>
      </c>
      <c r="N1871">
        <v>0.11936016733066947</v>
      </c>
      <c r="O1871">
        <v>3.7314569809138699E-2</v>
      </c>
      <c r="P1871">
        <v>1.8149856534137941E-2</v>
      </c>
      <c r="Q1871">
        <v>1.2493219671523591E-3</v>
      </c>
      <c r="R1871">
        <v>1.5386206188270392E-3</v>
      </c>
      <c r="S1871">
        <v>0.231875031717067</v>
      </c>
      <c r="T1871">
        <v>3.866000336344309</v>
      </c>
      <c r="U1871">
        <v>0</v>
      </c>
      <c r="V1871">
        <v>9.4523053561131852E-3</v>
      </c>
      <c r="W1871">
        <v>7.2984330793533433E-2</v>
      </c>
      <c r="X1871">
        <v>9.4481967996496146E-3</v>
      </c>
      <c r="Y1871">
        <v>4.3482593369324916E-3</v>
      </c>
    </row>
    <row r="1872" spans="1:25" x14ac:dyDescent="0.25">
      <c r="A1872" s="1090"/>
      <c r="B1872" s="1448">
        <v>1622</v>
      </c>
      <c r="C1872" s="1094">
        <v>1.0319779160589764</v>
      </c>
      <c r="D1872" s="1094">
        <v>1.0392104482209996</v>
      </c>
      <c r="E1872" s="1094">
        <v>1.0244957939750599</v>
      </c>
      <c r="F1872" s="1094">
        <v>0.98301147928989874</v>
      </c>
      <c r="G1872" s="1094">
        <v>1.0016452755882124</v>
      </c>
      <c r="H1872" s="1094">
        <v>0.99854877466055825</v>
      </c>
      <c r="I1872" s="1094">
        <v>1.018120478146229</v>
      </c>
      <c r="K1872">
        <v>4.3929339469559787</v>
      </c>
      <c r="L1872">
        <v>0</v>
      </c>
      <c r="M1872">
        <v>1.3012893496111358E-3</v>
      </c>
      <c r="N1872">
        <v>0.12107603267352916</v>
      </c>
      <c r="O1872">
        <v>3.5853560086368162E-2</v>
      </c>
      <c r="P1872">
        <v>1.9129588793376832E-2</v>
      </c>
      <c r="Q1872">
        <v>1.2700904742753386E-3</v>
      </c>
      <c r="R1872">
        <v>1.2958519424815023E-3</v>
      </c>
      <c r="S1872">
        <v>0.22288294182793933</v>
      </c>
      <c r="T1872">
        <v>3.8977189441840947</v>
      </c>
      <c r="U1872">
        <v>0</v>
      </c>
      <c r="V1872">
        <v>9.4523053561131887E-3</v>
      </c>
      <c r="W1872">
        <v>7.0945417885465101E-2</v>
      </c>
      <c r="X1872">
        <v>1.0948326558880044E-2</v>
      </c>
      <c r="Y1872">
        <v>3.6621765230683621E-3</v>
      </c>
    </row>
    <row r="1873" spans="1:25" x14ac:dyDescent="0.25">
      <c r="A1873" s="1090"/>
      <c r="B1873" s="1448">
        <v>1623</v>
      </c>
      <c r="C1873" s="1094">
        <v>0.97210997074270455</v>
      </c>
      <c r="D1873" s="1094">
        <v>0.97923521053194029</v>
      </c>
      <c r="E1873" s="1094">
        <v>1.0382822002390211</v>
      </c>
      <c r="F1873" s="1094">
        <v>1.0195081260609324</v>
      </c>
      <c r="G1873" s="1094">
        <v>0.99406336053324829</v>
      </c>
      <c r="H1873" s="1094">
        <v>1.0195744967683229</v>
      </c>
      <c r="I1873" s="1094">
        <v>1.0319672315254751</v>
      </c>
      <c r="K1873">
        <v>4.6043025330214329</v>
      </c>
      <c r="L1873">
        <v>0</v>
      </c>
      <c r="M1873">
        <v>1.4548004644444952E-3</v>
      </c>
      <c r="N1873">
        <v>0.14102240402211361</v>
      </c>
      <c r="O1873">
        <v>4.0324073280722378E-2</v>
      </c>
      <c r="P1873">
        <v>2.0132498560334167E-2</v>
      </c>
      <c r="Q1873">
        <v>1.3968394125985358E-3</v>
      </c>
      <c r="R1873">
        <v>1.4490592403541742E-3</v>
      </c>
      <c r="S1873">
        <v>0.25200866756451268</v>
      </c>
      <c r="T1873">
        <v>4.0419040746284276</v>
      </c>
      <c r="U1873">
        <v>0</v>
      </c>
      <c r="V1873">
        <v>9.4523053561131817E-3</v>
      </c>
      <c r="W1873">
        <v>8.1882765687394207E-2</v>
      </c>
      <c r="X1873">
        <v>1.2089493689627305E-2</v>
      </c>
      <c r="Y1873">
        <v>4.0951520436803938E-3</v>
      </c>
    </row>
    <row r="1874" spans="1:25" x14ac:dyDescent="0.25">
      <c r="A1874" s="1090"/>
      <c r="B1874" s="1448">
        <v>1624</v>
      </c>
      <c r="C1874" s="1094">
        <v>1.0406431156493163</v>
      </c>
      <c r="D1874" s="1094">
        <v>1.0040708769349338</v>
      </c>
      <c r="E1874" s="1094">
        <v>0.96953965263689401</v>
      </c>
      <c r="F1874" s="1094">
        <v>0.9666750425852948</v>
      </c>
      <c r="G1874" s="1094">
        <v>1.0055002617137176</v>
      </c>
      <c r="H1874" s="1094">
        <v>0.98185958410735474</v>
      </c>
      <c r="I1874" s="1094">
        <v>1.0100179851661901</v>
      </c>
      <c r="K1874">
        <v>4.3114770346851587</v>
      </c>
      <c r="L1874">
        <v>0</v>
      </c>
      <c r="M1874">
        <v>1.4203285895857088E-3</v>
      </c>
      <c r="N1874">
        <v>0.11227363093489713</v>
      </c>
      <c r="O1874">
        <v>3.5798282406372048E-2</v>
      </c>
      <c r="P1874">
        <v>1.8058718472114581E-2</v>
      </c>
      <c r="Q1874">
        <v>1.2181023230415419E-3</v>
      </c>
      <c r="R1874">
        <v>1.4141913346111586E-3</v>
      </c>
      <c r="S1874">
        <v>0.21789841894877637</v>
      </c>
      <c r="T1874">
        <v>3.8349696209293986</v>
      </c>
      <c r="U1874">
        <v>0</v>
      </c>
      <c r="V1874">
        <v>9.4523053561132043E-3</v>
      </c>
      <c r="W1874">
        <v>6.8282450430714098E-2</v>
      </c>
      <c r="X1874">
        <v>9.5350294586870749E-3</v>
      </c>
      <c r="Y1874">
        <v>3.9966126800119591E-3</v>
      </c>
    </row>
    <row r="1875" spans="1:25" x14ac:dyDescent="0.25">
      <c r="A1875" s="1090"/>
      <c r="B1875" s="1448">
        <v>1625</v>
      </c>
      <c r="C1875" s="1094">
        <v>1.002825836683537</v>
      </c>
      <c r="D1875" s="1094">
        <v>0.99602553712426189</v>
      </c>
      <c r="E1875" s="1094">
        <v>0.98393352837823966</v>
      </c>
      <c r="F1875" s="1094">
        <v>1.0057236945979631</v>
      </c>
      <c r="G1875" s="1094">
        <v>1.0027539618812145</v>
      </c>
      <c r="H1875" s="1094">
        <v>0.9707333071876364</v>
      </c>
      <c r="I1875" s="1094">
        <v>0.99241156998972824</v>
      </c>
      <c r="K1875">
        <v>4.4952388636856311</v>
      </c>
      <c r="L1875">
        <v>0</v>
      </c>
      <c r="M1875">
        <v>1.4754464119829851E-3</v>
      </c>
      <c r="N1875">
        <v>0.12173584650993274</v>
      </c>
      <c r="O1875">
        <v>3.8674548716931607E-2</v>
      </c>
      <c r="P1875">
        <v>1.8996207183316124E-2</v>
      </c>
      <c r="Q1875">
        <v>1.2840892100874409E-3</v>
      </c>
      <c r="R1875">
        <v>1.4692472697577987E-3</v>
      </c>
      <c r="S1875">
        <v>0.22787504030889952</v>
      </c>
      <c r="T1875">
        <v>3.9893249570035301</v>
      </c>
      <c r="U1875">
        <v>0</v>
      </c>
      <c r="V1875">
        <v>9.4523053561131835E-3</v>
      </c>
      <c r="W1875">
        <v>7.3309010705441227E-2</v>
      </c>
      <c r="X1875">
        <v>1.0440852877545943E-2</v>
      </c>
      <c r="Y1875">
        <v>4.1522049560581689E-3</v>
      </c>
    </row>
    <row r="1876" spans="1:25" x14ac:dyDescent="0.25">
      <c r="A1876" s="1090"/>
      <c r="B1876" s="1448">
        <v>1626</v>
      </c>
      <c r="C1876" s="1094">
        <v>0.98865169903324224</v>
      </c>
      <c r="D1876" s="1094">
        <v>0.98276286049763784</v>
      </c>
      <c r="E1876" s="1094">
        <v>0.99416531004921238</v>
      </c>
      <c r="F1876" s="1094">
        <v>0.99353884861478703</v>
      </c>
      <c r="G1876" s="1094">
        <v>0.98368098280001637</v>
      </c>
      <c r="H1876" s="1094">
        <v>1.0386676926772862</v>
      </c>
      <c r="I1876" s="1094">
        <v>0.97935615112120988</v>
      </c>
      <c r="K1876">
        <v>4.4679164752447509</v>
      </c>
      <c r="L1876">
        <v>0</v>
      </c>
      <c r="M1876">
        <v>1.5566714699646598E-3</v>
      </c>
      <c r="N1876">
        <v>0.13242435212707299</v>
      </c>
      <c r="O1876">
        <v>3.8891130348379536E-2</v>
      </c>
      <c r="P1876">
        <v>1.8942291143985504E-2</v>
      </c>
      <c r="Q1876">
        <v>1.3211163457803998E-3</v>
      </c>
      <c r="R1876">
        <v>1.5504841790023804E-3</v>
      </c>
      <c r="S1876">
        <v>0.23226975491267002</v>
      </c>
      <c r="T1876">
        <v>3.940603099679163</v>
      </c>
      <c r="U1876">
        <v>0</v>
      </c>
      <c r="V1876">
        <v>9.4523053561131939E-3</v>
      </c>
      <c r="W1876">
        <v>7.9191939444387419E-2</v>
      </c>
      <c r="X1876">
        <v>1.0444886514430049E-2</v>
      </c>
      <c r="Y1876">
        <v>4.3817866637279783E-3</v>
      </c>
    </row>
    <row r="1877" spans="1:25" x14ac:dyDescent="0.25">
      <c r="A1877" s="1090"/>
      <c r="B1877" s="1448">
        <v>1627</v>
      </c>
      <c r="C1877" s="1094">
        <v>0.98437476728128492</v>
      </c>
      <c r="D1877" s="1094">
        <v>1.0111608819850375</v>
      </c>
      <c r="E1877" s="1094">
        <v>0.98784801677688183</v>
      </c>
      <c r="F1877" s="1094">
        <v>0.98593321092059538</v>
      </c>
      <c r="G1877" s="1094">
        <v>1.0112993929059211</v>
      </c>
      <c r="H1877" s="1094">
        <v>1.0018559427599119</v>
      </c>
      <c r="I1877" s="1094">
        <v>1.028514042444127</v>
      </c>
      <c r="K1877">
        <v>4.4321355946216814</v>
      </c>
      <c r="L1877">
        <v>0</v>
      </c>
      <c r="M1877">
        <v>1.4993602806859443E-3</v>
      </c>
      <c r="N1877">
        <v>0.12515981176613233</v>
      </c>
      <c r="O1877">
        <v>3.8365125106570939E-2</v>
      </c>
      <c r="P1877">
        <v>1.8746856906167939E-2</v>
      </c>
      <c r="Q1877">
        <v>1.304699423968011E-3</v>
      </c>
      <c r="R1877">
        <v>1.493134347630371E-3</v>
      </c>
      <c r="S1877">
        <v>0.23873719654464368</v>
      </c>
      <c r="T1877">
        <v>3.9106756214135951</v>
      </c>
      <c r="U1877">
        <v>0</v>
      </c>
      <c r="V1877">
        <v>9.4523053561131869E-3</v>
      </c>
      <c r="W1877">
        <v>7.5169851718933284E-2</v>
      </c>
      <c r="X1877">
        <v>1.0310640656793522E-2</v>
      </c>
      <c r="Y1877">
        <v>4.219711661818182E-3</v>
      </c>
    </row>
    <row r="1878" spans="1:25" x14ac:dyDescent="0.25">
      <c r="A1878" s="1090"/>
      <c r="B1878" s="1448">
        <v>1628</v>
      </c>
      <c r="C1878" s="1094">
        <v>0.99036577338253251</v>
      </c>
      <c r="D1878" s="1094">
        <v>1.0012064102905553</v>
      </c>
      <c r="E1878" s="1094">
        <v>1.003708601399246</v>
      </c>
      <c r="F1878" s="1094">
        <v>0.9849657948043482</v>
      </c>
      <c r="G1878" s="1094">
        <v>1.0071309985275756</v>
      </c>
      <c r="H1878" s="1094">
        <v>1.0445912285664058</v>
      </c>
      <c r="I1878" s="1094">
        <v>1.0064331347466047</v>
      </c>
      <c r="K1878">
        <v>4.435155012142423</v>
      </c>
      <c r="L1878">
        <v>0</v>
      </c>
      <c r="M1878">
        <v>1.5073342200734451E-3</v>
      </c>
      <c r="N1878">
        <v>0.13190358553034795</v>
      </c>
      <c r="O1878">
        <v>3.8138501291068654E-2</v>
      </c>
      <c r="P1878">
        <v>1.8937831306105202E-2</v>
      </c>
      <c r="Q1878">
        <v>1.3198156284996256E-3</v>
      </c>
      <c r="R1878">
        <v>1.5013253684511699E-3</v>
      </c>
      <c r="S1878">
        <v>0.23598575806533664</v>
      </c>
      <c r="T1878">
        <v>3.9062422617208572</v>
      </c>
      <c r="U1878">
        <v>0</v>
      </c>
      <c r="V1878">
        <v>9.4523053561131973E-3</v>
      </c>
      <c r="W1878">
        <v>7.837299935256635E-2</v>
      </c>
      <c r="X1878">
        <v>1.0565102631134483E-2</v>
      </c>
      <c r="Y1878">
        <v>4.2428601120126164E-3</v>
      </c>
    </row>
    <row r="1879" spans="1:25" x14ac:dyDescent="0.25">
      <c r="A1879" s="1090"/>
      <c r="B1879" s="1448">
        <v>1629</v>
      </c>
      <c r="C1879" s="1094">
        <v>1.0056367827855439</v>
      </c>
      <c r="D1879" s="1094">
        <v>0.99420185281828077</v>
      </c>
      <c r="E1879" s="1094">
        <v>0.99894213669682574</v>
      </c>
      <c r="F1879" s="1094">
        <v>0.97788228972830815</v>
      </c>
      <c r="G1879" s="1094">
        <v>1.0248900460556996</v>
      </c>
      <c r="H1879" s="1094">
        <v>0.96988275051856265</v>
      </c>
      <c r="I1879" s="1094">
        <v>0.99509679861553157</v>
      </c>
      <c r="K1879">
        <v>4.3740995483869263</v>
      </c>
      <c r="L1879">
        <v>0</v>
      </c>
      <c r="M1879">
        <v>1.3861024171465278E-3</v>
      </c>
      <c r="N1879">
        <v>0.11955343689404742</v>
      </c>
      <c r="O1879">
        <v>3.7426010371372082E-2</v>
      </c>
      <c r="P1879">
        <v>1.8687886661447061E-2</v>
      </c>
      <c r="Q1879">
        <v>1.2981197544328826E-3</v>
      </c>
      <c r="R1879">
        <v>1.380108291397029E-3</v>
      </c>
      <c r="S1879">
        <v>0.22366775515059495</v>
      </c>
      <c r="T1879">
        <v>3.8783274117023172</v>
      </c>
      <c r="U1879">
        <v>0</v>
      </c>
      <c r="V1879">
        <v>9.4523053561131852E-3</v>
      </c>
      <c r="W1879">
        <v>7.1263929967625761E-2</v>
      </c>
      <c r="X1879">
        <v>1.052839525695325E-2</v>
      </c>
      <c r="Y1879">
        <v>3.9002913977715758E-3</v>
      </c>
    </row>
    <row r="1880" spans="1:25" x14ac:dyDescent="0.25">
      <c r="A1880" s="1090"/>
      <c r="B1880" s="1448">
        <v>1630</v>
      </c>
      <c r="C1880" s="1094">
        <v>1.0017818296720031</v>
      </c>
      <c r="D1880" s="1094">
        <v>1.0289285280031868</v>
      </c>
      <c r="E1880" s="1094">
        <v>0.98647891924909537</v>
      </c>
      <c r="F1880" s="1094">
        <v>1.0158601334200017</v>
      </c>
      <c r="G1880" s="1094">
        <v>0.98290203821082334</v>
      </c>
      <c r="H1880" s="1094">
        <v>1.0113599747346596</v>
      </c>
      <c r="I1880" s="1094">
        <v>1.0083430440603258</v>
      </c>
      <c r="K1880">
        <v>4.5500762492323412</v>
      </c>
      <c r="L1880">
        <v>0</v>
      </c>
      <c r="M1880">
        <v>1.5259864679366105E-3</v>
      </c>
      <c r="N1880">
        <v>0.12688661086977504</v>
      </c>
      <c r="O1880">
        <v>3.8582490420048077E-2</v>
      </c>
      <c r="P1880">
        <v>1.9241901502277663E-2</v>
      </c>
      <c r="Q1880">
        <v>1.2716220369345611E-3</v>
      </c>
      <c r="R1880">
        <v>1.5198936885804644E-3</v>
      </c>
      <c r="S1880">
        <v>0.23421116971237638</v>
      </c>
      <c r="T1880">
        <v>4.0294331910428927</v>
      </c>
      <c r="U1880">
        <v>0</v>
      </c>
      <c r="V1880">
        <v>9.4523053561131991E-3</v>
      </c>
      <c r="W1880">
        <v>7.6278119906417502E-2</v>
      </c>
      <c r="X1880">
        <v>1.0429595562536195E-2</v>
      </c>
      <c r="Y1880">
        <v>4.2953356023221825E-3</v>
      </c>
    </row>
    <row r="1881" spans="1:25" x14ac:dyDescent="0.25">
      <c r="A1881" s="1090"/>
      <c r="B1881" s="1448">
        <v>1631</v>
      </c>
      <c r="C1881" s="1094">
        <v>1.0027822055007272</v>
      </c>
      <c r="D1881" s="1094">
        <v>0.97445932092141352</v>
      </c>
      <c r="E1881" s="1094">
        <v>0.99920426308984278</v>
      </c>
      <c r="F1881" s="1094">
        <v>1.0388276199672324</v>
      </c>
      <c r="G1881" s="1094">
        <v>0.97192336223342835</v>
      </c>
      <c r="H1881" s="1094">
        <v>1.0063199046568065</v>
      </c>
      <c r="I1881" s="1094">
        <v>0.96828638379111509</v>
      </c>
      <c r="K1881">
        <v>4.6504211038136027</v>
      </c>
      <c r="L1881">
        <v>0</v>
      </c>
      <c r="M1881">
        <v>1.5432679835908798E-3</v>
      </c>
      <c r="N1881">
        <v>0.13326616909793959</v>
      </c>
      <c r="O1881">
        <v>4.019101370344591E-2</v>
      </c>
      <c r="P1881">
        <v>1.9825975276979938E-2</v>
      </c>
      <c r="Q1881">
        <v>1.3125965361123846E-3</v>
      </c>
      <c r="R1881">
        <v>1.5372117165336032E-3</v>
      </c>
      <c r="S1881">
        <v>0.23150031126468509</v>
      </c>
      <c r="T1881">
        <v>4.1200290996701447</v>
      </c>
      <c r="U1881">
        <v>0</v>
      </c>
      <c r="V1881">
        <v>9.4523053561131904E-3</v>
      </c>
      <c r="W1881">
        <v>7.9423793538893409E-2</v>
      </c>
      <c r="X1881">
        <v>1.108161796486047E-2</v>
      </c>
      <c r="Y1881">
        <v>4.3442776714866394E-3</v>
      </c>
    </row>
    <row r="1882" spans="1:25" x14ac:dyDescent="0.25">
      <c r="A1882" s="1090"/>
      <c r="B1882" s="1448">
        <v>1632</v>
      </c>
      <c r="C1882" s="1094">
        <v>1.0234737815394006</v>
      </c>
      <c r="D1882" s="1094">
        <v>0.9773024566089541</v>
      </c>
      <c r="E1882" s="1094">
        <v>1.0047476167954719</v>
      </c>
      <c r="F1882" s="1094">
        <v>1.0282610803932044</v>
      </c>
      <c r="G1882" s="1094">
        <v>0.98582372179003563</v>
      </c>
      <c r="H1882" s="1094">
        <v>0.96890967540353778</v>
      </c>
      <c r="I1882" s="1094">
        <v>1.0399266064043509</v>
      </c>
      <c r="K1882">
        <v>4.6001640403181732</v>
      </c>
      <c r="L1882">
        <v>0</v>
      </c>
      <c r="M1882">
        <v>1.4227166972993247E-3</v>
      </c>
      <c r="N1882">
        <v>0.1248661928331079</v>
      </c>
      <c r="O1882">
        <v>3.8893928313870889E-2</v>
      </c>
      <c r="P1882">
        <v>1.9748522751996091E-2</v>
      </c>
      <c r="Q1882">
        <v>1.2906714611866385E-3</v>
      </c>
      <c r="R1882">
        <v>1.4168585898166766E-3</v>
      </c>
      <c r="S1882">
        <v>0.23871078860257794</v>
      </c>
      <c r="T1882">
        <v>4.077904958068558</v>
      </c>
      <c r="U1882">
        <v>0</v>
      </c>
      <c r="V1882">
        <v>9.4523053561131973E-3</v>
      </c>
      <c r="W1882">
        <v>7.4139666726453807E-2</v>
      </c>
      <c r="X1882">
        <v>1.1158713764927641E-2</v>
      </c>
      <c r="Y1882">
        <v>4.0041505468580551E-3</v>
      </c>
    </row>
    <row r="1883" spans="1:25" x14ac:dyDescent="0.25">
      <c r="A1883" s="1090"/>
      <c r="B1883" s="1448">
        <v>1633</v>
      </c>
      <c r="C1883" s="1094">
        <v>1.0298780766471323</v>
      </c>
      <c r="D1883" s="1094">
        <v>1.0213247222874837</v>
      </c>
      <c r="E1883" s="1094">
        <v>1.0008962252590605</v>
      </c>
      <c r="F1883" s="1094">
        <v>1.0327244590631288</v>
      </c>
      <c r="G1883" s="1094">
        <v>1.0310272178976745</v>
      </c>
      <c r="H1883" s="1094">
        <v>0.99441933352407552</v>
      </c>
      <c r="I1883" s="1094">
        <v>1.0146289362337018</v>
      </c>
      <c r="K1883">
        <v>4.6102551452525278</v>
      </c>
      <c r="L1883">
        <v>0</v>
      </c>
      <c r="M1883">
        <v>1.4435746107216798E-3</v>
      </c>
      <c r="N1883">
        <v>0.12527497907985027</v>
      </c>
      <c r="O1883">
        <v>3.8167988106993699E-2</v>
      </c>
      <c r="P1883">
        <v>1.9738499553589885E-2</v>
      </c>
      <c r="Q1883">
        <v>1.2560928452176846E-3</v>
      </c>
      <c r="R1883">
        <v>1.4378080310141642E-3</v>
      </c>
      <c r="S1883">
        <v>0.23106001725472353</v>
      </c>
      <c r="T1883">
        <v>4.0957571976168472</v>
      </c>
      <c r="U1883">
        <v>0</v>
      </c>
      <c r="V1883">
        <v>9.4523053561131973E-3</v>
      </c>
      <c r="W1883">
        <v>7.4575887376689895E-2</v>
      </c>
      <c r="X1883">
        <v>1.0914589375110823E-2</v>
      </c>
      <c r="Y1883">
        <v>4.0633552670963262E-3</v>
      </c>
    </row>
    <row r="1884" spans="1:25" x14ac:dyDescent="0.25">
      <c r="A1884" s="1090"/>
      <c r="B1884" s="1448">
        <v>1634</v>
      </c>
      <c r="C1884" s="1094">
        <v>1.0426365180853394</v>
      </c>
      <c r="D1884" s="1094">
        <v>0.96886310967756228</v>
      </c>
      <c r="E1884" s="1094">
        <v>1.0088772111097055</v>
      </c>
      <c r="F1884" s="1094">
        <v>1.0155694580405381</v>
      </c>
      <c r="G1884" s="1094">
        <v>0.98982075054097873</v>
      </c>
      <c r="H1884" s="1094">
        <v>1.0032564408247191</v>
      </c>
      <c r="I1884" s="1094">
        <v>1.0066222133508866</v>
      </c>
      <c r="K1884">
        <v>4.5395367689151227</v>
      </c>
      <c r="L1884">
        <v>0</v>
      </c>
      <c r="M1884">
        <v>1.4208378831921946E-3</v>
      </c>
      <c r="N1884">
        <v>0.12624730989793581</v>
      </c>
      <c r="O1884">
        <v>3.7810897062549642E-2</v>
      </c>
      <c r="P1884">
        <v>1.9529262639758006E-2</v>
      </c>
      <c r="Q1884">
        <v>1.2758409361792421E-3</v>
      </c>
      <c r="R1884">
        <v>1.4151174767682529E-3</v>
      </c>
      <c r="S1884">
        <v>0.22810734754275383</v>
      </c>
      <c r="T1884">
        <v>4.0274130128954475</v>
      </c>
      <c r="U1884">
        <v>0</v>
      </c>
      <c r="V1884">
        <v>9.4523053561131887E-3</v>
      </c>
      <c r="W1884">
        <v>7.4751742956899833E-2</v>
      </c>
      <c r="X1884">
        <v>1.095554000545359E-2</v>
      </c>
      <c r="Y1884">
        <v>3.999230028455516E-3</v>
      </c>
    </row>
    <row r="1885" spans="1:25" x14ac:dyDescent="0.25">
      <c r="A1885" s="1090"/>
      <c r="B1885" s="1448">
        <v>1635</v>
      </c>
      <c r="C1885" s="1094">
        <v>1.0424999328161526</v>
      </c>
      <c r="D1885" s="1094">
        <v>1.0243787875213763</v>
      </c>
      <c r="E1885" s="1094">
        <v>1.0327209337955321</v>
      </c>
      <c r="F1885" s="1094">
        <v>0.99097003782814452</v>
      </c>
      <c r="G1885" s="1094">
        <v>0.98712218145672492</v>
      </c>
      <c r="H1885" s="1094">
        <v>1.0125317665065168</v>
      </c>
      <c r="I1885" s="1094">
        <v>0.98849858974191629</v>
      </c>
      <c r="K1885">
        <v>4.4235284519310536</v>
      </c>
      <c r="L1885">
        <v>0</v>
      </c>
      <c r="M1885">
        <v>1.3014779673584764E-3</v>
      </c>
      <c r="N1885">
        <v>0.12408588431898536</v>
      </c>
      <c r="O1885">
        <v>3.5931968556241679E-2</v>
      </c>
      <c r="P1885">
        <v>1.9363865697080259E-2</v>
      </c>
      <c r="Q1885">
        <v>1.2733053509354799E-3</v>
      </c>
      <c r="R1885">
        <v>1.2961577663425481E-3</v>
      </c>
      <c r="S1885">
        <v>0.21730508722435107</v>
      </c>
      <c r="T1885">
        <v>3.9289692328641777</v>
      </c>
      <c r="U1885">
        <v>0</v>
      </c>
      <c r="V1885">
        <v>9.4523053561131973E-3</v>
      </c>
      <c r="W1885">
        <v>7.2313682864477757E-2</v>
      </c>
      <c r="X1885">
        <v>1.1175399095055737E-2</v>
      </c>
      <c r="Y1885">
        <v>3.6630408046482241E-3</v>
      </c>
    </row>
    <row r="1886" spans="1:25" x14ac:dyDescent="0.25">
      <c r="A1886" s="1090"/>
      <c r="B1886" s="1448">
        <v>1636</v>
      </c>
      <c r="C1886" s="1094">
        <v>0.99137653415565119</v>
      </c>
      <c r="D1886" s="1094">
        <v>0.98868389558430891</v>
      </c>
      <c r="E1886" s="1094">
        <v>0.96462737867228543</v>
      </c>
      <c r="F1886" s="1094">
        <v>1.009130173087301</v>
      </c>
      <c r="G1886" s="1094">
        <v>1.0024385697308638</v>
      </c>
      <c r="H1886" s="1094">
        <v>1.007496969761206</v>
      </c>
      <c r="I1886" s="1094">
        <v>0.9839680032906114</v>
      </c>
      <c r="K1886">
        <v>4.5231703914515888</v>
      </c>
      <c r="L1886">
        <v>0</v>
      </c>
      <c r="M1886">
        <v>1.6232584030493723E-3</v>
      </c>
      <c r="N1886">
        <v>0.12649254918754835</v>
      </c>
      <c r="O1886">
        <v>3.950498952555187E-2</v>
      </c>
      <c r="P1886">
        <v>1.8801642509828891E-2</v>
      </c>
      <c r="Q1886">
        <v>1.2810394957879737E-3</v>
      </c>
      <c r="R1886">
        <v>1.6167091846738314E-3</v>
      </c>
      <c r="S1886">
        <v>0.2323830550679481</v>
      </c>
      <c r="T1886">
        <v>4.0035883753400725</v>
      </c>
      <c r="U1886">
        <v>0</v>
      </c>
      <c r="V1886">
        <v>9.4523053561131852E-3</v>
      </c>
      <c r="W1886">
        <v>7.719174682974414E-2</v>
      </c>
      <c r="X1886">
        <v>9.9122937715747633E-3</v>
      </c>
      <c r="Y1886">
        <v>4.5689435857954996E-3</v>
      </c>
    </row>
    <row r="1887" spans="1:25" x14ac:dyDescent="0.25">
      <c r="A1887" s="1090"/>
      <c r="B1887" s="1448">
        <v>1637</v>
      </c>
      <c r="C1887" s="1094">
        <v>1.0038957931728758</v>
      </c>
      <c r="D1887" s="1094">
        <v>0.99230591748028152</v>
      </c>
      <c r="E1887" s="1094">
        <v>0.9681071160537259</v>
      </c>
      <c r="F1887" s="1094">
        <v>0.9820701078436147</v>
      </c>
      <c r="G1887" s="1094">
        <v>0.95844050149850024</v>
      </c>
      <c r="H1887" s="1094">
        <v>0.9922870672406624</v>
      </c>
      <c r="I1887" s="1094">
        <v>0.96816360933980561</v>
      </c>
      <c r="K1887">
        <v>4.3903194021521159</v>
      </c>
      <c r="L1887">
        <v>0</v>
      </c>
      <c r="M1887">
        <v>1.5232609703596941E-3</v>
      </c>
      <c r="N1887">
        <v>0.11991251631638518</v>
      </c>
      <c r="O1887">
        <v>3.7887410564083686E-2</v>
      </c>
      <c r="P1887">
        <v>1.8321253502976562E-2</v>
      </c>
      <c r="Q1887">
        <v>1.2670698465159572E-3</v>
      </c>
      <c r="R1887">
        <v>1.5168497810084877E-3</v>
      </c>
      <c r="S1887">
        <v>0.22035512062772325</v>
      </c>
      <c r="T1887">
        <v>3.8960989355814561</v>
      </c>
      <c r="U1887">
        <v>0</v>
      </c>
      <c r="V1887">
        <v>9.4523053561131852E-3</v>
      </c>
      <c r="W1887">
        <v>7.3000420528610277E-2</v>
      </c>
      <c r="X1887">
        <v>9.7440477304705422E-3</v>
      </c>
      <c r="Y1887">
        <v>4.2867332871324246E-3</v>
      </c>
    </row>
    <row r="1888" spans="1:25" x14ac:dyDescent="0.25">
      <c r="A1888" s="1090"/>
      <c r="B1888" s="1448">
        <v>1638</v>
      </c>
      <c r="C1888" s="1094">
        <v>1.0088665653960986</v>
      </c>
      <c r="D1888" s="1094">
        <v>0.99911194383718183</v>
      </c>
      <c r="E1888" s="1094">
        <v>1.017124106039383</v>
      </c>
      <c r="F1888" s="1094">
        <v>1.0154489882547246</v>
      </c>
      <c r="G1888" s="1094">
        <v>1.0447253198763844</v>
      </c>
      <c r="H1888" s="1094">
        <v>1.0061939871657399</v>
      </c>
      <c r="I1888" s="1094">
        <v>1.0019856916620247</v>
      </c>
      <c r="K1888">
        <v>4.5503329055303379</v>
      </c>
      <c r="L1888">
        <v>0</v>
      </c>
      <c r="M1888">
        <v>1.4294332504755894E-3</v>
      </c>
      <c r="N1888">
        <v>0.13015123270149173</v>
      </c>
      <c r="O1888">
        <v>3.853724612886824E-2</v>
      </c>
      <c r="P1888">
        <v>1.966568025171541E-2</v>
      </c>
      <c r="Q1888">
        <v>1.3115936885383067E-3</v>
      </c>
      <c r="R1888">
        <v>1.42369436195096E-3</v>
      </c>
      <c r="S1888">
        <v>0.23268284720661647</v>
      </c>
      <c r="T1888">
        <v>4.0266184014787374</v>
      </c>
      <c r="U1888">
        <v>0</v>
      </c>
      <c r="V1888">
        <v>9.4523053561131852E-3</v>
      </c>
      <c r="W1888">
        <v>7.6638676977966044E-2</v>
      </c>
      <c r="X1888">
        <v>1.1257191668019754E-2</v>
      </c>
      <c r="Y1888">
        <v>4.0234689607960518E-3</v>
      </c>
    </row>
    <row r="1889" spans="1:25" x14ac:dyDescent="0.25">
      <c r="A1889" s="1090"/>
      <c r="B1889" s="1448">
        <v>1639</v>
      </c>
      <c r="C1889" s="1094">
        <v>0.97511697279133924</v>
      </c>
      <c r="D1889" s="1094">
        <v>1.0211898627757972</v>
      </c>
      <c r="E1889" s="1094">
        <v>0.99273442788431654</v>
      </c>
      <c r="F1889" s="1094">
        <v>0.98204667511305643</v>
      </c>
      <c r="G1889" s="1094">
        <v>0.96212409937580035</v>
      </c>
      <c r="H1889" s="1094">
        <v>0.98112614959877698</v>
      </c>
      <c r="I1889" s="1094">
        <v>1.0186194052106168</v>
      </c>
      <c r="K1889">
        <v>4.4103353042814026</v>
      </c>
      <c r="L1889">
        <v>0</v>
      </c>
      <c r="M1889">
        <v>1.4556075293665745E-3</v>
      </c>
      <c r="N1889">
        <v>0.12326789881862911</v>
      </c>
      <c r="O1889">
        <v>3.8391248215180016E-2</v>
      </c>
      <c r="P1889">
        <v>1.8731712489448535E-2</v>
      </c>
      <c r="Q1889">
        <v>1.3174367008075975E-3</v>
      </c>
      <c r="R1889">
        <v>1.4494112444091826E-3</v>
      </c>
      <c r="S1889">
        <v>0.23574035541273047</v>
      </c>
      <c r="T1889">
        <v>3.895076184331721</v>
      </c>
      <c r="U1889">
        <v>0</v>
      </c>
      <c r="V1889">
        <v>9.4523053561132026E-3</v>
      </c>
      <c r="W1889">
        <v>7.3787873152828448E-2</v>
      </c>
      <c r="X1889">
        <v>1.0480339254883239E-2</v>
      </c>
      <c r="Y1889">
        <v>4.0961468340140854E-3</v>
      </c>
    </row>
    <row r="1890" spans="1:25" x14ac:dyDescent="0.25">
      <c r="A1890" s="1090"/>
      <c r="B1890" s="1448">
        <v>1640</v>
      </c>
      <c r="C1890" s="1094">
        <v>1.025733954802535</v>
      </c>
      <c r="D1890" s="1094">
        <v>1.0193299495199823</v>
      </c>
      <c r="E1890" s="1094">
        <v>0.99574213967745451</v>
      </c>
      <c r="F1890" s="1094">
        <v>1.0015064497696937</v>
      </c>
      <c r="G1890" s="1094">
        <v>0.98311655273313037</v>
      </c>
      <c r="H1890" s="1094">
        <v>0.98081937140448683</v>
      </c>
      <c r="I1890" s="1094">
        <v>1.0174157014790479</v>
      </c>
      <c r="K1890">
        <v>4.4720411566607252</v>
      </c>
      <c r="L1890">
        <v>0</v>
      </c>
      <c r="M1890">
        <v>1.4027657247800719E-3</v>
      </c>
      <c r="N1890">
        <v>0.11986659634631897</v>
      </c>
      <c r="O1890">
        <v>3.7227113376480062E-2</v>
      </c>
      <c r="P1890">
        <v>1.9083463320771814E-2</v>
      </c>
      <c r="Q1890">
        <v>1.2565854363536383E-3</v>
      </c>
      <c r="R1890">
        <v>1.3969080982994598E-3</v>
      </c>
      <c r="S1890">
        <v>0.2269284187366567</v>
      </c>
      <c r="T1890">
        <v>3.9721441486204765</v>
      </c>
      <c r="U1890">
        <v>0</v>
      </c>
      <c r="V1890">
        <v>9.4523053561131904E-3</v>
      </c>
      <c r="W1890">
        <v>7.1605579357944815E-2</v>
      </c>
      <c r="X1890">
        <v>1.0535034801406499E-2</v>
      </c>
      <c r="Y1890">
        <v>3.9477689346824269E-3</v>
      </c>
    </row>
    <row r="1891" spans="1:25" x14ac:dyDescent="0.25">
      <c r="A1891" s="1090"/>
      <c r="B1891" s="1448">
        <v>1641</v>
      </c>
      <c r="C1891" s="1094">
        <v>1.0066207793694202</v>
      </c>
      <c r="D1891" s="1094">
        <v>1.0099299558958952</v>
      </c>
      <c r="E1891" s="1094">
        <v>1.0161930974057087</v>
      </c>
      <c r="F1891" s="1094">
        <v>1.0076318435866785</v>
      </c>
      <c r="G1891" s="1094">
        <v>0.95492952759046146</v>
      </c>
      <c r="H1891" s="1094">
        <v>0.97603241408230601</v>
      </c>
      <c r="I1891" s="1094">
        <v>1.0254189157987277</v>
      </c>
      <c r="K1891">
        <v>4.5119940568670245</v>
      </c>
      <c r="L1891">
        <v>0</v>
      </c>
      <c r="M1891">
        <v>1.3757972904414049E-3</v>
      </c>
      <c r="N1891">
        <v>0.12490340091366114</v>
      </c>
      <c r="O1891">
        <v>3.8167538668646035E-2</v>
      </c>
      <c r="P1891">
        <v>1.9517144781041499E-2</v>
      </c>
      <c r="Q1891">
        <v>1.307836451837391E-3</v>
      </c>
      <c r="R1891">
        <v>1.370059053824453E-3</v>
      </c>
      <c r="S1891">
        <v>0.23429983412226632</v>
      </c>
      <c r="T1891">
        <v>3.9956560594786779</v>
      </c>
      <c r="U1891">
        <v>0</v>
      </c>
      <c r="V1891">
        <v>9.4523053561131991E-3</v>
      </c>
      <c r="W1891">
        <v>7.3594301744935933E-2</v>
      </c>
      <c r="X1891">
        <v>1.122948210128815E-2</v>
      </c>
      <c r="Y1891">
        <v>3.8718914851684802E-3</v>
      </c>
    </row>
    <row r="1892" spans="1:25" x14ac:dyDescent="0.25">
      <c r="A1892" s="1090"/>
      <c r="B1892" s="1448">
        <v>1642</v>
      </c>
      <c r="C1892" s="1094">
        <v>0.99772847192857916</v>
      </c>
      <c r="D1892" s="1094">
        <v>0.99158540780591176</v>
      </c>
      <c r="E1892" s="1094">
        <v>1.0158905381974748</v>
      </c>
      <c r="F1892" s="1094">
        <v>1.012994009967976</v>
      </c>
      <c r="G1892" s="1094">
        <v>0.99156304519953553</v>
      </c>
      <c r="H1892" s="1094">
        <v>0.99885926038326966</v>
      </c>
      <c r="I1892" s="1094">
        <v>1.0079569865960745</v>
      </c>
      <c r="K1892">
        <v>4.5454688677943995</v>
      </c>
      <c r="L1892">
        <v>0</v>
      </c>
      <c r="M1892">
        <v>1.4394796154588538E-3</v>
      </c>
      <c r="N1892">
        <v>0.13058322746586865</v>
      </c>
      <c r="O1892">
        <v>3.8999653461960569E-2</v>
      </c>
      <c r="P1892">
        <v>1.9619766612826058E-2</v>
      </c>
      <c r="Q1892">
        <v>1.3288621824639583E-3</v>
      </c>
      <c r="R1892">
        <v>1.4336439037711808E-3</v>
      </c>
      <c r="S1892">
        <v>0.23626340956198943</v>
      </c>
      <c r="T1892">
        <v>4.0169307350582795</v>
      </c>
      <c r="U1892">
        <v>0</v>
      </c>
      <c r="V1892">
        <v>9.4523053561131765E-3</v>
      </c>
      <c r="W1892">
        <v>7.6956476318072911E-2</v>
      </c>
      <c r="X1892">
        <v>1.1288680362926299E-2</v>
      </c>
      <c r="Y1892">
        <v>4.051587125591582E-3</v>
      </c>
    </row>
    <row r="1893" spans="1:25" x14ac:dyDescent="0.25">
      <c r="A1893" s="1090"/>
      <c r="B1893" s="1448">
        <v>1643</v>
      </c>
      <c r="C1893" s="1094">
        <v>1.036679138177816</v>
      </c>
      <c r="D1893" s="1094">
        <v>1.0106947927844279</v>
      </c>
      <c r="E1893" s="1094">
        <v>1.0156235742996982</v>
      </c>
      <c r="F1893" s="1094">
        <v>0.993590132038637</v>
      </c>
      <c r="G1893" s="1094">
        <v>0.97931775585068825</v>
      </c>
      <c r="H1893" s="1094">
        <v>0.99025385479972772</v>
      </c>
      <c r="I1893" s="1094">
        <v>1.0345486009209819</v>
      </c>
      <c r="K1893">
        <v>4.4422273275627537</v>
      </c>
      <c r="L1893">
        <v>0</v>
      </c>
      <c r="M1893">
        <v>1.3377633553677032E-3</v>
      </c>
      <c r="N1893">
        <v>0.12124616222842545</v>
      </c>
      <c r="O1893">
        <v>3.6537096267502844E-2</v>
      </c>
      <c r="P1893">
        <v>1.9225603843681029E-2</v>
      </c>
      <c r="Q1893">
        <v>1.268918161309302E-3</v>
      </c>
      <c r="R1893">
        <v>1.3321864840086751E-3</v>
      </c>
      <c r="S1893">
        <v>0.22838042212626586</v>
      </c>
      <c r="T1893">
        <v>3.9399965383809534</v>
      </c>
      <c r="U1893">
        <v>0</v>
      </c>
      <c r="V1893">
        <v>9.4523053561131991E-3</v>
      </c>
      <c r="W1893">
        <v>7.1466630476379078E-2</v>
      </c>
      <c r="X1893">
        <v>1.0894366882044024E-2</v>
      </c>
      <c r="Y1893">
        <v>3.7648607114351704E-3</v>
      </c>
    </row>
    <row r="1894" spans="1:25" x14ac:dyDescent="0.25">
      <c r="A1894" s="1090"/>
      <c r="B1894" s="1448">
        <v>1644</v>
      </c>
      <c r="C1894" s="1094">
        <v>0.99954883097210878</v>
      </c>
      <c r="D1894" s="1094">
        <v>0.98610063687261851</v>
      </c>
      <c r="E1894" s="1094">
        <v>0.96851095987791724</v>
      </c>
      <c r="F1894" s="1094">
        <v>1.036147145029449</v>
      </c>
      <c r="G1894" s="1094">
        <v>1.0446033446026703</v>
      </c>
      <c r="H1894" s="1094">
        <v>0.99205495482007788</v>
      </c>
      <c r="I1894" s="1094">
        <v>0.99179980267565138</v>
      </c>
      <c r="K1894">
        <v>4.6362205025111463</v>
      </c>
      <c r="L1894">
        <v>0</v>
      </c>
      <c r="M1894">
        <v>1.6160836436598643E-3</v>
      </c>
      <c r="N1894">
        <v>0.12740014718836667</v>
      </c>
      <c r="O1894">
        <v>4.0245488541441908E-2</v>
      </c>
      <c r="P1894">
        <v>1.934710280451972E-2</v>
      </c>
      <c r="Q1894">
        <v>1.2762280780728857E-3</v>
      </c>
      <c r="R1894">
        <v>1.6096338554388494E-3</v>
      </c>
      <c r="S1894">
        <v>0.23550474136448368</v>
      </c>
      <c r="T1894">
        <v>4.1106188510797992</v>
      </c>
      <c r="U1894">
        <v>0</v>
      </c>
      <c r="V1894">
        <v>9.4523053561131921E-3</v>
      </c>
      <c r="W1894">
        <v>7.753711694787592E-2</v>
      </c>
      <c r="X1894">
        <v>1.0296022773491975E-2</v>
      </c>
      <c r="Y1894">
        <v>4.5489481652016064E-3</v>
      </c>
    </row>
    <row r="1895" spans="1:25" x14ac:dyDescent="0.25">
      <c r="A1895" s="1090"/>
      <c r="B1895" s="1448">
        <v>1645</v>
      </c>
      <c r="C1895" s="1094">
        <v>0.9913403933133732</v>
      </c>
      <c r="D1895" s="1094">
        <v>1.0019155954387964</v>
      </c>
      <c r="E1895" s="1094">
        <v>0.98984809901317028</v>
      </c>
      <c r="F1895" s="1094">
        <v>0.98445043545074939</v>
      </c>
      <c r="G1895" s="1094">
        <v>1.0061887132638614</v>
      </c>
      <c r="H1895" s="1094">
        <v>1.0317501070489572</v>
      </c>
      <c r="I1895" s="1094">
        <v>1.0056842201714493</v>
      </c>
      <c r="K1895">
        <v>4.4269480065572626</v>
      </c>
      <c r="L1895">
        <v>0</v>
      </c>
      <c r="M1895">
        <v>1.5301413854894683E-3</v>
      </c>
      <c r="N1895">
        <v>0.1285038443150783</v>
      </c>
      <c r="O1895">
        <v>3.8164672364259099E-2</v>
      </c>
      <c r="P1895">
        <v>1.8728955489794585E-2</v>
      </c>
      <c r="Q1895">
        <v>1.3025473999745769E-3</v>
      </c>
      <c r="R1895">
        <v>1.5239624781605331E-3</v>
      </c>
      <c r="S1895">
        <v>0.23447237620464792</v>
      </c>
      <c r="T1895">
        <v>3.9047188462456877</v>
      </c>
      <c r="U1895">
        <v>0</v>
      </c>
      <c r="V1895">
        <v>9.4523053561131973E-3</v>
      </c>
      <c r="W1895">
        <v>7.7073195577022205E-2</v>
      </c>
      <c r="X1895">
        <v>1.0230608199700649E-2</v>
      </c>
      <c r="Y1895">
        <v>4.3068343123128464E-3</v>
      </c>
    </row>
    <row r="1896" spans="1:25" x14ac:dyDescent="0.25">
      <c r="A1896" s="1090"/>
      <c r="B1896" s="1448">
        <v>1646</v>
      </c>
      <c r="C1896" s="1094">
        <v>0.99169492491311551</v>
      </c>
      <c r="D1896" s="1094">
        <v>1.0032402846339907</v>
      </c>
      <c r="E1896" s="1094">
        <v>0.98998474530573444</v>
      </c>
      <c r="F1896" s="1094">
        <v>0.98664148734582402</v>
      </c>
      <c r="G1896" s="1094">
        <v>1.0203257506144954</v>
      </c>
      <c r="H1896" s="1094">
        <v>1.0001221763542161</v>
      </c>
      <c r="I1896" s="1094">
        <v>1.0033869368693713</v>
      </c>
      <c r="K1896">
        <v>4.4269060979181765</v>
      </c>
      <c r="L1896">
        <v>0</v>
      </c>
      <c r="M1896">
        <v>1.4847796186342574E-3</v>
      </c>
      <c r="N1896">
        <v>0.1247299799950904</v>
      </c>
      <c r="O1896">
        <v>3.8214806096711296E-2</v>
      </c>
      <c r="P1896">
        <v>1.87576676256123E-2</v>
      </c>
      <c r="Q1896">
        <v>1.3015471502102484E-3</v>
      </c>
      <c r="R1896">
        <v>1.4786079573440526E-3</v>
      </c>
      <c r="S1896">
        <v>0.23172031424987113</v>
      </c>
      <c r="T1896">
        <v>3.9134042631567945</v>
      </c>
      <c r="U1896">
        <v>0</v>
      </c>
      <c r="V1896">
        <v>9.4523053561131973E-3</v>
      </c>
      <c r="W1896">
        <v>7.4802775632950902E-2</v>
      </c>
      <c r="X1896">
        <v>1.0349951342277397E-2</v>
      </c>
      <c r="Y1896">
        <v>4.1786589738316126E-3</v>
      </c>
    </row>
    <row r="1897" spans="1:25" x14ac:dyDescent="0.25">
      <c r="A1897" s="1090"/>
      <c r="B1897" s="1448">
        <v>1647</v>
      </c>
      <c r="C1897" s="1094">
        <v>0.9997032105414968</v>
      </c>
      <c r="D1897" s="1094">
        <v>0.98318491947437892</v>
      </c>
      <c r="E1897" s="1094">
        <v>1.0049590916863975</v>
      </c>
      <c r="F1897" s="1094">
        <v>0.98362824904596025</v>
      </c>
      <c r="G1897" s="1094">
        <v>0.99178002528203513</v>
      </c>
      <c r="H1897" s="1094">
        <v>0.9951591127096473</v>
      </c>
      <c r="I1897" s="1094">
        <v>1.0092853800394235</v>
      </c>
      <c r="K1897">
        <v>4.4148361638502625</v>
      </c>
      <c r="L1897">
        <v>0</v>
      </c>
      <c r="M1897">
        <v>1.4272611883769473E-3</v>
      </c>
      <c r="N1897">
        <v>0.12533440111643676</v>
      </c>
      <c r="O1897">
        <v>3.7997594135723463E-2</v>
      </c>
      <c r="P1897">
        <v>1.8911859843500099E-2</v>
      </c>
      <c r="Q1897">
        <v>1.3184307514331882E-3</v>
      </c>
      <c r="R1897">
        <v>1.4212808339293789E-3</v>
      </c>
      <c r="S1897">
        <v>0.23179689100770259</v>
      </c>
      <c r="T1897">
        <v>3.9008909938920682</v>
      </c>
      <c r="U1897">
        <v>0</v>
      </c>
      <c r="V1897">
        <v>9.4523053561131904E-3</v>
      </c>
      <c r="W1897">
        <v>7.4407065916720153E-2</v>
      </c>
      <c r="X1897">
        <v>1.071595403866793E-2</v>
      </c>
      <c r="Y1897">
        <v>4.0166481463429181E-3</v>
      </c>
    </row>
    <row r="1898" spans="1:25" x14ac:dyDescent="0.25">
      <c r="A1898" s="1090"/>
      <c r="B1898" s="1448">
        <v>1648</v>
      </c>
      <c r="C1898" s="1094">
        <v>0.97790430895986136</v>
      </c>
      <c r="D1898" s="1094">
        <v>1.0038973130974655</v>
      </c>
      <c r="E1898" s="1094">
        <v>0.99470570903380529</v>
      </c>
      <c r="F1898" s="1094">
        <v>1.0124635514339662</v>
      </c>
      <c r="G1898" s="1094">
        <v>0.96747994224467571</v>
      </c>
      <c r="H1898" s="1094">
        <v>1.0152035469901939</v>
      </c>
      <c r="I1898" s="1094">
        <v>0.97736713650322871</v>
      </c>
      <c r="K1898">
        <v>4.5459097287742116</v>
      </c>
      <c r="L1898">
        <v>0</v>
      </c>
      <c r="M1898">
        <v>1.5523563233895987E-3</v>
      </c>
      <c r="N1898">
        <v>0.13226682534612003</v>
      </c>
      <c r="O1898">
        <v>3.9724089364920931E-2</v>
      </c>
      <c r="P1898">
        <v>1.9297966739120303E-2</v>
      </c>
      <c r="Q1898">
        <v>1.3249321949220399E-3</v>
      </c>
      <c r="R1898">
        <v>1.5461610930877986E-3</v>
      </c>
      <c r="S1898">
        <v>0.23403770090363801</v>
      </c>
      <c r="T1898">
        <v>4.0156419224177462</v>
      </c>
      <c r="U1898">
        <v>0</v>
      </c>
      <c r="V1898">
        <v>9.4523053561131869E-3</v>
      </c>
      <c r="W1898">
        <v>7.9068741999759246E-2</v>
      </c>
      <c r="X1898">
        <v>1.0731870389291938E-2</v>
      </c>
      <c r="Y1898">
        <v>4.3695692928813756E-3</v>
      </c>
    </row>
    <row r="1899" spans="1:25" x14ac:dyDescent="0.25">
      <c r="A1899" s="1090"/>
      <c r="B1899" s="1448">
        <v>1649</v>
      </c>
      <c r="C1899" s="1094">
        <v>0.95139884348831572</v>
      </c>
      <c r="D1899" s="1094">
        <v>0.98550132241816912</v>
      </c>
      <c r="E1899" s="1094">
        <v>1.002725234216455</v>
      </c>
      <c r="F1899" s="1094">
        <v>0.98905084181336533</v>
      </c>
      <c r="G1899" s="1094">
        <v>0.98302701661097047</v>
      </c>
      <c r="H1899" s="1094">
        <v>0.99835415067934374</v>
      </c>
      <c r="I1899" s="1094">
        <v>1.0125117936393748</v>
      </c>
      <c r="K1899">
        <v>4.4642382412387649</v>
      </c>
      <c r="L1899">
        <v>0</v>
      </c>
      <c r="M1899">
        <v>1.5185084300958498E-3</v>
      </c>
      <c r="N1899">
        <v>0.13247262073515495</v>
      </c>
      <c r="O1899">
        <v>4.0125191746602958E-2</v>
      </c>
      <c r="P1899">
        <v>1.9040585802929395E-2</v>
      </c>
      <c r="Q1899">
        <v>1.3814258219826676E-3</v>
      </c>
      <c r="R1899">
        <v>1.5122007323148351E-3</v>
      </c>
      <c r="S1899">
        <v>0.24532511468309456</v>
      </c>
      <c r="T1899">
        <v>3.9224799894728442</v>
      </c>
      <c r="U1899">
        <v>0</v>
      </c>
      <c r="V1899">
        <v>9.4523053561131852E-3</v>
      </c>
      <c r="W1899">
        <v>7.8763319592267345E-2</v>
      </c>
      <c r="X1899">
        <v>1.0930401004970797E-2</v>
      </c>
      <c r="Y1899">
        <v>4.2735947205860877E-3</v>
      </c>
    </row>
    <row r="1900" spans="1:25" x14ac:dyDescent="0.25">
      <c r="A1900" s="1090"/>
      <c r="B1900" s="1448">
        <v>1650</v>
      </c>
      <c r="C1900" s="1094">
        <v>1.0073716087252773</v>
      </c>
      <c r="D1900" s="1094">
        <v>0.9880801063664697</v>
      </c>
      <c r="E1900" s="1094">
        <v>0.9868104656817448</v>
      </c>
      <c r="F1900" s="1094">
        <v>1.020234233783937</v>
      </c>
      <c r="G1900" s="1094">
        <v>0.99296620535209112</v>
      </c>
      <c r="H1900" s="1094">
        <v>0.99865377245663589</v>
      </c>
      <c r="I1900" s="1094">
        <v>0.99287546343920252</v>
      </c>
      <c r="K1900">
        <v>4.5663483998247711</v>
      </c>
      <c r="L1900">
        <v>0</v>
      </c>
      <c r="M1900">
        <v>1.5283977499104928E-3</v>
      </c>
      <c r="N1900">
        <v>0.12720785760229814</v>
      </c>
      <c r="O1900">
        <v>3.9160773600786541E-2</v>
      </c>
      <c r="P1900">
        <v>1.931415941579348E-2</v>
      </c>
      <c r="Q1900">
        <v>1.2855920191894832E-3</v>
      </c>
      <c r="R1900">
        <v>1.5222440896263917E-3</v>
      </c>
      <c r="S1900">
        <v>0.23184852190473657</v>
      </c>
      <c r="T1900">
        <v>4.0467701982861053</v>
      </c>
      <c r="U1900">
        <v>0</v>
      </c>
      <c r="V1900">
        <v>9.4523053561131904E-3</v>
      </c>
      <c r="W1900">
        <v>7.645394771858248E-2</v>
      </c>
      <c r="X1900">
        <v>1.0559219566327264E-2</v>
      </c>
      <c r="Y1900">
        <v>4.3019780151226034E-3</v>
      </c>
    </row>
    <row r="1901" spans="1:25" x14ac:dyDescent="0.25">
      <c r="A1901" s="1090"/>
      <c r="B1901" s="1448">
        <v>1651</v>
      </c>
      <c r="C1901" s="1094">
        <v>0.98995641283029812</v>
      </c>
      <c r="D1901" s="1094">
        <v>0.97494460266738769</v>
      </c>
      <c r="E1901" s="1094">
        <v>0.98097994113783227</v>
      </c>
      <c r="F1901" s="1094">
        <v>0.99200067353028376</v>
      </c>
      <c r="G1901" s="1094">
        <v>1.0286498540871079</v>
      </c>
      <c r="H1901" s="1094">
        <v>1.0024939885280579</v>
      </c>
      <c r="I1901" s="1094">
        <v>1.0244523732986546</v>
      </c>
      <c r="K1901">
        <v>4.4608930887848608</v>
      </c>
      <c r="L1901">
        <v>0</v>
      </c>
      <c r="M1901">
        <v>1.5451926959704628E-3</v>
      </c>
      <c r="N1901">
        <v>0.12638795214656362</v>
      </c>
      <c r="O1901">
        <v>3.8995295944104474E-2</v>
      </c>
      <c r="P1901">
        <v>1.8765212861160299E-2</v>
      </c>
      <c r="Q1901">
        <v>1.308606737552239E-3</v>
      </c>
      <c r="R1901">
        <v>1.538819589519975E-3</v>
      </c>
      <c r="S1901">
        <v>0.24014609807787085</v>
      </c>
      <c r="T1901">
        <v>3.9350034612208677</v>
      </c>
      <c r="U1901">
        <v>0</v>
      </c>
      <c r="V1901">
        <v>9.45230535611318E-3</v>
      </c>
      <c r="W1901">
        <v>7.6264411315464284E-2</v>
      </c>
      <c r="X1901">
        <v>1.0227296588316996E-2</v>
      </c>
      <c r="Y1901">
        <v>4.3488216433014218E-3</v>
      </c>
    </row>
    <row r="1902" spans="1:25" x14ac:dyDescent="0.25">
      <c r="A1902" s="1090"/>
      <c r="B1902" s="1448">
        <v>1652</v>
      </c>
      <c r="C1902" s="1094">
        <v>0.98616259560975483</v>
      </c>
      <c r="D1902" s="1094">
        <v>1.0228981735149851</v>
      </c>
      <c r="E1902" s="1094">
        <v>1.000017682918684</v>
      </c>
      <c r="F1902" s="1094">
        <v>1.0029090948451009</v>
      </c>
      <c r="G1902" s="1094">
        <v>0.9943434654639518</v>
      </c>
      <c r="H1902" s="1094">
        <v>0.98233269188733974</v>
      </c>
      <c r="I1902" s="1094">
        <v>0.97444892992698895</v>
      </c>
      <c r="K1902">
        <v>4.4871743225567977</v>
      </c>
      <c r="L1902">
        <v>0</v>
      </c>
      <c r="M1902">
        <v>1.4482051759539764E-3</v>
      </c>
      <c r="N1902">
        <v>0.12532885959669329</v>
      </c>
      <c r="O1902">
        <v>3.8691403823827762E-2</v>
      </c>
      <c r="P1902">
        <v>1.9165533709968766E-2</v>
      </c>
      <c r="Q1902">
        <v>1.3099801167889191E-3</v>
      </c>
      <c r="R1902">
        <v>1.4421755311401876E-3</v>
      </c>
      <c r="S1902">
        <v>0.22615704815812263</v>
      </c>
      <c r="T1902">
        <v>3.9775438171662376</v>
      </c>
      <c r="U1902">
        <v>0</v>
      </c>
      <c r="V1902">
        <v>9.4523053561131869E-3</v>
      </c>
      <c r="W1902">
        <v>7.4652262755637425E-2</v>
      </c>
      <c r="X1902">
        <v>1.0803443362326437E-2</v>
      </c>
      <c r="Y1902">
        <v>4.0756981558953305E-3</v>
      </c>
    </row>
    <row r="1903" spans="1:25" x14ac:dyDescent="0.25">
      <c r="A1903" s="1090"/>
      <c r="B1903" s="1448">
        <v>1653</v>
      </c>
      <c r="C1903" s="1094">
        <v>0.9904150673988148</v>
      </c>
      <c r="D1903" s="1094">
        <v>0.98410260165048136</v>
      </c>
      <c r="E1903" s="1094">
        <v>1.0063051376631122</v>
      </c>
      <c r="F1903" s="1094">
        <v>0.9955768545532897</v>
      </c>
      <c r="G1903" s="1094">
        <v>1.002271713718252</v>
      </c>
      <c r="H1903" s="1094">
        <v>0.97056184859843975</v>
      </c>
      <c r="I1903" s="1094">
        <v>0.95972590679790237</v>
      </c>
      <c r="K1903">
        <v>4.4533637367104904</v>
      </c>
      <c r="L1903">
        <v>0</v>
      </c>
      <c r="M1903">
        <v>1.4174763964371294E-3</v>
      </c>
      <c r="N1903">
        <v>0.12496549666356142</v>
      </c>
      <c r="O1903">
        <v>3.8795998304449464E-2</v>
      </c>
      <c r="P1903">
        <v>1.9104203427900708E-2</v>
      </c>
      <c r="Q1903">
        <v>1.3318285356650271E-3</v>
      </c>
      <c r="R1903">
        <v>1.4114593058619992E-3</v>
      </c>
      <c r="S1903">
        <v>0.22241655098599522</v>
      </c>
      <c r="T1903">
        <v>3.9482261021996061</v>
      </c>
      <c r="U1903">
        <v>0</v>
      </c>
      <c r="V1903">
        <v>9.4523053561131887E-3</v>
      </c>
      <c r="W1903">
        <v>7.4120853564937861E-2</v>
      </c>
      <c r="X1903">
        <v>1.0967523004648153E-2</v>
      </c>
      <c r="Y1903">
        <v>3.9888917581863068E-3</v>
      </c>
    </row>
    <row r="1904" spans="1:25" x14ac:dyDescent="0.25">
      <c r="A1904" s="1090"/>
      <c r="B1904" s="1448">
        <v>1654</v>
      </c>
      <c r="C1904" s="1094">
        <v>1.0242199275822006</v>
      </c>
      <c r="D1904" s="1094">
        <v>1.0298323149564104</v>
      </c>
      <c r="E1904" s="1094">
        <v>1.0069463897248068</v>
      </c>
      <c r="F1904" s="1094">
        <v>0.95457795666544598</v>
      </c>
      <c r="G1904" s="1094">
        <v>0.99433047984133727</v>
      </c>
      <c r="H1904" s="1094">
        <v>0.98076393951350094</v>
      </c>
      <c r="I1904" s="1094">
        <v>0.96472993420966024</v>
      </c>
      <c r="K1904">
        <v>4.2551646411605342</v>
      </c>
      <c r="L1904">
        <v>0</v>
      </c>
      <c r="M1904">
        <v>1.3026178960856291E-3</v>
      </c>
      <c r="N1904">
        <v>0.11504214850312658</v>
      </c>
      <c r="O1904">
        <v>3.531890151468562E-2</v>
      </c>
      <c r="P1904">
        <v>1.8303822068159104E-2</v>
      </c>
      <c r="Q1904">
        <v>1.2653758803430344E-3</v>
      </c>
      <c r="R1904">
        <v>1.2969118795251441E-3</v>
      </c>
      <c r="S1904">
        <v>0.20800276116198321</v>
      </c>
      <c r="T1904">
        <v>3.7856107803548018</v>
      </c>
      <c r="U1904">
        <v>0</v>
      </c>
      <c r="V1904">
        <v>9.4523053561131956E-3</v>
      </c>
      <c r="W1904">
        <v>6.8205578077974269E-2</v>
      </c>
      <c r="X1904">
        <v>1.0303502273828771E-2</v>
      </c>
      <c r="Y1904">
        <v>3.6651719860760603E-3</v>
      </c>
    </row>
    <row r="1905" spans="1:25" x14ac:dyDescent="0.25">
      <c r="A1905" s="1090"/>
      <c r="B1905" s="1448">
        <v>1655</v>
      </c>
      <c r="C1905" s="1094">
        <v>1.0196363409637323</v>
      </c>
      <c r="D1905" s="1094">
        <v>0.96197822782632481</v>
      </c>
      <c r="E1905" s="1094">
        <v>1.0171195257477372</v>
      </c>
      <c r="F1905" s="1094">
        <v>0.98345592772848323</v>
      </c>
      <c r="G1905" s="1094">
        <v>1.0037466072713745</v>
      </c>
      <c r="H1905" s="1094">
        <v>0.99434704796936402</v>
      </c>
      <c r="I1905" s="1094">
        <v>0.98105870929879924</v>
      </c>
      <c r="K1905">
        <v>4.4030038741900022</v>
      </c>
      <c r="L1905">
        <v>0</v>
      </c>
      <c r="M1905">
        <v>1.3745046024630897E-3</v>
      </c>
      <c r="N1905">
        <v>0.12512568397953897</v>
      </c>
      <c r="O1905">
        <v>3.7492621920503712E-2</v>
      </c>
      <c r="P1905">
        <v>1.9033434938476496E-2</v>
      </c>
      <c r="Q1905">
        <v>1.3175454894573595E-3</v>
      </c>
      <c r="R1905">
        <v>1.3687395936479612E-3</v>
      </c>
      <c r="S1905">
        <v>0.22232166017381749</v>
      </c>
      <c r="T1905">
        <v>3.8997546446563485</v>
      </c>
      <c r="U1905">
        <v>0</v>
      </c>
      <c r="V1905">
        <v>9.4523053561131956E-3</v>
      </c>
      <c r="W1905">
        <v>7.3679641914468186E-2</v>
      </c>
      <c r="X1905">
        <v>1.0963938180118411E-2</v>
      </c>
      <c r="Y1905">
        <v>3.8681625899736958E-3</v>
      </c>
    </row>
    <row r="1906" spans="1:25" x14ac:dyDescent="0.25">
      <c r="A1906" s="1090"/>
      <c r="B1906" s="1448">
        <v>1656</v>
      </c>
      <c r="C1906" s="1094">
        <v>1.0142077900090427</v>
      </c>
      <c r="D1906" s="1094">
        <v>0.99209526442205653</v>
      </c>
      <c r="E1906" s="1094">
        <v>0.9805360069275969</v>
      </c>
      <c r="F1906" s="1094">
        <v>1.0025740471781295</v>
      </c>
      <c r="G1906" s="1094">
        <v>1.0414562031402723</v>
      </c>
      <c r="H1906" s="1094">
        <v>0.97862705221578017</v>
      </c>
      <c r="I1906" s="1094">
        <v>0.99479827646365393</v>
      </c>
      <c r="K1906">
        <v>4.4791585057930234</v>
      </c>
      <c r="L1906">
        <v>0</v>
      </c>
      <c r="M1906">
        <v>1.4790000588888264E-3</v>
      </c>
      <c r="N1906">
        <v>0.12080770610767948</v>
      </c>
      <c r="O1906">
        <v>3.8204165753828123E-2</v>
      </c>
      <c r="P1906">
        <v>1.8884662038281753E-2</v>
      </c>
      <c r="Q1906">
        <v>1.2679485600416835E-3</v>
      </c>
      <c r="R1906">
        <v>1.4728168242865739E-3</v>
      </c>
      <c r="S1906">
        <v>0.22624343058130555</v>
      </c>
      <c r="T1906">
        <v>3.9769623370864235</v>
      </c>
      <c r="U1906">
        <v>0</v>
      </c>
      <c r="V1906">
        <v>9.4523053561131973E-3</v>
      </c>
      <c r="W1906">
        <v>7.2919369890409189E-2</v>
      </c>
      <c r="X1906">
        <v>1.0260470863859896E-2</v>
      </c>
      <c r="Y1906">
        <v>4.162292789679084E-3</v>
      </c>
    </row>
    <row r="1907" spans="1:25" x14ac:dyDescent="0.25">
      <c r="A1907" s="1090"/>
      <c r="B1907" s="1448">
        <v>1657</v>
      </c>
      <c r="C1907" s="1094">
        <v>1.0036663030868023</v>
      </c>
      <c r="D1907" s="1094">
        <v>1.0146473122268744</v>
      </c>
      <c r="E1907" s="1094">
        <v>0.99385398635587774</v>
      </c>
      <c r="F1907" s="1094">
        <v>1.0019656623213562</v>
      </c>
      <c r="G1907" s="1094">
        <v>0.99563077538295564</v>
      </c>
      <c r="H1907" s="1094">
        <v>0.97473482861584482</v>
      </c>
      <c r="I1907" s="1094">
        <v>0.9935531506953369</v>
      </c>
      <c r="K1907">
        <v>4.4777109052340425</v>
      </c>
      <c r="L1907">
        <v>0</v>
      </c>
      <c r="M1907">
        <v>1.4336780194414318E-3</v>
      </c>
      <c r="N1907">
        <v>0.12182137965318637</v>
      </c>
      <c r="O1907">
        <v>3.8146096864020158E-2</v>
      </c>
      <c r="P1907">
        <v>1.9062716577198199E-2</v>
      </c>
      <c r="Q1907">
        <v>1.2844942705857905E-3</v>
      </c>
      <c r="R1907">
        <v>1.427656689382305E-3</v>
      </c>
      <c r="S1907">
        <v>0.22640679940901676</v>
      </c>
      <c r="T1907">
        <v>3.9740376904372701</v>
      </c>
      <c r="U1907">
        <v>0</v>
      </c>
      <c r="V1907">
        <v>9.4523053561131869E-3</v>
      </c>
      <c r="W1907">
        <v>7.2866580743740764E-2</v>
      </c>
      <c r="X1907">
        <v>1.0604196452344792E-2</v>
      </c>
      <c r="Y1907">
        <v>4.0346668006264212E-3</v>
      </c>
    </row>
    <row r="1908" spans="1:25" x14ac:dyDescent="0.25">
      <c r="A1908" s="1090"/>
      <c r="B1908" s="1448">
        <v>1658</v>
      </c>
      <c r="C1908" s="1094">
        <v>0.96263683905306296</v>
      </c>
      <c r="D1908" s="1094">
        <v>1.0115198820621978</v>
      </c>
      <c r="E1908" s="1094">
        <v>1.0240192996766586</v>
      </c>
      <c r="F1908" s="1094">
        <v>1.0282397337629066</v>
      </c>
      <c r="G1908" s="1094">
        <v>0.98702220991858003</v>
      </c>
      <c r="H1908" s="1094">
        <v>0.97813039797705148</v>
      </c>
      <c r="I1908" s="1094">
        <v>0.972506121824675</v>
      </c>
      <c r="K1908">
        <v>4.6132415663978525</v>
      </c>
      <c r="L1908">
        <v>0</v>
      </c>
      <c r="M1908">
        <v>1.4460869134970287E-3</v>
      </c>
      <c r="N1908">
        <v>0.13437241122906013</v>
      </c>
      <c r="O1908">
        <v>4.0644795035631627E-2</v>
      </c>
      <c r="P1908">
        <v>2.0012408210340372E-2</v>
      </c>
      <c r="Q1908">
        <v>1.3758135237712673E-3</v>
      </c>
      <c r="R1908">
        <v>1.4401885868496308E-3</v>
      </c>
      <c r="S1908">
        <v>0.23563205542512375</v>
      </c>
      <c r="T1908">
        <v>4.0770710172347382</v>
      </c>
      <c r="U1908">
        <v>0</v>
      </c>
      <c r="V1908">
        <v>9.4523053561131869E-3</v>
      </c>
      <c r="W1908">
        <v>7.8761479931409584E-2</v>
      </c>
      <c r="X1908">
        <v>1.185509587867644E-2</v>
      </c>
      <c r="Y1908">
        <v>4.070082899634197E-3</v>
      </c>
    </row>
    <row r="1909" spans="1:25" x14ac:dyDescent="0.25">
      <c r="A1909" s="1090"/>
      <c r="B1909" s="1448">
        <v>1659</v>
      </c>
      <c r="C1909" s="1094">
        <v>1.013401097292413</v>
      </c>
      <c r="D1909" s="1094">
        <v>1.0250680762734143</v>
      </c>
      <c r="E1909" s="1094">
        <v>0.97127763429101655</v>
      </c>
      <c r="F1909" s="1094">
        <v>1.0224481851069576</v>
      </c>
      <c r="G1909" s="1094">
        <v>0.98535616178614716</v>
      </c>
      <c r="H1909" s="1094">
        <v>0.96250900048313648</v>
      </c>
      <c r="I1909" s="1094">
        <v>0.99926473854258857</v>
      </c>
      <c r="K1909">
        <v>4.5568100711639952</v>
      </c>
      <c r="L1909">
        <v>0</v>
      </c>
      <c r="M1909">
        <v>1.493989371609944E-3</v>
      </c>
      <c r="N1909">
        <v>0.11872559407219375</v>
      </c>
      <c r="O1909">
        <v>3.8549123455899038E-2</v>
      </c>
      <c r="P1909">
        <v>1.910797118118894E-2</v>
      </c>
      <c r="Q1909">
        <v>1.2424190384025119E-3</v>
      </c>
      <c r="R1909">
        <v>1.4877618226890488E-3</v>
      </c>
      <c r="S1909">
        <v>0.22702094872060674</v>
      </c>
      <c r="T1909">
        <v>4.0561628246321213</v>
      </c>
      <c r="U1909">
        <v>0</v>
      </c>
      <c r="V1909">
        <v>9.4523053561131817E-3</v>
      </c>
      <c r="W1909">
        <v>7.2119905590487324E-2</v>
      </c>
      <c r="X1909">
        <v>1.0230678169742789E-2</v>
      </c>
      <c r="Y1909">
        <v>4.2045284961611286E-3</v>
      </c>
    </row>
    <row r="1910" spans="1:25" x14ac:dyDescent="0.25">
      <c r="A1910" s="1090"/>
      <c r="B1910" s="1448">
        <v>1660</v>
      </c>
      <c r="C1910" s="1094">
        <v>0.98412534680919361</v>
      </c>
      <c r="D1910" s="1094">
        <v>0.98711401582665936</v>
      </c>
      <c r="E1910" s="1094">
        <v>0.97058303683315772</v>
      </c>
      <c r="F1910" s="1094">
        <v>0.9843192351045118</v>
      </c>
      <c r="G1910" s="1094">
        <v>1.0210206082525393</v>
      </c>
      <c r="H1910" s="1094">
        <v>0.96482788771008854</v>
      </c>
      <c r="I1910" s="1094">
        <v>1.0345862309533653</v>
      </c>
      <c r="K1910">
        <v>4.4184753895714346</v>
      </c>
      <c r="L1910">
        <v>0</v>
      </c>
      <c r="M1910">
        <v>1.5096357870107381E-3</v>
      </c>
      <c r="N1910">
        <v>0.11970373402037129</v>
      </c>
      <c r="O1910">
        <v>3.8801425582745096E-2</v>
      </c>
      <c r="P1910">
        <v>1.8477366409663232E-2</v>
      </c>
      <c r="Q1910">
        <v>1.2980452543581128E-3</v>
      </c>
      <c r="R1910">
        <v>1.5031159818169747E-3</v>
      </c>
      <c r="S1910">
        <v>0.23879462812008972</v>
      </c>
      <c r="T1910">
        <v>3.9049275501761853</v>
      </c>
      <c r="U1910">
        <v>0</v>
      </c>
      <c r="V1910">
        <v>9.4523053561132008E-3</v>
      </c>
      <c r="W1910">
        <v>7.2748904270820133E-2</v>
      </c>
      <c r="X1910">
        <v>1.0030029664184714E-2</v>
      </c>
      <c r="Y1910">
        <v>4.2479205220912423E-3</v>
      </c>
    </row>
    <row r="1911" spans="1:25" x14ac:dyDescent="0.25">
      <c r="A1911" s="1090"/>
      <c r="B1911" s="1448">
        <v>1661</v>
      </c>
      <c r="C1911" s="1094">
        <v>1.0369904792350155</v>
      </c>
      <c r="D1911" s="1094">
        <v>0.99641319598702016</v>
      </c>
      <c r="E1911" s="1094">
        <v>0.99678970463735528</v>
      </c>
      <c r="F1911" s="1094">
        <v>1.0202911755194051</v>
      </c>
      <c r="G1911" s="1094">
        <v>0.99791589393924107</v>
      </c>
      <c r="H1911" s="1094">
        <v>1.005225509673833</v>
      </c>
      <c r="I1911" s="1094">
        <v>0.99895975252001923</v>
      </c>
      <c r="K1911">
        <v>4.5555921225058942</v>
      </c>
      <c r="L1911">
        <v>0</v>
      </c>
      <c r="M1911">
        <v>1.4586456091156988E-3</v>
      </c>
      <c r="N1911">
        <v>0.12505123542848154</v>
      </c>
      <c r="O1911">
        <v>3.7849362300278987E-2</v>
      </c>
      <c r="P1911">
        <v>1.9434531426412039E-2</v>
      </c>
      <c r="Q1911">
        <v>1.2554312834394462E-3</v>
      </c>
      <c r="R1911">
        <v>1.4528115043816131E-3</v>
      </c>
      <c r="S1911">
        <v>0.22653235976227845</v>
      </c>
      <c r="T1911">
        <v>4.0466067754970938</v>
      </c>
      <c r="U1911">
        <v>0</v>
      </c>
      <c r="V1911">
        <v>9.4523053561131852E-3</v>
      </c>
      <c r="W1911">
        <v>7.4649758226042612E-2</v>
      </c>
      <c r="X1911">
        <v>1.066044110219409E-2</v>
      </c>
      <c r="Y1911">
        <v>4.1057562282937428E-3</v>
      </c>
    </row>
    <row r="1912" spans="1:25" x14ac:dyDescent="0.25">
      <c r="A1912" s="1090"/>
      <c r="B1912" s="1448">
        <v>1662</v>
      </c>
      <c r="C1912" s="1094">
        <v>1.017525086247612</v>
      </c>
      <c r="D1912" s="1094">
        <v>1.0038828272316764</v>
      </c>
      <c r="E1912" s="1094">
        <v>0.98285378628481401</v>
      </c>
      <c r="F1912" s="1094">
        <v>0.99251441505843707</v>
      </c>
      <c r="G1912" s="1094">
        <v>1.0258464403377556</v>
      </c>
      <c r="H1912" s="1094">
        <v>1.0210548593945821</v>
      </c>
      <c r="I1912" s="1094">
        <v>1.0245222544363284</v>
      </c>
      <c r="K1912">
        <v>4.4501365350564299</v>
      </c>
      <c r="L1912">
        <v>0</v>
      </c>
      <c r="M1912">
        <v>1.5081850454855079E-3</v>
      </c>
      <c r="N1912">
        <v>0.12405828157220923</v>
      </c>
      <c r="O1912">
        <v>3.7504393916336108E-2</v>
      </c>
      <c r="P1912">
        <v>1.8768862407854924E-2</v>
      </c>
      <c r="Q1912">
        <v>1.2603884211670215E-3</v>
      </c>
      <c r="R1912">
        <v>1.5020808008512686E-3</v>
      </c>
      <c r="S1912">
        <v>0.23305756933996405</v>
      </c>
      <c r="T1912">
        <v>3.9369698889484104</v>
      </c>
      <c r="U1912">
        <v>0</v>
      </c>
      <c r="V1912">
        <v>9.4523053561131991E-3</v>
      </c>
      <c r="W1912">
        <v>7.4762733832253223E-2</v>
      </c>
      <c r="X1912">
        <v>1.0063220485101864E-2</v>
      </c>
      <c r="Y1912">
        <v>4.24499502164983E-3</v>
      </c>
    </row>
    <row r="1913" spans="1:25" x14ac:dyDescent="0.25">
      <c r="A1913" s="1090"/>
      <c r="B1913" s="1448">
        <v>1663</v>
      </c>
      <c r="C1913" s="1094">
        <v>1.0034605291054763</v>
      </c>
      <c r="D1913" s="1094">
        <v>0.97621135041844109</v>
      </c>
      <c r="E1913" s="1094">
        <v>1.0192377227291507</v>
      </c>
      <c r="F1913" s="1094">
        <v>0.98915866723979584</v>
      </c>
      <c r="G1913" s="1094">
        <v>1.0383005115696089</v>
      </c>
      <c r="H1913" s="1094">
        <v>1.0100976590869999</v>
      </c>
      <c r="I1913" s="1094">
        <v>1.0074555397413523</v>
      </c>
      <c r="K1913">
        <v>4.4439214071656448</v>
      </c>
      <c r="L1913">
        <v>0</v>
      </c>
      <c r="M1913">
        <v>1.4122873887177669E-3</v>
      </c>
      <c r="N1913">
        <v>0.12938509055565134</v>
      </c>
      <c r="O1913">
        <v>3.8078947484685904E-2</v>
      </c>
      <c r="P1913">
        <v>1.921636289021186E-2</v>
      </c>
      <c r="Q1913">
        <v>1.3333327190363218E-3</v>
      </c>
      <c r="R1913">
        <v>1.4064897537672989E-3</v>
      </c>
      <c r="S1913">
        <v>0.23302064276916659</v>
      </c>
      <c r="T1913">
        <v>3.9222889705379993</v>
      </c>
      <c r="U1913">
        <v>0</v>
      </c>
      <c r="V1913">
        <v>9.4523053561131921E-3</v>
      </c>
      <c r="W1913">
        <v>7.6080109609713606E-2</v>
      </c>
      <c r="X1913">
        <v>1.1096595453457715E-2</v>
      </c>
      <c r="Y1913">
        <v>3.9748474245593305E-3</v>
      </c>
    </row>
    <row r="1914" spans="1:25" x14ac:dyDescent="0.25">
      <c r="A1914" s="1090"/>
      <c r="B1914" s="1448">
        <v>1664</v>
      </c>
      <c r="C1914" s="1094">
        <v>0.99812775669215992</v>
      </c>
      <c r="D1914" s="1094">
        <v>1.0107004878336632</v>
      </c>
      <c r="E1914" s="1094">
        <v>0.97910920288556214</v>
      </c>
      <c r="F1914" s="1094">
        <v>1.0093742538751951</v>
      </c>
      <c r="G1914" s="1094">
        <v>1.0100939732124767</v>
      </c>
      <c r="H1914" s="1094">
        <v>1.019954130643963</v>
      </c>
      <c r="I1914" s="1094">
        <v>1.0215580770146204</v>
      </c>
      <c r="K1914">
        <v>4.5311066804716953</v>
      </c>
      <c r="L1914">
        <v>0</v>
      </c>
      <c r="M1914">
        <v>1.5698906328664335E-3</v>
      </c>
      <c r="N1914">
        <v>0.12771523098026397</v>
      </c>
      <c r="O1914">
        <v>3.8803393280306818E-2</v>
      </c>
      <c r="P1914">
        <v>1.9042615391971766E-2</v>
      </c>
      <c r="Q1914">
        <v>1.2772528073603147E-3</v>
      </c>
      <c r="R1914">
        <v>1.5636355983108766E-3</v>
      </c>
      <c r="S1914">
        <v>0.23904972916892994</v>
      </c>
      <c r="T1914">
        <v>4.0039924520048649</v>
      </c>
      <c r="U1914">
        <v>0</v>
      </c>
      <c r="V1914">
        <v>9.4523053561131921E-3</v>
      </c>
      <c r="W1914">
        <v>7.7164146653638133E-2</v>
      </c>
      <c r="X1914">
        <v>1.0196856284042939E-2</v>
      </c>
      <c r="Y1914">
        <v>4.4189535787571548E-3</v>
      </c>
    </row>
    <row r="1915" spans="1:25" x14ac:dyDescent="0.25">
      <c r="A1915" s="1090"/>
      <c r="B1915" s="1448">
        <v>1665</v>
      </c>
      <c r="C1915" s="1094">
        <v>0.98809779386593044</v>
      </c>
      <c r="D1915" s="1094">
        <v>0.98163633461560662</v>
      </c>
      <c r="E1915" s="1094">
        <v>0.98071119496346315</v>
      </c>
      <c r="F1915" s="1094">
        <v>0.98590085113140835</v>
      </c>
      <c r="G1915" s="1094">
        <v>1.0067072620446822</v>
      </c>
      <c r="H1915" s="1094">
        <v>1.0051518325286404</v>
      </c>
      <c r="I1915" s="1094">
        <v>0.97907209914764004</v>
      </c>
      <c r="K1915">
        <v>4.423804443697561</v>
      </c>
      <c r="L1915">
        <v>0</v>
      </c>
      <c r="M1915">
        <v>1.5393516739372298E-3</v>
      </c>
      <c r="N1915">
        <v>0.12580800293553218</v>
      </c>
      <c r="O1915">
        <v>3.8724168453664838E-2</v>
      </c>
      <c r="P1915">
        <v>1.8601661187626239E-2</v>
      </c>
      <c r="Q1915">
        <v>1.3071811120466876E-3</v>
      </c>
      <c r="R1915">
        <v>1.5329804319841917E-3</v>
      </c>
      <c r="S1915">
        <v>0.2287068317469704</v>
      </c>
      <c r="T1915">
        <v>3.9108172683617366</v>
      </c>
      <c r="U1915">
        <v>0</v>
      </c>
      <c r="V1915">
        <v>9.4523053561131939E-3</v>
      </c>
      <c r="W1915">
        <v>7.5928432244065966E-2</v>
      </c>
      <c r="X1915">
        <v>1.013264380344844E-2</v>
      </c>
      <c r="Y1915">
        <v>4.3323197383067094E-3</v>
      </c>
    </row>
    <row r="1916" spans="1:25" x14ac:dyDescent="0.25">
      <c r="A1916" s="1090"/>
      <c r="B1916" s="1448">
        <v>1666</v>
      </c>
      <c r="C1916" s="1094">
        <v>1.0286467336123746</v>
      </c>
      <c r="D1916" s="1094">
        <v>1.0428104954438258</v>
      </c>
      <c r="E1916" s="1094">
        <v>0.96826404194518578</v>
      </c>
      <c r="F1916" s="1094">
        <v>0.98267613464619141</v>
      </c>
      <c r="G1916" s="1094">
        <v>0.98214703232349909</v>
      </c>
      <c r="H1916" s="1094">
        <v>1.0212749554160674</v>
      </c>
      <c r="I1916" s="1094">
        <v>1.0291786050302161</v>
      </c>
      <c r="K1916">
        <v>4.3950645090548219</v>
      </c>
      <c r="L1916">
        <v>0</v>
      </c>
      <c r="M1916">
        <v>1.500382946170824E-3</v>
      </c>
      <c r="N1916">
        <v>0.11818107177351439</v>
      </c>
      <c r="O1916">
        <v>3.6270141195630767E-2</v>
      </c>
      <c r="P1916">
        <v>1.8365456327584007E-2</v>
      </c>
      <c r="Q1916">
        <v>1.2124354346263301E-3</v>
      </c>
      <c r="R1916">
        <v>1.4942510575250911E-3</v>
      </c>
      <c r="S1916">
        <v>0.22741279493416947</v>
      </c>
      <c r="T1916">
        <v>3.8984972205286264</v>
      </c>
      <c r="U1916">
        <v>0</v>
      </c>
      <c r="V1916">
        <v>9.4523053561131869E-3</v>
      </c>
      <c r="W1916">
        <v>7.1938553038576075E-2</v>
      </c>
      <c r="X1916">
        <v>9.5177947853890086E-3</v>
      </c>
      <c r="Y1916">
        <v>4.222867569237428E-3</v>
      </c>
    </row>
    <row r="1917" spans="1:25" x14ac:dyDescent="0.25">
      <c r="A1917" s="1090"/>
      <c r="B1917" s="1448">
        <v>1667</v>
      </c>
      <c r="C1917" s="1094">
        <v>0.96807257181666151</v>
      </c>
      <c r="D1917" s="1094">
        <v>1.0120879645467522</v>
      </c>
      <c r="E1917" s="1094">
        <v>0.97415157962837773</v>
      </c>
      <c r="F1917" s="1094">
        <v>1.002938117441585</v>
      </c>
      <c r="G1917" s="1094">
        <v>1.0162410000249094</v>
      </c>
      <c r="H1917" s="1094">
        <v>1.0169948741659882</v>
      </c>
      <c r="I1917" s="1094">
        <v>1.0202819771490585</v>
      </c>
      <c r="K1917">
        <v>4.5160440218265849</v>
      </c>
      <c r="L1917">
        <v>0</v>
      </c>
      <c r="M1917">
        <v>1.619564435455585E-3</v>
      </c>
      <c r="N1917">
        <v>0.12982693693646255</v>
      </c>
      <c r="O1917">
        <v>3.9766142973647417E-2</v>
      </c>
      <c r="P1917">
        <v>1.8883313348571427E-2</v>
      </c>
      <c r="Q1917">
        <v>1.3105204778087185E-3</v>
      </c>
      <c r="R1917">
        <v>1.6130513438959591E-3</v>
      </c>
      <c r="S1917">
        <v>0.24475634936727633</v>
      </c>
      <c r="T1917">
        <v>3.9786530468592654</v>
      </c>
      <c r="U1917">
        <v>0</v>
      </c>
      <c r="V1917">
        <v>9.4523053561131991E-3</v>
      </c>
      <c r="W1917">
        <v>7.8707516060984764E-2</v>
      </c>
      <c r="X1917">
        <v>1.013579728951694E-2</v>
      </c>
      <c r="Y1917">
        <v>4.5586062484942996E-3</v>
      </c>
    </row>
    <row r="1918" spans="1:25" x14ac:dyDescent="0.25">
      <c r="A1918" s="1090"/>
      <c r="B1918" s="1448">
        <v>1668</v>
      </c>
      <c r="C1918" s="1094">
        <v>0.99875681156820506</v>
      </c>
      <c r="D1918" s="1094">
        <v>0.98422672277503465</v>
      </c>
      <c r="E1918" s="1094">
        <v>1.007389706670186</v>
      </c>
      <c r="F1918" s="1094">
        <v>0.98032060141728095</v>
      </c>
      <c r="G1918" s="1094">
        <v>0.99178544444759986</v>
      </c>
      <c r="H1918" s="1094">
        <v>0.9983592449714066</v>
      </c>
      <c r="I1918" s="1094">
        <v>1.0162244243136913</v>
      </c>
      <c r="K1918">
        <v>4.4033174841670997</v>
      </c>
      <c r="L1918">
        <v>0</v>
      </c>
      <c r="M1918">
        <v>1.4205065313176867E-3</v>
      </c>
      <c r="N1918">
        <v>0.12564236076378693</v>
      </c>
      <c r="O1918">
        <v>3.7873148685448089E-2</v>
      </c>
      <c r="P1918">
        <v>1.8892206861668204E-2</v>
      </c>
      <c r="Q1918">
        <v>1.3218610876881197E-3</v>
      </c>
      <c r="R1918">
        <v>1.4145536237780527E-3</v>
      </c>
      <c r="S1918">
        <v>0.23325326679773117</v>
      </c>
      <c r="T1918">
        <v>3.8876830001630416</v>
      </c>
      <c r="U1918">
        <v>0</v>
      </c>
      <c r="V1918">
        <v>9.4523053561131835E-3</v>
      </c>
      <c r="W1918">
        <v>7.446796790420035E-2</v>
      </c>
      <c r="X1918">
        <v>1.0739682918103861E-2</v>
      </c>
      <c r="Y1918">
        <v>3.9976365368570698E-3</v>
      </c>
    </row>
    <row r="1919" spans="1:25" x14ac:dyDescent="0.25">
      <c r="A1919" s="1090"/>
      <c r="B1919" s="1448">
        <v>1669</v>
      </c>
      <c r="C1919" s="1094">
        <v>0.97227599825091238</v>
      </c>
      <c r="D1919" s="1094">
        <v>0.99348853919255831</v>
      </c>
      <c r="E1919" s="1094">
        <v>1.0104716946993872</v>
      </c>
      <c r="F1919" s="1094">
        <v>0.96273506608400705</v>
      </c>
      <c r="G1919" s="1094">
        <v>1.0010307564177308</v>
      </c>
      <c r="H1919" s="1094">
        <v>1.0100746563231695</v>
      </c>
      <c r="I1919" s="1094">
        <v>0.99636616989019533</v>
      </c>
      <c r="K1919">
        <v>4.336203851715732</v>
      </c>
      <c r="L1919">
        <v>0</v>
      </c>
      <c r="M1919">
        <v>1.4351661374916479E-3</v>
      </c>
      <c r="N1919">
        <v>0.1280992682477039</v>
      </c>
      <c r="O1919">
        <v>3.8042853725440071E-2</v>
      </c>
      <c r="P1919">
        <v>1.8610745547741635E-2</v>
      </c>
      <c r="Q1919">
        <v>1.3563430844774009E-3</v>
      </c>
      <c r="R1919">
        <v>1.4291134311933274E-3</v>
      </c>
      <c r="S1919">
        <v>0.23230900012955641</v>
      </c>
      <c r="T1919">
        <v>3.8178310869067631</v>
      </c>
      <c r="U1919">
        <v>0</v>
      </c>
      <c r="V1919">
        <v>9.4523053561131904E-3</v>
      </c>
      <c r="W1919">
        <v>7.5767136068498678E-2</v>
      </c>
      <c r="X1919">
        <v>1.0702381691531374E-2</v>
      </c>
      <c r="Y1919">
        <v>4.0387836642013482E-3</v>
      </c>
    </row>
    <row r="1920" spans="1:25" x14ac:dyDescent="0.25">
      <c r="A1920" s="1090"/>
      <c r="B1920" s="1448">
        <v>1670</v>
      </c>
      <c r="C1920" s="1094">
        <v>0.97659513278654542</v>
      </c>
      <c r="D1920" s="1094">
        <v>0.96747620241245569</v>
      </c>
      <c r="E1920" s="1094">
        <v>0.98589284312250458</v>
      </c>
      <c r="F1920" s="1094">
        <v>1.0074360965766438</v>
      </c>
      <c r="G1920" s="1094">
        <v>1.0316752237336089</v>
      </c>
      <c r="H1920" s="1094">
        <v>1.021021890076182</v>
      </c>
      <c r="I1920" s="1094">
        <v>1.0225531303417101</v>
      </c>
      <c r="K1920">
        <v>4.5426232480806714</v>
      </c>
      <c r="L1920">
        <v>0</v>
      </c>
      <c r="M1920">
        <v>1.6083096044348225E-3</v>
      </c>
      <c r="N1920">
        <v>0.13350021026379566</v>
      </c>
      <c r="O1920">
        <v>4.0232379168685856E-2</v>
      </c>
      <c r="P1920">
        <v>1.9143354270885215E-2</v>
      </c>
      <c r="Q1920">
        <v>1.3362709857170671E-3</v>
      </c>
      <c r="R1920">
        <v>1.601895930479379E-3</v>
      </c>
      <c r="S1920">
        <v>0.2475971148421709</v>
      </c>
      <c r="T1920">
        <v>3.9960416860601522</v>
      </c>
      <c r="U1920">
        <v>0</v>
      </c>
      <c r="V1920">
        <v>9.4523053561131956E-3</v>
      </c>
      <c r="W1920">
        <v>8.0285993346060819E-2</v>
      </c>
      <c r="X1920">
        <v>1.0513267262539793E-2</v>
      </c>
      <c r="Y1920">
        <v>4.5270801985035193E-3</v>
      </c>
    </row>
    <row r="1921" spans="1:25" x14ac:dyDescent="0.25">
      <c r="A1921" s="1090"/>
      <c r="B1921" s="1448">
        <v>1671</v>
      </c>
      <c r="C1921" s="1094">
        <v>0.9665098028509822</v>
      </c>
      <c r="D1921" s="1094">
        <v>1.0107259840176954</v>
      </c>
      <c r="E1921" s="1094">
        <v>1.0231862154915023</v>
      </c>
      <c r="F1921" s="1094">
        <v>0.99429554735474768</v>
      </c>
      <c r="G1921" s="1094">
        <v>1.0320179341344093</v>
      </c>
      <c r="H1921" s="1094">
        <v>1.0247103553170906</v>
      </c>
      <c r="I1921" s="1094">
        <v>1.0244026270532338</v>
      </c>
      <c r="K1921">
        <v>4.4878332480768313</v>
      </c>
      <c r="L1921">
        <v>0</v>
      </c>
      <c r="M1921">
        <v>1.4622994309452548E-3</v>
      </c>
      <c r="N1921">
        <v>0.13555171422579654</v>
      </c>
      <c r="O1921">
        <v>3.9163713476690565E-2</v>
      </c>
      <c r="P1921">
        <v>1.9422849808298909E-2</v>
      </c>
      <c r="Q1921">
        <v>1.3697670649133508E-3</v>
      </c>
      <c r="R1921">
        <v>1.4564125384349854E-3</v>
      </c>
      <c r="S1921">
        <v>0.24541322345562411</v>
      </c>
      <c r="T1921">
        <v>3.9425101794739672</v>
      </c>
      <c r="U1921">
        <v>0</v>
      </c>
      <c r="V1921">
        <v>9.4523053561131835E-3</v>
      </c>
      <c r="W1921">
        <v>7.9496760610514361E-2</v>
      </c>
      <c r="X1921">
        <v>1.1342688471972459E-2</v>
      </c>
      <c r="Y1921">
        <v>4.1159330254545157E-3</v>
      </c>
    </row>
    <row r="1922" spans="1:25" x14ac:dyDescent="0.25">
      <c r="A1922" s="1090"/>
      <c r="B1922" s="1448">
        <v>1672</v>
      </c>
      <c r="C1922" s="1094">
        <v>0.97011796204148504</v>
      </c>
      <c r="D1922" s="1094">
        <v>1.004482222154282</v>
      </c>
      <c r="E1922" s="1094">
        <v>1.0162576084249451</v>
      </c>
      <c r="F1922" s="1094">
        <v>1.0159764052402083</v>
      </c>
      <c r="G1922" s="1094">
        <v>0.98073957895241815</v>
      </c>
      <c r="H1922" s="1094">
        <v>1.0368192210391525</v>
      </c>
      <c r="I1922" s="1094">
        <v>1.0077516983730506</v>
      </c>
      <c r="K1922">
        <v>4.5815948419697197</v>
      </c>
      <c r="L1922">
        <v>0</v>
      </c>
      <c r="M1922">
        <v>1.5320828920831308E-3</v>
      </c>
      <c r="N1922">
        <v>0.13915718109156489</v>
      </c>
      <c r="O1922">
        <v>4.0017670169569391E-2</v>
      </c>
      <c r="P1922">
        <v>1.9722006589933661E-2</v>
      </c>
      <c r="Q1922">
        <v>1.3600602504282042E-3</v>
      </c>
      <c r="R1922">
        <v>1.5261166585376904E-3</v>
      </c>
      <c r="S1922">
        <v>0.24550807264542884</v>
      </c>
      <c r="T1922">
        <v>4.0287430481711519</v>
      </c>
      <c r="U1922">
        <v>0</v>
      </c>
      <c r="V1922">
        <v>9.4523053561131852E-3</v>
      </c>
      <c r="W1922">
        <v>8.1989232158514752E-2</v>
      </c>
      <c r="X1922">
        <v>1.1338309580036612E-2</v>
      </c>
      <c r="Y1922">
        <v>4.3129221905225832E-3</v>
      </c>
    </row>
    <row r="1923" spans="1:25" x14ac:dyDescent="0.25">
      <c r="A1923" s="1090"/>
      <c r="B1923" s="1448">
        <v>1673</v>
      </c>
      <c r="C1923" s="1094">
        <v>0.98199780360810829</v>
      </c>
      <c r="D1923" s="1094">
        <v>1.0301283873179803</v>
      </c>
      <c r="E1923" s="1094">
        <v>1.0071179438391189</v>
      </c>
      <c r="F1923" s="1094">
        <v>1.0341032822190648</v>
      </c>
      <c r="G1923" s="1094">
        <v>0.98027689625863579</v>
      </c>
      <c r="H1923" s="1094">
        <v>0.97032207795216396</v>
      </c>
      <c r="I1923" s="1094">
        <v>1.0135052187448008</v>
      </c>
      <c r="K1923">
        <v>4.6315791028121707</v>
      </c>
      <c r="L1923">
        <v>0</v>
      </c>
      <c r="M1923">
        <v>1.4549670806163677E-3</v>
      </c>
      <c r="N1923">
        <v>0.12860004052786889</v>
      </c>
      <c r="O1923">
        <v>3.9900571475249835E-2</v>
      </c>
      <c r="P1923">
        <v>1.9893495861355665E-2</v>
      </c>
      <c r="Q1923">
        <v>1.3198235982671217E-3</v>
      </c>
      <c r="R1923">
        <v>1.4490185633797463E-3</v>
      </c>
      <c r="S1923">
        <v>0.23974204911385102</v>
      </c>
      <c r="T1923">
        <v>4.1009810452733211</v>
      </c>
      <c r="U1923">
        <v>0</v>
      </c>
      <c r="V1923">
        <v>9.4523053561131904E-3</v>
      </c>
      <c r="W1923">
        <v>7.6234911272545655E-2</v>
      </c>
      <c r="X1923">
        <v>1.1365771763391401E-2</v>
      </c>
      <c r="Y1923">
        <v>4.0950370874451199E-3</v>
      </c>
    </row>
    <row r="1924" spans="1:25" x14ac:dyDescent="0.25">
      <c r="A1924" s="1090"/>
      <c r="B1924" s="1448">
        <v>1674</v>
      </c>
      <c r="C1924" s="1094">
        <v>0.97816003139863705</v>
      </c>
      <c r="D1924" s="1094">
        <v>1.0167288600038205</v>
      </c>
      <c r="E1924" s="1094">
        <v>1.0377862738008137</v>
      </c>
      <c r="F1924" s="1094">
        <v>0.98643819060483673</v>
      </c>
      <c r="G1924" s="1094">
        <v>0.99656400603840578</v>
      </c>
      <c r="H1924" s="1094">
        <v>1.0044168597703582</v>
      </c>
      <c r="I1924" s="1094">
        <v>1.0239373786345887</v>
      </c>
      <c r="K1924">
        <v>4.441728493650376</v>
      </c>
      <c r="L1924">
        <v>0</v>
      </c>
      <c r="M1924">
        <v>1.3591601541886455E-3</v>
      </c>
      <c r="N1924">
        <v>0.13153298158586521</v>
      </c>
      <c r="O1924">
        <v>3.819977447900344E-2</v>
      </c>
      <c r="P1924">
        <v>1.9451729812844095E-2</v>
      </c>
      <c r="Q1924">
        <v>1.3669244879680091E-3</v>
      </c>
      <c r="R1924">
        <v>1.3535336466327041E-3</v>
      </c>
      <c r="S1924">
        <v>0.23906883672478615</v>
      </c>
      <c r="T1924">
        <v>3.9108145168540442</v>
      </c>
      <c r="U1924">
        <v>0</v>
      </c>
      <c r="V1924">
        <v>9.4523053561131939E-3</v>
      </c>
      <c r="W1924">
        <v>7.6397813882026142E-2</v>
      </c>
      <c r="X1924">
        <v>1.1624047552490675E-2</v>
      </c>
      <c r="Y1924">
        <v>3.8251894227894446E-3</v>
      </c>
    </row>
    <row r="1925" spans="1:25" x14ac:dyDescent="0.25">
      <c r="A1925" s="1090"/>
      <c r="B1925" s="1448">
        <v>1675</v>
      </c>
      <c r="C1925" s="1094">
        <v>1.0340338615619498</v>
      </c>
      <c r="D1925" s="1094">
        <v>0.99654403622137855</v>
      </c>
      <c r="E1925" s="1094">
        <v>1.0085140306557996</v>
      </c>
      <c r="F1925" s="1094">
        <v>1.0148377251606717</v>
      </c>
      <c r="G1925" s="1094">
        <v>1.0292869509551559</v>
      </c>
      <c r="H1925" s="1094">
        <v>0.97861706661245984</v>
      </c>
      <c r="I1925" s="1094">
        <v>1.0114174180881899</v>
      </c>
      <c r="K1925">
        <v>4.5297465523856415</v>
      </c>
      <c r="L1925">
        <v>0</v>
      </c>
      <c r="M1925">
        <v>1.3818813063119066E-3</v>
      </c>
      <c r="N1925">
        <v>0.12264103622045121</v>
      </c>
      <c r="O1925">
        <v>3.767357067172869E-2</v>
      </c>
      <c r="P1925">
        <v>1.9506475995380478E-2</v>
      </c>
      <c r="Q1925">
        <v>1.2716472079153873E-3</v>
      </c>
      <c r="R1925">
        <v>1.3761735682509602E-3</v>
      </c>
      <c r="S1925">
        <v>0.22716307918810125</v>
      </c>
      <c r="T1925">
        <v>4.0245251776294424</v>
      </c>
      <c r="U1925">
        <v>0</v>
      </c>
      <c r="V1925">
        <v>9.4523053561131991E-3</v>
      </c>
      <c r="W1925">
        <v>7.2634170172632934E-2</v>
      </c>
      <c r="X1925">
        <v>1.0995626112173824E-2</v>
      </c>
      <c r="Y1925">
        <v>3.8891715697588836E-3</v>
      </c>
    </row>
    <row r="1926" spans="1:25" x14ac:dyDescent="0.25">
      <c r="A1926" s="1090"/>
      <c r="B1926" s="1448">
        <v>1676</v>
      </c>
      <c r="C1926" s="1094">
        <v>1.010347649024762</v>
      </c>
      <c r="D1926" s="1094">
        <v>0.9882316973023626</v>
      </c>
      <c r="E1926" s="1094">
        <v>0.98291773748965827</v>
      </c>
      <c r="F1926" s="1094">
        <v>1.0082643218210035</v>
      </c>
      <c r="G1926" s="1094">
        <v>0.99451039216356396</v>
      </c>
      <c r="H1926" s="1094">
        <v>1.0357603100619648</v>
      </c>
      <c r="I1926" s="1094">
        <v>1.0130605124669674</v>
      </c>
      <c r="K1926">
        <v>4.5269881263928307</v>
      </c>
      <c r="L1926">
        <v>0</v>
      </c>
      <c r="M1926">
        <v>1.5747804467718274E-3</v>
      </c>
      <c r="N1926">
        <v>0.12957632647486853</v>
      </c>
      <c r="O1926">
        <v>3.8611687108825642E-2</v>
      </c>
      <c r="P1926">
        <v>1.9067286604801496E-2</v>
      </c>
      <c r="Q1926">
        <v>1.2774163099235551E-3</v>
      </c>
      <c r="R1926">
        <v>1.5685949072594546E-3</v>
      </c>
      <c r="S1926">
        <v>0.23683355850674453</v>
      </c>
      <c r="T1926">
        <v>3.999441980349296</v>
      </c>
      <c r="U1926">
        <v>0</v>
      </c>
      <c r="V1926">
        <v>9.4523053561131991E-3</v>
      </c>
      <c r="W1926">
        <v>7.8084724943933356E-2</v>
      </c>
      <c r="X1926">
        <v>1.0216057313359844E-2</v>
      </c>
      <c r="Y1926">
        <v>4.4329689644711616E-3</v>
      </c>
    </row>
    <row r="1927" spans="1:25" x14ac:dyDescent="0.25">
      <c r="A1927" s="1090"/>
      <c r="B1927" s="1448">
        <v>1677</v>
      </c>
      <c r="C1927" s="1094">
        <v>1.006489558910372</v>
      </c>
      <c r="D1927" s="1094">
        <v>1.0350782256559794</v>
      </c>
      <c r="E1927" s="1094">
        <v>0.98891179327567669</v>
      </c>
      <c r="F1927" s="1094">
        <v>0.96150097614727914</v>
      </c>
      <c r="G1927" s="1094">
        <v>0.96865352943327376</v>
      </c>
      <c r="H1927" s="1094">
        <v>0.99482271489816443</v>
      </c>
      <c r="I1927" s="1094">
        <v>0.99004751925035184</v>
      </c>
      <c r="K1927">
        <v>4.299858608045434</v>
      </c>
      <c r="L1927">
        <v>0</v>
      </c>
      <c r="M1927">
        <v>1.4038264760567025E-3</v>
      </c>
      <c r="N1927">
        <v>0.11753938767879767</v>
      </c>
      <c r="O1927">
        <v>3.6244873474283693E-2</v>
      </c>
      <c r="P1927">
        <v>1.82351631442625E-2</v>
      </c>
      <c r="Q1927">
        <v>1.2653171314877165E-3</v>
      </c>
      <c r="R1927">
        <v>1.3978074902550243E-3</v>
      </c>
      <c r="S1927">
        <v>0.21893209720987294</v>
      </c>
      <c r="T1927">
        <v>3.8137266963708969</v>
      </c>
      <c r="U1927">
        <v>0</v>
      </c>
      <c r="V1927">
        <v>9.4523053561131904E-3</v>
      </c>
      <c r="W1927">
        <v>7.05419551130156E-2</v>
      </c>
      <c r="X1927">
        <v>9.9765208674897701E-3</v>
      </c>
      <c r="Y1927">
        <v>3.9503106850141793E-3</v>
      </c>
    </row>
    <row r="1928" spans="1:25" x14ac:dyDescent="0.25">
      <c r="A1928" s="1090"/>
      <c r="B1928" s="1448">
        <v>1678</v>
      </c>
      <c r="C1928" s="1094">
        <v>0.95915910198814047</v>
      </c>
      <c r="D1928" s="1094">
        <v>0.9980343344256517</v>
      </c>
      <c r="E1928" s="1094">
        <v>0.98325100562960277</v>
      </c>
      <c r="F1928" s="1094">
        <v>0.9943975449168333</v>
      </c>
      <c r="G1928" s="1094">
        <v>1.0153260896055898</v>
      </c>
      <c r="H1928" s="1094">
        <v>0.99423847401169552</v>
      </c>
      <c r="I1928" s="1094">
        <v>0.98417824719596558</v>
      </c>
      <c r="K1928">
        <v>4.4712359123280931</v>
      </c>
      <c r="L1928">
        <v>0</v>
      </c>
      <c r="M1928">
        <v>1.5632307836132627E-3</v>
      </c>
      <c r="N1928">
        <v>0.12872468168945819</v>
      </c>
      <c r="O1928">
        <v>3.9952521027154707E-2</v>
      </c>
      <c r="P1928">
        <v>1.8821913017243928E-2</v>
      </c>
      <c r="Q1928">
        <v>1.3406744939815345E-3</v>
      </c>
      <c r="R1928">
        <v>1.5567453489458347E-3</v>
      </c>
      <c r="S1928">
        <v>0.23615654582690254</v>
      </c>
      <c r="T1928">
        <v>3.944424463720015</v>
      </c>
      <c r="U1928">
        <v>0</v>
      </c>
      <c r="V1928">
        <v>9.4523053561131939E-3</v>
      </c>
      <c r="W1928">
        <v>7.7553837557410521E-2</v>
      </c>
      <c r="X1928">
        <v>1.0415973866472382E-2</v>
      </c>
      <c r="Y1928">
        <v>4.3994812080058914E-3</v>
      </c>
    </row>
    <row r="1929" spans="1:25" x14ac:dyDescent="0.25">
      <c r="A1929" s="1090"/>
      <c r="B1929" s="1448">
        <v>1679</v>
      </c>
      <c r="C1929" s="1094">
        <v>0.95842529712752944</v>
      </c>
      <c r="D1929" s="1094">
        <v>0.99797736617133703</v>
      </c>
      <c r="E1929" s="1094">
        <v>1.0029851809824832</v>
      </c>
      <c r="F1929" s="1094">
        <v>1.0196569513123659</v>
      </c>
      <c r="G1929" s="1094">
        <v>0.99646142855565734</v>
      </c>
      <c r="H1929" s="1094">
        <v>1.0222310120999596</v>
      </c>
      <c r="I1929" s="1094">
        <v>1.0116717627501173</v>
      </c>
      <c r="K1929">
        <v>4.600387883999554</v>
      </c>
      <c r="L1929">
        <v>0</v>
      </c>
      <c r="M1929">
        <v>1.5821372063090449E-3</v>
      </c>
      <c r="N1929">
        <v>0.13816011526990693</v>
      </c>
      <c r="O1929">
        <v>4.0855575944788038E-2</v>
      </c>
      <c r="P1929">
        <v>1.9616116318801415E-2</v>
      </c>
      <c r="Q1929">
        <v>1.3647185858297983E-3</v>
      </c>
      <c r="R1929">
        <v>1.5759105917179323E-3</v>
      </c>
      <c r="S1929">
        <v>0.24938712194677962</v>
      </c>
      <c r="T1929">
        <v>4.0438507804210193</v>
      </c>
      <c r="U1929">
        <v>0</v>
      </c>
      <c r="V1929">
        <v>9.4523053561131835E-3</v>
      </c>
      <c r="W1929">
        <v>8.2130490479753793E-2</v>
      </c>
      <c r="X1929">
        <v>1.1123242643875529E-2</v>
      </c>
      <c r="Y1929">
        <v>4.4536436472769076E-3</v>
      </c>
    </row>
    <row r="1930" spans="1:25" x14ac:dyDescent="0.25">
      <c r="A1930" s="1090"/>
      <c r="B1930" s="1448">
        <v>1680</v>
      </c>
      <c r="C1930" s="1094">
        <v>0.98533519397996316</v>
      </c>
      <c r="D1930" s="1094">
        <v>0.99438874897689755</v>
      </c>
      <c r="E1930" s="1094">
        <v>0.99040160154340673</v>
      </c>
      <c r="F1930" s="1094">
        <v>0.99219199780286316</v>
      </c>
      <c r="G1930" s="1094">
        <v>0.98974629837097161</v>
      </c>
      <c r="H1930" s="1094">
        <v>1.0058616833807288</v>
      </c>
      <c r="I1930" s="1094">
        <v>0.99552784378717218</v>
      </c>
      <c r="K1930">
        <v>4.4557668801680368</v>
      </c>
      <c r="L1930">
        <v>0</v>
      </c>
      <c r="M1930">
        <v>1.5153968478773404E-3</v>
      </c>
      <c r="N1930">
        <v>0.12746543106884534</v>
      </c>
      <c r="O1930">
        <v>3.8812296206199803E-2</v>
      </c>
      <c r="P1930">
        <v>1.8870178319722881E-2</v>
      </c>
      <c r="Q1930">
        <v>1.3150723096055908E-3</v>
      </c>
      <c r="R1930">
        <v>1.5091687559942695E-3</v>
      </c>
      <c r="S1930">
        <v>0.2333306192605972</v>
      </c>
      <c r="T1930">
        <v>3.9354039228030704</v>
      </c>
      <c r="U1930">
        <v>0</v>
      </c>
      <c r="V1930">
        <v>9.4523053561131973E-3</v>
      </c>
      <c r="W1930">
        <v>7.6421595831919042E-2</v>
      </c>
      <c r="X1930">
        <v>1.0436660979818954E-2</v>
      </c>
      <c r="Y1930">
        <v>4.2650261240237261E-3</v>
      </c>
    </row>
    <row r="1931" spans="1:25" x14ac:dyDescent="0.25">
      <c r="A1931" s="1090"/>
      <c r="B1931" s="1448">
        <v>1681</v>
      </c>
      <c r="C1931" s="1094">
        <v>1.0105373913589093</v>
      </c>
      <c r="D1931" s="1094">
        <v>1.0024674191108971</v>
      </c>
      <c r="E1931" s="1094">
        <v>0.99597334519579139</v>
      </c>
      <c r="F1931" s="1094">
        <v>1.0185579321672442</v>
      </c>
      <c r="G1931" s="1094">
        <v>1.0152733487262611</v>
      </c>
      <c r="H1931" s="1094">
        <v>0.99491425454604554</v>
      </c>
      <c r="I1931" s="1094">
        <v>0.98193293950175398</v>
      </c>
      <c r="K1931">
        <v>4.5524150495640052</v>
      </c>
      <c r="L1931">
        <v>0</v>
      </c>
      <c r="M1931">
        <v>1.4779263728158668E-3</v>
      </c>
      <c r="N1931">
        <v>0.12639187689720449</v>
      </c>
      <c r="O1931">
        <v>3.8685976645965355E-2</v>
      </c>
      <c r="P1931">
        <v>1.9393978905289194E-2</v>
      </c>
      <c r="Q1931">
        <v>1.2842762655157567E-3</v>
      </c>
      <c r="R1931">
        <v>1.4719437654252137E-3</v>
      </c>
      <c r="S1931">
        <v>0.2270478671573643</v>
      </c>
      <c r="T1931">
        <v>4.0397642287956756</v>
      </c>
      <c r="U1931">
        <v>0</v>
      </c>
      <c r="V1931">
        <v>9.4523053561131869E-3</v>
      </c>
      <c r="W1931">
        <v>7.5491802661544205E-2</v>
      </c>
      <c r="X1931">
        <v>1.0748894028041038E-2</v>
      </c>
      <c r="Y1931">
        <v>4.1598254586819889E-3</v>
      </c>
    </row>
    <row r="1932" spans="1:25" x14ac:dyDescent="0.25">
      <c r="A1932" s="1090"/>
      <c r="B1932" s="1448">
        <v>1682</v>
      </c>
      <c r="C1932" s="1094">
        <v>0.96458149533887572</v>
      </c>
      <c r="D1932" s="1094">
        <v>0.99057371508611203</v>
      </c>
      <c r="E1932" s="1094">
        <v>0.99663800573053174</v>
      </c>
      <c r="F1932" s="1094">
        <v>0.99592482329670251</v>
      </c>
      <c r="G1932" s="1094">
        <v>0.99481101199066613</v>
      </c>
      <c r="H1932" s="1094">
        <v>0.99698463611796773</v>
      </c>
      <c r="I1932" s="1094">
        <v>1.0189008448292891</v>
      </c>
      <c r="K1932">
        <v>4.4871684576085782</v>
      </c>
      <c r="L1932">
        <v>0</v>
      </c>
      <c r="M1932">
        <v>1.5223534027369165E-3</v>
      </c>
      <c r="N1932">
        <v>0.13043710837246905</v>
      </c>
      <c r="O1932">
        <v>3.9813437335557027E-2</v>
      </c>
      <c r="P1932">
        <v>1.9073761166381945E-2</v>
      </c>
      <c r="Q1932">
        <v>1.3526744175785569E-3</v>
      </c>
      <c r="R1932">
        <v>1.5160645734627676E-3</v>
      </c>
      <c r="S1932">
        <v>0.24414199690259814</v>
      </c>
      <c r="T1932">
        <v>3.9499724333541519</v>
      </c>
      <c r="U1932">
        <v>0</v>
      </c>
      <c r="V1932">
        <v>9.4523053561131783E-3</v>
      </c>
      <c r="W1932">
        <v>7.7872874985075252E-2</v>
      </c>
      <c r="X1932">
        <v>1.0773640317267534E-2</v>
      </c>
      <c r="Y1932">
        <v>4.28451423066046E-3</v>
      </c>
    </row>
    <row r="1933" spans="1:25" x14ac:dyDescent="0.25">
      <c r="A1933" s="1090"/>
      <c r="B1933" s="1448">
        <v>1683</v>
      </c>
      <c r="C1933" s="1094">
        <v>0.99066173989430373</v>
      </c>
      <c r="D1933" s="1094">
        <v>0.99873460430226857</v>
      </c>
      <c r="E1933" s="1094">
        <v>1.0038450480045542</v>
      </c>
      <c r="F1933" s="1094">
        <v>1.0022334737952421</v>
      </c>
      <c r="G1933" s="1094">
        <v>0.99673374663425229</v>
      </c>
      <c r="H1933" s="1094">
        <v>1.0345612497322629</v>
      </c>
      <c r="I1933" s="1094">
        <v>1.029133602611211</v>
      </c>
      <c r="K1933">
        <v>4.5142231499174965</v>
      </c>
      <c r="L1933">
        <v>0</v>
      </c>
      <c r="M1933">
        <v>1.5195351917028502E-3</v>
      </c>
      <c r="N1933">
        <v>0.13302908306612621</v>
      </c>
      <c r="O1933">
        <v>3.8832952195197827E-2</v>
      </c>
      <c r="P1933">
        <v>1.9286383956238815E-2</v>
      </c>
      <c r="Q1933">
        <v>1.3208806336918507E-3</v>
      </c>
      <c r="R1933">
        <v>1.513523921414137E-3</v>
      </c>
      <c r="S1933">
        <v>0.24349302594297517</v>
      </c>
      <c r="T1933">
        <v>3.9747183630858314</v>
      </c>
      <c r="U1933">
        <v>0</v>
      </c>
      <c r="V1933">
        <v>9.4523053561131921E-3</v>
      </c>
      <c r="W1933">
        <v>7.903446460273035E-2</v>
      </c>
      <c r="X1933">
        <v>1.0784368194876517E-2</v>
      </c>
      <c r="Y1933">
        <v>4.2773341540014225E-3</v>
      </c>
    </row>
    <row r="1934" spans="1:25" x14ac:dyDescent="0.25">
      <c r="A1934" s="1090"/>
      <c r="B1934" s="1448">
        <v>1684</v>
      </c>
      <c r="C1934" s="1094">
        <v>0.97413607496249877</v>
      </c>
      <c r="D1934" s="1094">
        <v>1.0046868100546442</v>
      </c>
      <c r="E1934" s="1094">
        <v>1.0149291371242435</v>
      </c>
      <c r="F1934" s="1094">
        <v>0.95829788212776457</v>
      </c>
      <c r="G1934" s="1094">
        <v>1.0197900001901572</v>
      </c>
      <c r="H1934" s="1094">
        <v>1.013227524827137</v>
      </c>
      <c r="I1934" s="1094">
        <v>1.0194848949880786</v>
      </c>
      <c r="K1934">
        <v>4.3205292127103325</v>
      </c>
      <c r="L1934">
        <v>0</v>
      </c>
      <c r="M1934">
        <v>1.410574705085377E-3</v>
      </c>
      <c r="N1934">
        <v>0.12757579124020801</v>
      </c>
      <c r="O1934">
        <v>3.7596027646830475E-2</v>
      </c>
      <c r="P1934">
        <v>1.8606970917193433E-2</v>
      </c>
      <c r="Q1934">
        <v>1.3528140366334863E-3</v>
      </c>
      <c r="R1934">
        <v>1.4046168805994146E-3</v>
      </c>
      <c r="S1934">
        <v>0.235934691475296</v>
      </c>
      <c r="T1934">
        <v>3.8000732973056266</v>
      </c>
      <c r="U1934">
        <v>0</v>
      </c>
      <c r="V1934">
        <v>9.4523053561131973E-3</v>
      </c>
      <c r="W1934">
        <v>7.5232469060881851E-2</v>
      </c>
      <c r="X1934">
        <v>1.0741248954032848E-2</v>
      </c>
      <c r="Y1934">
        <v>3.9695545419997863E-3</v>
      </c>
    </row>
    <row r="1935" spans="1:25" x14ac:dyDescent="0.25">
      <c r="A1935" s="1090"/>
      <c r="B1935" s="1448">
        <v>1685</v>
      </c>
      <c r="C1935" s="1094">
        <v>1.0313958937326659</v>
      </c>
      <c r="D1935" s="1094">
        <v>0.95645705856978191</v>
      </c>
      <c r="E1935" s="1094">
        <v>0.96038782666903322</v>
      </c>
      <c r="F1935" s="1094">
        <v>1.008802232176909</v>
      </c>
      <c r="G1935" s="1094">
        <v>1.0139995014567655</v>
      </c>
      <c r="H1935" s="1094">
        <v>0.98743267702895687</v>
      </c>
      <c r="I1935" s="1094">
        <v>1.032411030943333</v>
      </c>
      <c r="K1935">
        <v>4.5135766423818158</v>
      </c>
      <c r="L1935">
        <v>0</v>
      </c>
      <c r="M1935">
        <v>1.5629146960956556E-3</v>
      </c>
      <c r="N1935">
        <v>0.12025567673748398</v>
      </c>
      <c r="O1935">
        <v>3.8495126467248272E-2</v>
      </c>
      <c r="P1935">
        <v>1.8747442754079923E-2</v>
      </c>
      <c r="Q1935">
        <v>1.243129376513686E-3</v>
      </c>
      <c r="R1935">
        <v>1.556478727391532E-3</v>
      </c>
      <c r="S1935">
        <v>0.23514048223140613</v>
      </c>
      <c r="T1935">
        <v>4.0024531521645228</v>
      </c>
      <c r="U1935">
        <v>0</v>
      </c>
      <c r="V1935">
        <v>9.4523053561131904E-3</v>
      </c>
      <c r="W1935">
        <v>7.3601752453200664E-2</v>
      </c>
      <c r="X1935">
        <v>9.7952830948091017E-3</v>
      </c>
      <c r="Y1935">
        <v>4.3987277151378403E-3</v>
      </c>
    </row>
    <row r="1936" spans="1:25" x14ac:dyDescent="0.25">
      <c r="A1936" s="1090"/>
      <c r="B1936" s="1448">
        <v>1686</v>
      </c>
      <c r="C1936" s="1094">
        <v>1.0161674668479239</v>
      </c>
      <c r="D1936" s="1094">
        <v>0.99656022495630647</v>
      </c>
      <c r="E1936" s="1094">
        <v>0.98262004607895526</v>
      </c>
      <c r="F1936" s="1094">
        <v>0.96215178901644993</v>
      </c>
      <c r="G1936" s="1094">
        <v>1.0250154894816912</v>
      </c>
      <c r="H1936" s="1094">
        <v>0.97834436276633452</v>
      </c>
      <c r="I1936" s="1094">
        <v>0.99918113122126861</v>
      </c>
      <c r="K1936">
        <v>4.3015282127701848</v>
      </c>
      <c r="L1936">
        <v>0</v>
      </c>
      <c r="M1936">
        <v>1.4077499875805343E-3</v>
      </c>
      <c r="N1936">
        <v>0.11568060538386385</v>
      </c>
      <c r="O1936">
        <v>3.6513931480070101E-2</v>
      </c>
      <c r="P1936">
        <v>1.8167633168091963E-2</v>
      </c>
      <c r="Q1936">
        <v>1.2655172577691819E-3</v>
      </c>
      <c r="R1936">
        <v>1.401616651554386E-3</v>
      </c>
      <c r="S1936">
        <v>0.22032083907694089</v>
      </c>
      <c r="T1936">
        <v>3.8165402296920385</v>
      </c>
      <c r="U1936">
        <v>0</v>
      </c>
      <c r="V1936">
        <v>9.4523053561131973E-3</v>
      </c>
      <c r="W1936">
        <v>6.972513838162625E-2</v>
      </c>
      <c r="X1936">
        <v>9.9070706440293269E-3</v>
      </c>
      <c r="Y1936">
        <v>3.9610756656618847E-3</v>
      </c>
    </row>
    <row r="1937" spans="1:25" x14ac:dyDescent="0.25">
      <c r="A1937" s="1090"/>
      <c r="B1937" s="1448">
        <v>1687</v>
      </c>
      <c r="C1937" s="1094">
        <v>1.029939287317208</v>
      </c>
      <c r="D1937" s="1094">
        <v>0.98797171320587351</v>
      </c>
      <c r="E1937" s="1094">
        <v>1.0413849162185334</v>
      </c>
      <c r="F1937" s="1094">
        <v>0.99345676848179554</v>
      </c>
      <c r="G1937" s="1094">
        <v>1.0182056988350126</v>
      </c>
      <c r="H1937" s="1094">
        <v>1.0102646582157921</v>
      </c>
      <c r="I1937" s="1094">
        <v>1.0329742163338198</v>
      </c>
      <c r="K1937">
        <v>4.4564810792937051</v>
      </c>
      <c r="L1937">
        <v>0</v>
      </c>
      <c r="M1937">
        <v>1.3125919567466497E-3</v>
      </c>
      <c r="N1937">
        <v>0.12839083859038267</v>
      </c>
      <c r="O1937">
        <v>3.6935111812976137E-2</v>
      </c>
      <c r="P1937">
        <v>1.9601742919998486E-2</v>
      </c>
      <c r="Q1937">
        <v>1.3171441683009636E-3</v>
      </c>
      <c r="R1937">
        <v>1.3072276882517126E-3</v>
      </c>
      <c r="S1937">
        <v>0.23261459782472241</v>
      </c>
      <c r="T1937">
        <v>3.9385067474654063</v>
      </c>
      <c r="U1937">
        <v>0</v>
      </c>
      <c r="V1937">
        <v>9.4523053561131904E-3</v>
      </c>
      <c r="W1937">
        <v>7.4396388582985029E-2</v>
      </c>
      <c r="X1937">
        <v>1.1577241592202216E-2</v>
      </c>
      <c r="Y1937">
        <v>3.6943252491120804E-3</v>
      </c>
    </row>
    <row r="1938" spans="1:25" x14ac:dyDescent="0.25">
      <c r="A1938" s="1090"/>
      <c r="B1938" s="1448">
        <v>1688</v>
      </c>
      <c r="C1938" s="1094">
        <v>0.98577022886011823</v>
      </c>
      <c r="D1938" s="1094">
        <v>0.98697644012557306</v>
      </c>
      <c r="E1938" s="1094">
        <v>1.006682008034254</v>
      </c>
      <c r="F1938" s="1094">
        <v>1.0004536771342969</v>
      </c>
      <c r="G1938" s="1094">
        <v>0.96872729406731395</v>
      </c>
      <c r="H1938" s="1094">
        <v>1.0010405893735166</v>
      </c>
      <c r="I1938" s="1094">
        <v>0.99462502729166724</v>
      </c>
      <c r="K1938">
        <v>4.4934624203197027</v>
      </c>
      <c r="L1938">
        <v>0</v>
      </c>
      <c r="M1938">
        <v>1.473152572272498E-3</v>
      </c>
      <c r="N1938">
        <v>0.13003845907974976</v>
      </c>
      <c r="O1938">
        <v>3.9121434223321927E-2</v>
      </c>
      <c r="P1938">
        <v>1.9253078097692021E-2</v>
      </c>
      <c r="Q1938">
        <v>1.3369740836189688E-3</v>
      </c>
      <c r="R1938">
        <v>1.4671189724968774E-3</v>
      </c>
      <c r="S1938">
        <v>0.23448801568651631</v>
      </c>
      <c r="T1938">
        <v>3.9675521331736689</v>
      </c>
      <c r="U1938">
        <v>0</v>
      </c>
      <c r="V1938">
        <v>9.4523053561131921E-3</v>
      </c>
      <c r="W1938">
        <v>7.7110225061340479E-2</v>
      </c>
      <c r="X1938">
        <v>1.0969638931943092E-2</v>
      </c>
      <c r="Y1938">
        <v>4.1461902255109963E-3</v>
      </c>
    </row>
    <row r="1939" spans="1:25" x14ac:dyDescent="0.25">
      <c r="A1939" s="1090"/>
      <c r="B1939" s="1448">
        <v>1689</v>
      </c>
      <c r="C1939" s="1094">
        <v>1.0076444070522412</v>
      </c>
      <c r="D1939" s="1094">
        <v>1.0048021628496617</v>
      </c>
      <c r="E1939" s="1094">
        <v>1.0092386344241087</v>
      </c>
      <c r="F1939" s="1094">
        <v>0.99250556125070166</v>
      </c>
      <c r="G1939" s="1094">
        <v>0.99003680126475757</v>
      </c>
      <c r="H1939" s="1094">
        <v>0.99938997282982212</v>
      </c>
      <c r="I1939" s="1094">
        <v>1.0065005751905161</v>
      </c>
      <c r="K1939">
        <v>4.4473783546202066</v>
      </c>
      <c r="L1939">
        <v>0</v>
      </c>
      <c r="M1939">
        <v>1.4096100879555497E-3</v>
      </c>
      <c r="N1939">
        <v>0.12537004791441209</v>
      </c>
      <c r="O1939">
        <v>3.7679967414422935E-2</v>
      </c>
      <c r="P1939">
        <v>1.9121933369316984E-2</v>
      </c>
      <c r="Q1939">
        <v>1.3014535133705376E-3</v>
      </c>
      <c r="R1939">
        <v>1.403781085395581E-3</v>
      </c>
      <c r="S1939">
        <v>0.22951247635029806</v>
      </c>
      <c r="T1939">
        <v>3.935935617041133</v>
      </c>
      <c r="U1939">
        <v>0</v>
      </c>
      <c r="V1939">
        <v>9.4523053561131973E-3</v>
      </c>
      <c r="W1939">
        <v>7.4214291139720584E-2</v>
      </c>
      <c r="X1939">
        <v>1.0828899003030102E-2</v>
      </c>
      <c r="Y1939">
        <v>3.9671925209438068E-3</v>
      </c>
    </row>
    <row r="1940" spans="1:25" x14ac:dyDescent="0.25">
      <c r="A1940" s="1090"/>
      <c r="B1940" s="1448">
        <v>1690</v>
      </c>
      <c r="C1940" s="1094">
        <v>1.0048675777510927</v>
      </c>
      <c r="D1940" s="1094">
        <v>0.99338245311497486</v>
      </c>
      <c r="E1940" s="1094">
        <v>0.99674031200215907</v>
      </c>
      <c r="F1940" s="1094">
        <v>1.0162728839858892</v>
      </c>
      <c r="G1940" s="1094">
        <v>1.0287199613407663</v>
      </c>
      <c r="H1940" s="1094">
        <v>0.98158963936888433</v>
      </c>
      <c r="I1940" s="1094">
        <v>0.998534371844088</v>
      </c>
      <c r="K1940">
        <v>4.5468258560299315</v>
      </c>
      <c r="L1940">
        <v>0</v>
      </c>
      <c r="M1940">
        <v>1.4660529167675326E-3</v>
      </c>
      <c r="N1940">
        <v>0.12565368802441401</v>
      </c>
      <c r="O1940">
        <v>3.8953253405303562E-2</v>
      </c>
      <c r="P1940">
        <v>1.9383815187442404E-2</v>
      </c>
      <c r="Q1940">
        <v>1.2970886347991907E-3</v>
      </c>
      <c r="R1940">
        <v>1.4600243440674556E-3</v>
      </c>
      <c r="S1940">
        <v>0.2314488665506888</v>
      </c>
      <c r="T1940">
        <v>4.0306716260603546</v>
      </c>
      <c r="U1940">
        <v>0</v>
      </c>
      <c r="V1940">
        <v>9.4523053561131991E-3</v>
      </c>
      <c r="W1940">
        <v>7.5011903943211722E-2</v>
      </c>
      <c r="X1940">
        <v>1.0833197176378878E-2</v>
      </c>
      <c r="Y1940">
        <v>4.1261402639201925E-3</v>
      </c>
    </row>
    <row r="1941" spans="1:25" x14ac:dyDescent="0.25">
      <c r="A1941" s="1090"/>
      <c r="B1941" s="1448">
        <v>1691</v>
      </c>
      <c r="C1941" s="1094">
        <v>1.0063157754974297</v>
      </c>
      <c r="D1941" s="1094">
        <v>0.9899592303340361</v>
      </c>
      <c r="E1941" s="1094">
        <v>1.0167629248257943</v>
      </c>
      <c r="F1941" s="1094">
        <v>1.0113559380521491</v>
      </c>
      <c r="G1941" s="1094">
        <v>0.99517013815021249</v>
      </c>
      <c r="H1941" s="1094">
        <v>0.9947114641130691</v>
      </c>
      <c r="I1941" s="1094">
        <v>1.0268120921678221</v>
      </c>
      <c r="K1941">
        <v>4.5376469607016316</v>
      </c>
      <c r="L1941">
        <v>0</v>
      </c>
      <c r="M1941">
        <v>1.4172996481869944E-3</v>
      </c>
      <c r="N1941">
        <v>0.12890048547054836</v>
      </c>
      <c r="O1941">
        <v>3.862362115819986E-2</v>
      </c>
      <c r="P1941">
        <v>1.9611009980473052E-2</v>
      </c>
      <c r="Q1941">
        <v>1.3193636339478676E-3</v>
      </c>
      <c r="R1941">
        <v>1.4115205887009041E-3</v>
      </c>
      <c r="S1941">
        <v>0.23816060891634575</v>
      </c>
      <c r="T1941">
        <v>4.0104017882815874</v>
      </c>
      <c r="U1941">
        <v>0</v>
      </c>
      <c r="V1941">
        <v>9.4523053561131904E-3</v>
      </c>
      <c r="W1941">
        <v>7.5920502470763665E-2</v>
      </c>
      <c r="X1941">
        <v>1.1273989544968912E-2</v>
      </c>
      <c r="Y1941">
        <v>3.9890649481677748E-3</v>
      </c>
    </row>
    <row r="1942" spans="1:25" x14ac:dyDescent="0.25">
      <c r="A1942" s="1090"/>
      <c r="B1942" s="1448">
        <v>1692</v>
      </c>
      <c r="C1942" s="1094">
        <v>0.97968951877702004</v>
      </c>
      <c r="D1942" s="1094">
        <v>1.0116014736688221</v>
      </c>
      <c r="E1942" s="1094">
        <v>0.99443641955040152</v>
      </c>
      <c r="F1942" s="1094">
        <v>1.0246796501852822</v>
      </c>
      <c r="G1942" s="1094">
        <v>1.0201348776455905</v>
      </c>
      <c r="H1942" s="1094">
        <v>1.0440448933333533</v>
      </c>
      <c r="I1942" s="1094">
        <v>1.0263660456645187</v>
      </c>
      <c r="K1942">
        <v>4.6177285777753818</v>
      </c>
      <c r="L1942">
        <v>0</v>
      </c>
      <c r="M1942">
        <v>1.6086853787969921E-3</v>
      </c>
      <c r="N1942">
        <v>0.13697841173707989</v>
      </c>
      <c r="O1942">
        <v>4.0009523139406228E-2</v>
      </c>
      <c r="P1942">
        <v>1.9581889821564398E-2</v>
      </c>
      <c r="Q1942">
        <v>1.3181745093099615E-3</v>
      </c>
      <c r="R1942">
        <v>1.6025168247821514E-3</v>
      </c>
      <c r="S1942">
        <v>0.24910900948072465</v>
      </c>
      <c r="T1942">
        <v>4.0641040574448235</v>
      </c>
      <c r="U1942">
        <v>0</v>
      </c>
      <c r="V1942">
        <v>9.4523053561131869E-3</v>
      </c>
      <c r="W1942">
        <v>8.1900275308919454E-2</v>
      </c>
      <c r="X1942">
        <v>1.075226463824727E-2</v>
      </c>
      <c r="Y1942">
        <v>4.5288348932061928E-3</v>
      </c>
    </row>
    <row r="1943" spans="1:25" x14ac:dyDescent="0.25">
      <c r="A1943" s="1090"/>
      <c r="B1943" s="1448">
        <v>1693</v>
      </c>
      <c r="C1943" s="1094">
        <v>1.0371577408098966</v>
      </c>
      <c r="D1943" s="1094">
        <v>0.96045281688987971</v>
      </c>
      <c r="E1943" s="1094">
        <v>0.96871295024088999</v>
      </c>
      <c r="F1943" s="1094">
        <v>1.0474406567119048</v>
      </c>
      <c r="G1943" s="1094">
        <v>0.97923570145630667</v>
      </c>
      <c r="H1943" s="1094">
        <v>0.9675558554044561</v>
      </c>
      <c r="I1943" s="1094">
        <v>1.0290424206983928</v>
      </c>
      <c r="K1943">
        <v>4.6740100447153079</v>
      </c>
      <c r="L1943">
        <v>0</v>
      </c>
      <c r="M1943">
        <v>1.5511259482483208E-3</v>
      </c>
      <c r="N1943">
        <v>0.12234572064424976</v>
      </c>
      <c r="O1943">
        <v>3.962296440316114E-2</v>
      </c>
      <c r="P1943">
        <v>1.9556464172105624E-2</v>
      </c>
      <c r="Q1943">
        <v>1.24320366765314E-3</v>
      </c>
      <c r="R1943">
        <v>1.5448468263294119E-3</v>
      </c>
      <c r="S1943">
        <v>0.2371605229063308</v>
      </c>
      <c r="T1943">
        <v>4.1554144638360047</v>
      </c>
      <c r="U1943">
        <v>0</v>
      </c>
      <c r="V1943">
        <v>9.4523053561132078E-3</v>
      </c>
      <c r="W1943">
        <v>7.4450553540820308E-2</v>
      </c>
      <c r="X1943">
        <v>1.0404270236097059E-2</v>
      </c>
      <c r="Y1943">
        <v>4.3658550746826534E-3</v>
      </c>
    </row>
    <row r="1944" spans="1:25" x14ac:dyDescent="0.25">
      <c r="A1944" s="1090"/>
      <c r="B1944" s="1448">
        <v>1694</v>
      </c>
      <c r="C1944" s="1094">
        <v>1.0414128602732451</v>
      </c>
      <c r="D1944" s="1094">
        <v>1.0200060997125704</v>
      </c>
      <c r="E1944" s="1094">
        <v>0.97070120303064744</v>
      </c>
      <c r="F1944" s="1094">
        <v>1.0228971735695123</v>
      </c>
      <c r="G1944" s="1094">
        <v>1.0233347584999328</v>
      </c>
      <c r="H1944" s="1094">
        <v>1.009259705789457</v>
      </c>
      <c r="I1944" s="1094">
        <v>0.97765898574320054</v>
      </c>
      <c r="K1944">
        <v>4.5546360146209555</v>
      </c>
      <c r="L1944">
        <v>0</v>
      </c>
      <c r="M1944">
        <v>1.529955317573554E-3</v>
      </c>
      <c r="N1944">
        <v>0.12139958447059929</v>
      </c>
      <c r="O1944">
        <v>3.7606932069980198E-2</v>
      </c>
      <c r="P1944">
        <v>1.9075860573874837E-2</v>
      </c>
      <c r="Q1944">
        <v>1.2107875547439494E-3</v>
      </c>
      <c r="R1944">
        <v>1.5238759227870547E-3</v>
      </c>
      <c r="S1944">
        <v>0.2198942819484356</v>
      </c>
      <c r="T1944">
        <v>4.0579667815844225</v>
      </c>
      <c r="U1944">
        <v>0</v>
      </c>
      <c r="V1944">
        <v>9.4523053561132026E-3</v>
      </c>
      <c r="W1944">
        <v>7.3773531462136818E-2</v>
      </c>
      <c r="X1944">
        <v>9.9554392952088018E-3</v>
      </c>
      <c r="Y1944">
        <v>4.3065897002192042E-3</v>
      </c>
    </row>
    <row r="1945" spans="1:25" x14ac:dyDescent="0.25">
      <c r="A1945" s="1090"/>
      <c r="B1945" s="1448">
        <v>1695</v>
      </c>
      <c r="C1945" s="1094">
        <v>0.99856983690562529</v>
      </c>
      <c r="D1945" s="1094">
        <v>0.99599621527711557</v>
      </c>
      <c r="E1945" s="1094">
        <v>1.0247012982139669</v>
      </c>
      <c r="F1945" s="1094">
        <v>1.017945216799613</v>
      </c>
      <c r="G1945" s="1094">
        <v>1.0046132542055</v>
      </c>
      <c r="H1945" s="1094">
        <v>1.0040238283816372</v>
      </c>
      <c r="I1945" s="1094">
        <v>1.0083662635652866</v>
      </c>
      <c r="K1945">
        <v>4.5686539219266491</v>
      </c>
      <c r="L1945">
        <v>0</v>
      </c>
      <c r="M1945">
        <v>1.4234226364272739E-3</v>
      </c>
      <c r="N1945">
        <v>0.13254215070775691</v>
      </c>
      <c r="O1945">
        <v>3.9025843594842659E-2</v>
      </c>
      <c r="P1945">
        <v>1.9839619107929671E-2</v>
      </c>
      <c r="Q1945">
        <v>1.3353043075401657E-3</v>
      </c>
      <c r="R1945">
        <v>1.4177095146418396E-3</v>
      </c>
      <c r="S1945">
        <v>0.23702819245016843</v>
      </c>
      <c r="T1945">
        <v>4.0362261305524747</v>
      </c>
      <c r="U1945">
        <v>0</v>
      </c>
      <c r="V1945">
        <v>9.4523053561131852E-3</v>
      </c>
      <c r="W1945">
        <v>7.76534681190965E-2</v>
      </c>
      <c r="X1945">
        <v>1.1550065527133845E-2</v>
      </c>
      <c r="Y1945">
        <v>4.0065553253790026E-3</v>
      </c>
    </row>
    <row r="1946" spans="1:25" x14ac:dyDescent="0.25">
      <c r="A1946" s="1090"/>
      <c r="B1946" s="1448">
        <v>1696</v>
      </c>
      <c r="C1946" s="1094">
        <v>1.0169826780188902</v>
      </c>
      <c r="D1946" s="1094">
        <v>1.0012093030434768</v>
      </c>
      <c r="E1946" s="1094">
        <v>0.96677539698827863</v>
      </c>
      <c r="F1946" s="1094">
        <v>0.97334378392679288</v>
      </c>
      <c r="G1946" s="1094">
        <v>0.99626355580282278</v>
      </c>
      <c r="H1946" s="1094">
        <v>0.97550251312848069</v>
      </c>
      <c r="I1946" s="1094">
        <v>1.0081280213647479</v>
      </c>
      <c r="K1946">
        <v>4.3491126476924116</v>
      </c>
      <c r="L1946">
        <v>0</v>
      </c>
      <c r="M1946">
        <v>1.4639979898876908E-3</v>
      </c>
      <c r="N1946">
        <v>0.11477957961001334</v>
      </c>
      <c r="O1946">
        <v>3.6944033224722145E-2</v>
      </c>
      <c r="P1946">
        <v>1.8162276554653009E-2</v>
      </c>
      <c r="Q1946">
        <v>1.2448523254657447E-3</v>
      </c>
      <c r="R1946">
        <v>1.4576742546315935E-3</v>
      </c>
      <c r="S1946">
        <v>0.22330559975736936</v>
      </c>
      <c r="T1946">
        <v>3.8615297370773218</v>
      </c>
      <c r="U1946">
        <v>0</v>
      </c>
      <c r="V1946">
        <v>9.4523053561131835E-3</v>
      </c>
      <c r="W1946">
        <v>6.9939921413945005E-2</v>
      </c>
      <c r="X1946">
        <v>9.6411673763114776E-3</v>
      </c>
      <c r="Y1946">
        <v>4.1194987317536057E-3</v>
      </c>
    </row>
    <row r="1947" spans="1:25" x14ac:dyDescent="0.25">
      <c r="A1947" s="1090"/>
      <c r="B1947" s="1448">
        <v>1697</v>
      </c>
      <c r="C1947" s="1094">
        <v>0.96634600990391906</v>
      </c>
      <c r="D1947" s="1094">
        <v>0.96348458244631274</v>
      </c>
      <c r="E1947" s="1094">
        <v>0.97734993921454749</v>
      </c>
      <c r="F1947" s="1094">
        <v>0.98906541697455252</v>
      </c>
      <c r="G1947" s="1094">
        <v>0.97454029728892233</v>
      </c>
      <c r="H1947" s="1094">
        <v>0.98760189247779784</v>
      </c>
      <c r="I1947" s="1094">
        <v>0.99769214793345262</v>
      </c>
      <c r="K1947">
        <v>4.4509171282645754</v>
      </c>
      <c r="L1947">
        <v>0</v>
      </c>
      <c r="M1947">
        <v>1.5741560232511538E-3</v>
      </c>
      <c r="N1947">
        <v>0.12736789921662803</v>
      </c>
      <c r="O1947">
        <v>4.0044481309787876E-2</v>
      </c>
      <c r="P1947">
        <v>1.865617066978565E-2</v>
      </c>
      <c r="Q1947">
        <v>1.3426952866352386E-3</v>
      </c>
      <c r="R1947">
        <v>1.5675460791600071E-3</v>
      </c>
      <c r="S1947">
        <v>0.23881911457019903</v>
      </c>
      <c r="T1947">
        <v>3.9234981891980079</v>
      </c>
      <c r="U1947">
        <v>0</v>
      </c>
      <c r="V1947">
        <v>9.4523053561131869E-3</v>
      </c>
      <c r="W1947">
        <v>7.70472158590816E-2</v>
      </c>
      <c r="X1947">
        <v>1.0265661846237452E-2</v>
      </c>
      <c r="Y1947">
        <v>4.4300048961878865E-3</v>
      </c>
    </row>
    <row r="1948" spans="1:25" x14ac:dyDescent="0.25">
      <c r="A1948" s="1090"/>
      <c r="B1948" s="1448">
        <v>1698</v>
      </c>
      <c r="C1948" s="1094">
        <v>0.97873198701197628</v>
      </c>
      <c r="D1948" s="1094">
        <v>1.0352285683329907</v>
      </c>
      <c r="E1948" s="1094">
        <v>1.0003060859139348</v>
      </c>
      <c r="F1948" s="1094">
        <v>1.023432591153868</v>
      </c>
      <c r="G1948" s="1094">
        <v>0.97910433854734324</v>
      </c>
      <c r="H1948" s="1094">
        <v>0.96877039220350081</v>
      </c>
      <c r="I1948" s="1094">
        <v>1.0443841730212076</v>
      </c>
      <c r="K1948">
        <v>4.5915942881066165</v>
      </c>
      <c r="L1948">
        <v>0</v>
      </c>
      <c r="M1948">
        <v>1.4604740138221503E-3</v>
      </c>
      <c r="N1948">
        <v>0.12650197123610313</v>
      </c>
      <c r="O1948">
        <v>3.9590680284574457E-2</v>
      </c>
      <c r="P1948">
        <v>1.9628588110525841E-2</v>
      </c>
      <c r="Q1948">
        <v>1.3139391205360012E-3</v>
      </c>
      <c r="R1948">
        <v>1.4544313120984532E-3</v>
      </c>
      <c r="S1948">
        <v>0.2456366857159365</v>
      </c>
      <c r="T1948">
        <v>4.0589288943203226</v>
      </c>
      <c r="U1948">
        <v>0</v>
      </c>
      <c r="V1948">
        <v>9.4523053561131939E-3</v>
      </c>
      <c r="W1948">
        <v>7.5336343206269599E-2</v>
      </c>
      <c r="X1948">
        <v>1.1100589529391155E-2</v>
      </c>
      <c r="Y1948">
        <v>4.1103339285680019E-3</v>
      </c>
    </row>
    <row r="1949" spans="1:25" x14ac:dyDescent="0.25">
      <c r="A1949" s="1090"/>
      <c r="B1949" s="1448">
        <v>1699</v>
      </c>
      <c r="C1949" s="1094">
        <v>1.0015602502788326</v>
      </c>
      <c r="D1949" s="1094">
        <v>1.0001642145791481</v>
      </c>
      <c r="E1949" s="1094">
        <v>1.0178012709905766</v>
      </c>
      <c r="F1949" s="1094">
        <v>1.0247540317918806</v>
      </c>
      <c r="G1949" s="1094">
        <v>0.99366790733677568</v>
      </c>
      <c r="H1949" s="1094">
        <v>0.99222242774509373</v>
      </c>
      <c r="I1949" s="1094">
        <v>0.97975205139410337</v>
      </c>
      <c r="K1949">
        <v>4.5854489106789771</v>
      </c>
      <c r="L1949">
        <v>0</v>
      </c>
      <c r="M1949">
        <v>1.4301763580927297E-3</v>
      </c>
      <c r="N1949">
        <v>0.13047750814517614</v>
      </c>
      <c r="O1949">
        <v>3.9152823705739567E-2</v>
      </c>
      <c r="P1949">
        <v>1.983060403396416E-2</v>
      </c>
      <c r="Q1949">
        <v>1.3213636831287782E-3</v>
      </c>
      <c r="R1949">
        <v>1.4244062946556389E-3</v>
      </c>
      <c r="S1949">
        <v>0.22947289656010914</v>
      </c>
      <c r="T1949">
        <v>4.0634900279235522</v>
      </c>
      <c r="U1949">
        <v>0</v>
      </c>
      <c r="V1949">
        <v>9.4523053561131904E-3</v>
      </c>
      <c r="W1949">
        <v>7.6796059426373145E-2</v>
      </c>
      <c r="X1949">
        <v>1.143561097128246E-2</v>
      </c>
      <c r="Y1949">
        <v>4.0254809369729659E-3</v>
      </c>
    </row>
    <row r="1950" spans="1:25" x14ac:dyDescent="0.25">
      <c r="A1950" s="1090"/>
      <c r="B1950" s="1448">
        <v>1700</v>
      </c>
      <c r="C1950" s="1094">
        <v>1.003144020764728</v>
      </c>
      <c r="D1950" s="1094">
        <v>1.0282226139245603</v>
      </c>
      <c r="E1950" s="1094">
        <v>1.0258115910503707</v>
      </c>
      <c r="F1950" s="1094">
        <v>1.0409342472295853</v>
      </c>
      <c r="G1950" s="1094">
        <v>1.0187789513013661</v>
      </c>
      <c r="H1950" s="1094">
        <v>1.0167324110511458</v>
      </c>
      <c r="I1950" s="1094">
        <v>1.0274128344331381</v>
      </c>
      <c r="K1950">
        <v>4.6703019745523981</v>
      </c>
      <c r="L1950">
        <v>0</v>
      </c>
      <c r="M1950">
        <v>1.445176038031823E-3</v>
      </c>
      <c r="N1950">
        <v>0.13502893498085025</v>
      </c>
      <c r="O1950">
        <v>3.9214584405028188E-2</v>
      </c>
      <c r="P1950">
        <v>2.0304943504932678E-2</v>
      </c>
      <c r="Q1950">
        <v>1.3136216665818915E-3</v>
      </c>
      <c r="R1950">
        <v>1.4395741105854322E-3</v>
      </c>
      <c r="S1950">
        <v>0.24282164855458066</v>
      </c>
      <c r="T1950">
        <v>4.1273358267033453</v>
      </c>
      <c r="U1950">
        <v>0</v>
      </c>
      <c r="V1950">
        <v>9.4523053561131973E-3</v>
      </c>
      <c r="W1950">
        <v>7.9052080272692685E-2</v>
      </c>
      <c r="X1950">
        <v>1.1715284692918368E-2</v>
      </c>
      <c r="Y1950">
        <v>4.0683463427985287E-3</v>
      </c>
    </row>
    <row r="1951" spans="1:25" x14ac:dyDescent="0.25">
      <c r="A1951" s="1090"/>
      <c r="B1951" s="1448">
        <v>1701</v>
      </c>
      <c r="C1951" s="1094">
        <v>0.96077798222828015</v>
      </c>
      <c r="D1951" s="1094">
        <v>0.98148356871362419</v>
      </c>
      <c r="E1951" s="1094">
        <v>1.012932851429263</v>
      </c>
      <c r="F1951" s="1094">
        <v>0.97472294578055674</v>
      </c>
      <c r="G1951" s="1094">
        <v>1.0320238072384891</v>
      </c>
      <c r="H1951" s="1094">
        <v>1.0135251822424927</v>
      </c>
      <c r="I1951" s="1094">
        <v>0.98350326414675548</v>
      </c>
      <c r="K1951">
        <v>4.3952943865891063</v>
      </c>
      <c r="L1951">
        <v>0</v>
      </c>
      <c r="M1951">
        <v>1.4748856213299064E-3</v>
      </c>
      <c r="N1951">
        <v>0.13261595979539914</v>
      </c>
      <c r="O1951">
        <v>3.9150204922846391E-2</v>
      </c>
      <c r="P1951">
        <v>1.8875416441761262E-2</v>
      </c>
      <c r="Q1951">
        <v>1.382156675529963E-3</v>
      </c>
      <c r="R1951">
        <v>1.4687624974051884E-3</v>
      </c>
      <c r="S1951">
        <v>0.23512745063512053</v>
      </c>
      <c r="T1951">
        <v>3.8652795036369367</v>
      </c>
      <c r="U1951">
        <v>0</v>
      </c>
      <c r="V1951">
        <v>9.4523053561131973E-3</v>
      </c>
      <c r="W1951">
        <v>7.83092926318191E-2</v>
      </c>
      <c r="X1951">
        <v>1.095738466512234E-2</v>
      </c>
      <c r="Y1951">
        <v>4.1508349523790731E-3</v>
      </c>
    </row>
    <row r="1952" spans="1:25" x14ac:dyDescent="0.25">
      <c r="A1952" s="1090"/>
      <c r="B1952" s="1448">
        <v>1702</v>
      </c>
      <c r="C1952" s="1094">
        <v>0.98184914902664688</v>
      </c>
      <c r="D1952" s="1094">
        <v>1.0011320552063194</v>
      </c>
      <c r="E1952" s="1094">
        <v>1.0198421550060996</v>
      </c>
      <c r="F1952" s="1094">
        <v>1.0089458410456229</v>
      </c>
      <c r="G1952" s="1094">
        <v>0.96362957911638336</v>
      </c>
      <c r="H1952" s="1094">
        <v>0.99701928177381971</v>
      </c>
      <c r="I1952" s="1094">
        <v>1.0270465613034998</v>
      </c>
      <c r="K1952">
        <v>4.5383920630338048</v>
      </c>
      <c r="L1952">
        <v>0</v>
      </c>
      <c r="M1952">
        <v>1.43665307957476E-3</v>
      </c>
      <c r="N1952">
        <v>0.13185653572862871</v>
      </c>
      <c r="O1952">
        <v>3.9293082784892561E-2</v>
      </c>
      <c r="P1952">
        <v>1.9633553443957001E-2</v>
      </c>
      <c r="Q1952">
        <v>1.3497000207749526E-3</v>
      </c>
      <c r="R1952">
        <v>1.4307947617931032E-3</v>
      </c>
      <c r="S1952">
        <v>0.24311608562048753</v>
      </c>
      <c r="T1952">
        <v>4.0007276123073154</v>
      </c>
      <c r="U1952">
        <v>0</v>
      </c>
      <c r="V1952">
        <v>9.4523053561131852E-3</v>
      </c>
      <c r="W1952">
        <v>7.7502099904221564E-2</v>
      </c>
      <c r="X1952">
        <v>1.142341095235787E-2</v>
      </c>
      <c r="Y1952">
        <v>4.0435352328398334E-3</v>
      </c>
    </row>
    <row r="1953" spans="1:25" x14ac:dyDescent="0.25">
      <c r="A1953" s="1090"/>
      <c r="B1953" s="1448">
        <v>1703</v>
      </c>
      <c r="C1953" s="1094">
        <v>0.99921747075030021</v>
      </c>
      <c r="D1953" s="1094">
        <v>0.98070742811454248</v>
      </c>
      <c r="E1953" s="1094">
        <v>0.97444118385685263</v>
      </c>
      <c r="F1953" s="1094">
        <v>1.0165031878460322</v>
      </c>
      <c r="G1953" s="1094">
        <v>1.0109534286231359</v>
      </c>
      <c r="H1953" s="1094">
        <v>1.0332587484018814</v>
      </c>
      <c r="I1953" s="1094">
        <v>0.97004545080509708</v>
      </c>
      <c r="K1953">
        <v>4.5581712604574705</v>
      </c>
      <c r="L1953">
        <v>0</v>
      </c>
      <c r="M1953">
        <v>1.635140509579728E-3</v>
      </c>
      <c r="N1953">
        <v>0.13120354495243175</v>
      </c>
      <c r="O1953">
        <v>3.9540777008316028E-2</v>
      </c>
      <c r="P1953">
        <v>1.9065831339970706E-2</v>
      </c>
      <c r="Q1953">
        <v>1.2860942613781565E-3</v>
      </c>
      <c r="R1953">
        <v>1.6287543054077621E-3</v>
      </c>
      <c r="S1953">
        <v>0.23092567910487538</v>
      </c>
      <c r="T1953">
        <v>4.0324542969471224</v>
      </c>
      <c r="U1953">
        <v>0</v>
      </c>
      <c r="V1953">
        <v>9.4523053561132008E-3</v>
      </c>
      <c r="W1953">
        <v>7.9526241513198051E-2</v>
      </c>
      <c r="X1953">
        <v>1.0119892161641915E-2</v>
      </c>
      <c r="Y1953">
        <v>4.6029840165910515E-3</v>
      </c>
    </row>
    <row r="1954" spans="1:25" x14ac:dyDescent="0.25">
      <c r="A1954" s="1090"/>
      <c r="B1954" s="1448">
        <v>1704</v>
      </c>
      <c r="C1954" s="1094">
        <v>1.0105564889134884</v>
      </c>
      <c r="D1954" s="1094">
        <v>0.98355923627190855</v>
      </c>
      <c r="E1954" s="1094">
        <v>1.0259241701703072</v>
      </c>
      <c r="F1954" s="1094">
        <v>0.97850465342611093</v>
      </c>
      <c r="G1954" s="1094">
        <v>1.0114785225955334</v>
      </c>
      <c r="H1954" s="1094">
        <v>0.99389347669912309</v>
      </c>
      <c r="I1954" s="1094">
        <v>0.98394197297184038</v>
      </c>
      <c r="K1954">
        <v>4.3832233759915908</v>
      </c>
      <c r="L1954">
        <v>0</v>
      </c>
      <c r="M1954">
        <v>1.3418892943045661E-3</v>
      </c>
      <c r="N1954">
        <v>0.12537722924174477</v>
      </c>
      <c r="O1954">
        <v>3.724738116841033E-2</v>
      </c>
      <c r="P1954">
        <v>1.9065339521251223E-2</v>
      </c>
      <c r="Q1954">
        <v>1.3274826967767457E-3</v>
      </c>
      <c r="R1954">
        <v>1.3362301410376873E-3</v>
      </c>
      <c r="S1954">
        <v>0.22265187192884853</v>
      </c>
      <c r="T1954">
        <v>3.8797964542084373</v>
      </c>
      <c r="U1954">
        <v>0</v>
      </c>
      <c r="V1954">
        <v>9.4523053561131852E-3</v>
      </c>
      <c r="W1954">
        <v>7.3396044721044593E-2</v>
      </c>
      <c r="X1954">
        <v>1.113863790731155E-2</v>
      </c>
      <c r="Y1954">
        <v>3.7762883949177678E-3</v>
      </c>
    </row>
    <row r="1955" spans="1:25" x14ac:dyDescent="0.25">
      <c r="A1955" s="1090"/>
      <c r="B1955" s="1448">
        <v>1705</v>
      </c>
      <c r="C1955" s="1094">
        <v>1.0095430538777217</v>
      </c>
      <c r="D1955" s="1094">
        <v>1.013936032789998</v>
      </c>
      <c r="E1955" s="1094">
        <v>0.98309048799861176</v>
      </c>
      <c r="F1955" s="1094">
        <v>1.0347939990248105</v>
      </c>
      <c r="G1955" s="1094">
        <v>0.97536715670589924</v>
      </c>
      <c r="H1955" s="1094">
        <v>0.99190144259893864</v>
      </c>
      <c r="I1955" s="1094">
        <v>1.0069533344972121</v>
      </c>
      <c r="K1955">
        <v>4.6257817528623661</v>
      </c>
      <c r="L1955">
        <v>0</v>
      </c>
      <c r="M1955">
        <v>1.5324671539578847E-3</v>
      </c>
      <c r="N1955">
        <v>0.12615060563585445</v>
      </c>
      <c r="O1955">
        <v>3.925276189482732E-2</v>
      </c>
      <c r="P1955">
        <v>1.9532192420950185E-2</v>
      </c>
      <c r="Q1955">
        <v>1.2655599857978859E-3</v>
      </c>
      <c r="R1955">
        <v>1.5263421653085973E-3</v>
      </c>
      <c r="S1955">
        <v>0.2345593954137821</v>
      </c>
      <c r="T1955">
        <v>4.1046693317999274</v>
      </c>
      <c r="U1955">
        <v>0</v>
      </c>
      <c r="V1955">
        <v>9.4523053561131991E-3</v>
      </c>
      <c r="W1955">
        <v>7.6011353288736427E-2</v>
      </c>
      <c r="X1955">
        <v>1.0580812565149398E-2</v>
      </c>
      <c r="Y1955">
        <v>4.313559489873795E-3</v>
      </c>
    </row>
    <row r="1956" spans="1:25" x14ac:dyDescent="0.25">
      <c r="A1956" s="1090"/>
      <c r="B1956" s="1448">
        <v>1706</v>
      </c>
      <c r="C1956" s="1094">
        <v>0.97374891894939652</v>
      </c>
      <c r="D1956" s="1094">
        <v>0.99299274809225502</v>
      </c>
      <c r="E1956" s="1094">
        <v>0.96260908361086628</v>
      </c>
      <c r="F1956" s="1094">
        <v>1.0161530409996586</v>
      </c>
      <c r="G1956" s="1094">
        <v>1.0384259083510419</v>
      </c>
      <c r="H1956" s="1094">
        <v>0.98727889670118096</v>
      </c>
      <c r="I1956" s="1094">
        <v>0.98705759603808951</v>
      </c>
      <c r="K1956">
        <v>4.55685295380027</v>
      </c>
      <c r="L1956">
        <v>0</v>
      </c>
      <c r="M1956">
        <v>1.6347636595024392E-3</v>
      </c>
      <c r="N1956">
        <v>0.12662061894924329</v>
      </c>
      <c r="O1956">
        <v>4.0444067873402108E-2</v>
      </c>
      <c r="P1956">
        <v>1.8914435547236472E-2</v>
      </c>
      <c r="Q1956">
        <v>1.2996602727741878E-3</v>
      </c>
      <c r="R1956">
        <v>1.6280792822450235E-3</v>
      </c>
      <c r="S1956">
        <v>0.23655468338528784</v>
      </c>
      <c r="T1956">
        <v>4.0315301430598849</v>
      </c>
      <c r="U1956">
        <v>0</v>
      </c>
      <c r="V1956">
        <v>9.4523053561131904E-3</v>
      </c>
      <c r="W1956">
        <v>7.7378028003603674E-2</v>
      </c>
      <c r="X1956">
        <v>1.0064619380383322E-2</v>
      </c>
      <c r="Y1956">
        <v>4.6010763495975739E-3</v>
      </c>
    </row>
    <row r="1957" spans="1:25" x14ac:dyDescent="0.25">
      <c r="A1957" s="1090"/>
      <c r="B1957" s="1448">
        <v>1707</v>
      </c>
      <c r="C1957" s="1094">
        <v>0.96774231068175975</v>
      </c>
      <c r="D1957" s="1094">
        <v>1.0004505769329584</v>
      </c>
      <c r="E1957" s="1094">
        <v>1.0034236926652849</v>
      </c>
      <c r="F1957" s="1094">
        <v>1.0080287128975929</v>
      </c>
      <c r="G1957" s="1094">
        <v>0.98984708599820637</v>
      </c>
      <c r="H1957" s="1094">
        <v>0.98078637254695167</v>
      </c>
      <c r="I1957" s="1094">
        <v>1.0470875523487977</v>
      </c>
      <c r="K1957">
        <v>4.5399473923144171</v>
      </c>
      <c r="L1957">
        <v>0</v>
      </c>
      <c r="M1957">
        <v>1.4834598224911489E-3</v>
      </c>
      <c r="N1957">
        <v>0.12968370416365171</v>
      </c>
      <c r="O1957">
        <v>3.9958080654003157E-2</v>
      </c>
      <c r="P1957">
        <v>1.9415043131471757E-2</v>
      </c>
      <c r="Q1957">
        <v>1.3507486729346712E-3</v>
      </c>
      <c r="R1957">
        <v>1.4773049467979344E-3</v>
      </c>
      <c r="S1957">
        <v>0.25002822756338139</v>
      </c>
      <c r="T1957">
        <v>3.9977176198002975</v>
      </c>
      <c r="U1957">
        <v>0</v>
      </c>
      <c r="V1957">
        <v>9.4523053561131887E-3</v>
      </c>
      <c r="W1957">
        <v>7.706881832371025E-2</v>
      </c>
      <c r="X1957">
        <v>1.1104022958001834E-2</v>
      </c>
      <c r="Y1957">
        <v>4.1749765665481326E-3</v>
      </c>
    </row>
    <row r="1958" spans="1:25" x14ac:dyDescent="0.25">
      <c r="A1958" s="1090"/>
      <c r="B1958" s="1448">
        <v>1708</v>
      </c>
      <c r="C1958" s="1094">
        <v>1.0271812851935709</v>
      </c>
      <c r="D1958" s="1094">
        <v>0.98591586833270295</v>
      </c>
      <c r="E1958" s="1094">
        <v>1.0221379576291165</v>
      </c>
      <c r="F1958" s="1094">
        <v>0.96314153427796045</v>
      </c>
      <c r="G1958" s="1094">
        <v>1.0086826990001037</v>
      </c>
      <c r="H1958" s="1094">
        <v>1.0010582471282716</v>
      </c>
      <c r="I1958" s="1094">
        <v>0.98920658986430132</v>
      </c>
      <c r="K1958">
        <v>4.3105379971211129</v>
      </c>
      <c r="L1958">
        <v>0</v>
      </c>
      <c r="M1958">
        <v>1.3181527384896997E-3</v>
      </c>
      <c r="N1958">
        <v>0.12178349683841627</v>
      </c>
      <c r="O1958">
        <v>3.605928376101511E-2</v>
      </c>
      <c r="P1958">
        <v>1.8711397438250912E-2</v>
      </c>
      <c r="Q1958">
        <v>1.3005849436676803E-3</v>
      </c>
      <c r="R1958">
        <v>1.3125458135211886E-3</v>
      </c>
      <c r="S1958">
        <v>0.21825493641891</v>
      </c>
      <c r="T1958">
        <v>3.8190185161634815</v>
      </c>
      <c r="U1958">
        <v>0</v>
      </c>
      <c r="V1958">
        <v>9.4523053561131817E-3</v>
      </c>
      <c r="W1958">
        <v>7.1471989220528262E-2</v>
      </c>
      <c r="X1958">
        <v>1.0781739228555662E-2</v>
      </c>
      <c r="Y1958">
        <v>3.7093546771432779E-3</v>
      </c>
    </row>
    <row r="1959" spans="1:25" x14ac:dyDescent="0.25">
      <c r="A1959" s="1090"/>
      <c r="B1959" s="1448">
        <v>1709</v>
      </c>
      <c r="C1959" s="1094">
        <v>1.0088187705503617</v>
      </c>
      <c r="D1959" s="1094">
        <v>1.0031916560554099</v>
      </c>
      <c r="E1959" s="1094">
        <v>0.96207773757519832</v>
      </c>
      <c r="F1959" s="1094">
        <v>1.0417647467098718</v>
      </c>
      <c r="G1959" s="1094">
        <v>0.97680153132887737</v>
      </c>
      <c r="H1959" s="1094">
        <v>1.0426388463697003</v>
      </c>
      <c r="I1959" s="1094">
        <v>0.99820588734938354</v>
      </c>
      <c r="K1959">
        <v>4.6685680175889797</v>
      </c>
      <c r="L1959">
        <v>0</v>
      </c>
      <c r="M1959">
        <v>1.7031708632007762E-3</v>
      </c>
      <c r="N1959">
        <v>0.13175224585051989</v>
      </c>
      <c r="O1959">
        <v>3.9862523419698058E-2</v>
      </c>
      <c r="P1959">
        <v>1.9364319694618989E-2</v>
      </c>
      <c r="Q1959">
        <v>1.2487800758654039E-3</v>
      </c>
      <c r="R1959">
        <v>1.6967380236715636E-3</v>
      </c>
      <c r="S1959">
        <v>0.23845763325148231</v>
      </c>
      <c r="T1959">
        <v>4.1331646130633439</v>
      </c>
      <c r="U1959">
        <v>0</v>
      </c>
      <c r="V1959">
        <v>9.4523053561131852E-3</v>
      </c>
      <c r="W1959">
        <v>8.0543643738247753E-2</v>
      </c>
      <c r="X1959">
        <v>9.9332747839040551E-3</v>
      </c>
      <c r="Y1959">
        <v>4.7951111947159104E-3</v>
      </c>
    </row>
    <row r="1960" spans="1:25" x14ac:dyDescent="0.25">
      <c r="A1960" s="1090"/>
      <c r="B1960" s="1448">
        <v>1710</v>
      </c>
      <c r="C1960" s="1094">
        <v>1.0112936449256245</v>
      </c>
      <c r="D1960" s="1094">
        <v>0.99902582942141571</v>
      </c>
      <c r="E1960" s="1094">
        <v>0.97761696550970567</v>
      </c>
      <c r="F1960" s="1094">
        <v>1.027350042175599</v>
      </c>
      <c r="G1960" s="1094">
        <v>0.98073813213150007</v>
      </c>
      <c r="H1960" s="1094">
        <v>0.99651755847373158</v>
      </c>
      <c r="I1960" s="1094">
        <v>1.0056859483962763</v>
      </c>
      <c r="K1960">
        <v>4.5952113244068133</v>
      </c>
      <c r="L1960">
        <v>0</v>
      </c>
      <c r="M1960">
        <v>1.5527315099081037E-3</v>
      </c>
      <c r="N1960">
        <v>0.12575825421773573</v>
      </c>
      <c r="O1960">
        <v>3.917221423130534E-2</v>
      </c>
      <c r="P1960">
        <v>1.9318076197145338E-2</v>
      </c>
      <c r="Q1960">
        <v>1.2648554339170827E-3</v>
      </c>
      <c r="R1960">
        <v>1.5465096958266675E-3</v>
      </c>
      <c r="S1960">
        <v>0.23409438527788215</v>
      </c>
      <c r="T1960">
        <v>4.0753579237688964</v>
      </c>
      <c r="U1960">
        <v>0</v>
      </c>
      <c r="V1960">
        <v>9.4523053561132026E-3</v>
      </c>
      <c r="W1960">
        <v>7.6059571456101011E-2</v>
      </c>
      <c r="X1960">
        <v>1.0369405810957799E-2</v>
      </c>
      <c r="Y1960">
        <v>4.3705544708359783E-3</v>
      </c>
    </row>
    <row r="1961" spans="1:25" x14ac:dyDescent="0.25">
      <c r="A1961" s="1090"/>
      <c r="B1961" s="1448">
        <v>1711</v>
      </c>
      <c r="C1961" s="1094">
        <v>1.0052940552916509</v>
      </c>
      <c r="D1961" s="1094">
        <v>0.99766722255320817</v>
      </c>
      <c r="E1961" s="1094">
        <v>0.99469426103566627</v>
      </c>
      <c r="F1961" s="1094">
        <v>0.99484896612479756</v>
      </c>
      <c r="G1961" s="1094">
        <v>1.0097817353448901</v>
      </c>
      <c r="H1961" s="1094">
        <v>1.0436420950006655</v>
      </c>
      <c r="I1961" s="1094">
        <v>1.0041208203053058</v>
      </c>
      <c r="K1961">
        <v>4.4701414051816171</v>
      </c>
      <c r="L1961">
        <v>0</v>
      </c>
      <c r="M1961">
        <v>1.5293043618972123E-3</v>
      </c>
      <c r="N1961">
        <v>0.13030355811928079</v>
      </c>
      <c r="O1961">
        <v>3.8064249696848504E-2</v>
      </c>
      <c r="P1961">
        <v>1.8979752927026635E-2</v>
      </c>
      <c r="Q1961">
        <v>1.2920343452238574E-3</v>
      </c>
      <c r="R1961">
        <v>1.5232627531421906E-3</v>
      </c>
      <c r="S1961">
        <v>0.23370500983906486</v>
      </c>
      <c r="T1961">
        <v>3.9457792326785928</v>
      </c>
      <c r="U1961">
        <v>0</v>
      </c>
      <c r="V1961">
        <v>9.4523053561131852E-3</v>
      </c>
      <c r="W1961">
        <v>7.789571116830199E-2</v>
      </c>
      <c r="X1961">
        <v>1.0370735823930407E-2</v>
      </c>
      <c r="Y1961">
        <v>4.3048568359895303E-3</v>
      </c>
    </row>
    <row r="1962" spans="1:25" x14ac:dyDescent="0.25">
      <c r="A1962" s="1090"/>
      <c r="B1962" s="1448">
        <v>1712</v>
      </c>
      <c r="C1962" s="1094">
        <v>0.97916092743819272</v>
      </c>
      <c r="D1962" s="1094">
        <v>1.0234119937107364</v>
      </c>
      <c r="E1962" s="1094">
        <v>0.99804620543943445</v>
      </c>
      <c r="F1962" s="1094">
        <v>1.0167849427094988</v>
      </c>
      <c r="G1962" s="1094">
        <v>1.0373548439212954</v>
      </c>
      <c r="H1962" s="1094">
        <v>0.98809508504038723</v>
      </c>
      <c r="I1962" s="1094">
        <v>0.98694539471034326</v>
      </c>
      <c r="K1962">
        <v>4.5558457926873022</v>
      </c>
      <c r="L1962">
        <v>0</v>
      </c>
      <c r="M1962">
        <v>1.4932192370173147E-3</v>
      </c>
      <c r="N1962">
        <v>0.1284820968764939</v>
      </c>
      <c r="O1962">
        <v>3.9513210116864567E-2</v>
      </c>
      <c r="P1962">
        <v>1.9419990987311408E-2</v>
      </c>
      <c r="Q1962">
        <v>1.3168541339833519E-3</v>
      </c>
      <c r="R1962">
        <v>1.4871224394719246E-3</v>
      </c>
      <c r="S1962">
        <v>0.23326800388593016</v>
      </c>
      <c r="T1962">
        <v>4.0326518894402303</v>
      </c>
      <c r="U1962">
        <v>0</v>
      </c>
      <c r="V1962">
        <v>9.4523053561131852E-3</v>
      </c>
      <c r="W1962">
        <v>7.6632601479822815E-2</v>
      </c>
      <c r="X1962">
        <v>1.0912215657725627E-2</v>
      </c>
      <c r="Y1962">
        <v>4.2027215503749361E-3</v>
      </c>
    </row>
    <row r="1963" spans="1:25" x14ac:dyDescent="0.25">
      <c r="A1963" s="1090"/>
      <c r="B1963" s="1448">
        <v>1713</v>
      </c>
      <c r="C1963" s="1094">
        <v>1.0152750085160436</v>
      </c>
      <c r="D1963" s="1094">
        <v>1.0169872771706767</v>
      </c>
      <c r="E1963" s="1094">
        <v>0.99071599359646523</v>
      </c>
      <c r="F1963" s="1094">
        <v>0.97619066772180618</v>
      </c>
      <c r="G1963" s="1094">
        <v>0.97342880853743696</v>
      </c>
      <c r="H1963" s="1094">
        <v>0.99509863408532306</v>
      </c>
      <c r="I1963" s="1094">
        <v>1.0051931800640939</v>
      </c>
      <c r="K1963">
        <v>4.3667941409003284</v>
      </c>
      <c r="L1963">
        <v>0</v>
      </c>
      <c r="M1963">
        <v>1.4178557786886489E-3</v>
      </c>
      <c r="N1963">
        <v>0.11935867261278477</v>
      </c>
      <c r="O1963">
        <v>3.6726580938042354E-2</v>
      </c>
      <c r="P1963">
        <v>1.8544955890918608E-2</v>
      </c>
      <c r="Q1963">
        <v>1.2652138255108655E-3</v>
      </c>
      <c r="R1963">
        <v>1.4118693961636458E-3</v>
      </c>
      <c r="S1963">
        <v>0.22383004148987376</v>
      </c>
      <c r="T1963">
        <v>3.8719249320163631</v>
      </c>
      <c r="U1963">
        <v>0</v>
      </c>
      <c r="V1963">
        <v>9.4523053561131939E-3</v>
      </c>
      <c r="W1963">
        <v>7.1545905886352013E-2</v>
      </c>
      <c r="X1963">
        <v>1.0161468562203872E-2</v>
      </c>
      <c r="Y1963">
        <v>3.9900507046876713E-3</v>
      </c>
    </row>
    <row r="1964" spans="1:25" x14ac:dyDescent="0.25">
      <c r="A1964" s="1090"/>
      <c r="B1964" s="1448">
        <v>1714</v>
      </c>
      <c r="C1964" s="1094">
        <v>1.002090800602448</v>
      </c>
      <c r="D1964" s="1094">
        <v>1.0011562567016516</v>
      </c>
      <c r="E1964" s="1094">
        <v>1.0005582137055977</v>
      </c>
      <c r="F1964" s="1094">
        <v>0.99394398834840525</v>
      </c>
      <c r="G1964" s="1094">
        <v>1.0079630168184157</v>
      </c>
      <c r="H1964" s="1094">
        <v>0.99793694129902033</v>
      </c>
      <c r="I1964" s="1094">
        <v>0.99720200165816653</v>
      </c>
      <c r="K1964">
        <v>4.4534701496428983</v>
      </c>
      <c r="L1964">
        <v>0</v>
      </c>
      <c r="M1964">
        <v>1.4456735560924015E-3</v>
      </c>
      <c r="N1964">
        <v>0.12531385951277255</v>
      </c>
      <c r="O1964">
        <v>3.8058047738272122E-2</v>
      </c>
      <c r="P1964">
        <v>1.9024383041014163E-2</v>
      </c>
      <c r="Q1964">
        <v>1.300886840263432E-3</v>
      </c>
      <c r="R1964">
        <v>1.4396953482872716E-3</v>
      </c>
      <c r="S1964">
        <v>0.22901981460717094</v>
      </c>
      <c r="T1964">
        <v>3.9419676917326187</v>
      </c>
      <c r="U1964">
        <v>0</v>
      </c>
      <c r="V1964">
        <v>9.4523053561131765E-3</v>
      </c>
      <c r="W1964">
        <v>7.4616068736749544E-2</v>
      </c>
      <c r="X1964">
        <v>1.0654381315930564E-2</v>
      </c>
      <c r="Y1964">
        <v>4.0686889697999868E-3</v>
      </c>
    </row>
    <row r="1965" spans="1:25" x14ac:dyDescent="0.25">
      <c r="A1965" s="1090"/>
      <c r="B1965" s="1448">
        <v>1715</v>
      </c>
      <c r="C1965" s="1094">
        <v>0.98880012667341022</v>
      </c>
      <c r="D1965" s="1094">
        <v>0.9888580524732935</v>
      </c>
      <c r="E1965" s="1094">
        <v>0.99498878770602917</v>
      </c>
      <c r="F1965" s="1094">
        <v>0.99751109244768266</v>
      </c>
      <c r="G1965" s="1094">
        <v>0.98369756998626745</v>
      </c>
      <c r="H1965" s="1094">
        <v>0.9775415644555292</v>
      </c>
      <c r="I1965" s="1094">
        <v>0.97726893885992094</v>
      </c>
      <c r="K1965">
        <v>4.4666601430541286</v>
      </c>
      <c r="L1965">
        <v>0</v>
      </c>
      <c r="M1965">
        <v>1.4645004787668977E-3</v>
      </c>
      <c r="N1965">
        <v>0.1248588715515096</v>
      </c>
      <c r="O1965">
        <v>3.8938598742032773E-2</v>
      </c>
      <c r="P1965">
        <v>1.9002878713911937E-2</v>
      </c>
      <c r="Q1965">
        <v>1.3185886824058676E-3</v>
      </c>
      <c r="R1965">
        <v>1.4583400811843989E-3</v>
      </c>
      <c r="S1965">
        <v>0.22733756066171723</v>
      </c>
      <c r="T1965">
        <v>3.9563265667545697</v>
      </c>
      <c r="U1965">
        <v>0</v>
      </c>
      <c r="V1965">
        <v>9.4523053561131852E-3</v>
      </c>
      <c r="W1965">
        <v>7.4625958461733449E-2</v>
      </c>
      <c r="X1965">
        <v>1.068359411929286E-2</v>
      </c>
      <c r="Y1965">
        <v>4.1213804084252867E-3</v>
      </c>
    </row>
    <row r="1966" spans="1:25" x14ac:dyDescent="0.25">
      <c r="A1966" s="1090"/>
      <c r="B1966" s="1448">
        <v>1716</v>
      </c>
      <c r="C1966" s="1094">
        <v>0.99315137774627815</v>
      </c>
      <c r="D1966" s="1094">
        <v>0.99512401399164974</v>
      </c>
      <c r="E1966" s="1094">
        <v>0.97084780815069893</v>
      </c>
      <c r="F1966" s="1094">
        <v>0.99496724259555591</v>
      </c>
      <c r="G1966" s="1094">
        <v>0.99932942332005614</v>
      </c>
      <c r="H1966" s="1094">
        <v>1.0343114479387727</v>
      </c>
      <c r="I1966" s="1094">
        <v>1.0114289404318511</v>
      </c>
      <c r="K1966">
        <v>4.4735193728462548</v>
      </c>
      <c r="L1966">
        <v>0</v>
      </c>
      <c r="M1966">
        <v>1.6147938342049013E-3</v>
      </c>
      <c r="N1966">
        <v>0.1281856169836447</v>
      </c>
      <c r="O1966">
        <v>3.8737460900691467E-2</v>
      </c>
      <c r="P1966">
        <v>1.8664482825458413E-2</v>
      </c>
      <c r="Q1966">
        <v>1.2823933419535971E-3</v>
      </c>
      <c r="R1966">
        <v>1.608357707394494E-3</v>
      </c>
      <c r="S1966">
        <v>0.23777142029630924</v>
      </c>
      <c r="T1966">
        <v>3.9471594610746306</v>
      </c>
      <c r="U1966">
        <v>0</v>
      </c>
      <c r="V1966">
        <v>9.4523053561131852E-3</v>
      </c>
      <c r="W1966">
        <v>7.7889474402215469E-2</v>
      </c>
      <c r="X1966">
        <v>9.8378521186506165E-3</v>
      </c>
      <c r="Y1966">
        <v>4.5453416733989647E-3</v>
      </c>
    </row>
    <row r="1967" spans="1:25" x14ac:dyDescent="0.25">
      <c r="A1967" s="1090"/>
      <c r="B1967" s="1448">
        <v>1717</v>
      </c>
      <c r="C1967" s="1094">
        <v>1.0067497859367014</v>
      </c>
      <c r="D1967" s="1094">
        <v>0.979438438129831</v>
      </c>
      <c r="E1967" s="1094">
        <v>0.97876390491171528</v>
      </c>
      <c r="F1967" s="1094">
        <v>1.0035175119308979</v>
      </c>
      <c r="G1967" s="1094">
        <v>0.98856658974297407</v>
      </c>
      <c r="H1967" s="1094">
        <v>0.99165122817845908</v>
      </c>
      <c r="I1967" s="1094">
        <v>0.98640862471776225</v>
      </c>
      <c r="K1967">
        <v>4.4904047202030331</v>
      </c>
      <c r="L1967">
        <v>0</v>
      </c>
      <c r="M1967">
        <v>1.5246432232110883E-3</v>
      </c>
      <c r="N1967">
        <v>0.1238900773918668</v>
      </c>
      <c r="O1967">
        <v>3.8733949521754463E-2</v>
      </c>
      <c r="P1967">
        <v>1.8884221356938225E-2</v>
      </c>
      <c r="Q1967">
        <v>1.2819448038821142E-3</v>
      </c>
      <c r="R1967">
        <v>1.5183587743442342E-3</v>
      </c>
      <c r="S1967">
        <v>0.22800425683398096</v>
      </c>
      <c r="T1967">
        <v>3.9807732205082753</v>
      </c>
      <c r="U1967">
        <v>0</v>
      </c>
      <c r="V1967">
        <v>9.4523053561131956E-3</v>
      </c>
      <c r="W1967">
        <v>7.4870753937090917E-2</v>
      </c>
      <c r="X1967">
        <v>1.0229277124490215E-2</v>
      </c>
      <c r="Y1967">
        <v>4.290997817505437E-3</v>
      </c>
    </row>
    <row r="1968" spans="1:25" x14ac:dyDescent="0.25">
      <c r="A1968" s="1090"/>
      <c r="B1968" s="1448">
        <v>1718</v>
      </c>
      <c r="C1968" s="1094">
        <v>0.98579243747028455</v>
      </c>
      <c r="D1968" s="1094">
        <v>0.99271115655830311</v>
      </c>
      <c r="E1968" s="1094">
        <v>1.0241016046989122</v>
      </c>
      <c r="F1968" s="1094">
        <v>0.9850364267803714</v>
      </c>
      <c r="G1968" s="1094">
        <v>1.0006072670413688</v>
      </c>
      <c r="H1968" s="1094">
        <v>1.0192099608671608</v>
      </c>
      <c r="I1968" s="1094">
        <v>0.97516941066768514</v>
      </c>
      <c r="K1968">
        <v>4.4270721270095876</v>
      </c>
      <c r="L1968">
        <v>0</v>
      </c>
      <c r="M1968">
        <v>1.4202253103400516E-3</v>
      </c>
      <c r="N1968">
        <v>0.13200057352999148</v>
      </c>
      <c r="O1968">
        <v>3.8308399512781297E-2</v>
      </c>
      <c r="P1968">
        <v>1.9187111904158213E-2</v>
      </c>
      <c r="Q1968">
        <v>1.3537153324688334E-3</v>
      </c>
      <c r="R1968">
        <v>1.4144231346893748E-3</v>
      </c>
      <c r="S1968">
        <v>0.22844904661955154</v>
      </c>
      <c r="T1968">
        <v>3.9057626326208301</v>
      </c>
      <c r="U1968">
        <v>0</v>
      </c>
      <c r="V1968">
        <v>9.4523053561131783E-3</v>
      </c>
      <c r="W1968">
        <v>7.7367008913265908E-2</v>
      </c>
      <c r="X1968">
        <v>1.119986763134968E-2</v>
      </c>
      <c r="Y1968">
        <v>3.9972677647300966E-3</v>
      </c>
    </row>
    <row r="1969" spans="1:25" x14ac:dyDescent="0.25">
      <c r="A1969" s="1090"/>
      <c r="B1969" s="1448">
        <v>1719</v>
      </c>
      <c r="C1969" s="1094">
        <v>1.0231653686634665</v>
      </c>
      <c r="D1969" s="1094">
        <v>1.0258383202888137</v>
      </c>
      <c r="E1969" s="1094">
        <v>1.0012777444878662</v>
      </c>
      <c r="F1969" s="1094">
        <v>0.99215758766832496</v>
      </c>
      <c r="G1969" s="1094">
        <v>1.0125765886409221</v>
      </c>
      <c r="H1969" s="1094">
        <v>1.0196204604776162</v>
      </c>
      <c r="I1969" s="1094">
        <v>0.97437191355097008</v>
      </c>
      <c r="K1969">
        <v>4.4325423953125149</v>
      </c>
      <c r="L1969">
        <v>0</v>
      </c>
      <c r="M1969">
        <v>1.4279069349838467E-3</v>
      </c>
      <c r="N1969">
        <v>0.12404800511893183</v>
      </c>
      <c r="O1969">
        <v>3.6841709262652914E-2</v>
      </c>
      <c r="P1969">
        <v>1.8955812086010975E-2</v>
      </c>
      <c r="Q1969">
        <v>1.2625180574173398E-3</v>
      </c>
      <c r="R1969">
        <v>1.4221174056715251E-3</v>
      </c>
      <c r="S1969">
        <v>0.21883374032858502</v>
      </c>
      <c r="T1969">
        <v>3.9348556788530002</v>
      </c>
      <c r="U1969">
        <v>0</v>
      </c>
      <c r="V1969">
        <v>9.4523053561131939E-3</v>
      </c>
      <c r="W1969">
        <v>7.382644755817247E-2</v>
      </c>
      <c r="X1969">
        <v>1.0452955858986661E-2</v>
      </c>
      <c r="Y1969">
        <v>4.0190123619554532E-3</v>
      </c>
    </row>
    <row r="1970" spans="1:25" x14ac:dyDescent="0.25">
      <c r="A1970" s="1090"/>
      <c r="B1970" s="1448">
        <v>1720</v>
      </c>
      <c r="C1970" s="1094">
        <v>0.97106390280907917</v>
      </c>
      <c r="D1970" s="1094">
        <v>1.0255209646886769</v>
      </c>
      <c r="E1970" s="1094">
        <v>1.016454605366121</v>
      </c>
      <c r="F1970" s="1094">
        <v>0.98560252633437129</v>
      </c>
      <c r="G1970" s="1094">
        <v>1.0181994447649323</v>
      </c>
      <c r="H1970" s="1094">
        <v>0.97250998981134329</v>
      </c>
      <c r="I1970" s="1094">
        <v>0.97913778411082109</v>
      </c>
      <c r="K1970">
        <v>4.4181729927787554</v>
      </c>
      <c r="L1970">
        <v>0</v>
      </c>
      <c r="M1970">
        <v>1.3808315836340759E-3</v>
      </c>
      <c r="N1970">
        <v>0.12544385836819213</v>
      </c>
      <c r="O1970">
        <v>3.8461872430642363E-2</v>
      </c>
      <c r="P1970">
        <v>1.9085782992384202E-2</v>
      </c>
      <c r="Q1970">
        <v>1.3477412876100239E-3</v>
      </c>
      <c r="R1970">
        <v>1.3749228359365023E-3</v>
      </c>
      <c r="S1970">
        <v>0.22717038671947898</v>
      </c>
      <c r="T1970">
        <v>3.9082914269205178</v>
      </c>
      <c r="U1970">
        <v>0</v>
      </c>
      <c r="V1970">
        <v>9.4523053561131904E-3</v>
      </c>
      <c r="W1970">
        <v>7.3899825462196103E-2</v>
      </c>
      <c r="X1970">
        <v>1.1140065084565984E-2</v>
      </c>
      <c r="Y1970">
        <v>3.8856369047493306E-3</v>
      </c>
    </row>
    <row r="1971" spans="1:25" x14ac:dyDescent="0.25">
      <c r="A1971" s="1090"/>
      <c r="B1971" s="1448">
        <v>1721</v>
      </c>
      <c r="C1971" s="1094">
        <v>0.99938321473552272</v>
      </c>
      <c r="D1971" s="1094">
        <v>0.96263289917505268</v>
      </c>
      <c r="E1971" s="1094">
        <v>0.98266723539602274</v>
      </c>
      <c r="F1971" s="1094">
        <v>1.0252035602694947</v>
      </c>
      <c r="G1971" s="1094">
        <v>0.99864953339192475</v>
      </c>
      <c r="H1971" s="1094">
        <v>1.0039305856272087</v>
      </c>
      <c r="I1971" s="1094">
        <v>0.99778240129453022</v>
      </c>
      <c r="K1971">
        <v>4.5988560508659146</v>
      </c>
      <c r="L1971">
        <v>0</v>
      </c>
      <c r="M1971">
        <v>1.5863443023916598E-3</v>
      </c>
      <c r="N1971">
        <v>0.1304232818958212</v>
      </c>
      <c r="O1971">
        <v>4.0111771467139123E-2</v>
      </c>
      <c r="P1971">
        <v>1.9370298607752631E-2</v>
      </c>
      <c r="Q1971">
        <v>1.3047767425202171E-3</v>
      </c>
      <c r="R1971">
        <v>1.5800215803110531E-3</v>
      </c>
      <c r="S1971">
        <v>0.2379215411458607</v>
      </c>
      <c r="T1971">
        <v>4.0666440456348019</v>
      </c>
      <c r="U1971">
        <v>0</v>
      </c>
      <c r="V1971">
        <v>9.4523053561131973E-3</v>
      </c>
      <c r="W1971">
        <v>7.8608578094239656E-2</v>
      </c>
      <c r="X1971">
        <v>1.0560513028846216E-2</v>
      </c>
      <c r="Y1971">
        <v>4.4652616149001966E-3</v>
      </c>
    </row>
    <row r="1972" spans="1:25" x14ac:dyDescent="0.25">
      <c r="A1972" s="1090"/>
      <c r="B1972" s="1448">
        <v>1722</v>
      </c>
      <c r="C1972" s="1094">
        <v>0.96895065152119431</v>
      </c>
      <c r="D1972" s="1094">
        <v>1.0121681336348747</v>
      </c>
      <c r="E1972" s="1094">
        <v>1.0152556396220778</v>
      </c>
      <c r="F1972" s="1094">
        <v>0.98645850004208957</v>
      </c>
      <c r="G1972" s="1094">
        <v>0.99544997620207953</v>
      </c>
      <c r="H1972" s="1094">
        <v>1.014013361749891</v>
      </c>
      <c r="I1972" s="1094">
        <v>0.97247394261967912</v>
      </c>
      <c r="K1972">
        <v>4.4352687100981214</v>
      </c>
      <c r="L1972">
        <v>0</v>
      </c>
      <c r="M1972">
        <v>1.4554185187394925E-3</v>
      </c>
      <c r="N1972">
        <v>0.13177514450486685</v>
      </c>
      <c r="O1972">
        <v>3.8790372438170816E-2</v>
      </c>
      <c r="P1972">
        <v>1.9098937558006571E-2</v>
      </c>
      <c r="Q1972">
        <v>1.3563995919339533E-3</v>
      </c>
      <c r="R1972">
        <v>1.4494506731069405E-3</v>
      </c>
      <c r="S1972">
        <v>0.23024356707319657</v>
      </c>
      <c r="T1972">
        <v>3.9117303796232634</v>
      </c>
      <c r="U1972">
        <v>0</v>
      </c>
      <c r="V1972">
        <v>9.4523053561132026E-3</v>
      </c>
      <c r="W1972">
        <v>7.76918892818384E-2</v>
      </c>
      <c r="X1972">
        <v>1.1039424253834791E-2</v>
      </c>
      <c r="Y1972">
        <v>4.0962582625241875E-3</v>
      </c>
    </row>
    <row r="1973" spans="1:25" x14ac:dyDescent="0.25">
      <c r="A1973" s="1090"/>
      <c r="B1973" s="1448">
        <v>1723</v>
      </c>
      <c r="C1973" s="1094">
        <v>1.0429217466336225</v>
      </c>
      <c r="D1973" s="1094">
        <v>0.98619409810431335</v>
      </c>
      <c r="E1973" s="1094">
        <v>1.0103222270334085</v>
      </c>
      <c r="F1973" s="1094">
        <v>1.0056581890385534</v>
      </c>
      <c r="G1973" s="1094">
        <v>0.99178735485696801</v>
      </c>
      <c r="H1973" s="1094">
        <v>1.0234632645398505</v>
      </c>
      <c r="I1973" s="1094">
        <v>1.0151556371826806</v>
      </c>
      <c r="K1973">
        <v>4.5005858780690486</v>
      </c>
      <c r="L1973">
        <v>0</v>
      </c>
      <c r="M1973">
        <v>1.4204977289812236E-3</v>
      </c>
      <c r="N1973">
        <v>0.12676344730234423</v>
      </c>
      <c r="O1973">
        <v>3.7157489781927865E-2</v>
      </c>
      <c r="P1973">
        <v>1.937257803096901E-2</v>
      </c>
      <c r="Q1973">
        <v>1.2680381442300413E-3</v>
      </c>
      <c r="R1973">
        <v>1.4148365804717135E-3</v>
      </c>
      <c r="S1973">
        <v>0.22873429452155156</v>
      </c>
      <c r="T1973">
        <v>3.9880531153894054</v>
      </c>
      <c r="U1973">
        <v>0</v>
      </c>
      <c r="V1973">
        <v>9.4523053561132026E-3</v>
      </c>
      <c r="W1973">
        <v>7.4984556805197763E-2</v>
      </c>
      <c r="X1973">
        <v>1.0807277691736724E-2</v>
      </c>
      <c r="Y1973">
        <v>3.9984361940760774E-3</v>
      </c>
    </row>
    <row r="1974" spans="1:25" x14ac:dyDescent="0.25">
      <c r="A1974" s="1090"/>
      <c r="B1974" s="1448">
        <v>1724</v>
      </c>
      <c r="C1974" s="1094">
        <v>1.002870398153116</v>
      </c>
      <c r="D1974" s="1094">
        <v>1.0094498802116194</v>
      </c>
      <c r="E1974" s="1094">
        <v>1.027637824527657</v>
      </c>
      <c r="F1974" s="1094">
        <v>0.97643994578837279</v>
      </c>
      <c r="G1974" s="1094">
        <v>1.0050690937221085</v>
      </c>
      <c r="H1974" s="1094">
        <v>0.9722261818319724</v>
      </c>
      <c r="I1974" s="1094">
        <v>1.0065234972912354</v>
      </c>
      <c r="K1974">
        <v>4.3727430288898121</v>
      </c>
      <c r="L1974">
        <v>0</v>
      </c>
      <c r="M1974">
        <v>1.3015446081108483E-3</v>
      </c>
      <c r="N1974">
        <v>0.12221284279788808</v>
      </c>
      <c r="O1974">
        <v>3.7054948888873708E-2</v>
      </c>
      <c r="P1974">
        <v>1.9065258969444405E-2</v>
      </c>
      <c r="Q1974">
        <v>1.3257390118952741E-3</v>
      </c>
      <c r="R1974">
        <v>1.2959214556148315E-3</v>
      </c>
      <c r="S1974">
        <v>0.22575929827705124</v>
      </c>
      <c r="T1974">
        <v>3.8715469525654482</v>
      </c>
      <c r="U1974">
        <v>0</v>
      </c>
      <c r="V1974">
        <v>9.4523053561131991E-3</v>
      </c>
      <c r="W1974">
        <v>7.1462278024504097E-2</v>
      </c>
      <c r="X1974">
        <v>1.1206655178597232E-2</v>
      </c>
      <c r="Y1974">
        <v>3.662372972490226E-3</v>
      </c>
    </row>
    <row r="1975" spans="1:25" x14ac:dyDescent="0.25">
      <c r="A1975" s="1090"/>
      <c r="B1975" s="1448">
        <v>1725</v>
      </c>
      <c r="C1975" s="1094">
        <v>1.001564346362914</v>
      </c>
      <c r="D1975" s="1094">
        <v>1.0303330938244313</v>
      </c>
      <c r="E1975" s="1094">
        <v>1.0031152255323033</v>
      </c>
      <c r="F1975" s="1094">
        <v>1.0062770814903108</v>
      </c>
      <c r="G1975" s="1094">
        <v>0.98587644933817598</v>
      </c>
      <c r="H1975" s="1094">
        <v>1.0022964682179083</v>
      </c>
      <c r="I1975" s="1094">
        <v>1.012238666751978</v>
      </c>
      <c r="K1975">
        <v>4.5080275685867326</v>
      </c>
      <c r="L1975">
        <v>0</v>
      </c>
      <c r="M1975">
        <v>1.4460911036982633E-3</v>
      </c>
      <c r="N1975">
        <v>0.12631187846314776</v>
      </c>
      <c r="O1975">
        <v>3.8092664546818998E-2</v>
      </c>
      <c r="P1975">
        <v>1.9300703040795363E-2</v>
      </c>
      <c r="Q1975">
        <v>1.289519887442248E-3</v>
      </c>
      <c r="R1975">
        <v>1.4402098539808338E-3</v>
      </c>
      <c r="S1975">
        <v>0.23286299114395673</v>
      </c>
      <c r="T1975">
        <v>3.9907826670592388</v>
      </c>
      <c r="U1975">
        <v>0</v>
      </c>
      <c r="V1975">
        <v>9.4523053561131835E-3</v>
      </c>
      <c r="W1975">
        <v>7.5080616579104364E-2</v>
      </c>
      <c r="X1975">
        <v>1.0789960757661227E-2</v>
      </c>
      <c r="Y1975">
        <v>4.0701430021706448E-3</v>
      </c>
    </row>
    <row r="1976" spans="1:25" x14ac:dyDescent="0.25">
      <c r="A1976" s="1090"/>
      <c r="B1976" s="1448">
        <v>1726</v>
      </c>
      <c r="C1976" s="1094">
        <v>1.0088677462972566</v>
      </c>
      <c r="D1976" s="1094">
        <v>1.0043322072095011</v>
      </c>
      <c r="E1976" s="1094">
        <v>0.99030130613087619</v>
      </c>
      <c r="F1976" s="1094">
        <v>1.0123242803758703</v>
      </c>
      <c r="G1976" s="1094">
        <v>1.0092568794890511</v>
      </c>
      <c r="H1976" s="1094">
        <v>1.0133234026950786</v>
      </c>
      <c r="I1976" s="1094">
        <v>1.0093013542181424</v>
      </c>
      <c r="K1976">
        <v>4.5364346218428979</v>
      </c>
      <c r="L1976">
        <v>0</v>
      </c>
      <c r="M1976">
        <v>1.5154349141956369E-3</v>
      </c>
      <c r="N1976">
        <v>0.12744494317737617</v>
      </c>
      <c r="O1976">
        <v>3.8523196606087544E-2</v>
      </c>
      <c r="P1976">
        <v>1.923272602180303E-2</v>
      </c>
      <c r="Q1976">
        <v>1.2791849903932037E-3</v>
      </c>
      <c r="R1976">
        <v>1.5093749803243692E-3</v>
      </c>
      <c r="S1976">
        <v>0.23407040706172072</v>
      </c>
      <c r="T1976">
        <v>4.0152599570119945</v>
      </c>
      <c r="U1976">
        <v>0</v>
      </c>
      <c r="V1976">
        <v>9.4523053561131887E-3</v>
      </c>
      <c r="W1976">
        <v>7.6414526169491057E-2</v>
      </c>
      <c r="X1976">
        <v>1.0497826452064003E-2</v>
      </c>
      <c r="Y1976">
        <v>4.265608929725071E-3</v>
      </c>
    </row>
    <row r="1977" spans="1:25" x14ac:dyDescent="0.25">
      <c r="A1977" s="1090"/>
      <c r="B1977" s="1448">
        <v>1727</v>
      </c>
      <c r="C1977" s="1094">
        <v>1.0210279694315811</v>
      </c>
      <c r="D1977" s="1094">
        <v>0.96914734070911768</v>
      </c>
      <c r="E1977" s="1094">
        <v>1.018436490665926</v>
      </c>
      <c r="F1977" s="1094">
        <v>0.95551312542616418</v>
      </c>
      <c r="G1977" s="1094">
        <v>1.0204573459358004</v>
      </c>
      <c r="H1977" s="1094">
        <v>1.025503005992856</v>
      </c>
      <c r="I1977" s="1094">
        <v>0.99063097212998408</v>
      </c>
      <c r="K1977">
        <v>4.289095957816949</v>
      </c>
      <c r="L1977">
        <v>0</v>
      </c>
      <c r="M1977">
        <v>1.3676971521248849E-3</v>
      </c>
      <c r="N1977">
        <v>0.12499325466465487</v>
      </c>
      <c r="O1977">
        <v>3.6261229162580788E-2</v>
      </c>
      <c r="P1977">
        <v>1.853754682085278E-2</v>
      </c>
      <c r="Q1977">
        <v>1.3133126710958695E-3</v>
      </c>
      <c r="R1977">
        <v>1.3619730146978146E-3</v>
      </c>
      <c r="S1977">
        <v>0.22164581156323526</v>
      </c>
      <c r="T1977">
        <v>3.7889039330766252</v>
      </c>
      <c r="U1977">
        <v>0</v>
      </c>
      <c r="V1977">
        <v>9.45230535611318E-3</v>
      </c>
      <c r="W1977">
        <v>7.3536960760293785E-2</v>
      </c>
      <c r="X1977">
        <v>1.060828815766878E-2</v>
      </c>
      <c r="Y1977">
        <v>3.8490397212567174E-3</v>
      </c>
    </row>
    <row r="1978" spans="1:25" x14ac:dyDescent="0.25">
      <c r="A1978" s="1090"/>
      <c r="B1978" s="1448">
        <v>1728</v>
      </c>
      <c r="C1978" s="1094">
        <v>0.99599348759867412</v>
      </c>
      <c r="D1978" s="1094">
        <v>1.0004791968885982</v>
      </c>
      <c r="E1978" s="1094">
        <v>0.96650421943881248</v>
      </c>
      <c r="F1978" s="1094">
        <v>1.0098282866952817</v>
      </c>
      <c r="G1978" s="1094">
        <v>0.98607192221174489</v>
      </c>
      <c r="H1978" s="1094">
        <v>1.0175740618421316</v>
      </c>
      <c r="I1978" s="1094">
        <v>0.99360918746423565</v>
      </c>
      <c r="K1978">
        <v>4.5272496135345239</v>
      </c>
      <c r="L1978">
        <v>0</v>
      </c>
      <c r="M1978">
        <v>1.6189139250835007E-3</v>
      </c>
      <c r="N1978">
        <v>0.12686474681006882</v>
      </c>
      <c r="O1978">
        <v>3.9149856667332422E-2</v>
      </c>
      <c r="P1978">
        <v>1.8846208424597177E-2</v>
      </c>
      <c r="Q1978">
        <v>1.2711550036002925E-3</v>
      </c>
      <c r="R1978">
        <v>1.6124513712844097E-3</v>
      </c>
      <c r="S1978">
        <v>0.23361305101656624</v>
      </c>
      <c r="T1978">
        <v>4.0062846631282341</v>
      </c>
      <c r="U1978">
        <v>0</v>
      </c>
      <c r="V1978">
        <v>9.4523053561131973E-3</v>
      </c>
      <c r="W1978">
        <v>7.7318406627104042E-2</v>
      </c>
      <c r="X1978">
        <v>9.8987723746147734E-3</v>
      </c>
      <c r="Y1978">
        <v>4.5569106800883189E-3</v>
      </c>
    </row>
    <row r="1979" spans="1:25" x14ac:dyDescent="0.25">
      <c r="A1979" s="1090"/>
      <c r="B1979" s="1448">
        <v>1729</v>
      </c>
      <c r="C1979" s="1094">
        <v>1.0312241403036149</v>
      </c>
      <c r="D1979" s="1094">
        <v>1.0220365402950808</v>
      </c>
      <c r="E1979" s="1094">
        <v>1.028710716923706</v>
      </c>
      <c r="F1979" s="1094">
        <v>0.97560052016879384</v>
      </c>
      <c r="G1979" s="1094">
        <v>0.96096174169669124</v>
      </c>
      <c r="H1979" s="1094">
        <v>0.99132289063593593</v>
      </c>
      <c r="I1979" s="1094">
        <v>1.0231027172779061</v>
      </c>
      <c r="K1979">
        <v>4.3630801078228689</v>
      </c>
      <c r="L1979">
        <v>0</v>
      </c>
      <c r="M1979">
        <v>1.2802316194074892E-3</v>
      </c>
      <c r="N1979">
        <v>0.12060318473610465</v>
      </c>
      <c r="O1979">
        <v>3.5820173896469604E-2</v>
      </c>
      <c r="P1979">
        <v>1.9054414924049298E-2</v>
      </c>
      <c r="Q1979">
        <v>1.2840719884114565E-3</v>
      </c>
      <c r="R1979">
        <v>1.2748024489621071E-3</v>
      </c>
      <c r="S1979">
        <v>0.22359187122472254</v>
      </c>
      <c r="T1979">
        <v>3.8681793538911475</v>
      </c>
      <c r="U1979">
        <v>0</v>
      </c>
      <c r="V1979">
        <v>9.4523053561131852E-3</v>
      </c>
      <c r="W1979">
        <v>7.0470897710232169E-2</v>
      </c>
      <c r="X1979">
        <v>1.1026574218736195E-2</v>
      </c>
      <c r="Y1979">
        <v>3.6026890473297439E-3</v>
      </c>
    </row>
    <row r="1980" spans="1:25" x14ac:dyDescent="0.25">
      <c r="A1980" s="1090"/>
      <c r="B1980" s="1448">
        <v>1730</v>
      </c>
      <c r="C1980" s="1094">
        <v>0.97608901988469643</v>
      </c>
      <c r="D1980" s="1094">
        <v>1.0275263413851672</v>
      </c>
      <c r="E1980" s="1094">
        <v>1.0123311713228398</v>
      </c>
      <c r="F1980" s="1094">
        <v>1.0019048188565944</v>
      </c>
      <c r="G1980" s="1094">
        <v>1.0079129880321993</v>
      </c>
      <c r="H1980" s="1094">
        <v>1.014813206090764</v>
      </c>
      <c r="I1980" s="1094">
        <v>0.98775193899719749</v>
      </c>
      <c r="K1980">
        <v>4.5006530811376306</v>
      </c>
      <c r="L1980">
        <v>0</v>
      </c>
      <c r="M1980">
        <v>1.4686780550658609E-3</v>
      </c>
      <c r="N1980">
        <v>0.1318383294499601</v>
      </c>
      <c r="O1980">
        <v>3.8895188961445233E-2</v>
      </c>
      <c r="P1980">
        <v>1.9355017938857428E-2</v>
      </c>
      <c r="Q1980">
        <v>1.3350722249355774E-3</v>
      </c>
      <c r="R1980">
        <v>1.4627529773433492E-3</v>
      </c>
      <c r="S1980">
        <v>0.23361055024820251</v>
      </c>
      <c r="T1980">
        <v>3.9730924720755816</v>
      </c>
      <c r="U1980">
        <v>0</v>
      </c>
      <c r="V1980">
        <v>9.4523053561132043E-3</v>
      </c>
      <c r="W1980">
        <v>7.7881499540390253E-2</v>
      </c>
      <c r="X1980">
        <v>1.1064718829982126E-2</v>
      </c>
      <c r="Y1980">
        <v>4.1338515898791629E-3</v>
      </c>
    </row>
    <row r="1981" spans="1:25" x14ac:dyDescent="0.25">
      <c r="A1981" s="1090"/>
      <c r="B1981" s="1448">
        <v>1731</v>
      </c>
      <c r="C1981" s="1094">
        <v>0.99826835149794491</v>
      </c>
      <c r="D1981" s="1094">
        <v>0.96870519916123732</v>
      </c>
      <c r="E1981" s="1094">
        <v>1.0063238774982748</v>
      </c>
      <c r="F1981" s="1094">
        <v>1.0097230376136084</v>
      </c>
      <c r="G1981" s="1094">
        <v>1.0141938188470312</v>
      </c>
      <c r="H1981" s="1094">
        <v>0.99547217669917354</v>
      </c>
      <c r="I1981" s="1094">
        <v>0.99587311065511042</v>
      </c>
      <c r="K1981">
        <v>4.5299807575480502</v>
      </c>
      <c r="L1981">
        <v>0</v>
      </c>
      <c r="M1981">
        <v>1.4720292203537905E-3</v>
      </c>
      <c r="N1981">
        <v>0.12980347743134596</v>
      </c>
      <c r="O1981">
        <v>3.9284604252527291E-2</v>
      </c>
      <c r="P1981">
        <v>1.9414700251896528E-2</v>
      </c>
      <c r="Q1981">
        <v>1.329733771160089E-3</v>
      </c>
      <c r="R1981">
        <v>1.4660219271613914E-3</v>
      </c>
      <c r="S1981">
        <v>0.2341953491652263</v>
      </c>
      <c r="T1981">
        <v>4.0043258536032491</v>
      </c>
      <c r="U1981">
        <v>0</v>
      </c>
      <c r="V1981">
        <v>9.4523053561131973E-3</v>
      </c>
      <c r="W1981">
        <v>7.6989436779787229E-2</v>
      </c>
      <c r="X1981">
        <v>1.104821433829538E-2</v>
      </c>
      <c r="Y1981">
        <v>4.1430898916374644E-3</v>
      </c>
    </row>
    <row r="1982" spans="1:25" x14ac:dyDescent="0.25">
      <c r="A1982" s="1090"/>
      <c r="B1982" s="1448">
        <v>1732</v>
      </c>
      <c r="C1982" s="1094">
        <v>0.98738512217929397</v>
      </c>
      <c r="D1982" s="1094">
        <v>0.99641542372608827</v>
      </c>
      <c r="E1982" s="1094">
        <v>1.0250161323106235</v>
      </c>
      <c r="F1982" s="1094">
        <v>1.005130285156445</v>
      </c>
      <c r="G1982" s="1094">
        <v>1.0249188012769241</v>
      </c>
      <c r="H1982" s="1094">
        <v>0.98044039787876824</v>
      </c>
      <c r="I1982" s="1094">
        <v>1.0086842759391175</v>
      </c>
      <c r="K1982">
        <v>4.5110272115954002</v>
      </c>
      <c r="L1982">
        <v>0</v>
      </c>
      <c r="M1982">
        <v>1.3869507466944756E-3</v>
      </c>
      <c r="N1982">
        <v>0.12924707054169188</v>
      </c>
      <c r="O1982">
        <v>3.8962280164080945E-2</v>
      </c>
      <c r="P1982">
        <v>1.9603304860714883E-2</v>
      </c>
      <c r="Q1982">
        <v>1.3505614872306019E-3</v>
      </c>
      <c r="R1982">
        <v>1.3811777247320404E-3</v>
      </c>
      <c r="S1982">
        <v>0.23586873833976468</v>
      </c>
      <c r="T1982">
        <v>3.9854020996325299</v>
      </c>
      <c r="U1982">
        <v>0</v>
      </c>
      <c r="V1982">
        <v>9.4523053561131869E-3</v>
      </c>
      <c r="W1982">
        <v>7.5707112051338066E-2</v>
      </c>
      <c r="X1982">
        <v>1.1536198485872555E-2</v>
      </c>
      <c r="Y1982">
        <v>3.9033136980236916E-3</v>
      </c>
    </row>
    <row r="1983" spans="1:25" x14ac:dyDescent="0.25">
      <c r="A1983" s="1090"/>
      <c r="B1983" s="1448">
        <v>1733</v>
      </c>
      <c r="C1983" s="1094">
        <v>1.0352150927160253</v>
      </c>
      <c r="D1983" s="1094">
        <v>0.99732022104198903</v>
      </c>
      <c r="E1983" s="1094">
        <v>1.0167233584348692</v>
      </c>
      <c r="F1983" s="1094">
        <v>0.98537322739946698</v>
      </c>
      <c r="G1983" s="1094">
        <v>1.0029603538361589</v>
      </c>
      <c r="H1983" s="1094">
        <v>1.0306327651542031</v>
      </c>
      <c r="I1983" s="1094">
        <v>1.0325337951169622</v>
      </c>
      <c r="K1983">
        <v>4.4196817594777187</v>
      </c>
      <c r="L1983">
        <v>0</v>
      </c>
      <c r="M1983">
        <v>1.3869624883607364E-3</v>
      </c>
      <c r="N1983">
        <v>0.12613152535274658</v>
      </c>
      <c r="O1983">
        <v>3.6472838873601948E-2</v>
      </c>
      <c r="P1983">
        <v>1.910257435179738E-2</v>
      </c>
      <c r="Q1983">
        <v>1.2786942083579903E-3</v>
      </c>
      <c r="R1983">
        <v>1.3813609127235216E-3</v>
      </c>
      <c r="S1983">
        <v>0.23091737197707368</v>
      </c>
      <c r="T1983">
        <v>3.9073721662347256</v>
      </c>
      <c r="U1983">
        <v>0</v>
      </c>
      <c r="V1983">
        <v>9.4523053561131887E-3</v>
      </c>
      <c r="W1983">
        <v>7.4291589698130184E-2</v>
      </c>
      <c r="X1983">
        <v>1.0764463599536409E-2</v>
      </c>
      <c r="Y1983">
        <v>3.9038314012733591E-3</v>
      </c>
    </row>
    <row r="1984" spans="1:25" x14ac:dyDescent="0.25">
      <c r="A1984" s="1090"/>
      <c r="B1984" s="1448">
        <v>1734</v>
      </c>
      <c r="C1984" s="1094">
        <v>1.0000387464567388</v>
      </c>
      <c r="D1984" s="1094">
        <v>1.0140039017658293</v>
      </c>
      <c r="E1984" s="1094">
        <v>0.99887242829708878</v>
      </c>
      <c r="F1984" s="1094">
        <v>0.99826689449844941</v>
      </c>
      <c r="G1984" s="1094">
        <v>0.97992877366953179</v>
      </c>
      <c r="H1984" s="1094">
        <v>0.99951254899804021</v>
      </c>
      <c r="I1984" s="1094">
        <v>1.0336247137453509</v>
      </c>
      <c r="K1984">
        <v>4.4799760944489773</v>
      </c>
      <c r="L1984">
        <v>0</v>
      </c>
      <c r="M1984">
        <v>1.4549540290855797E-3</v>
      </c>
      <c r="N1984">
        <v>0.12549298111094115</v>
      </c>
      <c r="O1984">
        <v>3.8118634418814523E-2</v>
      </c>
      <c r="P1984">
        <v>1.9118502118933612E-2</v>
      </c>
      <c r="Q1984">
        <v>1.2950516660297821E-3</v>
      </c>
      <c r="R1984">
        <v>1.4489728350222447E-3</v>
      </c>
      <c r="S1984">
        <v>0.23777472250523932</v>
      </c>
      <c r="T1984">
        <v>3.9591763697171389</v>
      </c>
      <c r="U1984">
        <v>0</v>
      </c>
      <c r="V1984">
        <v>9.4523053561132026E-3</v>
      </c>
      <c r="W1984">
        <v>7.4807926224996754E-2</v>
      </c>
      <c r="X1984">
        <v>1.0650674669213179E-2</v>
      </c>
      <c r="Y1984">
        <v>4.0949078556156244E-3</v>
      </c>
    </row>
    <row r="1985" spans="1:25" x14ac:dyDescent="0.25">
      <c r="A1985" s="1090"/>
      <c r="B1985" s="1448">
        <v>1735</v>
      </c>
      <c r="C1985" s="1094">
        <v>0.98027116414954396</v>
      </c>
      <c r="D1985" s="1094">
        <v>1.0231057919298807</v>
      </c>
      <c r="E1985" s="1094">
        <v>1.0173048816817531</v>
      </c>
      <c r="F1985" s="1094">
        <v>0.9828316477326301</v>
      </c>
      <c r="G1985" s="1094">
        <v>1.0118109146954124</v>
      </c>
      <c r="H1985" s="1094">
        <v>0.97724026653342666</v>
      </c>
      <c r="I1985" s="1094">
        <v>0.97690175160406867</v>
      </c>
      <c r="K1985">
        <v>4.4028165305830615</v>
      </c>
      <c r="L1985">
        <v>0</v>
      </c>
      <c r="M1985">
        <v>1.3694996636232119E-3</v>
      </c>
      <c r="N1985">
        <v>0.12472893347035406</v>
      </c>
      <c r="O1985">
        <v>3.8023537837682753E-2</v>
      </c>
      <c r="P1985">
        <v>1.903510693635178E-2</v>
      </c>
      <c r="Q1985">
        <v>1.3373060725003739E-3</v>
      </c>
      <c r="R1985">
        <v>1.3636513997220207E-3</v>
      </c>
      <c r="S1985">
        <v>0.22460475712099742</v>
      </c>
      <c r="T1985">
        <v>3.8972722723343041</v>
      </c>
      <c r="U1985">
        <v>0</v>
      </c>
      <c r="V1985">
        <v>9.4523053561132043E-3</v>
      </c>
      <c r="W1985">
        <v>7.3436923381969194E-2</v>
      </c>
      <c r="X1985">
        <v>1.1077453371212508E-2</v>
      </c>
      <c r="Y1985">
        <v>3.8537829654737587E-3</v>
      </c>
    </row>
    <row r="1986" spans="1:25" x14ac:dyDescent="0.25">
      <c r="A1986" s="1090"/>
      <c r="B1986" s="1448">
        <v>1736</v>
      </c>
      <c r="C1986" s="1094">
        <v>0.98294032906619355</v>
      </c>
      <c r="D1986" s="1094">
        <v>0.9722736433540029</v>
      </c>
      <c r="E1986" s="1094">
        <v>0.9820861014522374</v>
      </c>
      <c r="F1986" s="1094">
        <v>1.0185077688279804</v>
      </c>
      <c r="G1986" s="1094">
        <v>1.0079257601989962</v>
      </c>
      <c r="H1986" s="1094">
        <v>1.0251036774221729</v>
      </c>
      <c r="I1986" s="1094">
        <v>1.0070215895571122</v>
      </c>
      <c r="K1986">
        <v>4.5842544909886804</v>
      </c>
      <c r="L1986">
        <v>0</v>
      </c>
      <c r="M1986">
        <v>1.6316651247649451E-3</v>
      </c>
      <c r="N1986">
        <v>0.13392593076498296</v>
      </c>
      <c r="O1986">
        <v>4.0359401593103417E-2</v>
      </c>
      <c r="P1986">
        <v>1.9270034606604428E-2</v>
      </c>
      <c r="Q1986">
        <v>1.320660639954671E-3</v>
      </c>
      <c r="R1986">
        <v>1.6252543886550669E-3</v>
      </c>
      <c r="S1986">
        <v>0.24401684557419126</v>
      </c>
      <c r="T1986">
        <v>4.0401067852067296</v>
      </c>
      <c r="U1986">
        <v>0</v>
      </c>
      <c r="V1986">
        <v>9.4523053561131973E-3</v>
      </c>
      <c r="W1986">
        <v>8.075178396336008E-2</v>
      </c>
      <c r="X1986">
        <v>1.0464061035105174E-2</v>
      </c>
      <c r="Y1986">
        <v>4.5930929846419331E-3</v>
      </c>
    </row>
    <row r="1987" spans="1:25" x14ac:dyDescent="0.25">
      <c r="A1987" s="1090"/>
      <c r="B1987" s="1448">
        <v>1737</v>
      </c>
      <c r="C1987" s="1094">
        <v>0.98070562731927469</v>
      </c>
      <c r="D1987" s="1094">
        <v>0.95703197087878711</v>
      </c>
      <c r="E1987" s="1094">
        <v>1.0028416336226507</v>
      </c>
      <c r="F1987" s="1094">
        <v>0.99720412825902105</v>
      </c>
      <c r="G1987" s="1094">
        <v>0.99843532354357145</v>
      </c>
      <c r="H1987" s="1094">
        <v>1.0155080934602421</v>
      </c>
      <c r="I1987" s="1094">
        <v>0.99751088580583713</v>
      </c>
      <c r="K1987">
        <v>4.4915756434538894</v>
      </c>
      <c r="L1987">
        <v>0</v>
      </c>
      <c r="M1987">
        <v>1.5281868115889427E-3</v>
      </c>
      <c r="N1987">
        <v>0.13337677716491608</v>
      </c>
      <c r="O1987">
        <v>3.9709075879006059E-2</v>
      </c>
      <c r="P1987">
        <v>1.9161901528250723E-2</v>
      </c>
      <c r="Q1987">
        <v>1.3560855094144548E-3</v>
      </c>
      <c r="R1987">
        <v>1.5219969543766902E-3</v>
      </c>
      <c r="S1987">
        <v>0.23924643744880655</v>
      </c>
      <c r="T1987">
        <v>3.9548107208561629</v>
      </c>
      <c r="U1987">
        <v>0</v>
      </c>
      <c r="V1987">
        <v>9.4523053561131852E-3</v>
      </c>
      <c r="W1987">
        <v>7.9294670859360566E-2</v>
      </c>
      <c r="X1987">
        <v>1.0872579117032936E-2</v>
      </c>
      <c r="Y1987">
        <v>4.3012795920390635E-3</v>
      </c>
    </row>
    <row r="1988" spans="1:25" x14ac:dyDescent="0.25">
      <c r="A1988" s="1090"/>
      <c r="B1988" s="1448">
        <v>1738</v>
      </c>
      <c r="C1988" s="1094">
        <v>0.96281244791360909</v>
      </c>
      <c r="D1988" s="1094">
        <v>1.0247217706409835</v>
      </c>
      <c r="E1988" s="1094">
        <v>1.0450353205803278</v>
      </c>
      <c r="F1988" s="1094">
        <v>0.98975123932530473</v>
      </c>
      <c r="G1988" s="1094">
        <v>1.007582442497184</v>
      </c>
      <c r="H1988" s="1094">
        <v>0.99003296978412625</v>
      </c>
      <c r="I1988" s="1094">
        <v>0.98827866020850819</v>
      </c>
      <c r="K1988">
        <v>4.4510424734797338</v>
      </c>
      <c r="L1988">
        <v>0</v>
      </c>
      <c r="M1988">
        <v>1.3405809288937105E-3</v>
      </c>
      <c r="N1988">
        <v>0.1325367998165542</v>
      </c>
      <c r="O1988">
        <v>3.8766308703786626E-2</v>
      </c>
      <c r="P1988">
        <v>1.9586677589659037E-2</v>
      </c>
      <c r="Q1988">
        <v>1.3927740543400997E-3</v>
      </c>
      <c r="R1988">
        <v>1.3349694735134113E-3</v>
      </c>
      <c r="S1988">
        <v>0.2333023127988374</v>
      </c>
      <c r="T1988">
        <v>3.9236817118089009</v>
      </c>
      <c r="U1988">
        <v>0</v>
      </c>
      <c r="V1988">
        <v>9.4523053561131939E-3</v>
      </c>
      <c r="W1988">
        <v>7.6614962512620163E-2</v>
      </c>
      <c r="X1988">
        <v>1.1941506642053259E-2</v>
      </c>
      <c r="Y1988">
        <v>3.7727256522467525E-3</v>
      </c>
    </row>
    <row r="1989" spans="1:25" x14ac:dyDescent="0.25">
      <c r="A1989" s="1090"/>
      <c r="B1989" s="1448">
        <v>1739</v>
      </c>
      <c r="C1989" s="1094">
        <v>0.99861020840152082</v>
      </c>
      <c r="D1989" s="1094">
        <v>0.9881932960755937</v>
      </c>
      <c r="E1989" s="1094">
        <v>0.99364601012539799</v>
      </c>
      <c r="F1989" s="1094">
        <v>1.0187121233432352</v>
      </c>
      <c r="G1989" s="1094">
        <v>1.0023033099339387</v>
      </c>
      <c r="H1989" s="1094">
        <v>0.97947916715117833</v>
      </c>
      <c r="I1989" s="1094">
        <v>1.0016287998039257</v>
      </c>
      <c r="K1989">
        <v>4.5612409658275643</v>
      </c>
      <c r="L1989">
        <v>0</v>
      </c>
      <c r="M1989">
        <v>1.4883408706350869E-3</v>
      </c>
      <c r="N1989">
        <v>0.12639947269517865</v>
      </c>
      <c r="O1989">
        <v>3.9395578995019186E-2</v>
      </c>
      <c r="P1989">
        <v>1.9395802171473287E-2</v>
      </c>
      <c r="Q1989">
        <v>1.304478956964976E-3</v>
      </c>
      <c r="R1989">
        <v>1.4822220871275969E-3</v>
      </c>
      <c r="S1989">
        <v>0.23420567310285956</v>
      </c>
      <c r="T1989">
        <v>4.0404662901972719</v>
      </c>
      <c r="U1989">
        <v>0</v>
      </c>
      <c r="V1989">
        <v>9.4523053561131973E-3</v>
      </c>
      <c r="W1989">
        <v>7.5615607539416888E-2</v>
      </c>
      <c r="X1989">
        <v>1.0823002816246867E-2</v>
      </c>
      <c r="Y1989">
        <v>4.1888727805256647E-3</v>
      </c>
    </row>
    <row r="1990" spans="1:25" x14ac:dyDescent="0.25">
      <c r="A1990" s="1090"/>
      <c r="B1990" s="1448">
        <v>1740</v>
      </c>
      <c r="C1990" s="1094">
        <v>1.0141240530908344</v>
      </c>
      <c r="D1990" s="1094">
        <v>0.97498936003092529</v>
      </c>
      <c r="E1990" s="1094">
        <v>1.0268573448982963</v>
      </c>
      <c r="F1990" s="1094">
        <v>1.0172865527980393</v>
      </c>
      <c r="G1990" s="1094">
        <v>1.014895133185185</v>
      </c>
      <c r="H1990" s="1094">
        <v>0.96752430298787961</v>
      </c>
      <c r="I1990" s="1094">
        <v>1.009976504970411</v>
      </c>
      <c r="K1990">
        <v>4.5519300006816188</v>
      </c>
      <c r="L1990">
        <v>0</v>
      </c>
      <c r="M1990">
        <v>1.3551351270740292E-3</v>
      </c>
      <c r="N1990">
        <v>0.1269710346752044</v>
      </c>
      <c r="O1990">
        <v>3.8716208636272675E-2</v>
      </c>
      <c r="P1990">
        <v>1.983657370338239E-2</v>
      </c>
      <c r="Q1990">
        <v>1.3284958467268254E-3</v>
      </c>
      <c r="R1990">
        <v>1.3494872618670165E-3</v>
      </c>
      <c r="S1990">
        <v>0.23234631190576291</v>
      </c>
      <c r="T1990">
        <v>4.0335320140517599</v>
      </c>
      <c r="U1990">
        <v>0</v>
      </c>
      <c r="V1990">
        <v>9.4523053561131887E-3</v>
      </c>
      <c r="W1990">
        <v>7.4283024678635845E-2</v>
      </c>
      <c r="X1990">
        <v>1.1655925662452086E-2</v>
      </c>
      <c r="Y1990">
        <v>3.8137540305147491E-3</v>
      </c>
    </row>
    <row r="1991" spans="1:25" x14ac:dyDescent="0.25">
      <c r="A1991" s="1090"/>
      <c r="B1991" s="1448">
        <v>1741</v>
      </c>
      <c r="C1991" s="1094">
        <v>1.0063597512353095</v>
      </c>
      <c r="D1991" s="1094">
        <v>1.0206240199997259</v>
      </c>
      <c r="E1991" s="1094">
        <v>1.0381003453567774</v>
      </c>
      <c r="F1991" s="1094">
        <v>0.98645188743470102</v>
      </c>
      <c r="G1991" s="1094">
        <v>1.0281107580160616</v>
      </c>
      <c r="H1991" s="1094">
        <v>1.00525806445112</v>
      </c>
      <c r="I1991" s="1094">
        <v>0.98649845394760893</v>
      </c>
      <c r="K1991">
        <v>4.4189444374679958</v>
      </c>
      <c r="L1991">
        <v>0</v>
      </c>
      <c r="M1991">
        <v>1.3193004730403469E-3</v>
      </c>
      <c r="N1991">
        <v>0.1277945398700171</v>
      </c>
      <c r="O1991">
        <v>3.7071020454018853E-2</v>
      </c>
      <c r="P1991">
        <v>1.938433313049685E-2</v>
      </c>
      <c r="Q1991">
        <v>1.3269392641500643E-3</v>
      </c>
      <c r="R1991">
        <v>1.3138436180432308E-3</v>
      </c>
      <c r="S1991">
        <v>0.22367800360375389</v>
      </c>
      <c r="T1991">
        <v>3.9108572410492073</v>
      </c>
      <c r="U1991">
        <v>0</v>
      </c>
      <c r="V1991">
        <v>9.4523053561131991E-3</v>
      </c>
      <c r="W1991">
        <v>7.4211072556131852E-2</v>
      </c>
      <c r="X1991">
        <v>1.1461416667293854E-2</v>
      </c>
      <c r="Y1991">
        <v>3.7130223718052566E-3</v>
      </c>
    </row>
    <row r="1992" spans="1:25" x14ac:dyDescent="0.25">
      <c r="A1992" s="1090"/>
      <c r="B1992" s="1448">
        <v>1742</v>
      </c>
      <c r="C1992" s="1094">
        <v>1.0347241360127968</v>
      </c>
      <c r="D1992" s="1094">
        <v>1.011171753830076</v>
      </c>
      <c r="E1992" s="1094">
        <v>1.0037830180967902</v>
      </c>
      <c r="F1992" s="1094">
        <v>0.98917548448914538</v>
      </c>
      <c r="G1992" s="1094">
        <v>0.98976587311669451</v>
      </c>
      <c r="H1992" s="1094">
        <v>0.97353168051787708</v>
      </c>
      <c r="I1992" s="1094">
        <v>0.99825326767845191</v>
      </c>
      <c r="K1992">
        <v>4.4099403837267914</v>
      </c>
      <c r="L1992">
        <v>0</v>
      </c>
      <c r="M1992">
        <v>1.3447457844864169E-3</v>
      </c>
      <c r="N1992">
        <v>0.11766951962983195</v>
      </c>
      <c r="O1992">
        <v>3.6514095837927377E-2</v>
      </c>
      <c r="P1992">
        <v>1.893701493766891E-2</v>
      </c>
      <c r="Q1992">
        <v>1.2583209263419871E-3</v>
      </c>
      <c r="R1992">
        <v>1.3390181684058626E-3</v>
      </c>
      <c r="S1992">
        <v>0.21888659941228436</v>
      </c>
      <c r="T1992">
        <v>3.9229345284713379</v>
      </c>
      <c r="U1992">
        <v>0</v>
      </c>
      <c r="V1992">
        <v>9.4523053561131869E-3</v>
      </c>
      <c r="W1992">
        <v>6.9912053555683237E-2</v>
      </c>
      <c r="X1992">
        <v>1.0597505642569586E-2</v>
      </c>
      <c r="Y1992">
        <v>3.7841675731160518E-3</v>
      </c>
    </row>
    <row r="1993" spans="1:25" x14ac:dyDescent="0.25">
      <c r="A1993" s="1090"/>
      <c r="B1993" s="1448">
        <v>1743</v>
      </c>
      <c r="C1993" s="1094">
        <v>1.0107576029297698</v>
      </c>
      <c r="D1993" s="1094">
        <v>1.0188129230249254</v>
      </c>
      <c r="E1993" s="1094">
        <v>1.00330232079562</v>
      </c>
      <c r="F1993" s="1094">
        <v>0.99730296114865669</v>
      </c>
      <c r="G1993" s="1094">
        <v>0.99459815665102136</v>
      </c>
      <c r="H1993" s="1094">
        <v>0.99034201696030733</v>
      </c>
      <c r="I1993" s="1094">
        <v>0.98929224372874547</v>
      </c>
      <c r="K1993">
        <v>4.4576045507204638</v>
      </c>
      <c r="L1993">
        <v>0</v>
      </c>
      <c r="M1993">
        <v>1.4090423171534288E-3</v>
      </c>
      <c r="N1993">
        <v>0.12313337356290049</v>
      </c>
      <c r="O1993">
        <v>3.7576943578408871E-2</v>
      </c>
      <c r="P1993">
        <v>1.91007402637468E-2</v>
      </c>
      <c r="Q1993">
        <v>1.2837565161865877E-3</v>
      </c>
      <c r="R1993">
        <v>1.4031905971188673E-3</v>
      </c>
      <c r="S1993">
        <v>0.22402209969240816</v>
      </c>
      <c r="T1993">
        <v>3.9551852123718048</v>
      </c>
      <c r="U1993">
        <v>0</v>
      </c>
      <c r="V1993">
        <v>9.4523053561131939E-3</v>
      </c>
      <c r="W1993">
        <v>7.3182057683313192E-2</v>
      </c>
      <c r="X1993">
        <v>1.0708389659619469E-2</v>
      </c>
      <c r="Y1993">
        <v>3.9655237559921667E-3</v>
      </c>
    </row>
    <row r="1994" spans="1:25" x14ac:dyDescent="0.25">
      <c r="A1994" s="1090"/>
      <c r="B1994" s="1448">
        <v>1744</v>
      </c>
      <c r="C1994" s="1094">
        <v>0.97518830251619837</v>
      </c>
      <c r="D1994" s="1094">
        <v>1.0188666500148065</v>
      </c>
      <c r="E1994" s="1094">
        <v>1.0106608876715151</v>
      </c>
      <c r="F1994" s="1094">
        <v>0.98753645384770594</v>
      </c>
      <c r="G1994" s="1094">
        <v>1.0014384006624759</v>
      </c>
      <c r="H1994" s="1094">
        <v>1.0067410787808191</v>
      </c>
      <c r="I1994" s="1094">
        <v>1.0353280019145445</v>
      </c>
      <c r="K1994">
        <v>4.4480092249549497</v>
      </c>
      <c r="L1994">
        <v>0</v>
      </c>
      <c r="M1994">
        <v>1.4474792463233239E-3</v>
      </c>
      <c r="N1994">
        <v>0.12928261890568685</v>
      </c>
      <c r="O1994">
        <v>3.8514474268577348E-2</v>
      </c>
      <c r="P1994">
        <v>1.9111799536954469E-2</v>
      </c>
      <c r="Q1994">
        <v>1.3389328343367168E-3</v>
      </c>
      <c r="R1994">
        <v>1.4415075794576052E-3</v>
      </c>
      <c r="S1994">
        <v>0.24267664372538231</v>
      </c>
      <c r="T1994">
        <v>3.9161766217340599</v>
      </c>
      <c r="U1994">
        <v>0</v>
      </c>
      <c r="V1994">
        <v>9.4523053561132043E-3</v>
      </c>
      <c r="W1994">
        <v>7.6457347384411567E-2</v>
      </c>
      <c r="X1994">
        <v>1.0930642402843272E-2</v>
      </c>
      <c r="Y1994">
        <v>4.0738104734446539E-3</v>
      </c>
    </row>
    <row r="1995" spans="1:25" x14ac:dyDescent="0.25">
      <c r="A1995" s="1090"/>
      <c r="B1995" s="1448">
        <v>1745</v>
      </c>
      <c r="C1995" s="1094">
        <v>1.0077409000790125</v>
      </c>
      <c r="D1995" s="1094">
        <v>1.0145984704028386</v>
      </c>
      <c r="E1995" s="1094">
        <v>0.96894804732304995</v>
      </c>
      <c r="F1995" s="1094">
        <v>1.0202320933363378</v>
      </c>
      <c r="G1995" s="1094">
        <v>0.98078090754977643</v>
      </c>
      <c r="H1995" s="1094">
        <v>1.0245170088105344</v>
      </c>
      <c r="I1995" s="1094">
        <v>1.0247305470164521</v>
      </c>
      <c r="K1995">
        <v>4.5743847978312981</v>
      </c>
      <c r="L1995">
        <v>0</v>
      </c>
      <c r="M1995">
        <v>1.6101257918480602E-3</v>
      </c>
      <c r="N1995">
        <v>0.12710382161379033</v>
      </c>
      <c r="O1995">
        <v>3.8856807665090663E-2</v>
      </c>
      <c r="P1995">
        <v>1.9089949422440401E-2</v>
      </c>
      <c r="Q1995">
        <v>1.2519881131836188E-3</v>
      </c>
      <c r="R1995">
        <v>1.6038067153075911E-3</v>
      </c>
      <c r="S1995">
        <v>0.23932739015207882</v>
      </c>
      <c r="T1995">
        <v>4.0474631737318836</v>
      </c>
      <c r="U1995">
        <v>0</v>
      </c>
      <c r="V1995">
        <v>9.4523053561132026E-3</v>
      </c>
      <c r="W1995">
        <v>7.7333429080051072E-2</v>
      </c>
      <c r="X1995">
        <v>9.9797715508899553E-3</v>
      </c>
      <c r="Y1995">
        <v>4.5324802223095685E-3</v>
      </c>
    </row>
    <row r="1996" spans="1:25" x14ac:dyDescent="0.25">
      <c r="A1996" s="1090"/>
      <c r="B1996" s="1448">
        <v>1746</v>
      </c>
      <c r="C1996" s="1094">
        <v>0.99284474328661365</v>
      </c>
      <c r="D1996" s="1094">
        <v>0.98766640410400297</v>
      </c>
      <c r="E1996" s="1094">
        <v>0.9699603389858823</v>
      </c>
      <c r="F1996" s="1094">
        <v>0.98996737049928174</v>
      </c>
      <c r="G1996" s="1094">
        <v>0.9980011299841347</v>
      </c>
      <c r="H1996" s="1094">
        <v>0.95730084957076278</v>
      </c>
      <c r="I1996" s="1094">
        <v>0.98928312641035543</v>
      </c>
      <c r="K1996">
        <v>4.4263634693799814</v>
      </c>
      <c r="L1996">
        <v>0</v>
      </c>
      <c r="M1996">
        <v>1.4948034763974363E-3</v>
      </c>
      <c r="N1996">
        <v>0.11830757025900135</v>
      </c>
      <c r="O1996">
        <v>3.8676961227308869E-2</v>
      </c>
      <c r="P1996">
        <v>1.8514048016775732E-2</v>
      </c>
      <c r="Q1996">
        <v>1.2856581743336548E-3</v>
      </c>
      <c r="R1996">
        <v>1.4883339370833915E-3</v>
      </c>
      <c r="S1996">
        <v>0.22659438589662434</v>
      </c>
      <c r="T1996">
        <v>3.927358282281999</v>
      </c>
      <c r="U1996">
        <v>0</v>
      </c>
      <c r="V1996">
        <v>9.4523053561131904E-3</v>
      </c>
      <c r="W1996">
        <v>7.1931283788745151E-2</v>
      </c>
      <c r="X1996">
        <v>1.0043298583272348E-2</v>
      </c>
      <c r="Y1996">
        <v>4.2061453351184093E-3</v>
      </c>
    </row>
    <row r="1997" spans="1:25" x14ac:dyDescent="0.25">
      <c r="A1997" s="1090"/>
      <c r="B1997" s="1448">
        <v>1747</v>
      </c>
      <c r="C1997" s="1094">
        <v>0.98001844233704949</v>
      </c>
      <c r="D1997" s="1094">
        <v>1.0172636907955523</v>
      </c>
      <c r="E1997" s="1094">
        <v>0.98625057470228927</v>
      </c>
      <c r="F1997" s="1094">
        <v>0.99021663810195693</v>
      </c>
      <c r="G1997" s="1094">
        <v>0.98923149941547339</v>
      </c>
      <c r="H1997" s="1094">
        <v>0.9636697036937476</v>
      </c>
      <c r="I1997" s="1094">
        <v>1.0027288816076685</v>
      </c>
      <c r="K1997">
        <v>4.4352350469413553</v>
      </c>
      <c r="L1997">
        <v>0</v>
      </c>
      <c r="M1997">
        <v>1.456273031114619E-3</v>
      </c>
      <c r="N1997">
        <v>0.12097078369470236</v>
      </c>
      <c r="O1997">
        <v>3.8621023612431832E-2</v>
      </c>
      <c r="P1997">
        <v>1.8766818587135692E-2</v>
      </c>
      <c r="Q1997">
        <v>1.305545105457998E-3</v>
      </c>
      <c r="R1997">
        <v>1.4500134767343608E-3</v>
      </c>
      <c r="S1997">
        <v>0.23113293862700629</v>
      </c>
      <c r="T1997">
        <v>3.9277263295681144</v>
      </c>
      <c r="U1997">
        <v>0</v>
      </c>
      <c r="V1997">
        <v>9.4523053561131939E-3</v>
      </c>
      <c r="W1997">
        <v>7.2733138195549843E-2</v>
      </c>
      <c r="X1997">
        <v>1.0434574960678449E-2</v>
      </c>
      <c r="Y1997">
        <v>4.0978487885433021E-3</v>
      </c>
    </row>
    <row r="1998" spans="1:25" x14ac:dyDescent="0.25">
      <c r="A1998" s="1090"/>
      <c r="B1998" s="1448">
        <v>1748</v>
      </c>
      <c r="C1998" s="1094">
        <v>1.0205381088554513</v>
      </c>
      <c r="D1998" s="1094">
        <v>1.0084984595840478</v>
      </c>
      <c r="E1998" s="1094">
        <v>1.0020729265114334</v>
      </c>
      <c r="F1998" s="1094">
        <v>1.0286693163612186</v>
      </c>
      <c r="G1998" s="1094">
        <v>0.99364643470338387</v>
      </c>
      <c r="H1998" s="1094">
        <v>1.0118400169183233</v>
      </c>
      <c r="I1998" s="1094">
        <v>1.004556786876402</v>
      </c>
      <c r="K1998">
        <v>4.6017098008023929</v>
      </c>
      <c r="L1998">
        <v>0</v>
      </c>
      <c r="M1998">
        <v>1.4803187078729053E-3</v>
      </c>
      <c r="N1998">
        <v>0.12891920207088309</v>
      </c>
      <c r="O1998">
        <v>3.8552378532602669E-2</v>
      </c>
      <c r="P1998">
        <v>1.9688580081338506E-2</v>
      </c>
      <c r="Q1998">
        <v>1.2752969758004693E-3</v>
      </c>
      <c r="R1998">
        <v>1.474484339095229E-3</v>
      </c>
      <c r="S1998">
        <v>0.23243573639802786</v>
      </c>
      <c r="T1998">
        <v>4.0796285506834948</v>
      </c>
      <c r="U1998">
        <v>0</v>
      </c>
      <c r="V1998">
        <v>9.4523053561131921E-3</v>
      </c>
      <c r="W1998">
        <v>7.6684334343607399E-2</v>
      </c>
      <c r="X1998">
        <v>1.091224541546662E-2</v>
      </c>
      <c r="Y1998">
        <v>4.1670053138370767E-3</v>
      </c>
    </row>
    <row r="1999" spans="1:25" x14ac:dyDescent="0.25">
      <c r="A1999" s="1090"/>
      <c r="B1999" s="1448">
        <v>1749</v>
      </c>
      <c r="C1999" s="1094">
        <v>0.96556163959015473</v>
      </c>
      <c r="D1999" s="1094">
        <v>1.0041655539852596</v>
      </c>
      <c r="E1999" s="1094">
        <v>0.99359020661358777</v>
      </c>
      <c r="F1999" s="1094">
        <v>0.98362696486564771</v>
      </c>
      <c r="G1999" s="1094">
        <v>1.0115786201378918</v>
      </c>
      <c r="H1999" s="1094">
        <v>1.0264615372857249</v>
      </c>
      <c r="I1999" s="1094">
        <v>0.98884210052196531</v>
      </c>
      <c r="K1999">
        <v>4.4308491970837123</v>
      </c>
      <c r="L1999">
        <v>0</v>
      </c>
      <c r="M1999">
        <v>1.5480066738578081E-3</v>
      </c>
      <c r="N1999">
        <v>0.13145137498085691</v>
      </c>
      <c r="O1999">
        <v>3.9089615201152048E-2</v>
      </c>
      <c r="P1999">
        <v>1.8773148204444815E-2</v>
      </c>
      <c r="Q1999">
        <v>1.3404383797959768E-3</v>
      </c>
      <c r="R1999">
        <v>1.5417181790639048E-3</v>
      </c>
      <c r="S1999">
        <v>0.23600147312638173</v>
      </c>
      <c r="T1999">
        <v>3.9013119002008749</v>
      </c>
      <c r="U1999">
        <v>0</v>
      </c>
      <c r="V1999">
        <v>9.4523053561131973E-3</v>
      </c>
      <c r="W1999">
        <v>7.8640771947589019E-2</v>
      </c>
      <c r="X1999">
        <v>1.0437444902645058E-2</v>
      </c>
      <c r="Y1999">
        <v>4.3570132786494098E-3</v>
      </c>
    </row>
    <row r="2000" spans="1:25" x14ac:dyDescent="0.25">
      <c r="A2000" s="1090"/>
      <c r="B2000" s="1448">
        <v>1750</v>
      </c>
      <c r="C2000" s="1094">
        <v>1.0310696757296827</v>
      </c>
      <c r="D2000" s="1094">
        <v>1.003045511566047</v>
      </c>
      <c r="E2000" s="1094">
        <v>0.97353888107158781</v>
      </c>
      <c r="F2000" s="1094">
        <v>0.99621161964895366</v>
      </c>
      <c r="G2000" s="1094">
        <v>0.99111345446933063</v>
      </c>
      <c r="H2000" s="1094">
        <v>0.97660976310127334</v>
      </c>
      <c r="I2000" s="1094">
        <v>1.0256990432225994</v>
      </c>
      <c r="K2000">
        <v>4.4475339256169804</v>
      </c>
      <c r="L2000">
        <v>0</v>
      </c>
      <c r="M2000">
        <v>1.4575618793693916E-3</v>
      </c>
      <c r="N2000">
        <v>0.11660544455913804</v>
      </c>
      <c r="O2000">
        <v>3.7223485881578172E-2</v>
      </c>
      <c r="P2000">
        <v>1.8678943889667489E-2</v>
      </c>
      <c r="Q2000">
        <v>1.234215156540801E-3</v>
      </c>
      <c r="R2000">
        <v>1.4514168466827715E-3</v>
      </c>
      <c r="S2000">
        <v>0.2275650100941177</v>
      </c>
      <c r="T2000">
        <v>3.95199258671957</v>
      </c>
      <c r="U2000">
        <v>0</v>
      </c>
      <c r="V2000">
        <v>9.4523053561132043E-3</v>
      </c>
      <c r="W2000">
        <v>7.0721799085606968E-2</v>
      </c>
      <c r="X2000">
        <v>9.9644650881703691E-3</v>
      </c>
      <c r="Y2000">
        <v>4.1018148191597379E-3</v>
      </c>
    </row>
    <row r="2001" spans="1:25" x14ac:dyDescent="0.25">
      <c r="A2001" s="1090"/>
      <c r="B2001" s="1448">
        <v>1751</v>
      </c>
      <c r="C2001" s="1094">
        <v>1.0233654711962286</v>
      </c>
      <c r="D2001" s="1094">
        <v>0.98462901538213721</v>
      </c>
      <c r="E2001" s="1094">
        <v>0.98708106790271355</v>
      </c>
      <c r="F2001" s="1094">
        <v>0.95880637410815173</v>
      </c>
      <c r="G2001" s="1094">
        <v>0.9963492736255487</v>
      </c>
      <c r="H2001" s="1094">
        <v>0.99439828689337795</v>
      </c>
      <c r="I2001" s="1094">
        <v>1.006383110039526</v>
      </c>
      <c r="K2001">
        <v>4.2918744062102405</v>
      </c>
      <c r="L2001">
        <v>0</v>
      </c>
      <c r="M2001">
        <v>1.4094330822059875E-3</v>
      </c>
      <c r="N2001">
        <v>0.11736822897056232</v>
      </c>
      <c r="O2001">
        <v>3.6276728610096065E-2</v>
      </c>
      <c r="P2001">
        <v>1.8175179919731301E-2</v>
      </c>
      <c r="Q2001">
        <v>1.2675686387667215E-3</v>
      </c>
      <c r="R2001">
        <v>1.4033705607655691E-3</v>
      </c>
      <c r="S2001">
        <v>0.22181631040848165</v>
      </c>
      <c r="T2001">
        <v>3.8031059806789389</v>
      </c>
      <c r="U2001">
        <v>0</v>
      </c>
      <c r="V2001">
        <v>9.4523053561132043E-3</v>
      </c>
      <c r="W2001">
        <v>7.0527159174422871E-2</v>
      </c>
      <c r="X2001">
        <v>9.9249746275667308E-3</v>
      </c>
      <c r="Y2001">
        <v>3.9660323469973193E-3</v>
      </c>
    </row>
    <row r="2002" spans="1:25" x14ac:dyDescent="0.25">
      <c r="A2002" s="1090"/>
      <c r="B2002" s="1448">
        <v>1752</v>
      </c>
      <c r="C2002" s="1094">
        <v>0.99147389692400301</v>
      </c>
      <c r="D2002" s="1094">
        <v>0.98781568803463005</v>
      </c>
      <c r="E2002" s="1094">
        <v>0.97599031308650275</v>
      </c>
      <c r="F2002" s="1094">
        <v>1.0064972743566987</v>
      </c>
      <c r="G2002" s="1094">
        <v>1.013778265993464</v>
      </c>
      <c r="H2002" s="1094">
        <v>1.010610816087234</v>
      </c>
      <c r="I2002" s="1094">
        <v>1.0009867090502329</v>
      </c>
      <c r="K2002">
        <v>4.5178730827510742</v>
      </c>
      <c r="L2002">
        <v>0</v>
      </c>
      <c r="M2002">
        <v>1.5862223283587005E-3</v>
      </c>
      <c r="N2002">
        <v>0.12784867522579982</v>
      </c>
      <c r="O2002">
        <v>3.9332714734280926E-2</v>
      </c>
      <c r="P2002">
        <v>1.8934619485116218E-2</v>
      </c>
      <c r="Q2002">
        <v>1.2941443866357257E-3</v>
      </c>
      <c r="R2002">
        <v>1.579825633292201E-3</v>
      </c>
      <c r="S2002">
        <v>0.23626566538214105</v>
      </c>
      <c r="T2002">
        <v>3.9927008814376697</v>
      </c>
      <c r="U2002">
        <v>0</v>
      </c>
      <c r="V2002">
        <v>9.4523053561131869E-3</v>
      </c>
      <c r="W2002">
        <v>7.7410285958181752E-2</v>
      </c>
      <c r="X2002">
        <v>1.0175479626537353E-2</v>
      </c>
      <c r="Y2002">
        <v>4.4647078536650753E-3</v>
      </c>
    </row>
    <row r="2003" spans="1:25" x14ac:dyDescent="0.25">
      <c r="A2003" s="1090"/>
      <c r="B2003" s="1448">
        <v>1753</v>
      </c>
      <c r="C2003" s="1094">
        <v>1.001296589570783</v>
      </c>
      <c r="D2003" s="1094">
        <v>0.98210296319130108</v>
      </c>
      <c r="E2003" s="1094">
        <v>0.96645983869058127</v>
      </c>
      <c r="F2003" s="1094">
        <v>0.98860952826942183</v>
      </c>
      <c r="G2003" s="1094">
        <v>0.97965429208216226</v>
      </c>
      <c r="H2003" s="1094">
        <v>1.0397246868286429</v>
      </c>
      <c r="I2003" s="1094">
        <v>1.0174491738078277</v>
      </c>
      <c r="K2003">
        <v>4.4462055168551311</v>
      </c>
      <c r="L2003">
        <v>0</v>
      </c>
      <c r="M2003">
        <v>1.6231018110304588E-3</v>
      </c>
      <c r="N2003">
        <v>0.12717635704401456</v>
      </c>
      <c r="O2003">
        <v>3.840829435926825E-2</v>
      </c>
      <c r="P2003">
        <v>1.8489868696249672E-2</v>
      </c>
      <c r="Q2003">
        <v>1.2737840710673246E-3</v>
      </c>
      <c r="R2003">
        <v>1.6166250372990417E-3</v>
      </c>
      <c r="S2003">
        <v>0.23758799227664712</v>
      </c>
      <c r="T2003">
        <v>3.9221053300607864</v>
      </c>
      <c r="U2003">
        <v>0</v>
      </c>
      <c r="V2003">
        <v>9.4523053561131904E-3</v>
      </c>
      <c r="W2003">
        <v>7.7510697837467904E-2</v>
      </c>
      <c r="X2003">
        <v>9.6386581483552149E-3</v>
      </c>
      <c r="Y2003">
        <v>4.5687057788899952E-3</v>
      </c>
    </row>
    <row r="2004" spans="1:25" x14ac:dyDescent="0.25">
      <c r="A2004" s="1090"/>
      <c r="B2004" s="1448">
        <v>1754</v>
      </c>
      <c r="C2004" s="1094">
        <v>1.0258464196533565</v>
      </c>
      <c r="D2004" s="1094">
        <v>0.99342401494478738</v>
      </c>
      <c r="E2004" s="1094">
        <v>1.0115068830560188</v>
      </c>
      <c r="F2004" s="1094">
        <v>1.0257142253126812</v>
      </c>
      <c r="G2004" s="1094">
        <v>1.0390967028793565</v>
      </c>
      <c r="H2004" s="1094">
        <v>1.0314564475718533</v>
      </c>
      <c r="I2004" s="1094">
        <v>0.99190279993460317</v>
      </c>
      <c r="K2004">
        <v>4.5924279403522981</v>
      </c>
      <c r="L2004">
        <v>0</v>
      </c>
      <c r="M2004">
        <v>1.4763036817093133E-3</v>
      </c>
      <c r="N2004">
        <v>0.13222069217656773</v>
      </c>
      <c r="O2004">
        <v>3.8408777030586073E-2</v>
      </c>
      <c r="P2004">
        <v>1.9761758903429814E-2</v>
      </c>
      <c r="Q2004">
        <v>1.2866803756275825E-3</v>
      </c>
      <c r="R2004">
        <v>1.4705794167845711E-3</v>
      </c>
      <c r="S2004">
        <v>0.23038072199731943</v>
      </c>
      <c r="T2004">
        <v>4.0675416067718055</v>
      </c>
      <c r="U2004">
        <v>0</v>
      </c>
      <c r="V2004">
        <v>9.4523053561131869E-3</v>
      </c>
      <c r="W2004">
        <v>7.81505512982031E-2</v>
      </c>
      <c r="X2004">
        <v>1.1074601002309666E-2</v>
      </c>
      <c r="Y2004">
        <v>4.1559697052604427E-3</v>
      </c>
    </row>
    <row r="2005" spans="1:25" x14ac:dyDescent="0.25">
      <c r="A2005" s="1090"/>
      <c r="B2005" s="1448">
        <v>1755</v>
      </c>
      <c r="C2005" s="1094">
        <v>1.0095085735822364</v>
      </c>
      <c r="D2005" s="1094">
        <v>1.0185871270075169</v>
      </c>
      <c r="E2005" s="1094">
        <v>0.99887041940064591</v>
      </c>
      <c r="F2005" s="1094">
        <v>0.96249667935647065</v>
      </c>
      <c r="G2005" s="1094">
        <v>0.96566085695823189</v>
      </c>
      <c r="H2005" s="1094">
        <v>1.004392032223467</v>
      </c>
      <c r="I2005" s="1094">
        <v>0.97811044581676787</v>
      </c>
      <c r="K2005">
        <v>4.306321627807101</v>
      </c>
      <c r="L2005">
        <v>0</v>
      </c>
      <c r="M2005">
        <v>1.3941464365169179E-3</v>
      </c>
      <c r="N2005">
        <v>0.12023160912426153</v>
      </c>
      <c r="O2005">
        <v>3.6342387385058475E-2</v>
      </c>
      <c r="P2005">
        <v>1.8381636247025747E-2</v>
      </c>
      <c r="Q2005">
        <v>1.2805889179755756E-3</v>
      </c>
      <c r="R2005">
        <v>1.3882320034252738E-3</v>
      </c>
      <c r="S2005">
        <v>0.21752481289711365</v>
      </c>
      <c r="T2005">
        <v>3.8173099833169974</v>
      </c>
      <c r="U2005">
        <v>0</v>
      </c>
      <c r="V2005">
        <v>9.4523053561131973E-3</v>
      </c>
      <c r="W2005">
        <v>7.1671654359505718E-2</v>
      </c>
      <c r="X2005">
        <v>1.0209315007958507E-2</v>
      </c>
      <c r="Y2005">
        <v>3.9232496281794678E-3</v>
      </c>
    </row>
    <row r="2006" spans="1:25" x14ac:dyDescent="0.25">
      <c r="A2006" s="1090"/>
      <c r="B2006" s="1448">
        <v>1756</v>
      </c>
      <c r="C2006" s="1094">
        <v>1.0134495708165063</v>
      </c>
      <c r="D2006" s="1094">
        <v>0.96922048505945713</v>
      </c>
      <c r="E2006" s="1094">
        <v>1.0133720499675389</v>
      </c>
      <c r="F2006" s="1094">
        <v>1.015244928608912</v>
      </c>
      <c r="G2006" s="1094">
        <v>1.0288095540265063</v>
      </c>
      <c r="H2006" s="1094">
        <v>0.96140849505389836</v>
      </c>
      <c r="I2006" s="1094">
        <v>1.0085978064703298</v>
      </c>
      <c r="K2006">
        <v>4.5407778549776552</v>
      </c>
      <c r="L2006">
        <v>0</v>
      </c>
      <c r="M2006">
        <v>1.3869187748357249E-3</v>
      </c>
      <c r="N2006">
        <v>0.12486215191795376</v>
      </c>
      <c r="O2006">
        <v>3.885031063987545E-2</v>
      </c>
      <c r="P2006">
        <v>1.9604468170574811E-2</v>
      </c>
      <c r="Q2006">
        <v>1.3174206445641246E-3</v>
      </c>
      <c r="R2006">
        <v>1.3810900221537031E-3</v>
      </c>
      <c r="S2006">
        <v>0.23181516263482507</v>
      </c>
      <c r="T2006">
        <v>4.0259532071159967</v>
      </c>
      <c r="U2006">
        <v>0</v>
      </c>
      <c r="V2006">
        <v>9.4523053561131852E-3</v>
      </c>
      <c r="W2006">
        <v>7.3709005199560793E-2</v>
      </c>
      <c r="X2006">
        <v>1.1316586207033246E-2</v>
      </c>
      <c r="Y2006">
        <v>3.903065843841536E-3</v>
      </c>
    </row>
    <row r="2007" spans="1:25" x14ac:dyDescent="0.25">
      <c r="A2007" s="1090"/>
      <c r="B2007" s="1448">
        <v>1757</v>
      </c>
      <c r="C2007" s="1094">
        <v>0.98789144893149428</v>
      </c>
      <c r="D2007" s="1094">
        <v>1.0017743598074984</v>
      </c>
      <c r="E2007" s="1094">
        <v>0.99654481447946064</v>
      </c>
      <c r="F2007" s="1094">
        <v>0.98798149142812974</v>
      </c>
      <c r="G2007" s="1094">
        <v>1.0207547569193089</v>
      </c>
      <c r="H2007" s="1094">
        <v>0.9839661199039702</v>
      </c>
      <c r="I2007" s="1094">
        <v>1.0023429910104393</v>
      </c>
      <c r="K2007">
        <v>4.4308535362634469</v>
      </c>
      <c r="L2007">
        <v>0</v>
      </c>
      <c r="M2007">
        <v>1.4491236213647143E-3</v>
      </c>
      <c r="N2007">
        <v>0.12411741319898098</v>
      </c>
      <c r="O2007">
        <v>3.8391546867748982E-2</v>
      </c>
      <c r="P2007">
        <v>1.8871961465654598E-2</v>
      </c>
      <c r="Q2007">
        <v>1.3147251476789735E-3</v>
      </c>
      <c r="R2007">
        <v>1.4430095367173924E-3</v>
      </c>
      <c r="S2007">
        <v>0.23145986938396021</v>
      </c>
      <c r="T2007">
        <v>3.91847161773876</v>
      </c>
      <c r="U2007">
        <v>0</v>
      </c>
      <c r="V2007">
        <v>9.4523053561132078E-3</v>
      </c>
      <c r="W2007">
        <v>7.4104602064694131E-2</v>
      </c>
      <c r="X2007">
        <v>1.0597554005165813E-2</v>
      </c>
      <c r="Y2007">
        <v>4.0780551193298252E-3</v>
      </c>
    </row>
    <row r="2008" spans="1:25" x14ac:dyDescent="0.25">
      <c r="A2008" s="1090"/>
      <c r="B2008" s="1448">
        <v>1758</v>
      </c>
      <c r="C2008" s="1094">
        <v>1.0064776145792527</v>
      </c>
      <c r="D2008" s="1094">
        <v>0.9892850151831335</v>
      </c>
      <c r="E2008" s="1094">
        <v>0.97467437912320232</v>
      </c>
      <c r="F2008" s="1094">
        <v>0.97789545234670949</v>
      </c>
      <c r="G2008" s="1094">
        <v>0.97532944303523517</v>
      </c>
      <c r="H2008" s="1094">
        <v>0.99952078529917665</v>
      </c>
      <c r="I2008" s="1094">
        <v>1.0037401109684401</v>
      </c>
      <c r="K2008">
        <v>4.38208004676952</v>
      </c>
      <c r="L2008">
        <v>0</v>
      </c>
      <c r="M2008">
        <v>1.5049475796272392E-3</v>
      </c>
      <c r="N2008">
        <v>0.12080524866981004</v>
      </c>
      <c r="O2008">
        <v>3.7631717579120705E-2</v>
      </c>
      <c r="P2008">
        <v>1.8372462393305176E-2</v>
      </c>
      <c r="Q2008">
        <v>1.2726357799548228E-3</v>
      </c>
      <c r="R2008">
        <v>1.4986325777199127E-3</v>
      </c>
      <c r="S2008">
        <v>0.22796763709481543</v>
      </c>
      <c r="T2008">
        <v>3.8792891445240589</v>
      </c>
      <c r="U2008">
        <v>0</v>
      </c>
      <c r="V2008">
        <v>9.4523053561131817E-3</v>
      </c>
      <c r="W2008">
        <v>7.3211793650568138E-2</v>
      </c>
      <c r="X2008">
        <v>9.8481666438583488E-3</v>
      </c>
      <c r="Y2008">
        <v>4.2352500798212359E-3</v>
      </c>
    </row>
    <row r="2009" spans="1:25" x14ac:dyDescent="0.25">
      <c r="A2009" s="1090"/>
      <c r="B2009" s="1448">
        <v>1759</v>
      </c>
      <c r="C2009" s="1094">
        <v>1.0002310296708641</v>
      </c>
      <c r="D2009" s="1094">
        <v>1.0083694311958977</v>
      </c>
      <c r="E2009" s="1094">
        <v>1.035078637149677</v>
      </c>
      <c r="F2009" s="1094">
        <v>1.0286265870285003</v>
      </c>
      <c r="G2009" s="1094">
        <v>1.0197527101722668</v>
      </c>
      <c r="H2009" s="1094">
        <v>1.0288789839989594</v>
      </c>
      <c r="I2009" s="1094">
        <v>1.0281631397942073</v>
      </c>
      <c r="K2009">
        <v>4.6258608473157521</v>
      </c>
      <c r="L2009">
        <v>0</v>
      </c>
      <c r="M2009">
        <v>1.432413937312269E-3</v>
      </c>
      <c r="N2009">
        <v>0.13755382325789681</v>
      </c>
      <c r="O2009">
        <v>3.9102560390563645E-2</v>
      </c>
      <c r="P2009">
        <v>2.0218373354728151E-2</v>
      </c>
      <c r="Q2009">
        <v>1.3381460674330721E-3</v>
      </c>
      <c r="R2009">
        <v>1.4268616400451323E-3</v>
      </c>
      <c r="S2009">
        <v>0.24409088669782741</v>
      </c>
      <c r="T2009">
        <v>4.0781780106775072</v>
      </c>
      <c r="U2009">
        <v>0</v>
      </c>
      <c r="V2009">
        <v>9.4523053561131973E-3</v>
      </c>
      <c r="W2009">
        <v>8.0037660043260295E-2</v>
      </c>
      <c r="X2009">
        <v>1.1862213837188419E-2</v>
      </c>
      <c r="Y2009">
        <v>4.0324199305004282E-3</v>
      </c>
    </row>
    <row r="2010" spans="1:25" x14ac:dyDescent="0.25">
      <c r="A2010" s="1090"/>
      <c r="B2010" s="1448">
        <v>1760</v>
      </c>
      <c r="C2010" s="1094">
        <v>0.96408017091448295</v>
      </c>
      <c r="D2010" s="1094">
        <v>1.0127928096532404</v>
      </c>
      <c r="E2010" s="1094">
        <v>1.0358658671309613</v>
      </c>
      <c r="F2010" s="1094">
        <v>0.99948821354603878</v>
      </c>
      <c r="G2010" s="1094">
        <v>1.0287345951279199</v>
      </c>
      <c r="H2010" s="1094">
        <v>0.98137006603831467</v>
      </c>
      <c r="I2010" s="1094">
        <v>1.0051783177043832</v>
      </c>
      <c r="K2010">
        <v>4.4958152390254815</v>
      </c>
      <c r="L2010">
        <v>0</v>
      </c>
      <c r="M2010">
        <v>1.3728099283500323E-3</v>
      </c>
      <c r="N2010">
        <v>0.13209659327921547</v>
      </c>
      <c r="O2010">
        <v>3.9345048726576584E-2</v>
      </c>
      <c r="P2010">
        <v>1.9665109238866621E-2</v>
      </c>
      <c r="Q2010">
        <v>1.3868095180758387E-3</v>
      </c>
      <c r="R2010">
        <v>1.3670690856144741E-3</v>
      </c>
      <c r="S2010">
        <v>0.23871495492295455</v>
      </c>
      <c r="T2010">
        <v>3.9626241654252254</v>
      </c>
      <c r="U2010">
        <v>0</v>
      </c>
      <c r="V2010">
        <v>9.4523053561131817E-3</v>
      </c>
      <c r="W2010">
        <v>7.682237533254857E-2</v>
      </c>
      <c r="X2010">
        <v>1.1850176461908574E-2</v>
      </c>
      <c r="Y2010">
        <v>3.8634416067338073E-3</v>
      </c>
    </row>
    <row r="2011" spans="1:25" x14ac:dyDescent="0.25">
      <c r="A2011" s="1090"/>
      <c r="B2011" s="1448">
        <v>1761</v>
      </c>
      <c r="C2011" s="1094">
        <v>1.0294064431934673</v>
      </c>
      <c r="D2011" s="1094">
        <v>0.9852099601507911</v>
      </c>
      <c r="E2011" s="1094">
        <v>0.98132229924916903</v>
      </c>
      <c r="F2011" s="1094">
        <v>0.97500963637119131</v>
      </c>
      <c r="G2011" s="1094">
        <v>1.0125958722341235</v>
      </c>
      <c r="H2011" s="1094">
        <v>0.99080373711352077</v>
      </c>
      <c r="I2011" s="1094">
        <v>1.0047480426607538</v>
      </c>
      <c r="K2011">
        <v>4.3582313156278323</v>
      </c>
      <c r="L2011">
        <v>0</v>
      </c>
      <c r="M2011">
        <v>1.4365283235188609E-3</v>
      </c>
      <c r="N2011">
        <v>0.11760494407666408</v>
      </c>
      <c r="O2011">
        <v>3.6702224897043702E-2</v>
      </c>
      <c r="P2011">
        <v>1.8387762510408835E-2</v>
      </c>
      <c r="Q2011">
        <v>1.2535676290901909E-3</v>
      </c>
      <c r="R2011">
        <v>1.4304294640333612E-3</v>
      </c>
      <c r="S2011">
        <v>0.22232446872700404</v>
      </c>
      <c r="T2011">
        <v>3.8675916966760644</v>
      </c>
      <c r="U2011">
        <v>0</v>
      </c>
      <c r="V2011">
        <v>9.4523053561131904E-3</v>
      </c>
      <c r="W2011">
        <v>7.0947980269584002E-2</v>
      </c>
      <c r="X2011">
        <v>9.9299614718639673E-3</v>
      </c>
      <c r="Y2011">
        <v>4.0425028734816385E-3</v>
      </c>
    </row>
    <row r="2012" spans="1:25" x14ac:dyDescent="0.25">
      <c r="A2012" s="1090"/>
      <c r="B2012" s="1448">
        <v>1762</v>
      </c>
      <c r="C2012" s="1094">
        <v>1.0047730837987996</v>
      </c>
      <c r="D2012" s="1094">
        <v>1.0041796556535012</v>
      </c>
      <c r="E2012" s="1094">
        <v>1.0103722799670336</v>
      </c>
      <c r="F2012" s="1094">
        <v>1.0219842939066723</v>
      </c>
      <c r="G2012" s="1094">
        <v>0.99829700997757731</v>
      </c>
      <c r="H2012" s="1094">
        <v>0.99814753340216666</v>
      </c>
      <c r="I2012" s="1094">
        <v>0.98053456678073114</v>
      </c>
      <c r="K2012">
        <v>4.5720910040568175</v>
      </c>
      <c r="L2012">
        <v>0</v>
      </c>
      <c r="M2012">
        <v>1.4505303585200927E-3</v>
      </c>
      <c r="N2012">
        <v>0.12945801837102119</v>
      </c>
      <c r="O2012">
        <v>3.8911718926325348E-2</v>
      </c>
      <c r="P2012">
        <v>1.9669792088360782E-2</v>
      </c>
      <c r="Q2012">
        <v>1.3067573415541129E-3</v>
      </c>
      <c r="R2012">
        <v>1.4446972128779572E-3</v>
      </c>
      <c r="S2012">
        <v>0.22867389569565219</v>
      </c>
      <c r="T2012">
        <v>4.0527942222991538</v>
      </c>
      <c r="U2012">
        <v>0</v>
      </c>
      <c r="V2012">
        <v>9.4523053561131887E-3</v>
      </c>
      <c r="W2012">
        <v>7.6575907679132846E-2</v>
      </c>
      <c r="X2012">
        <v>1.117139482413847E-2</v>
      </c>
      <c r="Y2012">
        <v>4.0828246210075601E-3</v>
      </c>
    </row>
    <row r="2013" spans="1:25" x14ac:dyDescent="0.25">
      <c r="A2013" s="1090"/>
      <c r="B2013" s="1448">
        <v>1763</v>
      </c>
      <c r="C2013" s="1094">
        <v>0.99594691079370989</v>
      </c>
      <c r="D2013" s="1094">
        <v>0.98828621057735377</v>
      </c>
      <c r="E2013" s="1094">
        <v>1.0026275208279105</v>
      </c>
      <c r="F2013" s="1094">
        <v>1.0108522309361374</v>
      </c>
      <c r="G2013" s="1094">
        <v>1.0406156550881596</v>
      </c>
      <c r="H2013" s="1094">
        <v>0.96189672270631565</v>
      </c>
      <c r="I2013" s="1094">
        <v>0.97802419977819255</v>
      </c>
      <c r="K2013">
        <v>4.5184407409150991</v>
      </c>
      <c r="L2013">
        <v>0</v>
      </c>
      <c r="M2013">
        <v>1.4269766338170749E-3</v>
      </c>
      <c r="N2013">
        <v>0.12444337913577193</v>
      </c>
      <c r="O2013">
        <v>3.9131815271700385E-2</v>
      </c>
      <c r="P2013">
        <v>1.9348701680179912E-2</v>
      </c>
      <c r="Q2013">
        <v>1.3180366383904005E-3</v>
      </c>
      <c r="R2013">
        <v>1.4209566336604255E-3</v>
      </c>
      <c r="S2013">
        <v>0.22676618581136831</v>
      </c>
      <c r="T2013">
        <v>4.0089459468259641</v>
      </c>
      <c r="U2013">
        <v>0</v>
      </c>
      <c r="V2013">
        <v>9.4523053561131887E-3</v>
      </c>
      <c r="W2013">
        <v>7.3994307276595159E-2</v>
      </c>
      <c r="X2013">
        <v>1.1030350987539191E-2</v>
      </c>
      <c r="Y2013">
        <v>4.0157319316313344E-3</v>
      </c>
    </row>
    <row r="2014" spans="1:25" x14ac:dyDescent="0.25">
      <c r="A2014" s="1090"/>
      <c r="B2014" s="1448">
        <v>1764</v>
      </c>
      <c r="C2014" s="1094">
        <v>0.98535775937602188</v>
      </c>
      <c r="D2014" s="1094">
        <v>1.0131208679383654</v>
      </c>
      <c r="E2014" s="1094">
        <v>1.0192467603131652</v>
      </c>
      <c r="F2014" s="1094">
        <v>0.99962546925677165</v>
      </c>
      <c r="G2014" s="1094">
        <v>1.014224697107792</v>
      </c>
      <c r="H2014" s="1094">
        <v>1.0053938707461867</v>
      </c>
      <c r="I2014" s="1094">
        <v>1.0089340805201346</v>
      </c>
      <c r="K2014">
        <v>4.4915120821621963</v>
      </c>
      <c r="L2014">
        <v>0</v>
      </c>
      <c r="M2014">
        <v>1.4252778814969856E-3</v>
      </c>
      <c r="N2014">
        <v>0.13058181206786917</v>
      </c>
      <c r="O2014">
        <v>3.8611348696993474E-2</v>
      </c>
      <c r="P2014">
        <v>1.9423055918758109E-2</v>
      </c>
      <c r="Q2014">
        <v>1.337830983257077E-3</v>
      </c>
      <c r="R2014">
        <v>1.419460842616302E-3</v>
      </c>
      <c r="S2014">
        <v>0.23628585418079567</v>
      </c>
      <c r="T2014">
        <v>3.9637924081358222</v>
      </c>
      <c r="U2014">
        <v>0</v>
      </c>
      <c r="V2014">
        <v>9.4523053561132043E-3</v>
      </c>
      <c r="W2014">
        <v>7.6783334418486601E-2</v>
      </c>
      <c r="X2014">
        <v>1.123844473103342E-2</v>
      </c>
      <c r="Y2014">
        <v>4.0115047119423982E-3</v>
      </c>
    </row>
    <row r="2015" spans="1:25" x14ac:dyDescent="0.25">
      <c r="A2015" s="1090"/>
      <c r="B2015" s="1448">
        <v>1765</v>
      </c>
      <c r="C2015" s="1094">
        <v>0.97409627695530443</v>
      </c>
      <c r="D2015" s="1094">
        <v>1.0053114689558091</v>
      </c>
      <c r="E2015" s="1094">
        <v>1.0059098927918577</v>
      </c>
      <c r="F2015" s="1094">
        <v>1.0098835342920225</v>
      </c>
      <c r="G2015" s="1094">
        <v>0.98397568354898601</v>
      </c>
      <c r="H2015" s="1094">
        <v>0.97799541693593683</v>
      </c>
      <c r="I2015" s="1094">
        <v>1.008221951127956</v>
      </c>
      <c r="K2015">
        <v>4.5341407283606534</v>
      </c>
      <c r="L2015">
        <v>0</v>
      </c>
      <c r="M2015">
        <v>1.4617519171001938E-3</v>
      </c>
      <c r="N2015">
        <v>0.1287299435930499</v>
      </c>
      <c r="O2015">
        <v>3.9675777466234734E-2</v>
      </c>
      <c r="P2015">
        <v>1.9433246300414597E-2</v>
      </c>
      <c r="Q2015">
        <v>1.3421869961830351E-3</v>
      </c>
      <c r="R2015">
        <v>1.4556809255211016E-3</v>
      </c>
      <c r="S2015">
        <v>0.23890532220686275</v>
      </c>
      <c r="T2015">
        <v>4.0049782189674756</v>
      </c>
      <c r="U2015">
        <v>0</v>
      </c>
      <c r="V2015">
        <v>9.452305356113206E-3</v>
      </c>
      <c r="W2015">
        <v>7.6373977250645472E-2</v>
      </c>
      <c r="X2015">
        <v>1.1141955783744481E-2</v>
      </c>
      <c r="Y2015">
        <v>4.1138654315038773E-3</v>
      </c>
    </row>
    <row r="2016" spans="1:25" x14ac:dyDescent="0.25">
      <c r="A2016" s="1090"/>
      <c r="B2016" s="1448">
        <v>1766</v>
      </c>
      <c r="C2016" s="1094">
        <v>1.0149670264743227</v>
      </c>
      <c r="D2016" s="1094">
        <v>0.98770105560829069</v>
      </c>
      <c r="E2016" s="1094">
        <v>1.0094452001729235</v>
      </c>
      <c r="F2016" s="1094">
        <v>1.0173845077322712</v>
      </c>
      <c r="G2016" s="1094">
        <v>1.0289696136201414</v>
      </c>
      <c r="H2016" s="1094">
        <v>1.0342739358609527</v>
      </c>
      <c r="I2016" s="1094">
        <v>0.99505284596424837</v>
      </c>
      <c r="K2016">
        <v>4.563348479160882</v>
      </c>
      <c r="L2016">
        <v>0</v>
      </c>
      <c r="M2016">
        <v>1.4940187861351996E-3</v>
      </c>
      <c r="N2016">
        <v>0.13299022669633009</v>
      </c>
      <c r="O2016">
        <v>3.860859328873964E-2</v>
      </c>
      <c r="P2016">
        <v>1.9592355617346131E-2</v>
      </c>
      <c r="Q2016">
        <v>1.301195258398656E-3</v>
      </c>
      <c r="R2016">
        <v>1.4881945036152493E-3</v>
      </c>
      <c r="S2016">
        <v>0.23291386848999987</v>
      </c>
      <c r="T2016">
        <v>4.034588993687481</v>
      </c>
      <c r="U2016">
        <v>0</v>
      </c>
      <c r="V2016">
        <v>9.4523053561131817E-3</v>
      </c>
      <c r="W2016">
        <v>7.8714225724507772E-2</v>
      </c>
      <c r="X2016">
        <v>1.0986788038992674E-2</v>
      </c>
      <c r="Y2016">
        <v>4.2057512854921991E-3</v>
      </c>
    </row>
    <row r="2017" spans="1:25" x14ac:dyDescent="0.25">
      <c r="A2017" s="1090"/>
      <c r="B2017" s="1448">
        <v>1767</v>
      </c>
      <c r="C2017" s="1094">
        <v>1.0295154949485066</v>
      </c>
      <c r="D2017" s="1094">
        <v>0.99282588250373394</v>
      </c>
      <c r="E2017" s="1094">
        <v>1.0243176012590518</v>
      </c>
      <c r="F2017" s="1094">
        <v>0.97534682355982083</v>
      </c>
      <c r="G2017" s="1094">
        <v>1.002175656556157</v>
      </c>
      <c r="H2017" s="1094">
        <v>0.97713774068374715</v>
      </c>
      <c r="I2017" s="1094">
        <v>1.0396339148503877</v>
      </c>
      <c r="K2017">
        <v>4.3668506459211311</v>
      </c>
      <c r="L2017">
        <v>0</v>
      </c>
      <c r="M2017">
        <v>1.2903524944662295E-3</v>
      </c>
      <c r="N2017">
        <v>0.11998011714188103</v>
      </c>
      <c r="O2017">
        <v>3.6317538188283406E-2</v>
      </c>
      <c r="P2017">
        <v>1.9012420865298977E-2</v>
      </c>
      <c r="Q2017">
        <v>1.2964000412393247E-3</v>
      </c>
      <c r="R2017">
        <v>1.2847995271922711E-3</v>
      </c>
      <c r="S2017">
        <v>0.22850377334728428</v>
      </c>
      <c r="T2017">
        <v>3.8673345118427442</v>
      </c>
      <c r="U2017">
        <v>0</v>
      </c>
      <c r="V2017">
        <v>9.4523053561131869E-3</v>
      </c>
      <c r="W2017">
        <v>7.0311586770773926E-2</v>
      </c>
      <c r="X2017">
        <v>1.1016603781136667E-2</v>
      </c>
      <c r="Y2017">
        <v>3.6309415536490059E-3</v>
      </c>
    </row>
    <row r="2018" spans="1:25" x14ac:dyDescent="0.25">
      <c r="A2018" s="1090"/>
      <c r="B2018" s="1448">
        <v>1768</v>
      </c>
      <c r="C2018" s="1094">
        <v>0.97649440257452913</v>
      </c>
      <c r="D2018" s="1094">
        <v>0.98436482932146008</v>
      </c>
      <c r="E2018" s="1094">
        <v>0.99293161535084895</v>
      </c>
      <c r="F2018" s="1094">
        <v>0.99930877213412939</v>
      </c>
      <c r="G2018" s="1094">
        <v>0.98689337242095587</v>
      </c>
      <c r="H2018" s="1094">
        <v>1.028891925919956</v>
      </c>
      <c r="I2018" s="1094">
        <v>0.97066921143960982</v>
      </c>
      <c r="K2018">
        <v>4.4942044998934412</v>
      </c>
      <c r="L2018">
        <v>0</v>
      </c>
      <c r="M2018">
        <v>1.5733031533358343E-3</v>
      </c>
      <c r="N2018">
        <v>0.1333486497149273</v>
      </c>
      <c r="O2018">
        <v>3.9586913696314813E-2</v>
      </c>
      <c r="P2018">
        <v>1.9032454697102057E-2</v>
      </c>
      <c r="Q2018">
        <v>1.3352746611469287E-3</v>
      </c>
      <c r="R2018">
        <v>1.5670266414337733E-3</v>
      </c>
      <c r="S2018">
        <v>0.23313300368413153</v>
      </c>
      <c r="T2018">
        <v>3.9635350363653545</v>
      </c>
      <c r="U2018">
        <v>0</v>
      </c>
      <c r="V2018">
        <v>9.4523053561131817E-3</v>
      </c>
      <c r="W2018">
        <v>7.981149742872827E-2</v>
      </c>
      <c r="X2018">
        <v>1.0547103876010855E-2</v>
      </c>
      <c r="Y2018">
        <v>4.4285369255163557E-3</v>
      </c>
    </row>
    <row r="2019" spans="1:25" x14ac:dyDescent="0.25">
      <c r="A2019" s="1090"/>
      <c r="B2019" s="1448">
        <v>1769</v>
      </c>
      <c r="C2019" s="1094">
        <v>0.96814405017451455</v>
      </c>
      <c r="D2019" s="1094">
        <v>1.0178220806949192</v>
      </c>
      <c r="E2019" s="1094">
        <v>1.0078409498641852</v>
      </c>
      <c r="F2019" s="1094">
        <v>1.0230754339362698</v>
      </c>
      <c r="G2019" s="1094">
        <v>1.0245214986816882</v>
      </c>
      <c r="H2019" s="1094">
        <v>0.97611279010621088</v>
      </c>
      <c r="I2019" s="1094">
        <v>1.0218453657195965</v>
      </c>
      <c r="K2019">
        <v>4.5960502600619773</v>
      </c>
      <c r="L2019">
        <v>0</v>
      </c>
      <c r="M2019">
        <v>1.473655195947996E-3</v>
      </c>
      <c r="N2019">
        <v>0.13052846033320412</v>
      </c>
      <c r="O2019">
        <v>4.0227670989181528E-2</v>
      </c>
      <c r="P2019">
        <v>1.9726694191463733E-2</v>
      </c>
      <c r="Q2019">
        <v>1.3459906668491495E-3</v>
      </c>
      <c r="R2019">
        <v>1.4676017170095208E-3</v>
      </c>
      <c r="S2019">
        <v>0.24471987097411174</v>
      </c>
      <c r="T2019">
        <v>4.0572194409303011</v>
      </c>
      <c r="U2019">
        <v>0</v>
      </c>
      <c r="V2019">
        <v>9.4523053561131904E-3</v>
      </c>
      <c r="W2019">
        <v>7.7340479343104118E-2</v>
      </c>
      <c r="X2019">
        <v>1.1347846258227733E-2</v>
      </c>
      <c r="Y2019">
        <v>4.1475544983595259E-3</v>
      </c>
    </row>
    <row r="2020" spans="1:25" x14ac:dyDescent="0.25">
      <c r="A2020" s="1090"/>
      <c r="B2020" s="1448">
        <v>1770</v>
      </c>
      <c r="C2020" s="1094">
        <v>0.99311393147928839</v>
      </c>
      <c r="D2020" s="1094">
        <v>0.99237325393569331</v>
      </c>
      <c r="E2020" s="1094">
        <v>1.0111079704876338</v>
      </c>
      <c r="F2020" s="1094">
        <v>1.0013794869116717</v>
      </c>
      <c r="G2020" s="1094">
        <v>0.99573508400514377</v>
      </c>
      <c r="H2020" s="1094">
        <v>1.0163490297982525</v>
      </c>
      <c r="I2020" s="1094">
        <v>1.0010358410544526</v>
      </c>
      <c r="K2020">
        <v>4.4993192063718128</v>
      </c>
      <c r="L2020">
        <v>0</v>
      </c>
      <c r="M2020">
        <v>1.4689763207301485E-3</v>
      </c>
      <c r="N2020">
        <v>0.13138898986534284</v>
      </c>
      <c r="O2020">
        <v>3.8752614253325435E-2</v>
      </c>
      <c r="P2020">
        <v>1.9335451456123545E-2</v>
      </c>
      <c r="Q2020">
        <v>1.3292001385627197E-3</v>
      </c>
      <c r="R2020">
        <v>1.4630559034665533E-3</v>
      </c>
      <c r="S2020">
        <v>0.2351861090372234</v>
      </c>
      <c r="T2020">
        <v>3.9710556246962985</v>
      </c>
      <c r="U2020">
        <v>0</v>
      </c>
      <c r="V2020">
        <v>9.4523053561131852E-3</v>
      </c>
      <c r="W2020">
        <v>7.7679745119258153E-2</v>
      </c>
      <c r="X2020">
        <v>1.1010379184600384E-2</v>
      </c>
      <c r="Y2020">
        <v>4.1347076822306535E-3</v>
      </c>
    </row>
    <row r="2021" spans="1:25" x14ac:dyDescent="0.25">
      <c r="A2021" s="1090"/>
      <c r="B2021" s="1448">
        <v>1771</v>
      </c>
      <c r="C2021" s="1094">
        <v>1.00974499058471</v>
      </c>
      <c r="D2021" s="1094">
        <v>1.0291729116683106</v>
      </c>
      <c r="E2021" s="1094">
        <v>1.0114396163191588</v>
      </c>
      <c r="F2021" s="1094">
        <v>0.98491163049952624</v>
      </c>
      <c r="G2021" s="1094">
        <v>0.96023190040604078</v>
      </c>
      <c r="H2021" s="1094">
        <v>0.99537214846854849</v>
      </c>
      <c r="I2021" s="1094">
        <v>0.99853076697367915</v>
      </c>
      <c r="K2021">
        <v>4.4063748840405301</v>
      </c>
      <c r="L2021">
        <v>0</v>
      </c>
      <c r="M2021">
        <v>1.3707047671002175E-3</v>
      </c>
      <c r="N2021">
        <v>0.12270085432907715</v>
      </c>
      <c r="O2021">
        <v>3.6943307398983216E-2</v>
      </c>
      <c r="P2021">
        <v>1.8989763535203433E-2</v>
      </c>
      <c r="Q2021">
        <v>1.2887687147973344E-3</v>
      </c>
      <c r="R2021">
        <v>1.3649700695485571E-3</v>
      </c>
      <c r="S2021">
        <v>0.22412078081451872</v>
      </c>
      <c r="T2021">
        <v>3.9057385677544705</v>
      </c>
      <c r="U2021">
        <v>0</v>
      </c>
      <c r="V2021">
        <v>9.4523053561131991E-3</v>
      </c>
      <c r="W2021">
        <v>7.2527014084243571E-2</v>
      </c>
      <c r="X2021">
        <v>1.0761747123592715E-2</v>
      </c>
      <c r="Y2021">
        <v>3.8575096270792295E-3</v>
      </c>
    </row>
    <row r="2022" spans="1:25" x14ac:dyDescent="0.25">
      <c r="A2022" s="1090"/>
      <c r="B2022" s="1448">
        <v>1772</v>
      </c>
      <c r="C2022" s="1094">
        <v>1.0018181806522037</v>
      </c>
      <c r="D2022" s="1094">
        <v>1.0269733768259706</v>
      </c>
      <c r="E2022" s="1094">
        <v>1.0180783607464223</v>
      </c>
      <c r="F2022" s="1094">
        <v>1.0370956510175111</v>
      </c>
      <c r="G2022" s="1094">
        <v>1.0310839235283522</v>
      </c>
      <c r="H2022" s="1094">
        <v>0.97440939288573036</v>
      </c>
      <c r="I2022" s="1094">
        <v>1.0176300179338862</v>
      </c>
      <c r="K2022">
        <v>4.6387596818486694</v>
      </c>
      <c r="L2022">
        <v>0</v>
      </c>
      <c r="M2022">
        <v>1.4052040942445555E-3</v>
      </c>
      <c r="N2022">
        <v>0.12830117223307988</v>
      </c>
      <c r="O2022">
        <v>3.9195268121529216E-2</v>
      </c>
      <c r="P2022">
        <v>2.0094704585740423E-2</v>
      </c>
      <c r="Q2022">
        <v>1.3074267109645706E-3</v>
      </c>
      <c r="R2022">
        <v>1.3994995692213253E-3</v>
      </c>
      <c r="S2022">
        <v>0.23695769029300212</v>
      </c>
      <c r="T2022">
        <v>4.1124177995118503</v>
      </c>
      <c r="U2022">
        <v>0</v>
      </c>
      <c r="V2022">
        <v>9.4523053561131973E-3</v>
      </c>
      <c r="W2022">
        <v>7.5501147885412734E-2</v>
      </c>
      <c r="X2022">
        <v>1.158277904663969E-2</v>
      </c>
      <c r="Y2022">
        <v>3.9550926293570642E-3</v>
      </c>
    </row>
    <row r="2023" spans="1:25" x14ac:dyDescent="0.25">
      <c r="A2023" s="1090"/>
      <c r="B2023" s="1448">
        <v>1773</v>
      </c>
      <c r="C2023" s="1094">
        <v>0.96409451624259423</v>
      </c>
      <c r="D2023" s="1094">
        <v>1.0326573677540312</v>
      </c>
      <c r="E2023" s="1094">
        <v>0.97778516776573365</v>
      </c>
      <c r="F2023" s="1094">
        <v>1.0253600617219154</v>
      </c>
      <c r="G2023" s="1094">
        <v>0.98548066739689932</v>
      </c>
      <c r="H2023" s="1094">
        <v>0.98385661541085645</v>
      </c>
      <c r="I2023" s="1094">
        <v>0.98788818675365597</v>
      </c>
      <c r="K2023">
        <v>4.5963828190029776</v>
      </c>
      <c r="L2023">
        <v>0</v>
      </c>
      <c r="M2023">
        <v>1.5832777035191398E-3</v>
      </c>
      <c r="N2023">
        <v>0.12828861714475728</v>
      </c>
      <c r="O2023">
        <v>4.0469604923349535E-2</v>
      </c>
      <c r="P2023">
        <v>1.9300611010385972E-2</v>
      </c>
      <c r="Q2023">
        <v>1.3095143024248034E-3</v>
      </c>
      <c r="R2023">
        <v>1.5768394276095875E-3</v>
      </c>
      <c r="S2023">
        <v>0.2375381500893583</v>
      </c>
      <c r="T2023">
        <v>4.0674573027312348</v>
      </c>
      <c r="U2023">
        <v>0</v>
      </c>
      <c r="V2023">
        <v>9.4523053561131921E-3</v>
      </c>
      <c r="W2023">
        <v>7.7580999621774241E-2</v>
      </c>
      <c r="X2023">
        <v>1.0535883491064478E-2</v>
      </c>
      <c r="Y2023">
        <v>4.4562686084199908E-3</v>
      </c>
    </row>
    <row r="2024" spans="1:25" x14ac:dyDescent="0.25">
      <c r="A2024" s="1090"/>
      <c r="B2024" s="1448">
        <v>1774</v>
      </c>
      <c r="C2024" s="1094">
        <v>0.97680585203356296</v>
      </c>
      <c r="D2024" s="1094">
        <v>1.0328404932883382</v>
      </c>
      <c r="E2024" s="1094">
        <v>1.0122250500380445</v>
      </c>
      <c r="F2024" s="1094">
        <v>1.0236589801558791</v>
      </c>
      <c r="G2024" s="1094">
        <v>0.99607525708997424</v>
      </c>
      <c r="H2024" s="1094">
        <v>1.010717368292253</v>
      </c>
      <c r="I2024" s="1094">
        <v>1.002982150559196</v>
      </c>
      <c r="K2024">
        <v>4.5976916588843224</v>
      </c>
      <c r="L2024">
        <v>0</v>
      </c>
      <c r="M2024">
        <v>1.4905397793499825E-3</v>
      </c>
      <c r="N2024">
        <v>0.13376807576519473</v>
      </c>
      <c r="O2024">
        <v>3.9629450882855501E-2</v>
      </c>
      <c r="P2024">
        <v>1.977819752151324E-2</v>
      </c>
      <c r="Q2024">
        <v>1.3312224308777646E-3</v>
      </c>
      <c r="R2024">
        <v>1.4846299308180304E-3</v>
      </c>
      <c r="S2024">
        <v>0.23985874111766856</v>
      </c>
      <c r="T2024">
        <v>4.0593635555186882</v>
      </c>
      <c r="U2024">
        <v>0</v>
      </c>
      <c r="V2024">
        <v>9.4523053561131904E-3</v>
      </c>
      <c r="W2024">
        <v>7.9027089032190023E-2</v>
      </c>
      <c r="X2024">
        <v>1.1293253577126235E-2</v>
      </c>
      <c r="Y2024">
        <v>4.195677530624998E-3</v>
      </c>
    </row>
    <row r="2025" spans="1:25" x14ac:dyDescent="0.25">
      <c r="A2025" s="1090"/>
      <c r="B2025" s="1448">
        <v>1775</v>
      </c>
      <c r="C2025" s="1094">
        <v>1.013952341804826</v>
      </c>
      <c r="D2025" s="1094">
        <v>0.99825572487809144</v>
      </c>
      <c r="E2025" s="1094">
        <v>0.99911084100924996</v>
      </c>
      <c r="F2025" s="1094">
        <v>1.0352931037123432</v>
      </c>
      <c r="G2025" s="1094">
        <v>1.0287837770954766</v>
      </c>
      <c r="H2025" s="1094">
        <v>1.0029967985401698</v>
      </c>
      <c r="I2025" s="1094">
        <v>1.0128092621774254</v>
      </c>
      <c r="K2025">
        <v>4.6348234850426344</v>
      </c>
      <c r="L2025">
        <v>0</v>
      </c>
      <c r="M2025">
        <v>1.5018058402360235E-3</v>
      </c>
      <c r="N2025">
        <v>0.12964644912317527</v>
      </c>
      <c r="O2025">
        <v>3.9233213850282729E-2</v>
      </c>
      <c r="P2025">
        <v>1.9785596090410563E-2</v>
      </c>
      <c r="Q2025">
        <v>1.2855657726898995E-3</v>
      </c>
      <c r="R2025">
        <v>1.4958726498034394E-3</v>
      </c>
      <c r="S2025">
        <v>0.2369354188860196</v>
      </c>
      <c r="T2025">
        <v>4.1060147609984678</v>
      </c>
      <c r="U2025">
        <v>0</v>
      </c>
      <c r="V2025">
        <v>9.4523053561131852E-3</v>
      </c>
      <c r="W2025">
        <v>7.727139933482062E-2</v>
      </c>
      <c r="X2025">
        <v>1.0977258508268552E-2</v>
      </c>
      <c r="Y2025">
        <v>4.2274503128187542E-3</v>
      </c>
    </row>
    <row r="2026" spans="1:25" x14ac:dyDescent="0.25">
      <c r="A2026" s="1090"/>
      <c r="B2026" s="1448">
        <v>1776</v>
      </c>
      <c r="C2026" s="1094">
        <v>1.0008248792634422</v>
      </c>
      <c r="D2026" s="1094">
        <v>1.0099780998573902</v>
      </c>
      <c r="E2026" s="1094">
        <v>1.0024885031337023</v>
      </c>
      <c r="F2026" s="1094">
        <v>1.0221028609076876</v>
      </c>
      <c r="G2026" s="1094">
        <v>0.96200775405367223</v>
      </c>
      <c r="H2026" s="1094">
        <v>1.0388273479028334</v>
      </c>
      <c r="I2026" s="1094">
        <v>1.0071251104159986</v>
      </c>
      <c r="K2026">
        <v>4.5905421898683159</v>
      </c>
      <c r="L2026">
        <v>0</v>
      </c>
      <c r="M2026">
        <v>1.5376338262445368E-3</v>
      </c>
      <c r="N2026">
        <v>0.134086146648774</v>
      </c>
      <c r="O2026">
        <v>3.9034996011493961E-2</v>
      </c>
      <c r="P2026">
        <v>1.9603883616935505E-2</v>
      </c>
      <c r="Q2026">
        <v>1.3001163851163399E-3</v>
      </c>
      <c r="R2026">
        <v>1.5316932290573104E-3</v>
      </c>
      <c r="S2026">
        <v>0.23857334421108264</v>
      </c>
      <c r="T2026">
        <v>4.0535703032220214</v>
      </c>
      <c r="U2026">
        <v>0</v>
      </c>
      <c r="V2026">
        <v>9.4523053561131973E-3</v>
      </c>
      <c r="W2026">
        <v>7.9735396552530535E-2</v>
      </c>
      <c r="X2026">
        <v>1.0862956456871162E-2</v>
      </c>
      <c r="Y2026">
        <v>4.3286820045620499E-3</v>
      </c>
    </row>
    <row r="2027" spans="1:25" x14ac:dyDescent="0.25">
      <c r="A2027" s="1090"/>
      <c r="B2027" s="1448">
        <v>1777</v>
      </c>
      <c r="C2027" s="1094">
        <v>0.99803325648808894</v>
      </c>
      <c r="D2027" s="1094">
        <v>1.0390136906281511</v>
      </c>
      <c r="E2027" s="1094">
        <v>1.0169268324601253</v>
      </c>
      <c r="F2027" s="1094">
        <v>0.95996351299676441</v>
      </c>
      <c r="G2027" s="1094">
        <v>0.96788160864979678</v>
      </c>
      <c r="H2027" s="1094">
        <v>0.96341957196155759</v>
      </c>
      <c r="I2027" s="1094">
        <v>0.99845395333548959</v>
      </c>
      <c r="K2027">
        <v>4.2927123948443358</v>
      </c>
      <c r="L2027">
        <v>0</v>
      </c>
      <c r="M2027">
        <v>1.2884346576651736E-3</v>
      </c>
      <c r="N2027">
        <v>0.11719532330320406</v>
      </c>
      <c r="O2027">
        <v>3.6255889834243181E-2</v>
      </c>
      <c r="P2027">
        <v>1.85905956343583E-2</v>
      </c>
      <c r="Q2027">
        <v>1.3050061266739973E-3</v>
      </c>
      <c r="R2027">
        <v>1.2827212586856971E-3</v>
      </c>
      <c r="S2027">
        <v>0.219915282803261</v>
      </c>
      <c r="T2027">
        <v>3.8066057997319263</v>
      </c>
      <c r="U2027">
        <v>0</v>
      </c>
      <c r="V2027">
        <v>9.4523053561132043E-3</v>
      </c>
      <c r="W2027">
        <v>6.901877331908246E-2</v>
      </c>
      <c r="X2027">
        <v>1.0754063926266308E-2</v>
      </c>
      <c r="Y2027">
        <v>3.6250682081811324E-3</v>
      </c>
    </row>
    <row r="2028" spans="1:25" x14ac:dyDescent="0.25">
      <c r="A2028" s="1090"/>
      <c r="B2028" s="1448">
        <v>1778</v>
      </c>
      <c r="C2028" s="1094">
        <v>0.97808551765448948</v>
      </c>
      <c r="D2028" s="1094">
        <v>0.99872389026412955</v>
      </c>
      <c r="E2028" s="1094">
        <v>0.99284458098715289</v>
      </c>
      <c r="F2028" s="1094">
        <v>0.99151737230321113</v>
      </c>
      <c r="G2028" s="1094">
        <v>0.97511421205054394</v>
      </c>
      <c r="H2028" s="1094">
        <v>1.0200309938926528</v>
      </c>
      <c r="I2028" s="1094">
        <v>0.9990534097419681</v>
      </c>
      <c r="K2028">
        <v>4.4607695716848648</v>
      </c>
      <c r="L2028">
        <v>0</v>
      </c>
      <c r="M2028">
        <v>1.5364815888941196E-3</v>
      </c>
      <c r="N2028">
        <v>0.13018551708787635</v>
      </c>
      <c r="O2028">
        <v>3.8988471170072134E-2</v>
      </c>
      <c r="P2028">
        <v>1.8906910492681204E-2</v>
      </c>
      <c r="Q2028">
        <v>1.3253032278358486E-3</v>
      </c>
      <c r="R2028">
        <v>1.5302503405614067E-3</v>
      </c>
      <c r="S2028">
        <v>0.23655992481354451</v>
      </c>
      <c r="T2028">
        <v>3.9326354868983673</v>
      </c>
      <c r="U2028">
        <v>0</v>
      </c>
      <c r="V2028">
        <v>9.4523053561132026E-3</v>
      </c>
      <c r="W2028">
        <v>7.7922913084399539E-2</v>
      </c>
      <c r="X2028">
        <v>1.0474366510787276E-2</v>
      </c>
      <c r="Y2028">
        <v>4.3246042915132997E-3</v>
      </c>
    </row>
    <row r="2029" spans="1:25" x14ac:dyDescent="0.25">
      <c r="A2029" s="1090"/>
      <c r="B2029" s="1448">
        <v>1779</v>
      </c>
      <c r="C2029" s="1094">
        <v>0.99328904301852472</v>
      </c>
      <c r="D2029" s="1094">
        <v>1.0043970636643753</v>
      </c>
      <c r="E2029" s="1094">
        <v>0.97711114340161076</v>
      </c>
      <c r="F2029" s="1094">
        <v>0.99881600838850859</v>
      </c>
      <c r="G2029" s="1094">
        <v>0.97663968152365532</v>
      </c>
      <c r="H2029" s="1094">
        <v>1.0324047925379778</v>
      </c>
      <c r="I2029" s="1094">
        <v>1.0181478795143377</v>
      </c>
      <c r="K2029">
        <v>4.4905537598699432</v>
      </c>
      <c r="L2029">
        <v>0</v>
      </c>
      <c r="M2029">
        <v>1.5907763901983555E-3</v>
      </c>
      <c r="N2029">
        <v>0.12865007363559766</v>
      </c>
      <c r="O2029">
        <v>3.8694950777572505E-2</v>
      </c>
      <c r="P2029">
        <v>1.8827113791904646E-2</v>
      </c>
      <c r="Q2029">
        <v>1.2844583624627873E-3</v>
      </c>
      <c r="R2029">
        <v>1.5844486570848861E-3</v>
      </c>
      <c r="S2029">
        <v>0.23912076404883201</v>
      </c>
      <c r="T2029">
        <v>3.9621867434006015</v>
      </c>
      <c r="U2029">
        <v>0</v>
      </c>
      <c r="V2029">
        <v>9.4523053561131973E-3</v>
      </c>
      <c r="W2029">
        <v>7.7835584509509129E-2</v>
      </c>
      <c r="X2029">
        <v>1.0030320848607615E-2</v>
      </c>
      <c r="Y2029">
        <v>4.4777728718543731E-3</v>
      </c>
    </row>
    <row r="2030" spans="1:25" x14ac:dyDescent="0.25">
      <c r="A2030" s="1090"/>
      <c r="B2030" s="1448">
        <v>1780</v>
      </c>
      <c r="C2030" s="1094">
        <v>0.97832195092261609</v>
      </c>
      <c r="D2030" s="1094">
        <v>0.96130720095852418</v>
      </c>
      <c r="E2030" s="1094">
        <v>1.0407992177540264</v>
      </c>
      <c r="F2030" s="1094">
        <v>1.0203538267311765</v>
      </c>
      <c r="G2030" s="1094">
        <v>1.0301376452327555</v>
      </c>
      <c r="H2030" s="1094">
        <v>0.99350540007422039</v>
      </c>
      <c r="I2030" s="1094">
        <v>0.99877318034803664</v>
      </c>
      <c r="K2030">
        <v>4.5924077182446572</v>
      </c>
      <c r="L2030">
        <v>0</v>
      </c>
      <c r="M2030">
        <v>1.412671263164149E-3</v>
      </c>
      <c r="N2030">
        <v>0.13794676951248286</v>
      </c>
      <c r="O2030">
        <v>4.0380350002040009E-2</v>
      </c>
      <c r="P2030">
        <v>2.0136284446047304E-2</v>
      </c>
      <c r="Q2030">
        <v>1.4012114247574806E-3</v>
      </c>
      <c r="R2030">
        <v>1.4069547362530173E-3</v>
      </c>
      <c r="S2030">
        <v>0.24177279900771986</v>
      </c>
      <c r="T2030">
        <v>4.0451610084658736</v>
      </c>
      <c r="U2030">
        <v>0</v>
      </c>
      <c r="V2030">
        <v>9.4523053561131783E-3</v>
      </c>
      <c r="W2030">
        <v>7.996437907173562E-2</v>
      </c>
      <c r="X2030">
        <v>1.2222165984237197E-2</v>
      </c>
      <c r="Y2030">
        <v>3.9761615005637031E-3</v>
      </c>
    </row>
    <row r="2031" spans="1:25" x14ac:dyDescent="0.25">
      <c r="A2031" s="1090"/>
      <c r="B2031" s="1448">
        <v>1781</v>
      </c>
      <c r="C2031" s="1094">
        <v>1.0109470441401494</v>
      </c>
      <c r="D2031" s="1094">
        <v>0.95845255823034803</v>
      </c>
      <c r="E2031" s="1094">
        <v>1.0118604440495775</v>
      </c>
      <c r="F2031" s="1094">
        <v>1.0366008934427005</v>
      </c>
      <c r="G2031" s="1094">
        <v>0.98624361053233334</v>
      </c>
      <c r="H2031" s="1094">
        <v>1.0061701545910027</v>
      </c>
      <c r="I2031" s="1094">
        <v>0.98507013020584422</v>
      </c>
      <c r="K2031">
        <v>4.6449687320274409</v>
      </c>
      <c r="L2031">
        <v>0</v>
      </c>
      <c r="M2031">
        <v>1.4969896769378122E-3</v>
      </c>
      <c r="N2031">
        <v>0.13420624973393686</v>
      </c>
      <c r="O2031">
        <v>3.9954680780073061E-2</v>
      </c>
      <c r="P2031">
        <v>1.9983568623294819E-2</v>
      </c>
      <c r="Q2031">
        <v>1.3248931478189747E-3</v>
      </c>
      <c r="R2031">
        <v>1.4911015748171029E-3</v>
      </c>
      <c r="S2031">
        <v>0.23443383776372967</v>
      </c>
      <c r="T2031">
        <v>4.1106995750283346</v>
      </c>
      <c r="U2031">
        <v>0</v>
      </c>
      <c r="V2031">
        <v>9.4523053561131991E-3</v>
      </c>
      <c r="W2031">
        <v>7.9305333959148738E-2</v>
      </c>
      <c r="X2031">
        <v>1.1400208846454919E-2</v>
      </c>
      <c r="Y2031">
        <v>4.213966890653024E-3</v>
      </c>
    </row>
    <row r="2032" spans="1:25" x14ac:dyDescent="0.25">
      <c r="A2032" s="1090"/>
      <c r="B2032" s="1448">
        <v>1782</v>
      </c>
      <c r="C2032" s="1094">
        <v>1.0131216143365216</v>
      </c>
      <c r="D2032" s="1094">
        <v>1.0084879371427364</v>
      </c>
      <c r="E2032" s="1094">
        <v>1.0307906861832401</v>
      </c>
      <c r="F2032" s="1094">
        <v>1.007838587706942</v>
      </c>
      <c r="G2032" s="1094">
        <v>1.0006806690046892</v>
      </c>
      <c r="H2032" s="1094">
        <v>1.0214567865121265</v>
      </c>
      <c r="I2032" s="1094">
        <v>0.99813735661966851</v>
      </c>
      <c r="K2032">
        <v>4.5181660692942698</v>
      </c>
      <c r="L2032">
        <v>0</v>
      </c>
      <c r="M2032">
        <v>1.388202510774492E-3</v>
      </c>
      <c r="N2032">
        <v>0.13161500446126875</v>
      </c>
      <c r="O2032">
        <v>3.7852391615988669E-2</v>
      </c>
      <c r="P2032">
        <v>1.9708055986725315E-2</v>
      </c>
      <c r="Q2032">
        <v>1.3163120184651795E-3</v>
      </c>
      <c r="R2032">
        <v>1.3826711455508279E-3</v>
      </c>
      <c r="S2032">
        <v>0.23013830882382816</v>
      </c>
      <c r="T2032">
        <v>3.9959220955346182</v>
      </c>
      <c r="U2032">
        <v>0</v>
      </c>
      <c r="V2032">
        <v>9.4523053561131869E-3</v>
      </c>
      <c r="W2032">
        <v>7.6799440459088722E-2</v>
      </c>
      <c r="X2032">
        <v>1.1460152184123058E-2</v>
      </c>
      <c r="Y2032">
        <v>3.9075342192748707E-3</v>
      </c>
    </row>
    <row r="2033" spans="1:25" x14ac:dyDescent="0.25">
      <c r="A2033" s="1090"/>
      <c r="B2033" s="1448">
        <v>1783</v>
      </c>
      <c r="C2033" s="1094">
        <v>1.0196947481387872</v>
      </c>
      <c r="D2033" s="1094">
        <v>0.98923113228471204</v>
      </c>
      <c r="E2033" s="1094">
        <v>0.99146776191954344</v>
      </c>
      <c r="F2033" s="1094">
        <v>0.991857362363749</v>
      </c>
      <c r="G2033" s="1094">
        <v>1.0475514865478561</v>
      </c>
      <c r="H2033" s="1094">
        <v>0.99167424834225482</v>
      </c>
      <c r="I2033" s="1094">
        <v>0.97524770606622058</v>
      </c>
      <c r="K2033">
        <v>4.4304045201315914</v>
      </c>
      <c r="L2033">
        <v>0</v>
      </c>
      <c r="M2033">
        <v>1.4429613946275891E-3</v>
      </c>
      <c r="N2033">
        <v>0.12174954707164806</v>
      </c>
      <c r="O2033">
        <v>3.7562757451785223E-2</v>
      </c>
      <c r="P2033">
        <v>1.8819545526403563E-2</v>
      </c>
      <c r="Q2033">
        <v>1.2745766064891381E-3</v>
      </c>
      <c r="R2033">
        <v>1.4369441389469398E-3</v>
      </c>
      <c r="S2033">
        <v>0.22015198433497821</v>
      </c>
      <c r="T2033">
        <v>3.9340361855825754</v>
      </c>
      <c r="U2033">
        <v>0</v>
      </c>
      <c r="V2033">
        <v>9.4523053561131748E-3</v>
      </c>
      <c r="W2033">
        <v>7.2941746220610643E-2</v>
      </c>
      <c r="X2033">
        <v>1.036097539451338E-2</v>
      </c>
      <c r="Y2033">
        <v>4.0609138421593112E-3</v>
      </c>
    </row>
    <row r="2034" spans="1:25" x14ac:dyDescent="0.25">
      <c r="A2034" s="1090"/>
      <c r="B2034" s="1448">
        <v>1784</v>
      </c>
      <c r="C2034" s="1094">
        <v>0.96084890444631865</v>
      </c>
      <c r="D2034" s="1094">
        <v>1.0176552460708455</v>
      </c>
      <c r="E2034" s="1094">
        <v>1.0118729748684889</v>
      </c>
      <c r="F2034" s="1094">
        <v>1.0137600384776859</v>
      </c>
      <c r="G2034" s="1094">
        <v>1.0096510592673371</v>
      </c>
      <c r="H2034" s="1094">
        <v>1.0276594852347951</v>
      </c>
      <c r="I2034" s="1094">
        <v>1.0169389705946787</v>
      </c>
      <c r="K2034">
        <v>4.5734041244034875</v>
      </c>
      <c r="L2034">
        <v>0</v>
      </c>
      <c r="M2034">
        <v>1.5360619301013061E-3</v>
      </c>
      <c r="N2034">
        <v>0.13771363895807726</v>
      </c>
      <c r="O2034">
        <v>4.0137614968118018E-2</v>
      </c>
      <c r="P2034">
        <v>1.9630561736141749E-2</v>
      </c>
      <c r="Q2034">
        <v>1.3609644106525329E-3</v>
      </c>
      <c r="R2034">
        <v>1.5300137441139118E-3</v>
      </c>
      <c r="S2034">
        <v>0.24804678262186353</v>
      </c>
      <c r="T2034">
        <v>4.0201223896030882</v>
      </c>
      <c r="U2034">
        <v>0</v>
      </c>
      <c r="V2034">
        <v>9.452305356113206E-3</v>
      </c>
      <c r="W2034">
        <v>8.1377241332942163E-2</v>
      </c>
      <c r="X2034">
        <v>1.124473795058252E-2</v>
      </c>
      <c r="Y2034">
        <v>4.3239356518893941E-3</v>
      </c>
    </row>
    <row r="2035" spans="1:25" x14ac:dyDescent="0.25">
      <c r="A2035" s="1090"/>
      <c r="B2035" s="1448">
        <v>1785</v>
      </c>
      <c r="C2035" s="1094">
        <v>1.0245782918292436</v>
      </c>
      <c r="D2035" s="1094">
        <v>0.98777554585495431</v>
      </c>
      <c r="E2035" s="1094">
        <v>0.97934495456785287</v>
      </c>
      <c r="F2035" s="1094">
        <v>0.99914078647945614</v>
      </c>
      <c r="G2035" s="1094">
        <v>1.0374734388815239</v>
      </c>
      <c r="H2035" s="1094">
        <v>0.97484266889288251</v>
      </c>
      <c r="I2035" s="1094">
        <v>0.98543025680584018</v>
      </c>
      <c r="K2035">
        <v>4.4568301955479424</v>
      </c>
      <c r="L2035">
        <v>0</v>
      </c>
      <c r="M2035">
        <v>1.459578907127345E-3</v>
      </c>
      <c r="N2035">
        <v>0.11879707793664808</v>
      </c>
      <c r="O2035">
        <v>3.776179719548127E-2</v>
      </c>
      <c r="P2035">
        <v>1.878489267586304E-2</v>
      </c>
      <c r="Q2035">
        <v>1.2560081242510848E-3</v>
      </c>
      <c r="R2035">
        <v>1.4534322149637011E-3</v>
      </c>
      <c r="S2035">
        <v>0.2213501668516818</v>
      </c>
      <c r="T2035">
        <v>3.9633892051737627</v>
      </c>
      <c r="U2035">
        <v>0</v>
      </c>
      <c r="V2035">
        <v>9.4523053561131817E-3</v>
      </c>
      <c r="W2035">
        <v>7.1764297570400856E-2</v>
      </c>
      <c r="X2035">
        <v>1.017308095211881E-2</v>
      </c>
      <c r="Y2035">
        <v>4.1075104037877333E-3</v>
      </c>
    </row>
    <row r="2036" spans="1:25" x14ac:dyDescent="0.25">
      <c r="A2036" s="1090"/>
      <c r="B2036" s="1448">
        <v>1786</v>
      </c>
      <c r="C2036" s="1094">
        <v>0.98421547211220062</v>
      </c>
      <c r="D2036" s="1094">
        <v>0.98848190630218047</v>
      </c>
      <c r="E2036" s="1094">
        <v>0.96462749719575791</v>
      </c>
      <c r="F2036" s="1094">
        <v>1.0016230398721298</v>
      </c>
      <c r="G2036" s="1094">
        <v>1.035749370174466</v>
      </c>
      <c r="H2036" s="1094">
        <v>1.0100215462269431</v>
      </c>
      <c r="I2036" s="1094">
        <v>0.98658164087563127</v>
      </c>
      <c r="K2036">
        <v>4.4950481895248213</v>
      </c>
      <c r="L2036">
        <v>0</v>
      </c>
      <c r="M2036">
        <v>1.6271542625202807E-3</v>
      </c>
      <c r="N2036">
        <v>0.12679363847501693</v>
      </c>
      <c r="O2036">
        <v>3.9499627250090708E-2</v>
      </c>
      <c r="P2036">
        <v>1.8675669105746542E-2</v>
      </c>
      <c r="Q2036">
        <v>1.2904658203708006E-3</v>
      </c>
      <c r="R2036">
        <v>1.6205568550900229E-3</v>
      </c>
      <c r="S2036">
        <v>0.23372105401460277</v>
      </c>
      <c r="T2036">
        <v>3.9738048283660832</v>
      </c>
      <c r="U2036">
        <v>0</v>
      </c>
      <c r="V2036">
        <v>9.4523053561131904E-3</v>
      </c>
      <c r="W2036">
        <v>7.7375479429253657E-2</v>
      </c>
      <c r="X2036">
        <v>9.8619017188283364E-3</v>
      </c>
      <c r="Y2036">
        <v>4.5798173961473961E-3</v>
      </c>
    </row>
    <row r="2037" spans="1:25" x14ac:dyDescent="0.25">
      <c r="A2037" s="1090"/>
      <c r="B2037" s="1448">
        <v>1787</v>
      </c>
      <c r="C2037" s="1094">
        <v>1.0067468848593375</v>
      </c>
      <c r="D2037" s="1094">
        <v>1.008169236783826</v>
      </c>
      <c r="E2037" s="1094">
        <v>0.97970159749559205</v>
      </c>
      <c r="F2037" s="1094">
        <v>0.99223605585389241</v>
      </c>
      <c r="G2037" s="1094">
        <v>0.98142279061589288</v>
      </c>
      <c r="H2037" s="1094">
        <v>0.96962916741685246</v>
      </c>
      <c r="I2037" s="1094">
        <v>0.98810667636192329</v>
      </c>
      <c r="K2037">
        <v>4.4305940612994386</v>
      </c>
      <c r="L2037">
        <v>0</v>
      </c>
      <c r="M2037">
        <v>1.4542835568873266E-3</v>
      </c>
      <c r="N2037">
        <v>0.11848523266921616</v>
      </c>
      <c r="O2037">
        <v>3.7851949667242708E-2</v>
      </c>
      <c r="P2037">
        <v>1.8674870791543886E-2</v>
      </c>
      <c r="Q2037">
        <v>1.2682408105256183E-3</v>
      </c>
      <c r="R2037">
        <v>1.4480835650978496E-3</v>
      </c>
      <c r="S2037">
        <v>0.22305932033955733</v>
      </c>
      <c r="T2037">
        <v>3.9359859263087142</v>
      </c>
      <c r="U2037">
        <v>0</v>
      </c>
      <c r="V2037">
        <v>9.4523053561131973E-3</v>
      </c>
      <c r="W2037">
        <v>7.1558421576135095E-2</v>
      </c>
      <c r="X2037">
        <v>1.0171599061258989E-2</v>
      </c>
      <c r="Y2037">
        <v>4.0923947109167387E-3</v>
      </c>
    </row>
    <row r="2038" spans="1:25" x14ac:dyDescent="0.25">
      <c r="A2038" s="1090"/>
      <c r="B2038" s="1448">
        <v>1788</v>
      </c>
      <c r="C2038" s="1094">
        <v>1.0241062769218787</v>
      </c>
      <c r="D2038" s="1094">
        <v>0.98596339204225469</v>
      </c>
      <c r="E2038" s="1094">
        <v>1.0097504560660258</v>
      </c>
      <c r="F2038" s="1094">
        <v>0.99799294165097663</v>
      </c>
      <c r="G2038" s="1094">
        <v>1.0038114992872271</v>
      </c>
      <c r="H2038" s="1094">
        <v>1.0132287149323604</v>
      </c>
      <c r="I2038" s="1094">
        <v>0.99048555549611383</v>
      </c>
      <c r="K2038">
        <v>4.467160564093704</v>
      </c>
      <c r="L2038">
        <v>0</v>
      </c>
      <c r="M2038">
        <v>1.4231069481160056E-3</v>
      </c>
      <c r="N2038">
        <v>0.12677243989806417</v>
      </c>
      <c r="O2038">
        <v>3.7559114027882673E-2</v>
      </c>
      <c r="P2038">
        <v>1.9209781694860727E-2</v>
      </c>
      <c r="Q2038">
        <v>1.2908274574772967E-3</v>
      </c>
      <c r="R2038">
        <v>1.4173342927251498E-3</v>
      </c>
      <c r="S2038">
        <v>0.22536532283361965</v>
      </c>
      <c r="T2038">
        <v>3.9576773189650369</v>
      </c>
      <c r="U2038">
        <v>0</v>
      </c>
      <c r="V2038">
        <v>9.4523053561131852E-3</v>
      </c>
      <c r="W2038">
        <v>7.5018664785581085E-2</v>
      </c>
      <c r="X2038">
        <v>1.0815066810864317E-2</v>
      </c>
      <c r="Y2038">
        <v>4.0054949195955985E-3</v>
      </c>
    </row>
    <row r="2039" spans="1:25" x14ac:dyDescent="0.25">
      <c r="A2039" s="1090"/>
      <c r="B2039" s="1448">
        <v>1789</v>
      </c>
      <c r="C2039" s="1094">
        <v>1.0195430275760908</v>
      </c>
      <c r="D2039" s="1094">
        <v>0.994942132621908</v>
      </c>
      <c r="E2039" s="1094">
        <v>1.0254848312179377</v>
      </c>
      <c r="F2039" s="1094">
        <v>0.97907097470289883</v>
      </c>
      <c r="G2039" s="1094">
        <v>1.0030458423326611</v>
      </c>
      <c r="H2039" s="1094">
        <v>0.99120976607823308</v>
      </c>
      <c r="I2039" s="1094">
        <v>1.0031880465437353</v>
      </c>
      <c r="K2039">
        <v>4.383215014486102</v>
      </c>
      <c r="L2039">
        <v>0</v>
      </c>
      <c r="M2039">
        <v>1.3223674545583648E-3</v>
      </c>
      <c r="N2039">
        <v>0.12339170009888535</v>
      </c>
      <c r="O2039">
        <v>3.6773718511877065E-2</v>
      </c>
      <c r="P2039">
        <v>1.9076439895586068E-2</v>
      </c>
      <c r="Q2039">
        <v>1.3092545955063627E-3</v>
      </c>
      <c r="R2039">
        <v>1.3167787524607589E-3</v>
      </c>
      <c r="S2039">
        <v>0.22410099695349514</v>
      </c>
      <c r="T2039">
        <v>3.8820581063686874</v>
      </c>
      <c r="U2039">
        <v>0</v>
      </c>
      <c r="V2039">
        <v>9.4523053561131835E-3</v>
      </c>
      <c r="W2039">
        <v>7.2254794902431585E-2</v>
      </c>
      <c r="X2039">
        <v>1.1081969219860363E-2</v>
      </c>
      <c r="Y2039">
        <v>3.7213172857561028E-3</v>
      </c>
    </row>
    <row r="2040" spans="1:25" x14ac:dyDescent="0.25">
      <c r="A2040" s="1090"/>
      <c r="B2040" s="1448">
        <v>1790</v>
      </c>
      <c r="C2040" s="1094">
        <v>1.0035758632396816</v>
      </c>
      <c r="D2040" s="1094">
        <v>1.0167533096292647</v>
      </c>
      <c r="E2040" s="1094">
        <v>0.99941198757217797</v>
      </c>
      <c r="F2040" s="1094">
        <v>1.0020678538646985</v>
      </c>
      <c r="G2040" s="1094">
        <v>0.97583335101525281</v>
      </c>
      <c r="H2040" s="1094">
        <v>1.0088717884645249</v>
      </c>
      <c r="I2040" s="1094">
        <v>0.99164103741578402</v>
      </c>
      <c r="K2040">
        <v>4.4874651031042498</v>
      </c>
      <c r="L2040">
        <v>0</v>
      </c>
      <c r="M2040">
        <v>1.465694676102637E-3</v>
      </c>
      <c r="N2040">
        <v>0.1266284709632598</v>
      </c>
      <c r="O2040">
        <v>3.8083962660029357E-2</v>
      </c>
      <c r="P2040">
        <v>1.9152069637646131E-2</v>
      </c>
      <c r="Q2040">
        <v>1.2896868229410098E-3</v>
      </c>
      <c r="R2040">
        <v>1.4597477750432793E-3</v>
      </c>
      <c r="S2040">
        <v>0.22841156734729587</v>
      </c>
      <c r="T2040">
        <v>3.9742305664274151</v>
      </c>
      <c r="U2040">
        <v>0</v>
      </c>
      <c r="V2040">
        <v>9.4523053561131852E-3</v>
      </c>
      <c r="W2040">
        <v>7.5457267476741627E-2</v>
      </c>
      <c r="X2040">
        <v>1.0639794655124707E-2</v>
      </c>
      <c r="Y2040">
        <v>4.1253586587428242E-3</v>
      </c>
    </row>
    <row r="2041" spans="1:25" x14ac:dyDescent="0.25">
      <c r="A2041" s="1090"/>
      <c r="B2041" s="1448">
        <v>1791</v>
      </c>
      <c r="C2041" s="1094">
        <v>0.99077315275654332</v>
      </c>
      <c r="D2041" s="1094">
        <v>0.99698993323142682</v>
      </c>
      <c r="E2041" s="1094">
        <v>0.98822225275359499</v>
      </c>
      <c r="F2041" s="1094">
        <v>0.98634094268542838</v>
      </c>
      <c r="G2041" s="1094">
        <v>0.96789712967292429</v>
      </c>
      <c r="H2041" s="1094">
        <v>1.015362172552291</v>
      </c>
      <c r="I2041" s="1094">
        <v>1.0001754964632099</v>
      </c>
      <c r="K2041">
        <v>4.4303879813849605</v>
      </c>
      <c r="L2041">
        <v>0</v>
      </c>
      <c r="M2041">
        <v>1.5177384028123297E-3</v>
      </c>
      <c r="N2041">
        <v>0.12684187084112303</v>
      </c>
      <c r="O2041">
        <v>3.8346459534710255E-2</v>
      </c>
      <c r="P2041">
        <v>1.8732322862128288E-2</v>
      </c>
      <c r="Q2041">
        <v>1.3040338539078522E-3</v>
      </c>
      <c r="R2041">
        <v>1.5115225481873212E-3</v>
      </c>
      <c r="S2041">
        <v>0.23273898272633953</v>
      </c>
      <c r="T2041">
        <v>3.9122787389555773</v>
      </c>
      <c r="U2041">
        <v>0</v>
      </c>
      <c r="V2041">
        <v>9.4523053561131852E-3</v>
      </c>
      <c r="W2041">
        <v>7.6160657649531199E-2</v>
      </c>
      <c r="X2041">
        <v>1.0267147339689553E-2</v>
      </c>
      <c r="Y2041">
        <v>4.271678120464824E-3</v>
      </c>
    </row>
    <row r="2042" spans="1:25" x14ac:dyDescent="0.25">
      <c r="A2042" s="1090"/>
      <c r="B2042" s="1448">
        <v>1792</v>
      </c>
      <c r="C2042" s="1094">
        <v>1.0117638334447638</v>
      </c>
      <c r="D2042" s="1094">
        <v>0.95845778862378661</v>
      </c>
      <c r="E2042" s="1094">
        <v>0.99578414019144013</v>
      </c>
      <c r="F2042" s="1094">
        <v>0.99640688718843462</v>
      </c>
      <c r="G2042" s="1094">
        <v>1.0070832170855142</v>
      </c>
      <c r="H2042" s="1094">
        <v>1.0119380783611804</v>
      </c>
      <c r="I2042" s="1094">
        <v>0.99329722618944716</v>
      </c>
      <c r="K2042">
        <v>4.4695970497347632</v>
      </c>
      <c r="L2042">
        <v>0</v>
      </c>
      <c r="M2042">
        <v>1.4960841897834439E-3</v>
      </c>
      <c r="N2042">
        <v>0.12787043057140407</v>
      </c>
      <c r="O2042">
        <v>3.8484989569500638E-2</v>
      </c>
      <c r="P2042">
        <v>1.900818737722576E-2</v>
      </c>
      <c r="Q2042">
        <v>1.3057498830469853E-3</v>
      </c>
      <c r="R2042">
        <v>1.4899981388120035E-3</v>
      </c>
      <c r="S2042">
        <v>0.23042284364894416</v>
      </c>
      <c r="T2042">
        <v>3.9519168230262873</v>
      </c>
      <c r="U2042">
        <v>0</v>
      </c>
      <c r="V2042">
        <v>9.4523053561131783E-3</v>
      </c>
      <c r="W2042">
        <v>7.638471333337396E-2</v>
      </c>
      <c r="X2042">
        <v>1.0546244523579256E-2</v>
      </c>
      <c r="Y2042">
        <v>4.2108484962592599E-3</v>
      </c>
    </row>
    <row r="2043" spans="1:25" x14ac:dyDescent="0.25">
      <c r="A2043" s="1090"/>
      <c r="B2043" s="1448">
        <v>1793</v>
      </c>
      <c r="C2043" s="1094">
        <v>0.97933937456508813</v>
      </c>
      <c r="D2043" s="1094">
        <v>0.98851746362065274</v>
      </c>
      <c r="E2043" s="1094">
        <v>0.9687434736960957</v>
      </c>
      <c r="F2043" s="1094">
        <v>1.0023678770700764</v>
      </c>
      <c r="G2043" s="1094">
        <v>0.99595491068638875</v>
      </c>
      <c r="H2043" s="1094">
        <v>1.024175314791941</v>
      </c>
      <c r="I2043" s="1094">
        <v>0.98157100192089652</v>
      </c>
      <c r="K2043">
        <v>4.5040075537591662</v>
      </c>
      <c r="L2043">
        <v>0</v>
      </c>
      <c r="M2043">
        <v>1.6451292006084278E-3</v>
      </c>
      <c r="N2043">
        <v>0.12977887514466482</v>
      </c>
      <c r="O2043">
        <v>3.9696352671601098E-2</v>
      </c>
      <c r="P2043">
        <v>1.8752415745837449E-2</v>
      </c>
      <c r="Q2043">
        <v>1.3015538625967221E-3</v>
      </c>
      <c r="R2043">
        <v>1.6385559618165035E-3</v>
      </c>
      <c r="S2043">
        <v>0.23488941233129582</v>
      </c>
      <c r="T2043">
        <v>3.9766002100409099</v>
      </c>
      <c r="U2043">
        <v>0</v>
      </c>
      <c r="V2043">
        <v>9.4523053561131904E-3</v>
      </c>
      <c r="W2043">
        <v>7.8972157119737652E-2</v>
      </c>
      <c r="X2043">
        <v>9.9401604792741412E-3</v>
      </c>
      <c r="Y2043">
        <v>4.6306842459232223E-3</v>
      </c>
    </row>
    <row r="2044" spans="1:25" x14ac:dyDescent="0.25">
      <c r="A2044" s="1090"/>
      <c r="B2044" s="1448">
        <v>1794</v>
      </c>
      <c r="C2044" s="1094">
        <v>0.98650179701338969</v>
      </c>
      <c r="D2044" s="1094">
        <v>0.97907971071534095</v>
      </c>
      <c r="E2044" s="1094">
        <v>1.0004667140729382</v>
      </c>
      <c r="F2044" s="1094">
        <v>0.99859098216684894</v>
      </c>
      <c r="G2044" s="1094">
        <v>0.96754100683812971</v>
      </c>
      <c r="H2044" s="1094">
        <v>0.99692909189183876</v>
      </c>
      <c r="I2044" s="1094">
        <v>0.99500571583676267</v>
      </c>
      <c r="K2044">
        <v>4.4845136878249372</v>
      </c>
      <c r="L2044">
        <v>0</v>
      </c>
      <c r="M2044">
        <v>1.4873569517940158E-3</v>
      </c>
      <c r="N2044">
        <v>0.12889405365578963</v>
      </c>
      <c r="O2044">
        <v>3.9188808895316757E-2</v>
      </c>
      <c r="P2044">
        <v>1.9131312350062581E-2</v>
      </c>
      <c r="Q2044">
        <v>1.3331781754501954E-3</v>
      </c>
      <c r="R2044">
        <v>1.4812286884512624E-3</v>
      </c>
      <c r="S2044">
        <v>0.23436936569603622</v>
      </c>
      <c r="T2044">
        <v>3.9604010815872281</v>
      </c>
      <c r="U2044">
        <v>0</v>
      </c>
      <c r="V2044">
        <v>9.4523053561131973E-3</v>
      </c>
      <c r="W2044">
        <v>7.675258098597583E-2</v>
      </c>
      <c r="X2044">
        <v>1.0811064026281384E-2</v>
      </c>
      <c r="Y2044">
        <v>4.186065360023943E-3</v>
      </c>
    </row>
    <row r="2045" spans="1:25" x14ac:dyDescent="0.25">
      <c r="A2045" s="1090"/>
      <c r="B2045" s="1448">
        <v>1795</v>
      </c>
      <c r="C2045" s="1094">
        <v>1.0306527573642152</v>
      </c>
      <c r="D2045" s="1094">
        <v>0.97812290074491193</v>
      </c>
      <c r="E2045" s="1094">
        <v>1.0022271747289804</v>
      </c>
      <c r="F2045" s="1094">
        <v>1.0024381368259048</v>
      </c>
      <c r="G2045" s="1094">
        <v>0.98731112666157206</v>
      </c>
      <c r="H2045" s="1094">
        <v>1.0212139022216626</v>
      </c>
      <c r="I2045" s="1094">
        <v>1.0096427645156141</v>
      </c>
      <c r="K2045">
        <v>4.4907583753660525</v>
      </c>
      <c r="L2045">
        <v>0</v>
      </c>
      <c r="M2045">
        <v>1.4590684567003841E-3</v>
      </c>
      <c r="N2045">
        <v>0.12711824993672532</v>
      </c>
      <c r="O2045">
        <v>3.7657420260001698E-2</v>
      </c>
      <c r="P2045">
        <v>1.9206207164377685E-2</v>
      </c>
      <c r="Q2045">
        <v>1.2784926781627898E-3</v>
      </c>
      <c r="R2045">
        <v>1.4532221400096769E-3</v>
      </c>
      <c r="S2045">
        <v>0.23011089693813441</v>
      </c>
      <c r="T2045">
        <v>3.9755916965566889</v>
      </c>
      <c r="U2045">
        <v>0</v>
      </c>
      <c r="V2045">
        <v>9.4523053561131939E-3</v>
      </c>
      <c r="W2045">
        <v>7.5605212462886776E-2</v>
      </c>
      <c r="X2045">
        <v>1.0636823613720491E-2</v>
      </c>
      <c r="Y2045">
        <v>4.1069167159291983E-3</v>
      </c>
    </row>
    <row r="2046" spans="1:25" x14ac:dyDescent="0.25">
      <c r="A2046" s="1090"/>
      <c r="B2046" s="1448">
        <v>1796</v>
      </c>
      <c r="C2046" s="1094">
        <v>0.98386298161088648</v>
      </c>
      <c r="D2046" s="1094">
        <v>0.9880152821834387</v>
      </c>
      <c r="E2046" s="1094">
        <v>1.0231108936195192</v>
      </c>
      <c r="F2046" s="1094">
        <v>0.97925697158828517</v>
      </c>
      <c r="G2046" s="1094">
        <v>1.019245252903862</v>
      </c>
      <c r="H2046" s="1094">
        <v>1.0424204573088307</v>
      </c>
      <c r="I2046" s="1094">
        <v>0.98359937697217781</v>
      </c>
      <c r="K2046">
        <v>4.4117977756098972</v>
      </c>
      <c r="L2046">
        <v>0</v>
      </c>
      <c r="M2046">
        <v>1.4526984871112716E-3</v>
      </c>
      <c r="N2046">
        <v>0.13463279552523683</v>
      </c>
      <c r="O2046">
        <v>3.823758777087833E-2</v>
      </c>
      <c r="P2046">
        <v>1.908395275705338E-2</v>
      </c>
      <c r="Q2046">
        <v>1.3578088780100937E-3</v>
      </c>
      <c r="R2046">
        <v>1.4468616874317192E-3</v>
      </c>
      <c r="S2046">
        <v>0.23203053530478707</v>
      </c>
      <c r="T2046">
        <v>3.8828830624346442</v>
      </c>
      <c r="U2046">
        <v>0</v>
      </c>
      <c r="V2046">
        <v>9.4523053561131869E-3</v>
      </c>
      <c r="W2046">
        <v>7.8961801310092727E-2</v>
      </c>
      <c r="X2046">
        <v>1.1074821481414631E-2</v>
      </c>
      <c r="Y2046">
        <v>4.0889415913463057E-3</v>
      </c>
    </row>
    <row r="2047" spans="1:25" x14ac:dyDescent="0.25">
      <c r="A2047" s="1090"/>
      <c r="B2047" s="1448">
        <v>1797</v>
      </c>
      <c r="C2047" s="1094">
        <v>0.98473846380828256</v>
      </c>
      <c r="D2047" s="1094">
        <v>1.0292733090256929</v>
      </c>
      <c r="E2047" s="1094">
        <v>1.0398493551322374</v>
      </c>
      <c r="F2047" s="1094">
        <v>1.0296908373442299</v>
      </c>
      <c r="G2047" s="1094">
        <v>0.97562332941347107</v>
      </c>
      <c r="H2047" s="1094">
        <v>0.99940031659601769</v>
      </c>
      <c r="I2047" s="1094">
        <v>1.0051357604266491</v>
      </c>
      <c r="K2047">
        <v>4.6211950291497566</v>
      </c>
      <c r="L2047">
        <v>0</v>
      </c>
      <c r="M2047">
        <v>1.3890506700938625E-3</v>
      </c>
      <c r="N2047">
        <v>0.13526832759472168</v>
      </c>
      <c r="O2047">
        <v>3.9399829220127032E-2</v>
      </c>
      <c r="P2047">
        <v>2.0281940369350989E-2</v>
      </c>
      <c r="Q2047">
        <v>1.3534821635676545E-3</v>
      </c>
      <c r="R2047">
        <v>1.3835133483177961E-3</v>
      </c>
      <c r="S2047">
        <v>0.23875531462211</v>
      </c>
      <c r="T2047">
        <v>4.0822138036268054</v>
      </c>
      <c r="U2047">
        <v>0</v>
      </c>
      <c r="V2047">
        <v>9.4523053561131991E-3</v>
      </c>
      <c r="W2047">
        <v>7.8460754444219849E-2</v>
      </c>
      <c r="X2047">
        <v>1.2104894725920018E-2</v>
      </c>
      <c r="Y2047">
        <v>3.9099143485934618E-3</v>
      </c>
    </row>
    <row r="2048" spans="1:25" x14ac:dyDescent="0.25">
      <c r="A2048" s="1090"/>
      <c r="B2048" s="1448">
        <v>1798</v>
      </c>
      <c r="C2048" s="1094">
        <v>1.0025958017840209</v>
      </c>
      <c r="D2048" s="1094">
        <v>0.96546671544315199</v>
      </c>
      <c r="E2048" s="1094">
        <v>1.0252607908987756</v>
      </c>
      <c r="F2048" s="1094">
        <v>0.99919547183133539</v>
      </c>
      <c r="G2048" s="1094">
        <v>1.0273137468692226</v>
      </c>
      <c r="H2048" s="1094">
        <v>1.0399283789060267</v>
      </c>
      <c r="I2048" s="1094">
        <v>0.97435489609871118</v>
      </c>
      <c r="K2048">
        <v>4.4918696660106612</v>
      </c>
      <c r="L2048">
        <v>0</v>
      </c>
      <c r="M2048">
        <v>1.4578043045637736E-3</v>
      </c>
      <c r="N2048">
        <v>0.13597743521795308</v>
      </c>
      <c r="O2048">
        <v>3.8627380450234422E-2</v>
      </c>
      <c r="P2048">
        <v>1.9470954449948116E-2</v>
      </c>
      <c r="Q2048">
        <v>1.347242994784062E-3</v>
      </c>
      <c r="R2048">
        <v>1.4520496330095839E-3</v>
      </c>
      <c r="S2048">
        <v>0.23009757326125094</v>
      </c>
      <c r="T2048">
        <v>3.9618610130368466</v>
      </c>
      <c r="U2048">
        <v>0</v>
      </c>
      <c r="V2048">
        <v>9.4523053561131904E-3</v>
      </c>
      <c r="W2048">
        <v>7.9636508904506353E-2</v>
      </c>
      <c r="X2048">
        <v>1.1301403888947979E-2</v>
      </c>
      <c r="Y2048">
        <v>4.1036031216302605E-3</v>
      </c>
    </row>
    <row r="2049" spans="1:25" x14ac:dyDescent="0.25">
      <c r="A2049" s="1090"/>
      <c r="B2049" s="1448">
        <v>1799</v>
      </c>
      <c r="C2049" s="1094">
        <v>1.0338850906914401</v>
      </c>
      <c r="D2049" s="1094">
        <v>1.0264049611574588</v>
      </c>
      <c r="E2049" s="1094">
        <v>1.0015935138367282</v>
      </c>
      <c r="F2049" s="1094">
        <v>0.96811076169451549</v>
      </c>
      <c r="G2049" s="1094">
        <v>1.0073300716191551</v>
      </c>
      <c r="H2049" s="1094">
        <v>0.98762989213917163</v>
      </c>
      <c r="I2049" s="1094">
        <v>1.0143532292036712</v>
      </c>
      <c r="K2049">
        <v>4.3227697975974273</v>
      </c>
      <c r="L2049">
        <v>0</v>
      </c>
      <c r="M2049">
        <v>1.3345453476451999E-3</v>
      </c>
      <c r="N2049">
        <v>0.11601845503829458</v>
      </c>
      <c r="O2049">
        <v>3.5566182470456773E-2</v>
      </c>
      <c r="P2049">
        <v>1.8528543718189714E-2</v>
      </c>
      <c r="Q2049">
        <v>1.2494896165147716E-3</v>
      </c>
      <c r="R2049">
        <v>1.3288209206408913E-3</v>
      </c>
      <c r="S2049">
        <v>0.21941916537666864</v>
      </c>
      <c r="T2049">
        <v>3.8394753352368518</v>
      </c>
      <c r="U2049">
        <v>0</v>
      </c>
      <c r="V2049">
        <v>9.4523053561131817E-3</v>
      </c>
      <c r="W2049">
        <v>6.9032987334001275E-2</v>
      </c>
      <c r="X2049">
        <v>1.0277708504934389E-2</v>
      </c>
      <c r="Y2049">
        <v>3.7553493724092053E-3</v>
      </c>
    </row>
    <row r="2050" spans="1:25" x14ac:dyDescent="0.25">
      <c r="A2050" s="1090"/>
      <c r="B2050" s="1448">
        <v>1800</v>
      </c>
      <c r="C2050" s="1094">
        <v>1.0000466965147412</v>
      </c>
      <c r="D2050" s="1094">
        <v>1.0160932709853634</v>
      </c>
      <c r="E2050" s="1094">
        <v>0.96190083385363356</v>
      </c>
      <c r="F2050" s="1094">
        <v>0.98194171727938351</v>
      </c>
      <c r="G2050" s="1094">
        <v>0.99566772364689859</v>
      </c>
      <c r="H2050" s="1094">
        <v>1.018057600763808</v>
      </c>
      <c r="I2050" s="1094">
        <v>1.0007502202158922</v>
      </c>
      <c r="K2050">
        <v>4.4013762005157346</v>
      </c>
      <c r="L2050">
        <v>0</v>
      </c>
      <c r="M2050">
        <v>1.5741667442360336E-3</v>
      </c>
      <c r="N2050">
        <v>0.12166906606429959</v>
      </c>
      <c r="O2050">
        <v>3.7710944214820588E-2</v>
      </c>
      <c r="P2050">
        <v>1.8270503138254967E-2</v>
      </c>
      <c r="Q2050">
        <v>1.2531166711348624E-3</v>
      </c>
      <c r="R2050">
        <v>1.5677081716213806E-3</v>
      </c>
      <c r="S2050">
        <v>0.22889017540995155</v>
      </c>
      <c r="T2050">
        <v>3.8958256069730317</v>
      </c>
      <c r="U2050">
        <v>0</v>
      </c>
      <c r="V2050">
        <v>9.4523053561131939E-3</v>
      </c>
      <c r="W2050">
        <v>7.4388655572594914E-2</v>
      </c>
      <c r="X2050">
        <v>9.4918227062846996E-3</v>
      </c>
      <c r="Y2050">
        <v>4.4304629818589028E-3</v>
      </c>
    </row>
    <row r="2051" spans="1:25" x14ac:dyDescent="0.25">
      <c r="A2051" s="1090"/>
      <c r="B2051" s="1448">
        <v>1801</v>
      </c>
      <c r="C2051" s="1094">
        <v>0.95925193818925403</v>
      </c>
      <c r="D2051" s="1094">
        <v>1.0193363723442321</v>
      </c>
      <c r="E2051" s="1094">
        <v>1.0286041330159938</v>
      </c>
      <c r="F2051" s="1094">
        <v>0.99929829482756882</v>
      </c>
      <c r="G2051" s="1094">
        <v>0.98772972529079428</v>
      </c>
      <c r="H2051" s="1094">
        <v>0.99771197788822563</v>
      </c>
      <c r="I2051" s="1094">
        <v>1.0121259750848173</v>
      </c>
      <c r="K2051">
        <v>4.5020064911781397</v>
      </c>
      <c r="L2051">
        <v>0</v>
      </c>
      <c r="M2051">
        <v>1.4204837722880997E-3</v>
      </c>
      <c r="N2051">
        <v>0.13379037932177301</v>
      </c>
      <c r="O2051">
        <v>3.9485633894641881E-2</v>
      </c>
      <c r="P2051">
        <v>1.9576721609901655E-2</v>
      </c>
      <c r="Q2051">
        <v>1.3817528288811085E-3</v>
      </c>
      <c r="R2051">
        <v>1.4146397572063682E-3</v>
      </c>
      <c r="S2051">
        <v>0.24237324071157881</v>
      </c>
      <c r="T2051">
        <v>3.9621431660013493</v>
      </c>
      <c r="U2051">
        <v>0</v>
      </c>
      <c r="V2051">
        <v>9.4523053561131939E-3</v>
      </c>
      <c r="W2051">
        <v>7.8181967906422928E-2</v>
      </c>
      <c r="X2051">
        <v>1.1629287606055931E-2</v>
      </c>
      <c r="Y2051">
        <v>3.9978799565014668E-3</v>
      </c>
    </row>
    <row r="2052" spans="1:25" x14ac:dyDescent="0.25">
      <c r="A2052" s="1090"/>
      <c r="B2052" s="1448">
        <v>1802</v>
      </c>
      <c r="C2052" s="1094">
        <v>1.0167897394247589</v>
      </c>
      <c r="D2052" s="1094">
        <v>0.98266897758619098</v>
      </c>
      <c r="E2052" s="1094">
        <v>0.99842024876397328</v>
      </c>
      <c r="F2052" s="1094">
        <v>0.98554201533871999</v>
      </c>
      <c r="G2052" s="1094">
        <v>1.0085368322681987</v>
      </c>
      <c r="H2052" s="1094">
        <v>0.97843723816055916</v>
      </c>
      <c r="I2052" s="1094">
        <v>0.99045266923144115</v>
      </c>
      <c r="K2052">
        <v>4.405718421309027</v>
      </c>
      <c r="L2052">
        <v>0</v>
      </c>
      <c r="M2052">
        <v>1.4018372839877679E-3</v>
      </c>
      <c r="N2052">
        <v>0.12073235798492658</v>
      </c>
      <c r="O2052">
        <v>3.7483448425743998E-2</v>
      </c>
      <c r="P2052">
        <v>1.881456324690969E-2</v>
      </c>
      <c r="Q2052">
        <v>1.2893097623070512E-3</v>
      </c>
      <c r="R2052">
        <v>1.3958746247283718E-3</v>
      </c>
      <c r="S2052">
        <v>0.22275124023956186</v>
      </c>
      <c r="T2052">
        <v>3.908725844989791</v>
      </c>
      <c r="U2052">
        <v>0</v>
      </c>
      <c r="V2052">
        <v>9.4523053561131852E-3</v>
      </c>
      <c r="W2052">
        <v>7.1992078413733257E-2</v>
      </c>
      <c r="X2052">
        <v>1.0538387289731997E-2</v>
      </c>
      <c r="Y2052">
        <v>3.9448482594685568E-3</v>
      </c>
    </row>
    <row r="2053" spans="1:25" x14ac:dyDescent="0.25">
      <c r="A2053" s="1090"/>
      <c r="B2053" s="1448">
        <v>1803</v>
      </c>
      <c r="C2053" s="1094">
        <v>0.97842529995889793</v>
      </c>
      <c r="D2053" s="1094">
        <v>0.97598194183935416</v>
      </c>
      <c r="E2053" s="1094">
        <v>0.99378582480347399</v>
      </c>
      <c r="F2053" s="1094">
        <v>0.95534900435279568</v>
      </c>
      <c r="G2053" s="1094">
        <v>0.98749452358324252</v>
      </c>
      <c r="H2053" s="1094">
        <v>1.0036302042906635</v>
      </c>
      <c r="I2053" s="1094">
        <v>0.99385978996292057</v>
      </c>
      <c r="K2053">
        <v>4.2994532655999222</v>
      </c>
      <c r="L2053">
        <v>0</v>
      </c>
      <c r="M2053">
        <v>1.4669256705542096E-3</v>
      </c>
      <c r="N2053">
        <v>0.12461162153733553</v>
      </c>
      <c r="O2053">
        <v>3.7894449954040933E-2</v>
      </c>
      <c r="P2053">
        <v>1.824034938594906E-2</v>
      </c>
      <c r="Q2053">
        <v>1.3381897580807248E-3</v>
      </c>
      <c r="R2053">
        <v>1.4606513642842244E-3</v>
      </c>
      <c r="S2053">
        <v>0.2298864504014122</v>
      </c>
      <c r="T2053">
        <v>3.7891472589565782</v>
      </c>
      <c r="U2053">
        <v>0</v>
      </c>
      <c r="V2053">
        <v>9.4523053561131973E-3</v>
      </c>
      <c r="W2053">
        <v>7.4538992099205559E-2</v>
      </c>
      <c r="X2053">
        <v>1.0222010186551354E-2</v>
      </c>
      <c r="Y2053">
        <v>4.1279122709235111E-3</v>
      </c>
    </row>
    <row r="2054" spans="1:25" x14ac:dyDescent="0.25">
      <c r="A2054" s="1090"/>
      <c r="B2054" s="1448">
        <v>1804</v>
      </c>
      <c r="C2054" s="1094">
        <v>0.96620596650258983</v>
      </c>
      <c r="D2054" s="1094">
        <v>0.99715575744202301</v>
      </c>
      <c r="E2054" s="1094">
        <v>1.0024214875734387</v>
      </c>
      <c r="F2054" s="1094">
        <v>0.99978663536606616</v>
      </c>
      <c r="G2054" s="1094">
        <v>1.0007595411851065</v>
      </c>
      <c r="H2054" s="1094">
        <v>0.99119671162392076</v>
      </c>
      <c r="I2054" s="1094">
        <v>0.97946064870866612</v>
      </c>
      <c r="K2054">
        <v>4.4916722919993148</v>
      </c>
      <c r="L2054">
        <v>0</v>
      </c>
      <c r="M2054">
        <v>1.4944806822144105E-3</v>
      </c>
      <c r="N2054">
        <v>0.13026113910289733</v>
      </c>
      <c r="O2054">
        <v>3.9753926646442818E-2</v>
      </c>
      <c r="P2054">
        <v>1.9178711995194355E-2</v>
      </c>
      <c r="Q2054">
        <v>1.3535219004476419E-3</v>
      </c>
      <c r="R2054">
        <v>1.4882948322712101E-3</v>
      </c>
      <c r="S2054">
        <v>0.23399104619228372</v>
      </c>
      <c r="T2054">
        <v>3.9650686583583448</v>
      </c>
      <c r="U2054">
        <v>0</v>
      </c>
      <c r="V2054">
        <v>9.4523053561131869E-3</v>
      </c>
      <c r="W2054">
        <v>7.746432806690462E-2</v>
      </c>
      <c r="X2054">
        <v>1.0948805408697986E-2</v>
      </c>
      <c r="Y2054">
        <v>4.2060348219336756E-3</v>
      </c>
    </row>
    <row r="2055" spans="1:25" x14ac:dyDescent="0.25">
      <c r="A2055" s="1090"/>
      <c r="B2055" s="1448">
        <v>1805</v>
      </c>
      <c r="C2055" s="1094">
        <v>1.0087427474697832</v>
      </c>
      <c r="D2055" s="1094">
        <v>1.0088032452297919</v>
      </c>
      <c r="E2055" s="1094">
        <v>1.0113792565999076</v>
      </c>
      <c r="F2055" s="1094">
        <v>1.0115437255423896</v>
      </c>
      <c r="G2055" s="1094">
        <v>0.99316864650320402</v>
      </c>
      <c r="H2055" s="1094">
        <v>1.0305512763544771</v>
      </c>
      <c r="I2055" s="1094">
        <v>1.0177472609500662</v>
      </c>
      <c r="K2055">
        <v>4.5414810208679013</v>
      </c>
      <c r="L2055">
        <v>0</v>
      </c>
      <c r="M2055">
        <v>1.4707103663587761E-3</v>
      </c>
      <c r="N2055">
        <v>0.13166237793646385</v>
      </c>
      <c r="O2055">
        <v>3.8285286963676807E-2</v>
      </c>
      <c r="P2055">
        <v>1.9532260269625998E-2</v>
      </c>
      <c r="Q2055">
        <v>1.3003393754875E-3</v>
      </c>
      <c r="R2055">
        <v>1.4649231482284041E-3</v>
      </c>
      <c r="S2055">
        <v>0.23694722996391798</v>
      </c>
      <c r="T2055">
        <v>4.0113523860138285</v>
      </c>
      <c r="U2055">
        <v>0</v>
      </c>
      <c r="V2055">
        <v>9.4523053561132026E-3</v>
      </c>
      <c r="W2055">
        <v>7.782721448308251E-2</v>
      </c>
      <c r="X2055">
        <v>1.0987423065346892E-2</v>
      </c>
      <c r="Y2055">
        <v>4.1399846584850375E-3</v>
      </c>
    </row>
    <row r="2056" spans="1:25" x14ac:dyDescent="0.25">
      <c r="A2056" s="1090"/>
      <c r="B2056" s="1448">
        <v>1806</v>
      </c>
      <c r="C2056" s="1094">
        <v>1.0173951691673435</v>
      </c>
      <c r="D2056" s="1094">
        <v>1.0173661496622797</v>
      </c>
      <c r="E2056" s="1094">
        <v>1.0253052662306814</v>
      </c>
      <c r="F2056" s="1094">
        <v>1.0111403784773523</v>
      </c>
      <c r="G2056" s="1094">
        <v>1.0058951112357082</v>
      </c>
      <c r="H2056" s="1094">
        <v>1.0037644126840992</v>
      </c>
      <c r="I2056" s="1094">
        <v>1.038364047092839</v>
      </c>
      <c r="K2056">
        <v>4.5328028257317827</v>
      </c>
      <c r="L2056">
        <v>0</v>
      </c>
      <c r="M2056">
        <v>1.3739372984974572E-3</v>
      </c>
      <c r="N2056">
        <v>0.12815944600513912</v>
      </c>
      <c r="O2056">
        <v>3.7721850573201224E-2</v>
      </c>
      <c r="P2056">
        <v>1.9722779214884533E-2</v>
      </c>
      <c r="Q2056">
        <v>1.3001768949551869E-3</v>
      </c>
      <c r="R2056">
        <v>1.3683843975368112E-3</v>
      </c>
      <c r="S2056">
        <v>0.2369372004891416</v>
      </c>
      <c r="T2056">
        <v>4.0092214859068367</v>
      </c>
      <c r="U2056">
        <v>0</v>
      </c>
      <c r="V2056">
        <v>9.4523053561131887E-3</v>
      </c>
      <c r="W2056">
        <v>7.5055609469866988E-2</v>
      </c>
      <c r="X2056">
        <v>1.1370365943958113E-2</v>
      </c>
      <c r="Y2056">
        <v>3.8671587786456465E-3</v>
      </c>
    </row>
    <row r="2057" spans="1:25" x14ac:dyDescent="0.25">
      <c r="A2057" s="1090"/>
      <c r="B2057" s="1448">
        <v>1807</v>
      </c>
      <c r="C2057" s="1094">
        <v>1.0040940651150083</v>
      </c>
      <c r="D2057" s="1094">
        <v>0.99208856811639268</v>
      </c>
      <c r="E2057" s="1094">
        <v>0.99649705611125938</v>
      </c>
      <c r="F2057" s="1094">
        <v>0.98739387602512019</v>
      </c>
      <c r="G2057" s="1094">
        <v>1.0068281800987324</v>
      </c>
      <c r="H2057" s="1094">
        <v>0.98404701524351945</v>
      </c>
      <c r="I2057" s="1094">
        <v>0.96815277488778295</v>
      </c>
      <c r="K2057">
        <v>4.4143495002247146</v>
      </c>
      <c r="L2057">
        <v>0</v>
      </c>
      <c r="M2057">
        <v>1.4307050215581344E-3</v>
      </c>
      <c r="N2057">
        <v>0.12252225208122797</v>
      </c>
      <c r="O2057">
        <v>3.7896888113251904E-2</v>
      </c>
      <c r="P2057">
        <v>1.8811117802272664E-2</v>
      </c>
      <c r="Q2057">
        <v>1.2984934629158289E-3</v>
      </c>
      <c r="R2057">
        <v>1.4246655670290028E-3</v>
      </c>
      <c r="S2057">
        <v>0.22052762076410928</v>
      </c>
      <c r="T2057">
        <v>3.9161428523628934</v>
      </c>
      <c r="U2057">
        <v>0</v>
      </c>
      <c r="V2057">
        <v>9.4523053561131973E-3</v>
      </c>
      <c r="W2057">
        <v>7.3154574133005482E-2</v>
      </c>
      <c r="X2057">
        <v>1.0523221942958067E-2</v>
      </c>
      <c r="Y2057">
        <v>4.0262136604946024E-3</v>
      </c>
    </row>
    <row r="2058" spans="1:25" x14ac:dyDescent="0.25">
      <c r="A2058" s="1090"/>
      <c r="B2058" s="1448">
        <v>1808</v>
      </c>
      <c r="C2058" s="1094">
        <v>0.99190238767377137</v>
      </c>
      <c r="D2058" s="1094">
        <v>0.99179570650880144</v>
      </c>
      <c r="E2058" s="1094">
        <v>1.0136202668304732</v>
      </c>
      <c r="F2058" s="1094">
        <v>0.98448037300961555</v>
      </c>
      <c r="G2058" s="1094">
        <v>0.96546506763626594</v>
      </c>
      <c r="H2058" s="1094">
        <v>1.0059126109497287</v>
      </c>
      <c r="I2058" s="1094">
        <v>1.0123484312504833</v>
      </c>
      <c r="K2058">
        <v>4.4255561070551614</v>
      </c>
      <c r="L2058">
        <v>0</v>
      </c>
      <c r="M2058">
        <v>1.4239680802254663E-3</v>
      </c>
      <c r="N2058">
        <v>0.12829971883467373</v>
      </c>
      <c r="O2058">
        <v>3.8136840967343093E-2</v>
      </c>
      <c r="P2058">
        <v>1.9060500278058341E-2</v>
      </c>
      <c r="Q2058">
        <v>1.3339802961500355E-3</v>
      </c>
      <c r="R2058">
        <v>1.4180703963196067E-3</v>
      </c>
      <c r="S2058">
        <v>0.23465906130446063</v>
      </c>
      <c r="T2058">
        <v>3.9039471347302337</v>
      </c>
      <c r="U2058">
        <v>0</v>
      </c>
      <c r="V2058">
        <v>9.4523053561131973E-3</v>
      </c>
      <c r="W2058">
        <v>7.5725690720113939E-2</v>
      </c>
      <c r="X2058">
        <v>1.0939197047366823E-2</v>
      </c>
      <c r="Y2058">
        <v>4.0075752045523839E-3</v>
      </c>
    </row>
    <row r="2059" spans="1:25" x14ac:dyDescent="0.25">
      <c r="A2059" s="1090"/>
      <c r="B2059" s="1448">
        <v>1809</v>
      </c>
      <c r="C2059" s="1094">
        <v>1.0213195274821041</v>
      </c>
      <c r="D2059" s="1094">
        <v>1.0199114820781163</v>
      </c>
      <c r="E2059" s="1094">
        <v>0.98850492578649607</v>
      </c>
      <c r="F2059" s="1094">
        <v>0.97754930707036558</v>
      </c>
      <c r="G2059" s="1094">
        <v>1.0055309228554621</v>
      </c>
      <c r="H2059" s="1094">
        <v>0.98515482022591594</v>
      </c>
      <c r="I2059" s="1094">
        <v>1.0053928287127301</v>
      </c>
      <c r="K2059">
        <v>4.3667351889522843</v>
      </c>
      <c r="L2059">
        <v>0</v>
      </c>
      <c r="M2059">
        <v>1.4022134610527776E-3</v>
      </c>
      <c r="N2059">
        <v>0.11726614597126608</v>
      </c>
      <c r="O2059">
        <v>3.6532460739161249E-2</v>
      </c>
      <c r="P2059">
        <v>1.852985697714098E-2</v>
      </c>
      <c r="Q2059">
        <v>1.2538880752899983E-3</v>
      </c>
      <c r="R2059">
        <v>1.396241641207815E-3</v>
      </c>
      <c r="S2059">
        <v>0.2218441967030769</v>
      </c>
      <c r="T2059">
        <v>3.8773965135038519</v>
      </c>
      <c r="U2059">
        <v>0</v>
      </c>
      <c r="V2059">
        <v>9.4523053561132026E-3</v>
      </c>
      <c r="W2059">
        <v>7.0397472580488687E-2</v>
      </c>
      <c r="X2059">
        <v>1.0122435389673796E-2</v>
      </c>
      <c r="Y2059">
        <v>3.9458854760598466E-3</v>
      </c>
    </row>
    <row r="2060" spans="1:25" x14ac:dyDescent="0.25">
      <c r="A2060" s="1090"/>
      <c r="B2060" s="1448">
        <v>1810</v>
      </c>
      <c r="C2060" s="1094">
        <v>1.0299315915461131</v>
      </c>
      <c r="D2060" s="1094">
        <v>1.0103707143804352</v>
      </c>
      <c r="E2060" s="1094">
        <v>0.98697618420089361</v>
      </c>
      <c r="F2060" s="1094">
        <v>1.0086475158476753</v>
      </c>
      <c r="G2060" s="1094">
        <v>1.0268794555020881</v>
      </c>
      <c r="H2060" s="1094">
        <v>0.9794315259134293</v>
      </c>
      <c r="I2060" s="1094">
        <v>1.0291333917051426</v>
      </c>
      <c r="K2060">
        <v>4.5042149357234047</v>
      </c>
      <c r="L2060">
        <v>0</v>
      </c>
      <c r="M2060">
        <v>1.4361828816756481E-3</v>
      </c>
      <c r="N2060">
        <v>0.11957649218222838</v>
      </c>
      <c r="O2060">
        <v>3.7530458405736343E-2</v>
      </c>
      <c r="P2060">
        <v>1.9102138943660401E-2</v>
      </c>
      <c r="Q2060">
        <v>1.2464396492284967E-3</v>
      </c>
      <c r="R2060">
        <v>1.4302195611747134E-3</v>
      </c>
      <c r="S2060">
        <v>0.23021159830972665</v>
      </c>
      <c r="T2060">
        <v>4.0008049493903366</v>
      </c>
      <c r="U2060">
        <v>0</v>
      </c>
      <c r="V2060">
        <v>9.4523053561131904E-3</v>
      </c>
      <c r="W2060">
        <v>7.1859254540159373E-2</v>
      </c>
      <c r="X2060">
        <v>1.0395352594740063E-2</v>
      </c>
      <c r="Y2060">
        <v>4.0419096719777727E-3</v>
      </c>
    </row>
    <row r="2061" spans="1:25" x14ac:dyDescent="0.25">
      <c r="A2061" s="1090"/>
      <c r="B2061" s="1448">
        <v>1811</v>
      </c>
      <c r="C2061" s="1094">
        <v>0.97353111921125213</v>
      </c>
      <c r="D2061" s="1094">
        <v>1.0001179954776358</v>
      </c>
      <c r="E2061" s="1094">
        <v>1.0175497585816162</v>
      </c>
      <c r="F2061" s="1094">
        <v>1.0317571519600361</v>
      </c>
      <c r="G2061" s="1094">
        <v>1.0167554690079321</v>
      </c>
      <c r="H2061" s="1094">
        <v>1.0217599931223624</v>
      </c>
      <c r="I2061" s="1094">
        <v>0.96586603025971074</v>
      </c>
      <c r="K2061">
        <v>4.6356701030660217</v>
      </c>
      <c r="L2061">
        <v>0</v>
      </c>
      <c r="M2061">
        <v>1.5263053418222059E-3</v>
      </c>
      <c r="N2061">
        <v>0.13916392336969022</v>
      </c>
      <c r="O2061">
        <v>4.0557937273795031E-2</v>
      </c>
      <c r="P2061">
        <v>1.9985553014028934E-2</v>
      </c>
      <c r="Q2061">
        <v>1.3591427321024195E-3</v>
      </c>
      <c r="R2061">
        <v>1.5203658879845866E-3</v>
      </c>
      <c r="S2061">
        <v>0.23611054393585296</v>
      </c>
      <c r="T2061">
        <v>4.0912695212260104</v>
      </c>
      <c r="U2061">
        <v>0</v>
      </c>
      <c r="V2061">
        <v>9.4523053561132026E-3</v>
      </c>
      <c r="W2061">
        <v>8.1922442829210879E-2</v>
      </c>
      <c r="X2061">
        <v>1.1558002709165691E-2</v>
      </c>
      <c r="Y2061">
        <v>4.2966700738889512E-3</v>
      </c>
    </row>
    <row r="2062" spans="1:25" x14ac:dyDescent="0.25">
      <c r="A2062" s="1090"/>
      <c r="B2062" s="1448">
        <v>1812</v>
      </c>
      <c r="C2062" s="1094">
        <v>1.0189887037451659</v>
      </c>
      <c r="D2062" s="1094">
        <v>1.008891580515054</v>
      </c>
      <c r="E2062" s="1094">
        <v>1.0261463969273807</v>
      </c>
      <c r="F2062" s="1094">
        <v>0.9628546571178539</v>
      </c>
      <c r="G2062" s="1094">
        <v>0.96783853319048885</v>
      </c>
      <c r="H2062" s="1094">
        <v>0.99902780256344037</v>
      </c>
      <c r="I2062" s="1094">
        <v>0.99215809940570487</v>
      </c>
      <c r="K2062">
        <v>4.3097196446183847</v>
      </c>
      <c r="L2062">
        <v>0</v>
      </c>
      <c r="M2062">
        <v>1.3024211248995733E-3</v>
      </c>
      <c r="N2062">
        <v>0.12176393070427596</v>
      </c>
      <c r="O2062">
        <v>3.5979059949677802E-2</v>
      </c>
      <c r="P2062">
        <v>1.8763287856243014E-2</v>
      </c>
      <c r="Q2062">
        <v>1.3034184434261185E-3</v>
      </c>
      <c r="R2062">
        <v>1.2968682097350098E-3</v>
      </c>
      <c r="S2062">
        <v>0.2189130369175146</v>
      </c>
      <c r="T2062">
        <v>3.8177357668671861</v>
      </c>
      <c r="U2062">
        <v>0</v>
      </c>
      <c r="V2062">
        <v>9.4523053561131973E-3</v>
      </c>
      <c r="W2062">
        <v>7.1270295017194438E-2</v>
      </c>
      <c r="X2062">
        <v>1.0879047849999065E-2</v>
      </c>
      <c r="Y2062">
        <v>3.6650485719151079E-3</v>
      </c>
    </row>
    <row r="2063" spans="1:25" x14ac:dyDescent="0.25">
      <c r="A2063" s="1090"/>
      <c r="B2063" s="1448">
        <v>1813</v>
      </c>
      <c r="C2063" s="1094">
        <v>1.0296811900875817</v>
      </c>
      <c r="D2063" s="1094">
        <v>1.0057040172050835</v>
      </c>
      <c r="E2063" s="1094">
        <v>0.97673100907283317</v>
      </c>
      <c r="F2063" s="1094">
        <v>0.97653405711341401</v>
      </c>
      <c r="G2063" s="1094">
        <v>1.0002091042250925</v>
      </c>
      <c r="H2063" s="1094">
        <v>0.9624808769721005</v>
      </c>
      <c r="I2063" s="1094">
        <v>1.0097114462438814</v>
      </c>
      <c r="K2063">
        <v>4.3546475174428192</v>
      </c>
      <c r="L2063">
        <v>0</v>
      </c>
      <c r="M2063">
        <v>1.3992238551572118E-3</v>
      </c>
      <c r="N2063">
        <v>0.11298734401742493</v>
      </c>
      <c r="O2063">
        <v>3.6478120463030804E-2</v>
      </c>
      <c r="P2063">
        <v>1.834177249867024E-2</v>
      </c>
      <c r="Q2063">
        <v>1.2380078839394008E-3</v>
      </c>
      <c r="R2063">
        <v>1.3931180698809244E-3</v>
      </c>
      <c r="S2063">
        <v>0.22013578985204832</v>
      </c>
      <c r="T2063">
        <v>3.8738111338124295</v>
      </c>
      <c r="U2063">
        <v>0</v>
      </c>
      <c r="V2063">
        <v>9.4523053561131973E-3</v>
      </c>
      <c r="W2063">
        <v>6.8377197711025947E-2</v>
      </c>
      <c r="X2063">
        <v>9.8948936083897154E-3</v>
      </c>
      <c r="Y2063">
        <v>3.9370580250166643E-3</v>
      </c>
    </row>
    <row r="2064" spans="1:25" x14ac:dyDescent="0.25">
      <c r="A2064" s="1090"/>
      <c r="B2064" s="1448">
        <v>1814</v>
      </c>
      <c r="C2064" s="1094">
        <v>0.97646868791222785</v>
      </c>
      <c r="D2064" s="1094">
        <v>1.0185698164739763</v>
      </c>
      <c r="E2064" s="1094">
        <v>0.97955519343862463</v>
      </c>
      <c r="F2064" s="1094">
        <v>1.0021374984226932</v>
      </c>
      <c r="G2064" s="1094">
        <v>1.0010772785949473</v>
      </c>
      <c r="H2064" s="1094">
        <v>1.0332702844261192</v>
      </c>
      <c r="I2064" s="1094">
        <v>1.0361393098914182</v>
      </c>
      <c r="K2064">
        <v>4.5160988560784965</v>
      </c>
      <c r="L2064">
        <v>0</v>
      </c>
      <c r="M2064">
        <v>1.6075497935983526E-3</v>
      </c>
      <c r="N2064">
        <v>0.13095514474847092</v>
      </c>
      <c r="O2064">
        <v>3.9254629491473327E-2</v>
      </c>
      <c r="P2064">
        <v>1.8956543952737402E-2</v>
      </c>
      <c r="Q2064">
        <v>1.3020436626369324E-3</v>
      </c>
      <c r="R2064">
        <v>1.6011817853757435E-3</v>
      </c>
      <c r="S2064">
        <v>0.24711860664841565</v>
      </c>
      <c r="T2064">
        <v>3.975268451074605</v>
      </c>
      <c r="U2064">
        <v>0</v>
      </c>
      <c r="V2064">
        <v>9.4523053561131852E-3</v>
      </c>
      <c r="W2064">
        <v>7.9097483224793416E-2</v>
      </c>
      <c r="X2064">
        <v>1.0174953957555279E-2</v>
      </c>
      <c r="Y2064">
        <v>4.5250619699182459E-3</v>
      </c>
    </row>
    <row r="2065" spans="1:25" x14ac:dyDescent="0.25">
      <c r="A2065" s="1090"/>
      <c r="B2065" s="1448">
        <v>1815</v>
      </c>
      <c r="C2065" s="1094">
        <v>1.0345899398143255</v>
      </c>
      <c r="D2065" s="1094">
        <v>0.99959759049623809</v>
      </c>
      <c r="E2065" s="1094">
        <v>0.98308061228715582</v>
      </c>
      <c r="F2065" s="1094">
        <v>1.0003312788283756</v>
      </c>
      <c r="G2065" s="1094">
        <v>0.97854198507091827</v>
      </c>
      <c r="H2065" s="1094">
        <v>0.99454969107553737</v>
      </c>
      <c r="I2065" s="1094">
        <v>0.97845391204765209</v>
      </c>
      <c r="K2065">
        <v>4.4597557772147942</v>
      </c>
      <c r="L2065">
        <v>0</v>
      </c>
      <c r="M2065">
        <v>1.4579349394986819E-3</v>
      </c>
      <c r="N2065">
        <v>0.11999650225118466</v>
      </c>
      <c r="O2065">
        <v>3.7238456043374717E-2</v>
      </c>
      <c r="P2065">
        <v>1.8845736552165447E-2</v>
      </c>
      <c r="Q2065">
        <v>1.241966140231014E-3</v>
      </c>
      <c r="R2065">
        <v>1.4519239629573544E-3</v>
      </c>
      <c r="S2065">
        <v>0.2184590211437954</v>
      </c>
      <c r="T2065">
        <v>3.9679680382962936</v>
      </c>
      <c r="U2065">
        <v>0</v>
      </c>
      <c r="V2065">
        <v>9.4523053561131904E-3</v>
      </c>
      <c r="W2065">
        <v>7.2303720346274317E-2</v>
      </c>
      <c r="X2065">
        <v>1.0152794093436649E-2</v>
      </c>
      <c r="Y2065">
        <v>4.103247968468204E-3</v>
      </c>
    </row>
    <row r="2066" spans="1:25" x14ac:dyDescent="0.25">
      <c r="A2066" s="1090"/>
      <c r="B2066" s="1448">
        <v>1816</v>
      </c>
      <c r="C2066" s="1094">
        <v>1.0127019524075243</v>
      </c>
      <c r="D2066" s="1094">
        <v>0.99009204472007473</v>
      </c>
      <c r="E2066" s="1094">
        <v>0.99875162283373364</v>
      </c>
      <c r="F2066" s="1094">
        <v>0.99345354780966089</v>
      </c>
      <c r="G2066" s="1094">
        <v>0.97975884158094628</v>
      </c>
      <c r="H2066" s="1094">
        <v>1.0089076292956547</v>
      </c>
      <c r="I2066" s="1094">
        <v>1.0214807356792692</v>
      </c>
      <c r="K2066">
        <v>4.4565913884944877</v>
      </c>
      <c r="L2066">
        <v>0</v>
      </c>
      <c r="M2066">
        <v>1.4575156883682907E-3</v>
      </c>
      <c r="N2066">
        <v>0.12567128659774274</v>
      </c>
      <c r="O2066">
        <v>3.7820599734863923E-2</v>
      </c>
      <c r="P2066">
        <v>1.9011450821864641E-2</v>
      </c>
      <c r="Q2066">
        <v>1.2909900601594118E-3</v>
      </c>
      <c r="R2066">
        <v>1.4515511180485414E-3</v>
      </c>
      <c r="S2066">
        <v>0.23368420254032907</v>
      </c>
      <c r="T2066">
        <v>3.9400909692245674</v>
      </c>
      <c r="U2066">
        <v>0</v>
      </c>
      <c r="V2066">
        <v>9.4523053561132043E-3</v>
      </c>
      <c r="W2066">
        <v>7.4920338219130245E-2</v>
      </c>
      <c r="X2066">
        <v>1.0553016229743112E-2</v>
      </c>
      <c r="Y2066">
        <v>4.1021942802905373E-3</v>
      </c>
    </row>
    <row r="2067" spans="1:25" x14ac:dyDescent="0.25">
      <c r="A2067" s="1090"/>
      <c r="B2067" s="1448">
        <v>1817</v>
      </c>
      <c r="C2067" s="1094">
        <v>1.0078233895411179</v>
      </c>
      <c r="D2067" s="1094">
        <v>0.98283908383611251</v>
      </c>
      <c r="E2067" s="1094">
        <v>1.0065519102437226</v>
      </c>
      <c r="F2067" s="1094">
        <v>0.97877038403403638</v>
      </c>
      <c r="G2067" s="1094">
        <v>0.9958576617374173</v>
      </c>
      <c r="H2067" s="1094">
        <v>0.99303025208122697</v>
      </c>
      <c r="I2067" s="1094">
        <v>1.0194147920388235</v>
      </c>
      <c r="K2067">
        <v>4.3915698186684624</v>
      </c>
      <c r="L2067">
        <v>0</v>
      </c>
      <c r="M2067">
        <v>1.4012703088154216E-3</v>
      </c>
      <c r="N2067">
        <v>0.1236301932547168</v>
      </c>
      <c r="O2067">
        <v>3.7499868250097282E-2</v>
      </c>
      <c r="P2067">
        <v>1.8843752855216819E-2</v>
      </c>
      <c r="Q2067">
        <v>1.3097722381982264E-3</v>
      </c>
      <c r="R2067">
        <v>1.3953571898224443E-3</v>
      </c>
      <c r="S2067">
        <v>0.23133349342800072</v>
      </c>
      <c r="T2067">
        <v>3.8815663826828675</v>
      </c>
      <c r="U2067">
        <v>0</v>
      </c>
      <c r="V2067">
        <v>9.4523053561131939E-3</v>
      </c>
      <c r="W2067">
        <v>7.3316668206377222E-2</v>
      </c>
      <c r="X2067">
        <v>1.0679909566945775E-2</v>
      </c>
      <c r="Y2067">
        <v>3.9433859489201202E-3</v>
      </c>
    </row>
    <row r="2068" spans="1:25" x14ac:dyDescent="0.25">
      <c r="A2068" s="1090"/>
      <c r="B2068" s="1448">
        <v>1818</v>
      </c>
      <c r="C2068" s="1094">
        <v>1.0309870642455394</v>
      </c>
      <c r="D2068" s="1094">
        <v>1.0129205969914934</v>
      </c>
      <c r="E2068" s="1094">
        <v>0.96906477593814944</v>
      </c>
      <c r="F2068" s="1094">
        <v>1.0179019970808989</v>
      </c>
      <c r="G2068" s="1094">
        <v>1.0322667893196726</v>
      </c>
      <c r="H2068" s="1094">
        <v>1.0126318225049578</v>
      </c>
      <c r="I2068" s="1094">
        <v>1.0248893112641408</v>
      </c>
      <c r="K2068">
        <v>4.5501208979136738</v>
      </c>
      <c r="L2068">
        <v>0</v>
      </c>
      <c r="M2068">
        <v>1.5526734979975391E-3</v>
      </c>
      <c r="N2068">
        <v>0.12260423241250624</v>
      </c>
      <c r="O2068">
        <v>3.7918253387387434E-2</v>
      </c>
      <c r="P2068">
        <v>1.9021596084130725E-2</v>
      </c>
      <c r="Q2068">
        <v>1.224694337240503E-3</v>
      </c>
      <c r="R2068">
        <v>1.5464943219563657E-3</v>
      </c>
      <c r="S2068">
        <v>0.23281038645912897</v>
      </c>
      <c r="T2068">
        <v>4.0382146264740646</v>
      </c>
      <c r="U2068">
        <v>0</v>
      </c>
      <c r="V2068">
        <v>9.4523053561131869E-3</v>
      </c>
      <c r="W2068">
        <v>7.4589745915198027E-2</v>
      </c>
      <c r="X2068">
        <v>9.9207256408414286E-3</v>
      </c>
      <c r="Y2068">
        <v>4.3705110231047652E-3</v>
      </c>
    </row>
    <row r="2069" spans="1:25" x14ac:dyDescent="0.25">
      <c r="A2069" s="1090"/>
      <c r="B2069" s="1448">
        <v>1819</v>
      </c>
      <c r="C2069" s="1094">
        <v>0.99487527097931727</v>
      </c>
      <c r="D2069" s="1094">
        <v>1.0225063281729665</v>
      </c>
      <c r="E2069" s="1094">
        <v>0.97635809223700443</v>
      </c>
      <c r="F2069" s="1094">
        <v>1.0297045982347763</v>
      </c>
      <c r="G2069" s="1094">
        <v>0.97706898028169942</v>
      </c>
      <c r="H2069" s="1094">
        <v>1.0119587007721167</v>
      </c>
      <c r="I2069" s="1094">
        <v>1.0001425569588176</v>
      </c>
      <c r="K2069">
        <v>4.6125064427358087</v>
      </c>
      <c r="L2069">
        <v>0</v>
      </c>
      <c r="M2069">
        <v>1.59582243900377E-3</v>
      </c>
      <c r="N2069">
        <v>0.12877530778292146</v>
      </c>
      <c r="O2069">
        <v>3.9549614628475858E-2</v>
      </c>
      <c r="P2069">
        <v>1.9352673571268249E-2</v>
      </c>
      <c r="Q2069">
        <v>1.2724429873329514E-3</v>
      </c>
      <c r="R2069">
        <v>1.589539871646456E-3</v>
      </c>
      <c r="S2069">
        <v>0.23658527508138918</v>
      </c>
      <c r="T2069">
        <v>4.0847480445421347</v>
      </c>
      <c r="U2069">
        <v>0</v>
      </c>
      <c r="V2069">
        <v>9.4523053561131869E-3</v>
      </c>
      <c r="W2069">
        <v>7.7951650986947188E-2</v>
      </c>
      <c r="X2069">
        <v>1.0333249333680808E-2</v>
      </c>
      <c r="Y2069">
        <v>4.4921610329012127E-3</v>
      </c>
    </row>
    <row r="2070" spans="1:25" x14ac:dyDescent="0.25">
      <c r="A2070" s="1090"/>
      <c r="B2070" s="1448">
        <v>1820</v>
      </c>
      <c r="C2070" s="1094">
        <v>1.026974630921978</v>
      </c>
      <c r="D2070" s="1094">
        <v>1.0028799163508064</v>
      </c>
      <c r="E2070" s="1094">
        <v>1.0080438790157622</v>
      </c>
      <c r="F2070" s="1094">
        <v>1.0011094428402274</v>
      </c>
      <c r="G2070" s="1094">
        <v>1.0382154055546369</v>
      </c>
      <c r="H2070" s="1094">
        <v>1.0090166066457187</v>
      </c>
      <c r="I2070" s="1094">
        <v>0.96969644226434393</v>
      </c>
      <c r="K2070">
        <v>4.4705951894378799</v>
      </c>
      <c r="L2070">
        <v>0</v>
      </c>
      <c r="M2070">
        <v>1.413090292021256E-3</v>
      </c>
      <c r="N2070">
        <v>0.12524510787692977</v>
      </c>
      <c r="O2070">
        <v>3.732780272969826E-2</v>
      </c>
      <c r="P2070">
        <v>1.9213476827583103E-2</v>
      </c>
      <c r="Q2070">
        <v>1.2766346800952655E-3</v>
      </c>
      <c r="R2070">
        <v>1.4073521849228268E-3</v>
      </c>
      <c r="S2070">
        <v>0.21904266290329091</v>
      </c>
      <c r="T2070">
        <v>3.9701010064848465</v>
      </c>
      <c r="U2070">
        <v>0</v>
      </c>
      <c r="V2070">
        <v>9.4523053561131904E-3</v>
      </c>
      <c r="W2070">
        <v>7.419987431975017E-2</v>
      </c>
      <c r="X2070">
        <v>1.0764771645821321E-2</v>
      </c>
      <c r="Y2070">
        <v>3.9772847208483543E-3</v>
      </c>
    </row>
    <row r="2071" spans="1:25" x14ac:dyDescent="0.25">
      <c r="A2071" s="1090"/>
      <c r="B2071" s="1448">
        <v>1821</v>
      </c>
      <c r="C2071" s="1094">
        <v>0.98254686255938251</v>
      </c>
      <c r="D2071" s="1094">
        <v>0.96226884452581218</v>
      </c>
      <c r="E2071" s="1094">
        <v>0.99477557834583308</v>
      </c>
      <c r="F2071" s="1094">
        <v>1.0283984024391295</v>
      </c>
      <c r="G2071" s="1094">
        <v>0.97360591786886663</v>
      </c>
      <c r="H2071" s="1094">
        <v>0.99230405656084786</v>
      </c>
      <c r="I2071" s="1094">
        <v>1.0010669884723189</v>
      </c>
      <c r="K2071">
        <v>4.620298337842617</v>
      </c>
      <c r="L2071">
        <v>0</v>
      </c>
      <c r="M2071">
        <v>1.5598188689515322E-3</v>
      </c>
      <c r="N2071">
        <v>0.13292630872342776</v>
      </c>
      <c r="O2071">
        <v>4.0844234604681978E-2</v>
      </c>
      <c r="P2071">
        <v>1.9623220854199139E-2</v>
      </c>
      <c r="Q2071">
        <v>1.3412816389774104E-3</v>
      </c>
      <c r="R2071">
        <v>1.5535484892684485E-3</v>
      </c>
      <c r="S2071">
        <v>0.24239732082901566</v>
      </c>
      <c r="T2071">
        <v>4.0788401266028975</v>
      </c>
      <c r="U2071">
        <v>0</v>
      </c>
      <c r="V2071">
        <v>9.4523053561132026E-3</v>
      </c>
      <c r="W2071">
        <v>7.9459213532542164E-2</v>
      </c>
      <c r="X2071">
        <v>1.1030149441950597E-2</v>
      </c>
      <c r="Y2071">
        <v>4.3904466384889077E-3</v>
      </c>
    </row>
    <row r="2072" spans="1:25" x14ac:dyDescent="0.25">
      <c r="A2072" s="1090"/>
      <c r="B2072" s="1448">
        <v>1822</v>
      </c>
      <c r="C2072" s="1094">
        <v>0.99155712603845236</v>
      </c>
      <c r="D2072" s="1094">
        <v>0.99685384106353681</v>
      </c>
      <c r="E2072" s="1094">
        <v>0.964958533334482</v>
      </c>
      <c r="F2072" s="1094">
        <v>0.9617306556787002</v>
      </c>
      <c r="G2072" s="1094">
        <v>0.9960261726819869</v>
      </c>
      <c r="H2072" s="1094">
        <v>1.0106502047686547</v>
      </c>
      <c r="I2072" s="1094">
        <v>0.99112086683475642</v>
      </c>
      <c r="K2072">
        <v>4.3158523475098169</v>
      </c>
      <c r="L2072">
        <v>0</v>
      </c>
      <c r="M2072">
        <v>1.5457104570199642E-3</v>
      </c>
      <c r="N2072">
        <v>0.12054580064742722</v>
      </c>
      <c r="O2072">
        <v>3.7516654262224641E-2</v>
      </c>
      <c r="P2072">
        <v>1.7946134596682414E-2</v>
      </c>
      <c r="Q2072">
        <v>1.2769675565563305E-3</v>
      </c>
      <c r="R2072">
        <v>1.539188475380025E-3</v>
      </c>
      <c r="S2072">
        <v>0.22623946737900866</v>
      </c>
      <c r="T2072">
        <v>3.8155248226872844</v>
      </c>
      <c r="U2072">
        <v>0</v>
      </c>
      <c r="V2072">
        <v>9.4523053561131852E-3</v>
      </c>
      <c r="W2072">
        <v>7.3545896489661436E-2</v>
      </c>
      <c r="X2072">
        <v>9.4609563735906423E-3</v>
      </c>
      <c r="Y2072">
        <v>4.3498641429050265E-3</v>
      </c>
    </row>
    <row r="2073" spans="1:25" x14ac:dyDescent="0.25">
      <c r="A2073" s="1090"/>
      <c r="B2073" s="1448">
        <v>1823</v>
      </c>
      <c r="C2073" s="1094">
        <v>0.98380805328818122</v>
      </c>
      <c r="D2073" s="1094">
        <v>0.95411707993027228</v>
      </c>
      <c r="E2073" s="1094">
        <v>0.9715198776199806</v>
      </c>
      <c r="F2073" s="1094">
        <v>1.0210283368660931</v>
      </c>
      <c r="G2073" s="1094">
        <v>1.0197729157991688</v>
      </c>
      <c r="H2073" s="1094">
        <v>0.97803831392224816</v>
      </c>
      <c r="I2073" s="1094">
        <v>0.99864620971586371</v>
      </c>
      <c r="K2073">
        <v>4.5813029408927255</v>
      </c>
      <c r="L2073">
        <v>0</v>
      </c>
      <c r="M2073">
        <v>1.6062322576354789E-3</v>
      </c>
      <c r="N2073">
        <v>0.12774501246679712</v>
      </c>
      <c r="O2073">
        <v>4.0805976864023062E-2</v>
      </c>
      <c r="P2073">
        <v>1.9143369270446221E-2</v>
      </c>
      <c r="Q2073">
        <v>1.3173201488501569E-3</v>
      </c>
      <c r="R2073">
        <v>1.5996340192115988E-3</v>
      </c>
      <c r="S2073">
        <v>0.23981758328499234</v>
      </c>
      <c r="T2073">
        <v>4.0505205825946824</v>
      </c>
      <c r="U2073">
        <v>0</v>
      </c>
      <c r="V2073">
        <v>9.4523053561131939E-3</v>
      </c>
      <c r="W2073">
        <v>7.7585800882099931E-2</v>
      </c>
      <c r="X2073">
        <v>1.0400900398571085E-2</v>
      </c>
      <c r="Y2073">
        <v>4.5206878645720171E-3</v>
      </c>
    </row>
    <row r="2074" spans="1:25" x14ac:dyDescent="0.25">
      <c r="A2074" s="1090"/>
      <c r="B2074" s="1448">
        <v>1824</v>
      </c>
      <c r="C2074" s="1094">
        <v>1.0171310270417822</v>
      </c>
      <c r="D2074" s="1094">
        <v>1.0307871981173815</v>
      </c>
      <c r="E2074" s="1094">
        <v>1.0058661577393115</v>
      </c>
      <c r="F2074" s="1094">
        <v>1.0365750550749058</v>
      </c>
      <c r="G2074" s="1094">
        <v>1.0278043254816389</v>
      </c>
      <c r="H2074" s="1094">
        <v>0.99306667018826866</v>
      </c>
      <c r="I2074" s="1094">
        <v>1.0053255839353732</v>
      </c>
      <c r="K2074">
        <v>4.6295998387273416</v>
      </c>
      <c r="L2074">
        <v>0</v>
      </c>
      <c r="M2074">
        <v>1.4444980521394527E-3</v>
      </c>
      <c r="N2074">
        <v>0.12721544617539388</v>
      </c>
      <c r="O2074">
        <v>3.8613213020489326E-2</v>
      </c>
      <c r="P2074">
        <v>1.9883182803757945E-2</v>
      </c>
      <c r="Q2074">
        <v>1.2725487793970073E-3</v>
      </c>
      <c r="R2074">
        <v>1.4387413031150527E-3</v>
      </c>
      <c r="S2074">
        <v>0.2316702576415339</v>
      </c>
      <c r="T2074">
        <v>4.1108327003548792</v>
      </c>
      <c r="U2074">
        <v>0</v>
      </c>
      <c r="V2074">
        <v>9.4523053561131852E-3</v>
      </c>
      <c r="W2074">
        <v>7.54776657122192E-2</v>
      </c>
      <c r="X2074">
        <v>1.1122282867276449E-2</v>
      </c>
      <c r="Y2074">
        <v>4.0659927653053929E-3</v>
      </c>
    </row>
    <row r="2075" spans="1:25" x14ac:dyDescent="0.25">
      <c r="A2075" s="1090"/>
      <c r="B2075" s="1448">
        <v>1825</v>
      </c>
      <c r="C2075" s="1094">
        <v>1.0164469420007947</v>
      </c>
      <c r="D2075" s="1094">
        <v>1.0145096380682412</v>
      </c>
      <c r="E2075" s="1094">
        <v>1.0085633104718308</v>
      </c>
      <c r="F2075" s="1094">
        <v>0.97606372005013264</v>
      </c>
      <c r="G2075" s="1094">
        <v>1.0057438889190546</v>
      </c>
      <c r="H2075" s="1094">
        <v>0.97815917568365529</v>
      </c>
      <c r="I2075" s="1094">
        <v>1.0094475805956635</v>
      </c>
      <c r="K2075">
        <v>4.3643405457564972</v>
      </c>
      <c r="L2075">
        <v>0</v>
      </c>
      <c r="M2075">
        <v>1.3418990042445846E-3</v>
      </c>
      <c r="N2075">
        <v>0.11909023073619981</v>
      </c>
      <c r="O2075">
        <v>3.659828099243552E-2</v>
      </c>
      <c r="P2075">
        <v>1.8786153270209251E-2</v>
      </c>
      <c r="Q2075">
        <v>1.2844909802789269E-3</v>
      </c>
      <c r="R2075">
        <v>1.3361344586560039E-3</v>
      </c>
      <c r="S2075">
        <v>0.22342764528442757</v>
      </c>
      <c r="T2075">
        <v>3.87075792298775</v>
      </c>
      <c r="U2075">
        <v>0</v>
      </c>
      <c r="V2075">
        <v>9.4523053561131921E-3</v>
      </c>
      <c r="W2075">
        <v>7.0528869563031407E-2</v>
      </c>
      <c r="X2075">
        <v>1.0644393142435508E-2</v>
      </c>
      <c r="Y2075">
        <v>3.7760179892021269E-3</v>
      </c>
    </row>
    <row r="2076" spans="1:25" x14ac:dyDescent="0.25">
      <c r="A2076" s="1090"/>
      <c r="B2076" s="1448">
        <v>1826</v>
      </c>
      <c r="C2076" s="1094">
        <v>0.99872646086977335</v>
      </c>
      <c r="D2076" s="1094">
        <v>1.0330865088229761</v>
      </c>
      <c r="E2076" s="1094">
        <v>1.0248935113746571</v>
      </c>
      <c r="F2076" s="1094">
        <v>0.98363844304063275</v>
      </c>
      <c r="G2076" s="1094">
        <v>0.97001138392510933</v>
      </c>
      <c r="H2076" s="1094">
        <v>0.99229026974049694</v>
      </c>
      <c r="I2076" s="1094">
        <v>1.0129237566573932</v>
      </c>
      <c r="K2076">
        <v>4.4091704376041818</v>
      </c>
      <c r="L2076">
        <v>0</v>
      </c>
      <c r="M2076">
        <v>1.3390738507034008E-3</v>
      </c>
      <c r="N2076">
        <v>0.12473529366923276</v>
      </c>
      <c r="O2076">
        <v>3.7155971758854649E-2</v>
      </c>
      <c r="P2076">
        <v>1.9175701678325139E-2</v>
      </c>
      <c r="Q2076">
        <v>1.3159244658559504E-3</v>
      </c>
      <c r="R2076">
        <v>1.3334468456226215E-3</v>
      </c>
      <c r="S2076">
        <v>0.22916669095213041</v>
      </c>
      <c r="T2076">
        <v>3.9001901884586778</v>
      </c>
      <c r="U2076">
        <v>0</v>
      </c>
      <c r="V2076">
        <v>9.452305356113206E-3</v>
      </c>
      <c r="W2076">
        <v>7.3070270584338834E-2</v>
      </c>
      <c r="X2076">
        <v>1.1145295096146566E-2</v>
      </c>
      <c r="Y2076">
        <v>3.7684225895802397E-3</v>
      </c>
    </row>
    <row r="2077" spans="1:25" x14ac:dyDescent="0.25">
      <c r="A2077" s="1090"/>
      <c r="B2077" s="1448">
        <v>1827</v>
      </c>
      <c r="C2077" s="1094">
        <v>1.0281420256818543</v>
      </c>
      <c r="D2077" s="1094">
        <v>0.99925791488573756</v>
      </c>
      <c r="E2077" s="1094">
        <v>1.0204309465379175</v>
      </c>
      <c r="F2077" s="1094">
        <v>0.95611989430636102</v>
      </c>
      <c r="G2077" s="1094">
        <v>0.99156608742584429</v>
      </c>
      <c r="H2077" s="1094">
        <v>0.96063361516986778</v>
      </c>
      <c r="I2077" s="1094">
        <v>0.99171450027327557</v>
      </c>
      <c r="K2077">
        <v>4.2668842700073792</v>
      </c>
      <c r="L2077">
        <v>0</v>
      </c>
      <c r="M2077">
        <v>1.2523484328815346E-3</v>
      </c>
      <c r="N2077">
        <v>0.11509661268235584</v>
      </c>
      <c r="O2077">
        <v>3.5582113070770353E-2</v>
      </c>
      <c r="P2077">
        <v>1.8539229154122393E-2</v>
      </c>
      <c r="Q2077">
        <v>1.2905379655159439E-3</v>
      </c>
      <c r="R2077">
        <v>1.2467566547770307E-3</v>
      </c>
      <c r="S2077">
        <v>0.21380855148040875</v>
      </c>
      <c r="T2077">
        <v>3.7912380331141624</v>
      </c>
      <c r="U2077">
        <v>0</v>
      </c>
      <c r="V2077">
        <v>9.4523053561131887E-3</v>
      </c>
      <c r="W2077">
        <v>6.7624468263358509E-2</v>
      </c>
      <c r="X2077">
        <v>1.0734581206908005E-2</v>
      </c>
      <c r="Y2077">
        <v>3.5234294917676251E-3</v>
      </c>
    </row>
    <row r="2078" spans="1:25" x14ac:dyDescent="0.25">
      <c r="A2078" s="1090"/>
      <c r="B2078" s="1448">
        <v>1828</v>
      </c>
      <c r="C2078" s="1094">
        <v>0.98567769533196636</v>
      </c>
      <c r="D2078" s="1094">
        <v>1.044462388090952</v>
      </c>
      <c r="E2078" s="1094">
        <v>0.99634357412882402</v>
      </c>
      <c r="F2078" s="1094">
        <v>0.97374428946534874</v>
      </c>
      <c r="G2078" s="1094">
        <v>0.99216340289532257</v>
      </c>
      <c r="H2078" s="1094">
        <v>0.97524648701816641</v>
      </c>
      <c r="I2078" s="1094">
        <v>0.9844861683606374</v>
      </c>
      <c r="K2078">
        <v>4.3559568258107237</v>
      </c>
      <c r="L2078">
        <v>0</v>
      </c>
      <c r="M2078">
        <v>1.3959544665443681E-3</v>
      </c>
      <c r="N2078">
        <v>0.11948022262392294</v>
      </c>
      <c r="O2078">
        <v>3.7296877813228206E-2</v>
      </c>
      <c r="P2078">
        <v>1.8570867844097894E-2</v>
      </c>
      <c r="Q2078">
        <v>1.2956420591394577E-3</v>
      </c>
      <c r="R2078">
        <v>1.3899255324184533E-3</v>
      </c>
      <c r="S2078">
        <v>0.22217434572048195</v>
      </c>
      <c r="T2078">
        <v>3.8620123753768003</v>
      </c>
      <c r="U2078">
        <v>0</v>
      </c>
      <c r="V2078">
        <v>9.4523053561131887E-3</v>
      </c>
      <c r="W2078">
        <v>7.1345682944934527E-2</v>
      </c>
      <c r="X2078">
        <v>1.0406499335721162E-2</v>
      </c>
      <c r="Y2078">
        <v>3.9280356704090155E-3</v>
      </c>
    </row>
    <row r="2079" spans="1:25" x14ac:dyDescent="0.25">
      <c r="A2079" s="1090"/>
      <c r="B2079" s="1448">
        <v>1829</v>
      </c>
      <c r="C2079" s="1094">
        <v>0.97166749735424018</v>
      </c>
      <c r="D2079" s="1094">
        <v>0.97147682432140825</v>
      </c>
      <c r="E2079" s="1094">
        <v>0.99041180820607411</v>
      </c>
      <c r="F2079" s="1094">
        <v>1.008394261316379</v>
      </c>
      <c r="G2079" s="1094">
        <v>0.98297480847789376</v>
      </c>
      <c r="H2079" s="1094">
        <v>0.99980459060816063</v>
      </c>
      <c r="I2079" s="1094">
        <v>0.99374452167824368</v>
      </c>
      <c r="K2079">
        <v>4.5359849853984064</v>
      </c>
      <c r="L2079">
        <v>0</v>
      </c>
      <c r="M2079">
        <v>1.566807134344108E-3</v>
      </c>
      <c r="N2079">
        <v>0.13179918305578631</v>
      </c>
      <c r="O2079">
        <v>4.0375602377646681E-2</v>
      </c>
      <c r="P2079">
        <v>1.9190742499151668E-2</v>
      </c>
      <c r="Q2079">
        <v>1.3460750605110206E-3</v>
      </c>
      <c r="R2079">
        <v>1.560432408492293E-3</v>
      </c>
      <c r="S2079">
        <v>0.2400124569565206</v>
      </c>
      <c r="T2079">
        <v>3.999667755636374</v>
      </c>
      <c r="U2079">
        <v>0</v>
      </c>
      <c r="V2079">
        <v>9.4523053561131852E-3</v>
      </c>
      <c r="W2079">
        <v>7.9019337846819707E-2</v>
      </c>
      <c r="X2079">
        <v>1.0718000215557594E-2</v>
      </c>
      <c r="Y2079">
        <v>4.4099011197778629E-3</v>
      </c>
    </row>
    <row r="2080" spans="1:25" x14ac:dyDescent="0.25">
      <c r="A2080" s="1090"/>
      <c r="B2080" s="1448">
        <v>1830</v>
      </c>
      <c r="C2080" s="1094">
        <v>0.9763634190457281</v>
      </c>
      <c r="D2080" s="1094">
        <v>1.0394212434072398</v>
      </c>
      <c r="E2080" s="1094">
        <v>1.0008856257526764</v>
      </c>
      <c r="F2080" s="1094">
        <v>0.99044991310624875</v>
      </c>
      <c r="G2080" s="1094">
        <v>1.0054148077680143</v>
      </c>
      <c r="H2080" s="1094">
        <v>0.98958357440826938</v>
      </c>
      <c r="I2080" s="1094">
        <v>1.0036150066539922</v>
      </c>
      <c r="K2080">
        <v>4.4434463445607841</v>
      </c>
      <c r="L2080">
        <v>0</v>
      </c>
      <c r="M2080">
        <v>1.4433669240410797E-3</v>
      </c>
      <c r="N2080">
        <v>0.12522911060657924</v>
      </c>
      <c r="O2080">
        <v>3.8341699856228297E-2</v>
      </c>
      <c r="P2080">
        <v>1.8982721535510973E-2</v>
      </c>
      <c r="Q2080">
        <v>1.3156519539456667E-3</v>
      </c>
      <c r="R2080">
        <v>1.4373267255416813E-3</v>
      </c>
      <c r="S2080">
        <v>0.23271750369548838</v>
      </c>
      <c r="T2080">
        <v>3.9280978944278049</v>
      </c>
      <c r="U2080">
        <v>0</v>
      </c>
      <c r="V2080">
        <v>9.4523053561131904E-3</v>
      </c>
      <c r="W2080">
        <v>7.4549115727469487E-2</v>
      </c>
      <c r="X2080">
        <v>1.0704386539055864E-2</v>
      </c>
      <c r="Y2080">
        <v>4.0619950610851557E-3</v>
      </c>
    </row>
    <row r="2081" spans="1:25" x14ac:dyDescent="0.25">
      <c r="A2081" s="1090"/>
      <c r="B2081" s="1448">
        <v>1831</v>
      </c>
      <c r="C2081" s="1094">
        <v>0.98497587807407705</v>
      </c>
      <c r="D2081" s="1094">
        <v>1.021069468003309</v>
      </c>
      <c r="E2081" s="1094">
        <v>0.98221491741884137</v>
      </c>
      <c r="F2081" s="1094">
        <v>1.0194318640941595</v>
      </c>
      <c r="G2081" s="1094">
        <v>0.99288012533433756</v>
      </c>
      <c r="H2081" s="1094">
        <v>1.0145395397662411</v>
      </c>
      <c r="I2081" s="1094">
        <v>0.9962735867105933</v>
      </c>
      <c r="K2081">
        <v>4.5729795840852816</v>
      </c>
      <c r="L2081">
        <v>0</v>
      </c>
      <c r="M2081">
        <v>1.5812547851720381E-3</v>
      </c>
      <c r="N2081">
        <v>0.12983303207119654</v>
      </c>
      <c r="O2081">
        <v>3.9529696590712204E-2</v>
      </c>
      <c r="P2081">
        <v>1.9255530783394509E-2</v>
      </c>
      <c r="Q2081">
        <v>1.2925119810364379E-3</v>
      </c>
      <c r="R2081">
        <v>1.5749830853579614E-3</v>
      </c>
      <c r="S2081">
        <v>0.23670681142498248</v>
      </c>
      <c r="T2081">
        <v>4.0437673423430303</v>
      </c>
      <c r="U2081">
        <v>0</v>
      </c>
      <c r="V2081">
        <v>9.45230535611318E-3</v>
      </c>
      <c r="W2081">
        <v>7.8277037138858044E-2</v>
      </c>
      <c r="X2081">
        <v>1.0420565652280427E-2</v>
      </c>
      <c r="Y2081">
        <v>4.451022443491868E-3</v>
      </c>
    </row>
    <row r="2082" spans="1:25" x14ac:dyDescent="0.25">
      <c r="A2082" s="1090"/>
      <c r="B2082" s="1448">
        <v>1832</v>
      </c>
      <c r="C2082" s="1094">
        <v>1.0170442796732775</v>
      </c>
      <c r="D2082" s="1094">
        <v>1.0194955038042224</v>
      </c>
      <c r="E2082" s="1094">
        <v>1.0117904211088795</v>
      </c>
      <c r="F2082" s="1094">
        <v>1.0419072718147799</v>
      </c>
      <c r="G2082" s="1094">
        <v>1.0146605465041816</v>
      </c>
      <c r="H2082" s="1094">
        <v>1.0138785167975328</v>
      </c>
      <c r="I2082" s="1094">
        <v>0.99363117485865127</v>
      </c>
      <c r="K2082">
        <v>4.658767156556773</v>
      </c>
      <c r="L2082">
        <v>0</v>
      </c>
      <c r="M2082">
        <v>1.4705129679369747E-3</v>
      </c>
      <c r="N2082">
        <v>0.13181184497100806</v>
      </c>
      <c r="O2082">
        <v>3.8945141248937519E-2</v>
      </c>
      <c r="P2082">
        <v>2.0068588662548337E-2</v>
      </c>
      <c r="Q2082">
        <v>1.284747123785034E-3</v>
      </c>
      <c r="R2082">
        <v>1.4648020994347481E-3</v>
      </c>
      <c r="S2082">
        <v>0.23214100633034354</v>
      </c>
      <c r="T2082">
        <v>4.1317450812904966</v>
      </c>
      <c r="U2082">
        <v>0</v>
      </c>
      <c r="V2082">
        <v>9.4523053561131939E-3</v>
      </c>
      <c r="W2082">
        <v>7.7894086107775304E-2</v>
      </c>
      <c r="X2082">
        <v>1.1290423768913413E-2</v>
      </c>
      <c r="Y2082">
        <v>4.1396425653525285E-3</v>
      </c>
    </row>
    <row r="2083" spans="1:25" x14ac:dyDescent="0.25">
      <c r="A2083" s="1090"/>
      <c r="B2083" s="1448">
        <v>1833</v>
      </c>
      <c r="C2083" s="1094">
        <v>1.0182287897070863</v>
      </c>
      <c r="D2083" s="1094">
        <v>0.98796129896933882</v>
      </c>
      <c r="E2083" s="1094">
        <v>0.97793392330197471</v>
      </c>
      <c r="F2083" s="1094">
        <v>1.0178298386868694</v>
      </c>
      <c r="G2083" s="1094">
        <v>1.0007521801340633</v>
      </c>
      <c r="H2083" s="1094">
        <v>1.0344139200598721</v>
      </c>
      <c r="I2083" s="1094">
        <v>1.0294680224843389</v>
      </c>
      <c r="K2083">
        <v>4.5682135834987738</v>
      </c>
      <c r="L2083">
        <v>0</v>
      </c>
      <c r="M2083">
        <v>1.5920491303905054E-3</v>
      </c>
      <c r="N2083">
        <v>0.12907836636384376</v>
      </c>
      <c r="O2083">
        <v>3.8714802380383821E-2</v>
      </c>
      <c r="P2083">
        <v>1.918130760501852E-2</v>
      </c>
      <c r="Q2083">
        <v>1.2621970691176904E-3</v>
      </c>
      <c r="R2083">
        <v>1.5858462304915229E-3</v>
      </c>
      <c r="S2083">
        <v>0.24026097909824276</v>
      </c>
      <c r="T2083">
        <v>4.0375801526162718</v>
      </c>
      <c r="U2083">
        <v>0</v>
      </c>
      <c r="V2083">
        <v>9.4523053561131956E-3</v>
      </c>
      <c r="W2083">
        <v>7.8050624246278497E-2</v>
      </c>
      <c r="X2083">
        <v>1.0157329142397902E-2</v>
      </c>
      <c r="Y2083">
        <v>4.4817225210012105E-3</v>
      </c>
    </row>
    <row r="2084" spans="1:25" x14ac:dyDescent="0.25">
      <c r="A2084" s="1090"/>
      <c r="B2084" s="1448">
        <v>1834</v>
      </c>
      <c r="C2084" s="1094">
        <v>0.99527464723183279</v>
      </c>
      <c r="D2084" s="1094">
        <v>1.0049014713160338</v>
      </c>
      <c r="E2084" s="1094">
        <v>0.97064332565779088</v>
      </c>
      <c r="F2084" s="1094">
        <v>0.99868367464493135</v>
      </c>
      <c r="G2084" s="1094">
        <v>0.9870127471480119</v>
      </c>
      <c r="H2084" s="1094">
        <v>1.0024444739822467</v>
      </c>
      <c r="I2084" s="1094">
        <v>1.0035693442616607</v>
      </c>
      <c r="K2084">
        <v>4.4764363519621542</v>
      </c>
      <c r="L2084">
        <v>0</v>
      </c>
      <c r="M2084">
        <v>1.5620636847452028E-3</v>
      </c>
      <c r="N2084">
        <v>0.12391065376754748</v>
      </c>
      <c r="O2084">
        <v>3.8649157980990716E-2</v>
      </c>
      <c r="P2084">
        <v>1.8705461735537564E-2</v>
      </c>
      <c r="Q2084">
        <v>1.2744350554367177E-3</v>
      </c>
      <c r="R2084">
        <v>1.5556636144222543E-3</v>
      </c>
      <c r="S2084">
        <v>0.23288732671764342</v>
      </c>
      <c r="T2084">
        <v>3.9619108991877798</v>
      </c>
      <c r="U2084">
        <v>0</v>
      </c>
      <c r="V2084">
        <v>9.4523053561131921E-3</v>
      </c>
      <c r="W2084">
        <v>7.5302492703942348E-2</v>
      </c>
      <c r="X2084">
        <v>9.9535953838270491E-3</v>
      </c>
      <c r="Y2084">
        <v>4.39642414365573E-3</v>
      </c>
    </row>
    <row r="2085" spans="1:25" x14ac:dyDescent="0.25">
      <c r="A2085" s="1090"/>
      <c r="B2085" s="1448">
        <v>1835</v>
      </c>
      <c r="C2085" s="1094">
        <v>0.98081903065694354</v>
      </c>
      <c r="D2085" s="1094">
        <v>1.0032080446327538</v>
      </c>
      <c r="E2085" s="1094">
        <v>1.004460865894202</v>
      </c>
      <c r="F2085" s="1094">
        <v>1.0420477307463676</v>
      </c>
      <c r="G2085" s="1094">
        <v>1.0185174648665185</v>
      </c>
      <c r="H2085" s="1094">
        <v>0.97450774456568223</v>
      </c>
      <c r="I2085" s="1094">
        <v>1.0085663268083136</v>
      </c>
      <c r="K2085">
        <v>4.6714778522888798</v>
      </c>
      <c r="L2085">
        <v>0</v>
      </c>
      <c r="M2085">
        <v>1.4982600503428329E-3</v>
      </c>
      <c r="N2085">
        <v>0.131394932910636</v>
      </c>
      <c r="O2085">
        <v>4.0703463174584759E-2</v>
      </c>
      <c r="P2085">
        <v>2.0010433407256403E-2</v>
      </c>
      <c r="Q2085">
        <v>1.332454295543798E-3</v>
      </c>
      <c r="R2085">
        <v>1.4922071598820466E-3</v>
      </c>
      <c r="S2085">
        <v>0.2423304674991448</v>
      </c>
      <c r="T2085">
        <v>4.1325917734781363</v>
      </c>
      <c r="U2085">
        <v>0</v>
      </c>
      <c r="V2085">
        <v>9.4523053561131939E-3</v>
      </c>
      <c r="W2085">
        <v>7.8031199652288552E-2</v>
      </c>
      <c r="X2085">
        <v>1.1419784047180364E-2</v>
      </c>
      <c r="Y2085">
        <v>4.2170913584539818E-3</v>
      </c>
    </row>
    <row r="2086" spans="1:25" x14ac:dyDescent="0.25">
      <c r="A2086" s="1090"/>
      <c r="B2086" s="1448">
        <v>1836</v>
      </c>
      <c r="C2086" s="1094">
        <v>1.0079334977144971</v>
      </c>
      <c r="D2086" s="1094">
        <v>0.98403289339409283</v>
      </c>
      <c r="E2086" s="1094">
        <v>1.0323564368749381</v>
      </c>
      <c r="F2086" s="1094">
        <v>1.0194363838390685</v>
      </c>
      <c r="G2086" s="1094">
        <v>1.02514268446671</v>
      </c>
      <c r="H2086" s="1094">
        <v>0.95875272202896489</v>
      </c>
      <c r="I2086" s="1094">
        <v>1.0033744051520044</v>
      </c>
      <c r="K2086">
        <v>4.559276016955347</v>
      </c>
      <c r="L2086">
        <v>0</v>
      </c>
      <c r="M2086">
        <v>1.3333486721359689E-3</v>
      </c>
      <c r="N2086">
        <v>0.12697369263010927</v>
      </c>
      <c r="O2086">
        <v>3.8853823608123172E-2</v>
      </c>
      <c r="P2086">
        <v>1.994952308554325E-2</v>
      </c>
      <c r="Q2086">
        <v>1.3379017109915478E-3</v>
      </c>
      <c r="R2086">
        <v>1.3277525447348423E-3</v>
      </c>
      <c r="S2086">
        <v>0.23124743105026913</v>
      </c>
      <c r="T2086">
        <v>4.0418456989166209</v>
      </c>
      <c r="U2086">
        <v>0</v>
      </c>
      <c r="V2086">
        <v>9.4523053561131817E-3</v>
      </c>
      <c r="W2086">
        <v>7.4014449523037498E-2</v>
      </c>
      <c r="X2086">
        <v>1.1854457141407617E-2</v>
      </c>
      <c r="Y2086">
        <v>3.7523300605320684E-3</v>
      </c>
    </row>
    <row r="2087" spans="1:25" x14ac:dyDescent="0.25">
      <c r="A2087" s="1090"/>
      <c r="B2087" s="1448">
        <v>1837</v>
      </c>
      <c r="C2087" s="1094">
        <v>1.0338964925286913</v>
      </c>
      <c r="D2087" s="1094">
        <v>1.0128765003288136</v>
      </c>
      <c r="E2087" s="1094">
        <v>0.9780558324246722</v>
      </c>
      <c r="F2087" s="1094">
        <v>1.0087099128281025</v>
      </c>
      <c r="G2087" s="1094">
        <v>0.973339239980338</v>
      </c>
      <c r="H2087" s="1094">
        <v>1.006432249549603</v>
      </c>
      <c r="I2087" s="1094">
        <v>0.98106695310343184</v>
      </c>
      <c r="K2087">
        <v>4.4978354644041723</v>
      </c>
      <c r="L2087">
        <v>0</v>
      </c>
      <c r="M2087">
        <v>1.4965256401686514E-3</v>
      </c>
      <c r="N2087">
        <v>0.12135993371204863</v>
      </c>
      <c r="O2087">
        <v>3.7411097194070347E-2</v>
      </c>
      <c r="P2087">
        <v>1.8932379766480986E-2</v>
      </c>
      <c r="Q2087">
        <v>1.2308776015415286E-3</v>
      </c>
      <c r="R2087">
        <v>1.4904788437729826E-3</v>
      </c>
      <c r="S2087">
        <v>0.22041361790614689</v>
      </c>
      <c r="T2087">
        <v>4.0013980249768668</v>
      </c>
      <c r="U2087">
        <v>0</v>
      </c>
      <c r="V2087">
        <v>9.4523053561131904E-3</v>
      </c>
      <c r="W2087">
        <v>7.3377333832590499E-2</v>
      </c>
      <c r="X2087">
        <v>1.0053733849527256E-2</v>
      </c>
      <c r="Y2087">
        <v>4.2122070051790724E-3</v>
      </c>
    </row>
    <row r="2088" spans="1:25" x14ac:dyDescent="0.25">
      <c r="A2088" s="1090"/>
      <c r="B2088" s="1448">
        <v>1838</v>
      </c>
      <c r="C2088" s="1094">
        <v>0.97616773333682905</v>
      </c>
      <c r="D2088" s="1094">
        <v>0.96620131308435198</v>
      </c>
      <c r="E2088" s="1094">
        <v>0.99078739223420942</v>
      </c>
      <c r="F2088" s="1094">
        <v>1.0163120650402064</v>
      </c>
      <c r="G2088" s="1094">
        <v>1.0071371151475235</v>
      </c>
      <c r="H2088" s="1094">
        <v>0.97990640677384255</v>
      </c>
      <c r="I2088" s="1094">
        <v>1.0224926366676494</v>
      </c>
      <c r="K2088">
        <v>4.5706859804314055</v>
      </c>
      <c r="L2088">
        <v>0</v>
      </c>
      <c r="M2088">
        <v>1.5426383185784356E-3</v>
      </c>
      <c r="N2088">
        <v>0.12990412705542459</v>
      </c>
      <c r="O2088">
        <v>4.0590631442954855E-2</v>
      </c>
      <c r="P2088">
        <v>1.9364577724782474E-2</v>
      </c>
      <c r="Q2088">
        <v>1.3432259306170764E-3</v>
      </c>
      <c r="R2088">
        <v>1.5362841656354805E-3</v>
      </c>
      <c r="S2088">
        <v>0.24590152584332517</v>
      </c>
      <c r="T2088">
        <v>4.0310581157762799</v>
      </c>
      <c r="U2088">
        <v>0</v>
      </c>
      <c r="V2088">
        <v>9.452305356113206E-3</v>
      </c>
      <c r="W2088">
        <v>7.7863274853735204E-2</v>
      </c>
      <c r="X2088">
        <v>1.0872894259276879E-2</v>
      </c>
      <c r="Y2088">
        <v>4.3416563418333847E-3</v>
      </c>
    </row>
    <row r="2089" spans="1:25" x14ac:dyDescent="0.25">
      <c r="A2089" s="1090"/>
      <c r="B2089" s="1448">
        <v>1839</v>
      </c>
      <c r="C2089" s="1094">
        <v>0.97868640629673809</v>
      </c>
      <c r="D2089" s="1094">
        <v>1.0275603797639652</v>
      </c>
      <c r="E2089" s="1094">
        <v>0.99219468988422077</v>
      </c>
      <c r="F2089" s="1094">
        <v>1.0029357694022214</v>
      </c>
      <c r="G2089" s="1094">
        <v>0.99752286260612488</v>
      </c>
      <c r="H2089" s="1094">
        <v>1.001810524005099</v>
      </c>
      <c r="I2089" s="1094">
        <v>0.9685754954478194</v>
      </c>
      <c r="K2089">
        <v>4.4933955156601906</v>
      </c>
      <c r="L2089">
        <v>0</v>
      </c>
      <c r="M2089">
        <v>1.5101988092175334E-3</v>
      </c>
      <c r="N2089">
        <v>0.12770883549755183</v>
      </c>
      <c r="O2089">
        <v>3.8971565896040859E-2</v>
      </c>
      <c r="P2089">
        <v>1.9062357028615504E-2</v>
      </c>
      <c r="Q2089">
        <v>1.3087621190938797E-3</v>
      </c>
      <c r="R2089">
        <v>1.5040334659399044E-3</v>
      </c>
      <c r="S2089">
        <v>0.22765762030966138</v>
      </c>
      <c r="T2089">
        <v>3.977948958352862</v>
      </c>
      <c r="U2089">
        <v>0</v>
      </c>
      <c r="V2089">
        <v>9.4523053561131973E-3</v>
      </c>
      <c r="W2089">
        <v>7.6474242783097099E-2</v>
      </c>
      <c r="X2089">
        <v>1.05665202581598E-2</v>
      </c>
      <c r="Y2089">
        <v>4.2505134022692423E-3</v>
      </c>
    </row>
    <row r="2090" spans="1:25" x14ac:dyDescent="0.25">
      <c r="A2090" s="1090"/>
      <c r="B2090" s="1448">
        <v>1840</v>
      </c>
      <c r="C2090" s="1094">
        <v>1.0255806507591614</v>
      </c>
      <c r="D2090" s="1094">
        <v>1.0019717246830087</v>
      </c>
      <c r="E2090" s="1094">
        <v>0.97536599836825033</v>
      </c>
      <c r="F2090" s="1094">
        <v>0.97175234373537955</v>
      </c>
      <c r="G2090" s="1094">
        <v>0.96736184717988771</v>
      </c>
      <c r="H2090" s="1094">
        <v>0.9708155022846281</v>
      </c>
      <c r="I2090" s="1094">
        <v>0.9818727569360518</v>
      </c>
      <c r="K2090">
        <v>4.3320374179923382</v>
      </c>
      <c r="L2090">
        <v>0</v>
      </c>
      <c r="M2090">
        <v>1.4162227023948953E-3</v>
      </c>
      <c r="N2090">
        <v>0.11389945082396863</v>
      </c>
      <c r="O2090">
        <v>3.6507714494107175E-2</v>
      </c>
      <c r="P2090">
        <v>1.821553679557383E-2</v>
      </c>
      <c r="Q2090">
        <v>1.2433298913442088E-3</v>
      </c>
      <c r="R2090">
        <v>1.4100657739362814E-3</v>
      </c>
      <c r="S2090">
        <v>0.21505068960940915</v>
      </c>
      <c r="T2090">
        <v>3.8548936663719529</v>
      </c>
      <c r="U2090">
        <v>0</v>
      </c>
      <c r="V2090">
        <v>9.4523053561131852E-3</v>
      </c>
      <c r="W2090">
        <v>6.8993850358184006E-2</v>
      </c>
      <c r="X2090">
        <v>9.8020776895713039E-3</v>
      </c>
      <c r="Y2090">
        <v>3.9849535305730996E-3</v>
      </c>
    </row>
    <row r="2091" spans="1:25" x14ac:dyDescent="0.25">
      <c r="A2091" s="1090"/>
      <c r="B2091" s="1448">
        <v>1841</v>
      </c>
      <c r="C2091" s="1094">
        <v>0.98450639179572497</v>
      </c>
      <c r="D2091" s="1094">
        <v>1.0004023155472417</v>
      </c>
      <c r="E2091" s="1094">
        <v>1.0037289519871768</v>
      </c>
      <c r="F2091" s="1094">
        <v>0.97123502073627166</v>
      </c>
      <c r="G2091" s="1094">
        <v>1.0289009377359566</v>
      </c>
      <c r="H2091" s="1094">
        <v>0.96290731440683786</v>
      </c>
      <c r="I2091" s="1094">
        <v>0.9891897074240118</v>
      </c>
      <c r="K2091">
        <v>4.3510067539217188</v>
      </c>
      <c r="L2091">
        <v>0</v>
      </c>
      <c r="M2091">
        <v>1.3787148519324561E-3</v>
      </c>
      <c r="N2091">
        <v>0.12060731321645361</v>
      </c>
      <c r="O2091">
        <v>3.7842679637077214E-2</v>
      </c>
      <c r="P2091">
        <v>1.8640220570925625E-2</v>
      </c>
      <c r="Q2091">
        <v>1.3281204977816069E-3</v>
      </c>
      <c r="R2091">
        <v>1.3726685544230577E-3</v>
      </c>
      <c r="S2091">
        <v>0.22513552516181792</v>
      </c>
      <c r="T2091">
        <v>3.851787101710467</v>
      </c>
      <c r="U2091">
        <v>0</v>
      </c>
      <c r="V2091">
        <v>9.4523053561131835E-3</v>
      </c>
      <c r="W2091">
        <v>7.1660123257031361E-2</v>
      </c>
      <c r="X2091">
        <v>1.0680144678476312E-2</v>
      </c>
      <c r="Y2091">
        <v>3.8792661330860861E-3</v>
      </c>
    </row>
    <row r="2092" spans="1:25" x14ac:dyDescent="0.25">
      <c r="A2092" s="1090"/>
      <c r="B2092" s="1448">
        <v>1842</v>
      </c>
      <c r="C2092" s="1094">
        <v>0.99684166800827634</v>
      </c>
      <c r="D2092" s="1094">
        <v>1.0132876950657193</v>
      </c>
      <c r="E2092" s="1094">
        <v>0.99419483466108771</v>
      </c>
      <c r="F2092" s="1094">
        <v>0.99097855926543132</v>
      </c>
      <c r="G2092" s="1094">
        <v>1.0205553132553229</v>
      </c>
      <c r="H2092" s="1094">
        <v>1.0299743227317686</v>
      </c>
      <c r="I2092" s="1094">
        <v>1.0037313731773412</v>
      </c>
      <c r="K2092">
        <v>4.4505987104216551</v>
      </c>
      <c r="L2092">
        <v>0</v>
      </c>
      <c r="M2092">
        <v>1.5083680325768541E-3</v>
      </c>
      <c r="N2092">
        <v>0.12832081058387793</v>
      </c>
      <c r="O2092">
        <v>3.8004165679029339E-2</v>
      </c>
      <c r="P2092">
        <v>1.889926743466595E-2</v>
      </c>
      <c r="Q2092">
        <v>1.2943615892200783E-3</v>
      </c>
      <c r="R2092">
        <v>1.5023065748386865E-3</v>
      </c>
      <c r="S2092">
        <v>0.2328338406506989</v>
      </c>
      <c r="T2092">
        <v>3.9304472871602067</v>
      </c>
      <c r="U2092">
        <v>0</v>
      </c>
      <c r="V2092">
        <v>9.4523053561131956E-3</v>
      </c>
      <c r="W2092">
        <v>7.6736416796949591E-2</v>
      </c>
      <c r="X2092">
        <v>1.0370683552453994E-2</v>
      </c>
      <c r="Y2092">
        <v>4.2456330761753026E-3</v>
      </c>
    </row>
    <row r="2093" spans="1:25" x14ac:dyDescent="0.25">
      <c r="A2093" s="1090"/>
      <c r="B2093" s="1448">
        <v>1843</v>
      </c>
      <c r="C2093" s="1094">
        <v>0.96544469935385646</v>
      </c>
      <c r="D2093" s="1094">
        <v>1.0378924380784611</v>
      </c>
      <c r="E2093" s="1094">
        <v>0.96415636520770076</v>
      </c>
      <c r="F2093" s="1094">
        <v>0.96777086947554691</v>
      </c>
      <c r="G2093" s="1094">
        <v>1.0385845287161384</v>
      </c>
      <c r="H2093" s="1094">
        <v>1.0120200260968077</v>
      </c>
      <c r="I2093" s="1094">
        <v>1.0236059955716819</v>
      </c>
      <c r="K2093">
        <v>4.3561730379111383</v>
      </c>
      <c r="L2093">
        <v>0</v>
      </c>
      <c r="M2093">
        <v>1.5766505420103977E-3</v>
      </c>
      <c r="N2093">
        <v>0.12266999609099567</v>
      </c>
      <c r="O2093">
        <v>3.8158096936299936E-2</v>
      </c>
      <c r="P2093">
        <v>1.8093940327826998E-2</v>
      </c>
      <c r="Q2093">
        <v>1.2896042392713098E-3</v>
      </c>
      <c r="R2093">
        <v>1.5700483050670678E-3</v>
      </c>
      <c r="S2093">
        <v>0.23813334432848196</v>
      </c>
      <c r="T2093">
        <v>3.8395185546784885</v>
      </c>
      <c r="U2093">
        <v>0</v>
      </c>
      <c r="V2093">
        <v>9.4523053561131887E-3</v>
      </c>
      <c r="W2093">
        <v>7.4883464260247931E-2</v>
      </c>
      <c r="X2093">
        <v>9.5432575527193454E-3</v>
      </c>
      <c r="Y2093">
        <v>4.4370763776371488E-3</v>
      </c>
    </row>
    <row r="2094" spans="1:25" x14ac:dyDescent="0.25">
      <c r="A2094" s="1090"/>
      <c r="B2094" s="1448">
        <v>1844</v>
      </c>
      <c r="C2094" s="1094">
        <v>1.0205754241854699</v>
      </c>
      <c r="D2094" s="1094">
        <v>1.0098867083147975</v>
      </c>
      <c r="E2094" s="1094">
        <v>0.96115358526497452</v>
      </c>
      <c r="F2094" s="1094">
        <v>1.001622744823164</v>
      </c>
      <c r="G2094" s="1094">
        <v>0.99665766545238743</v>
      </c>
      <c r="H2094" s="1094">
        <v>1.0128307521411304</v>
      </c>
      <c r="I2094" s="1094">
        <v>0.98781710347791918</v>
      </c>
      <c r="K2094">
        <v>4.4747794285454967</v>
      </c>
      <c r="L2094">
        <v>0</v>
      </c>
      <c r="M2094">
        <v>1.5715090347959452E-3</v>
      </c>
      <c r="N2094">
        <v>0.12120149461537567</v>
      </c>
      <c r="O2094">
        <v>3.779050221957491E-2</v>
      </c>
      <c r="P2094">
        <v>1.8585234434918413E-2</v>
      </c>
      <c r="Q2094">
        <v>1.2301158103845532E-3</v>
      </c>
      <c r="R2094">
        <v>1.565154915768954E-3</v>
      </c>
      <c r="S2094">
        <v>0.22441999762925346</v>
      </c>
      <c r="T2094">
        <v>3.9739385549878445</v>
      </c>
      <c r="U2094">
        <v>0</v>
      </c>
      <c r="V2094">
        <v>9.4523053561131817E-3</v>
      </c>
      <c r="W2094">
        <v>7.4141211561804546E-2</v>
      </c>
      <c r="X2094">
        <v>9.6031187633668722E-3</v>
      </c>
      <c r="Y2094">
        <v>4.4232472858880814E-3</v>
      </c>
    </row>
    <row r="2095" spans="1:25" x14ac:dyDescent="0.25">
      <c r="A2095" s="1090"/>
      <c r="B2095" s="1448">
        <v>1845</v>
      </c>
      <c r="C2095" s="1094">
        <v>0.97134613146924553</v>
      </c>
      <c r="D2095" s="1094">
        <v>0.99903601249271434</v>
      </c>
      <c r="E2095" s="1094">
        <v>0.97139816959981107</v>
      </c>
      <c r="F2095" s="1094">
        <v>1.0323462803638064</v>
      </c>
      <c r="G2095" s="1094">
        <v>1.0293046176224965</v>
      </c>
      <c r="H2095" s="1094">
        <v>1.0279296103698532</v>
      </c>
      <c r="I2095" s="1094">
        <v>1.0435495916346156</v>
      </c>
      <c r="K2095">
        <v>4.6550884022317689</v>
      </c>
      <c r="L2095">
        <v>0</v>
      </c>
      <c r="M2095">
        <v>1.6976169608706971E-3</v>
      </c>
      <c r="N2095">
        <v>0.13499693729703646</v>
      </c>
      <c r="O2095">
        <v>4.1026579404000181E-2</v>
      </c>
      <c r="P2095">
        <v>1.9415210172144134E-2</v>
      </c>
      <c r="Q2095">
        <v>1.3097541127939335E-3</v>
      </c>
      <c r="R2095">
        <v>1.6910542482611675E-3</v>
      </c>
      <c r="S2095">
        <v>0.25637616942075497</v>
      </c>
      <c r="T2095">
        <v>4.0954248371189168</v>
      </c>
      <c r="U2095">
        <v>0</v>
      </c>
      <c r="V2095">
        <v>9.4523053561131852E-3</v>
      </c>
      <c r="W2095">
        <v>8.1997127015583079E-2</v>
      </c>
      <c r="X2095">
        <v>1.031699663556437E-2</v>
      </c>
      <c r="Y2095">
        <v>4.7790484114704074E-3</v>
      </c>
    </row>
    <row r="2096" spans="1:25" x14ac:dyDescent="0.25">
      <c r="A2096" s="1090"/>
      <c r="B2096" s="1448">
        <v>1846</v>
      </c>
      <c r="C2096" s="1094">
        <v>0.98034173320046247</v>
      </c>
      <c r="D2096" s="1094">
        <v>1.019973032313862</v>
      </c>
      <c r="E2096" s="1094">
        <v>0.99035173157397838</v>
      </c>
      <c r="F2096" s="1094">
        <v>1.0415783708287527</v>
      </c>
      <c r="G2096" s="1094">
        <v>1.0046586386708467</v>
      </c>
      <c r="H2096" s="1094">
        <v>1.0125536253144958</v>
      </c>
      <c r="I2096" s="1094">
        <v>0.97329419784850268</v>
      </c>
      <c r="K2096">
        <v>4.6677887062214012</v>
      </c>
      <c r="L2096">
        <v>0</v>
      </c>
      <c r="M2096">
        <v>1.5931486393353442E-3</v>
      </c>
      <c r="N2096">
        <v>0.13401519368501094</v>
      </c>
      <c r="O2096">
        <v>4.0538058016954974E-2</v>
      </c>
      <c r="P2096">
        <v>1.9764901057624004E-2</v>
      </c>
      <c r="Q2096">
        <v>1.3083515898830533E-3</v>
      </c>
      <c r="R2096">
        <v>1.5869514600195006E-3</v>
      </c>
      <c r="S2096">
        <v>0.23571596122366889</v>
      </c>
      <c r="T2096">
        <v>4.1312907052072303</v>
      </c>
      <c r="U2096">
        <v>0</v>
      </c>
      <c r="V2096">
        <v>9.4523053561131973E-3</v>
      </c>
      <c r="W2096">
        <v>8.0351216441638743E-2</v>
      </c>
      <c r="X2096">
        <v>1.087336483856324E-2</v>
      </c>
      <c r="Y2096">
        <v>4.4848459840275577E-3</v>
      </c>
    </row>
    <row r="2097" spans="1:25" x14ac:dyDescent="0.25">
      <c r="A2097" s="1090"/>
      <c r="B2097" s="1448">
        <v>1847</v>
      </c>
      <c r="C2097" s="1094">
        <v>1.0083186581931081</v>
      </c>
      <c r="D2097" s="1094">
        <v>1.03699676521983</v>
      </c>
      <c r="E2097" s="1094">
        <v>0.97038710127830652</v>
      </c>
      <c r="F2097" s="1094">
        <v>1.0094219186662166</v>
      </c>
      <c r="G2097" s="1094">
        <v>1.0326167301671894</v>
      </c>
      <c r="H2097" s="1094">
        <v>0.99449984556407334</v>
      </c>
      <c r="I2097" s="1094">
        <v>0.97885010649389415</v>
      </c>
      <c r="K2097">
        <v>4.5042310785764545</v>
      </c>
      <c r="L2097">
        <v>0</v>
      </c>
      <c r="M2097">
        <v>1.527515957161135E-3</v>
      </c>
      <c r="N2097">
        <v>0.12107934005442794</v>
      </c>
      <c r="O2097">
        <v>3.8079223437750276E-2</v>
      </c>
      <c r="P2097">
        <v>1.8848021782186818E-2</v>
      </c>
      <c r="Q2097">
        <v>1.2419499653167623E-3</v>
      </c>
      <c r="R2097">
        <v>1.5212742761817307E-3</v>
      </c>
      <c r="S2097">
        <v>0.22315116003887239</v>
      </c>
      <c r="T2097">
        <v>4.0045209314051418</v>
      </c>
      <c r="U2097">
        <v>0</v>
      </c>
      <c r="V2097">
        <v>9.4523053561131852E-3</v>
      </c>
      <c r="W2097">
        <v>7.359486009481557E-2</v>
      </c>
      <c r="X2097">
        <v>9.9702908745229277E-3</v>
      </c>
      <c r="Y2097">
        <v>4.2992372482862397E-3</v>
      </c>
    </row>
    <row r="2098" spans="1:25" x14ac:dyDescent="0.25">
      <c r="A2098" s="1090"/>
      <c r="B2098" s="1448">
        <v>1848</v>
      </c>
      <c r="C2098" s="1094">
        <v>0.96509378186306749</v>
      </c>
      <c r="D2098" s="1094">
        <v>0.98450988814443341</v>
      </c>
      <c r="E2098" s="1094">
        <v>1.0232007625696471</v>
      </c>
      <c r="F2098" s="1094">
        <v>1.0421804028752553</v>
      </c>
      <c r="G2098" s="1094">
        <v>1.028584094657865</v>
      </c>
      <c r="H2098" s="1094">
        <v>0.98906133495297677</v>
      </c>
      <c r="I2098" s="1094">
        <v>0.99542837074745183</v>
      </c>
      <c r="K2098">
        <v>4.6870841248604682</v>
      </c>
      <c r="L2098">
        <v>0</v>
      </c>
      <c r="M2098">
        <v>1.4968980641039849E-3</v>
      </c>
      <c r="N2098">
        <v>0.13877127538467449</v>
      </c>
      <c r="O2098">
        <v>4.1544373989070731E-2</v>
      </c>
      <c r="P2098">
        <v>2.0302747194024029E-2</v>
      </c>
      <c r="Q2098">
        <v>1.3862901586224803E-3</v>
      </c>
      <c r="R2098">
        <v>1.4909404161102867E-3</v>
      </c>
      <c r="S2098">
        <v>0.24564880621574742</v>
      </c>
      <c r="T2098">
        <v>4.1323792413750011</v>
      </c>
      <c r="U2098">
        <v>0</v>
      </c>
      <c r="V2098">
        <v>9.4523053561132043E-3</v>
      </c>
      <c r="W2098">
        <v>8.1384142914152732E-2</v>
      </c>
      <c r="X2098">
        <v>1.2007388477208605E-2</v>
      </c>
      <c r="Y2098">
        <v>4.2135114438436759E-3</v>
      </c>
    </row>
    <row r="2099" spans="1:25" x14ac:dyDescent="0.25">
      <c r="A2099" s="1090"/>
      <c r="B2099" s="1448">
        <v>1849</v>
      </c>
      <c r="C2099" s="1094">
        <v>1.0382553223490196</v>
      </c>
      <c r="D2099" s="1094">
        <v>1.0369674984279822</v>
      </c>
      <c r="E2099" s="1094">
        <v>0.98306799627458485</v>
      </c>
      <c r="F2099" s="1094">
        <v>0.98031293011700726</v>
      </c>
      <c r="G2099" s="1094">
        <v>1.0050550017234428</v>
      </c>
      <c r="H2099" s="1094">
        <v>1.0093371172604357</v>
      </c>
      <c r="I2099" s="1094">
        <v>0.98946531617088174</v>
      </c>
      <c r="K2099">
        <v>4.3710012045298434</v>
      </c>
      <c r="L2099">
        <v>0</v>
      </c>
      <c r="M2099">
        <v>1.4239828612532025E-3</v>
      </c>
      <c r="N2099">
        <v>0.11719504928461251</v>
      </c>
      <c r="O2099">
        <v>3.5834523180603539E-2</v>
      </c>
      <c r="P2099">
        <v>1.8476934396124207E-2</v>
      </c>
      <c r="Q2099">
        <v>1.2195317643107417E-3</v>
      </c>
      <c r="R2099">
        <v>1.4180802436527741E-3</v>
      </c>
      <c r="S2099">
        <v>0.215792138613321</v>
      </c>
      <c r="T2099">
        <v>3.8885626507731494</v>
      </c>
      <c r="U2099">
        <v>0</v>
      </c>
      <c r="V2099">
        <v>9.4523053561131973E-3</v>
      </c>
      <c r="W2099">
        <v>7.0616317979848908E-2</v>
      </c>
      <c r="X2099">
        <v>9.8500527654908302E-3</v>
      </c>
      <c r="Y2099">
        <v>4.0076030338677239E-3</v>
      </c>
    </row>
    <row r="2100" spans="1:25" x14ac:dyDescent="0.25">
      <c r="A2100" s="1090"/>
      <c r="B2100" s="1448">
        <v>1850</v>
      </c>
      <c r="C2100" s="1094">
        <v>1.021495879314416</v>
      </c>
      <c r="D2100" s="1094">
        <v>0.95861708148460789</v>
      </c>
      <c r="E2100" s="1094">
        <v>1.0229857450161821</v>
      </c>
      <c r="F2100" s="1094">
        <v>0.97515569192603824</v>
      </c>
      <c r="G2100" s="1094">
        <v>0.97007883268046979</v>
      </c>
      <c r="H2100" s="1094">
        <v>1.0166862419903349</v>
      </c>
      <c r="I2100" s="1094">
        <v>0.97975416609951971</v>
      </c>
      <c r="K2100">
        <v>4.3727461884794696</v>
      </c>
      <c r="L2100">
        <v>0</v>
      </c>
      <c r="M2100">
        <v>1.3758297824846672E-3</v>
      </c>
      <c r="N2100">
        <v>0.12744636311452731</v>
      </c>
      <c r="O2100">
        <v>3.7121282216711349E-2</v>
      </c>
      <c r="P2100">
        <v>1.8961635952068553E-2</v>
      </c>
      <c r="Q2100">
        <v>1.323543259301074E-3</v>
      </c>
      <c r="R2100">
        <v>1.3701381735611599E-3</v>
      </c>
      <c r="S2100">
        <v>0.22222848099548098</v>
      </c>
      <c r="T2100">
        <v>3.8666255423811902</v>
      </c>
      <c r="U2100">
        <v>0</v>
      </c>
      <c r="V2100">
        <v>9.4523053561132008E-3</v>
      </c>
      <c r="W2100">
        <v>7.4753201377117565E-2</v>
      </c>
      <c r="X2100">
        <v>1.0967410352293211E-2</v>
      </c>
      <c r="Y2100">
        <v>3.8721150835849209E-3</v>
      </c>
    </row>
    <row r="2101" spans="1:25" x14ac:dyDescent="0.25">
      <c r="A2101" s="1090"/>
      <c r="B2101" s="1448">
        <v>1851</v>
      </c>
      <c r="C2101" s="1094">
        <v>1.0345159970777134</v>
      </c>
      <c r="D2101" s="1094">
        <v>0.98558127033013887</v>
      </c>
      <c r="E2101" s="1094">
        <v>1.0268700334330048</v>
      </c>
      <c r="F2101" s="1094">
        <v>0.99206793745788469</v>
      </c>
      <c r="G2101" s="1094">
        <v>0.98551863502576187</v>
      </c>
      <c r="H2101" s="1094">
        <v>0.99782412058636605</v>
      </c>
      <c r="I2101" s="1094">
        <v>1.0249215338205429</v>
      </c>
      <c r="K2101">
        <v>4.4418267356522216</v>
      </c>
      <c r="L2101">
        <v>0</v>
      </c>
      <c r="M2101">
        <v>1.3304009235607281E-3</v>
      </c>
      <c r="N2101">
        <v>0.12466124671189373</v>
      </c>
      <c r="O2101">
        <v>3.6852485525143044E-2</v>
      </c>
      <c r="P2101">
        <v>1.9356368527029977E-2</v>
      </c>
      <c r="Q2101">
        <v>1.2967065080286353E-3</v>
      </c>
      <c r="R2101">
        <v>1.3248884119454643E-3</v>
      </c>
      <c r="S2101">
        <v>0.2288021457524676</v>
      </c>
      <c r="T2101">
        <v>3.933539958463808</v>
      </c>
      <c r="U2101">
        <v>0</v>
      </c>
      <c r="V2101">
        <v>9.4523053561131939E-3</v>
      </c>
      <c r="W2101">
        <v>7.2931094129869853E-2</v>
      </c>
      <c r="X2101">
        <v>1.1195701386879562E-2</v>
      </c>
      <c r="Y2101">
        <v>3.7442358026030919E-3</v>
      </c>
    </row>
    <row r="2102" spans="1:25" x14ac:dyDescent="0.25">
      <c r="A2102" s="1090"/>
      <c r="B2102" s="1448">
        <v>1852</v>
      </c>
      <c r="C2102" s="1094">
        <v>1.0204314992969767</v>
      </c>
      <c r="D2102" s="1094">
        <v>1.0154004783603776</v>
      </c>
      <c r="E2102" s="1094">
        <v>0.99831688396633422</v>
      </c>
      <c r="F2102" s="1094">
        <v>0.98619079400981624</v>
      </c>
      <c r="G2102" s="1094">
        <v>0.97801804673840076</v>
      </c>
      <c r="H2102" s="1094">
        <v>1.0290566450974064</v>
      </c>
      <c r="I2102" s="1094">
        <v>1.0155207803363444</v>
      </c>
      <c r="K2102">
        <v>4.4208362167837336</v>
      </c>
      <c r="L2102">
        <v>0</v>
      </c>
      <c r="M2102">
        <v>1.4512368279424098E-3</v>
      </c>
      <c r="N2102">
        <v>0.12497517166546729</v>
      </c>
      <c r="O2102">
        <v>3.6888297754673602E-2</v>
      </c>
      <c r="P2102">
        <v>1.8853915725180775E-2</v>
      </c>
      <c r="Q2102">
        <v>1.2678679102162275E-3</v>
      </c>
      <c r="R2102">
        <v>1.4453715343410972E-3</v>
      </c>
      <c r="S2102">
        <v>0.22915499578131823</v>
      </c>
      <c r="T2102">
        <v>3.9113028297481693</v>
      </c>
      <c r="U2102">
        <v>0</v>
      </c>
      <c r="V2102">
        <v>9.4523053561131973E-3</v>
      </c>
      <c r="W2102">
        <v>7.4527258368835725E-2</v>
      </c>
      <c r="X2102">
        <v>1.0334709462411915E-2</v>
      </c>
      <c r="Y2102">
        <v>4.0847303049444022E-3</v>
      </c>
    </row>
    <row r="2103" spans="1:25" x14ac:dyDescent="0.25">
      <c r="A2103" s="1090"/>
      <c r="B2103" s="1448">
        <v>1853</v>
      </c>
      <c r="C2103" s="1094">
        <v>1.0021890355248249</v>
      </c>
      <c r="D2103" s="1094">
        <v>1.0005384023937625</v>
      </c>
      <c r="E2103" s="1094">
        <v>1.0137340775660098</v>
      </c>
      <c r="F2103" s="1094">
        <v>0.98217714946288981</v>
      </c>
      <c r="G2103" s="1094">
        <v>1.0269560102502502</v>
      </c>
      <c r="H2103" s="1094">
        <v>0.99809372787472384</v>
      </c>
      <c r="I2103" s="1094">
        <v>1.0123151774490542</v>
      </c>
      <c r="K2103">
        <v>4.4067502422076092</v>
      </c>
      <c r="L2103">
        <v>0</v>
      </c>
      <c r="M2103">
        <v>1.3899164622070753E-3</v>
      </c>
      <c r="N2103">
        <v>0.12526855032284373</v>
      </c>
      <c r="O2103">
        <v>3.7524358206995227E-2</v>
      </c>
      <c r="P2103">
        <v>1.900175878695046E-2</v>
      </c>
      <c r="Q2103">
        <v>1.3157884878265368E-3</v>
      </c>
      <c r="R2103">
        <v>1.384101165789135E-3</v>
      </c>
      <c r="S2103">
        <v>0.23066685628447803</v>
      </c>
      <c r="T2103">
        <v>3.8948094964240756</v>
      </c>
      <c r="U2103">
        <v>0</v>
      </c>
      <c r="V2103">
        <v>9.4523053561131939E-3</v>
      </c>
      <c r="W2103">
        <v>7.3930984868093658E-2</v>
      </c>
      <c r="X2103">
        <v>1.0874383201003852E-2</v>
      </c>
      <c r="Y2103">
        <v>3.9115755656452048E-3</v>
      </c>
    </row>
    <row r="2104" spans="1:25" x14ac:dyDescent="0.25">
      <c r="A2104" s="1090"/>
      <c r="B2104" s="1448">
        <v>1854</v>
      </c>
      <c r="C2104" s="1094">
        <v>1.0220701700176233</v>
      </c>
      <c r="D2104" s="1094">
        <v>0.98912319769911206</v>
      </c>
      <c r="E2104" s="1094">
        <v>1.0258173005836797</v>
      </c>
      <c r="F2104" s="1094">
        <v>0.98115266889488328</v>
      </c>
      <c r="G2104" s="1094">
        <v>1.0112189326203707</v>
      </c>
      <c r="H2104" s="1094">
        <v>0.98349141041894983</v>
      </c>
      <c r="I2104" s="1094">
        <v>0.98712619880137353</v>
      </c>
      <c r="K2104">
        <v>4.3864870373072673</v>
      </c>
      <c r="L2104">
        <v>0</v>
      </c>
      <c r="M2104">
        <v>1.3137546395330011E-3</v>
      </c>
      <c r="N2104">
        <v>0.12270564077010436</v>
      </c>
      <c r="O2104">
        <v>3.6844930614507616E-2</v>
      </c>
      <c r="P2104">
        <v>1.9100817209185245E-2</v>
      </c>
      <c r="Q2104">
        <v>1.3094522756676805E-3</v>
      </c>
      <c r="R2104">
        <v>1.3081705867022818E-3</v>
      </c>
      <c r="S2104">
        <v>0.22012099712003266</v>
      </c>
      <c r="T2104">
        <v>3.8902998468242838</v>
      </c>
      <c r="U2104">
        <v>0</v>
      </c>
      <c r="V2104">
        <v>9.4523053561131939E-3</v>
      </c>
      <c r="W2104">
        <v>7.1837190904676843E-2</v>
      </c>
      <c r="X2104">
        <v>1.1124450333405268E-2</v>
      </c>
      <c r="Y2104">
        <v>3.6969899521202801E-3</v>
      </c>
    </row>
    <row r="2105" spans="1:25" x14ac:dyDescent="0.25">
      <c r="A2105" s="1090"/>
      <c r="B2105" s="1448">
        <v>1855</v>
      </c>
      <c r="C2105" s="1094">
        <v>0.97997385643412072</v>
      </c>
      <c r="D2105" s="1094">
        <v>0.98309303564158834</v>
      </c>
      <c r="E2105" s="1094">
        <v>1.0259180112374868</v>
      </c>
      <c r="F2105" s="1094">
        <v>1.0171395912270571</v>
      </c>
      <c r="G2105" s="1094">
        <v>0.97423589221634566</v>
      </c>
      <c r="H2105" s="1094">
        <v>1.0286832254108449</v>
      </c>
      <c r="I2105" s="1094">
        <v>1.004114267862569</v>
      </c>
      <c r="K2105">
        <v>4.5833177849719497</v>
      </c>
      <c r="L2105">
        <v>0</v>
      </c>
      <c r="M2105">
        <v>1.4888163875922387E-3</v>
      </c>
      <c r="N2105">
        <v>0.13914404516513826</v>
      </c>
      <c r="O2105">
        <v>3.9933957863479121E-2</v>
      </c>
      <c r="P2105">
        <v>1.9871222045225293E-2</v>
      </c>
      <c r="Q2105">
        <v>1.3691627651232232E-3</v>
      </c>
      <c r="R2105">
        <v>1.4829794429144503E-3</v>
      </c>
      <c r="S2105">
        <v>0.24328940816589548</v>
      </c>
      <c r="T2105">
        <v>4.0329852250768781</v>
      </c>
      <c r="U2105">
        <v>0</v>
      </c>
      <c r="V2105">
        <v>9.4523053561131904E-3</v>
      </c>
      <c r="W2105">
        <v>8.1455495518683932E-2</v>
      </c>
      <c r="X2105">
        <v>1.1631786834286392E-2</v>
      </c>
      <c r="Y2105">
        <v>4.1910131258006914E-3</v>
      </c>
    </row>
    <row r="2106" spans="1:25" x14ac:dyDescent="0.25">
      <c r="A2106" s="1090"/>
      <c r="B2106" s="1448">
        <v>1856</v>
      </c>
      <c r="C2106" s="1094">
        <v>1.0018239807804306</v>
      </c>
      <c r="D2106" s="1094">
        <v>1.0121984022455939</v>
      </c>
      <c r="E2106" s="1094">
        <v>1.0003787701968023</v>
      </c>
      <c r="F2106" s="1094">
        <v>1.0306636451322677</v>
      </c>
      <c r="G2106" s="1094">
        <v>1.0132339093408085</v>
      </c>
      <c r="H2106" s="1094">
        <v>1.0066049936397794</v>
      </c>
      <c r="I2106" s="1094">
        <v>1.0022396587487898</v>
      </c>
      <c r="K2106">
        <v>4.6167052746574697</v>
      </c>
      <c r="L2106">
        <v>0</v>
      </c>
      <c r="M2106">
        <v>1.506231332279836E-3</v>
      </c>
      <c r="N2106">
        <v>0.13051745923343092</v>
      </c>
      <c r="O2106">
        <v>3.9302993706859565E-2</v>
      </c>
      <c r="P2106">
        <v>1.9715731793649192E-2</v>
      </c>
      <c r="Q2106">
        <v>1.2953373555416377E-3</v>
      </c>
      <c r="R2106">
        <v>1.5002754613638043E-3</v>
      </c>
      <c r="S2106">
        <v>0.23588020744596316</v>
      </c>
      <c r="T2106">
        <v>4.0876043684771268</v>
      </c>
      <c r="U2106">
        <v>0</v>
      </c>
      <c r="V2106">
        <v>9.4523053561131991E-3</v>
      </c>
      <c r="W2106">
        <v>7.7723889162840717E-2</v>
      </c>
      <c r="X2106">
        <v>1.0979045002428807E-2</v>
      </c>
      <c r="Y2106">
        <v>4.2398929944271061E-3</v>
      </c>
    </row>
    <row r="2107" spans="1:25" x14ac:dyDescent="0.25">
      <c r="A2107" s="1090"/>
      <c r="B2107" s="1448">
        <v>1857</v>
      </c>
      <c r="C2107" s="1094">
        <v>0.95808811883202472</v>
      </c>
      <c r="D2107" s="1094">
        <v>1.0270801543079588</v>
      </c>
      <c r="E2107" s="1094">
        <v>0.99761979863006567</v>
      </c>
      <c r="F2107" s="1094">
        <v>0.98426774996044097</v>
      </c>
      <c r="G2107" s="1094">
        <v>1.0073437590352494</v>
      </c>
      <c r="H2107" s="1094">
        <v>1.0154739459704132</v>
      </c>
      <c r="I2107" s="1094">
        <v>1.012241640798587</v>
      </c>
      <c r="K2107">
        <v>4.4365249848280213</v>
      </c>
      <c r="L2107">
        <v>0</v>
      </c>
      <c r="M2107">
        <v>1.517583502786695E-3</v>
      </c>
      <c r="N2107">
        <v>0.13041088917479138</v>
      </c>
      <c r="O2107">
        <v>3.9037917785846678E-2</v>
      </c>
      <c r="P2107">
        <v>1.8863639640238183E-2</v>
      </c>
      <c r="Q2107">
        <v>1.3434014986834616E-3</v>
      </c>
      <c r="R2107">
        <v>1.5113559313436693E-3</v>
      </c>
      <c r="S2107">
        <v>0.24105643017638018</v>
      </c>
      <c r="T2107">
        <v>3.9037020542248499</v>
      </c>
      <c r="U2107">
        <v>0</v>
      </c>
      <c r="V2107">
        <v>9.4523053561131939E-3</v>
      </c>
      <c r="W2107">
        <v>7.7805474558437657E-2</v>
      </c>
      <c r="X2107">
        <v>1.0587892735580477E-2</v>
      </c>
      <c r="Y2107">
        <v>4.2712072485440707E-3</v>
      </c>
    </row>
    <row r="2108" spans="1:25" x14ac:dyDescent="0.25">
      <c r="A2108" s="1090"/>
      <c r="B2108" s="1448">
        <v>1858</v>
      </c>
      <c r="C2108" s="1094">
        <v>0.9758087186191392</v>
      </c>
      <c r="D2108" s="1094">
        <v>0.97338193396458628</v>
      </c>
      <c r="E2108" s="1094">
        <v>0.98321694914281799</v>
      </c>
      <c r="F2108" s="1094">
        <v>1.0082260232303837</v>
      </c>
      <c r="G2108" s="1094">
        <v>0.97353550418989032</v>
      </c>
      <c r="H2108" s="1094">
        <v>1.0329001163482829</v>
      </c>
      <c r="I2108" s="1094">
        <v>0.96077751346068985</v>
      </c>
      <c r="K2108">
        <v>4.5334758576534302</v>
      </c>
      <c r="L2108">
        <v>0</v>
      </c>
      <c r="M2108">
        <v>1.6348053616305484E-3</v>
      </c>
      <c r="N2108">
        <v>0.13463327317633611</v>
      </c>
      <c r="O2108">
        <v>4.0217541321786697E-2</v>
      </c>
      <c r="P2108">
        <v>1.9055525102401903E-2</v>
      </c>
      <c r="Q2108">
        <v>1.331010169070275E-3</v>
      </c>
      <c r="R2108">
        <v>1.6283660270149901E-3</v>
      </c>
      <c r="S2108">
        <v>0.23341783836822802</v>
      </c>
      <c r="T2108">
        <v>3.9992784799236691</v>
      </c>
      <c r="U2108">
        <v>0</v>
      </c>
      <c r="V2108">
        <v>9.4523053561131817E-3</v>
      </c>
      <c r="W2108">
        <v>8.111552467222917E-2</v>
      </c>
      <c r="X2108">
        <v>1.0378912186005618E-2</v>
      </c>
      <c r="Y2108">
        <v>4.6018867122094263E-3</v>
      </c>
    </row>
    <row r="2109" spans="1:25" x14ac:dyDescent="0.25">
      <c r="A2109" s="1090"/>
      <c r="B2109" s="1448">
        <v>1859</v>
      </c>
      <c r="C2109" s="1094">
        <v>0.99260738533870385</v>
      </c>
      <c r="D2109" s="1094">
        <v>0.9900764429306298</v>
      </c>
      <c r="E2109" s="1094">
        <v>0.96888550723025979</v>
      </c>
      <c r="F2109" s="1094">
        <v>1.0014966066976927</v>
      </c>
      <c r="G2109" s="1094">
        <v>0.9939507134491522</v>
      </c>
      <c r="H2109" s="1094">
        <v>0.9836670148313178</v>
      </c>
      <c r="I2109" s="1094">
        <v>1.001628629617032</v>
      </c>
      <c r="K2109">
        <v>4.4867385205786876</v>
      </c>
      <c r="L2109">
        <v>0</v>
      </c>
      <c r="M2109">
        <v>1.5561462162908197E-3</v>
      </c>
      <c r="N2109">
        <v>0.12279035739986108</v>
      </c>
      <c r="O2109">
        <v>3.9106054107789862E-2</v>
      </c>
      <c r="P2109">
        <v>1.8731200138434326E-2</v>
      </c>
      <c r="Q2109">
        <v>1.2835063887998103E-3</v>
      </c>
      <c r="R2109">
        <v>1.549666856338654E-3</v>
      </c>
      <c r="S2109">
        <v>0.23311713904347092</v>
      </c>
      <c r="T2109">
        <v>3.9731382015416301</v>
      </c>
      <c r="U2109">
        <v>0</v>
      </c>
      <c r="V2109">
        <v>9.4523053561131869E-3</v>
      </c>
      <c r="W2109">
        <v>7.4712225429602264E-2</v>
      </c>
      <c r="X2109">
        <v>1.0034533685459352E-2</v>
      </c>
      <c r="Y2109">
        <v>4.3794768474806536E-3</v>
      </c>
    </row>
    <row r="2110" spans="1:25" x14ac:dyDescent="0.25">
      <c r="A2110" s="1090"/>
      <c r="B2110" s="1448">
        <v>1860</v>
      </c>
      <c r="C2110" s="1094">
        <v>1.0004664128777678</v>
      </c>
      <c r="D2110" s="1094">
        <v>1.0249181475432001</v>
      </c>
      <c r="E2110" s="1094">
        <v>1.0030874768738933</v>
      </c>
      <c r="F2110" s="1094">
        <v>0.9958947888966394</v>
      </c>
      <c r="G2110" s="1094">
        <v>0.97870094161192467</v>
      </c>
      <c r="H2110" s="1094">
        <v>1.01980055442934</v>
      </c>
      <c r="I2110" s="1094">
        <v>1.01516118645425</v>
      </c>
      <c r="K2110">
        <v>4.4693464163506444</v>
      </c>
      <c r="L2110">
        <v>0</v>
      </c>
      <c r="M2110">
        <v>1.4609863295050698E-3</v>
      </c>
      <c r="N2110">
        <v>0.12760607096348617</v>
      </c>
      <c r="O2110">
        <v>3.7820835406337842E-2</v>
      </c>
      <c r="P2110">
        <v>1.911703893190923E-2</v>
      </c>
      <c r="Q2110">
        <v>1.2936281753373618E-3</v>
      </c>
      <c r="R2110">
        <v>1.4550858576894909E-3</v>
      </c>
      <c r="S2110">
        <v>0.2338412660209975</v>
      </c>
      <c r="T2110">
        <v>3.9496087034095022</v>
      </c>
      <c r="U2110">
        <v>0</v>
      </c>
      <c r="V2110">
        <v>9.4523053561131956E-3</v>
      </c>
      <c r="W2110">
        <v>7.5851312725942213E-2</v>
      </c>
      <c r="X2110">
        <v>1.0648972108452007E-2</v>
      </c>
      <c r="Y2110">
        <v>4.1121837243804655E-3</v>
      </c>
    </row>
    <row r="2111" spans="1:25" x14ac:dyDescent="0.25">
      <c r="A2111" s="1090"/>
      <c r="B2111" s="1448">
        <v>1861</v>
      </c>
      <c r="C2111" s="1094">
        <v>0.96968234758286853</v>
      </c>
      <c r="D2111" s="1094">
        <v>1.0173698808909446</v>
      </c>
      <c r="E2111" s="1094">
        <v>1.0108349927496816</v>
      </c>
      <c r="F2111" s="1094">
        <v>1.024689633800693</v>
      </c>
      <c r="G2111" s="1094">
        <v>1.0018110176397177</v>
      </c>
      <c r="H2111" s="1094">
        <v>0.98263422577538517</v>
      </c>
      <c r="I2111" s="1094">
        <v>1.0370254063949145</v>
      </c>
      <c r="K2111">
        <v>4.6083776976791011</v>
      </c>
      <c r="L2111">
        <v>0</v>
      </c>
      <c r="M2111">
        <v>1.4743993336903839E-3</v>
      </c>
      <c r="N2111">
        <v>0.13176170578803412</v>
      </c>
      <c r="O2111">
        <v>4.0212770137675449E-2</v>
      </c>
      <c r="P2111">
        <v>1.9817915682035829E-2</v>
      </c>
      <c r="Q2111">
        <v>1.3475271838810741E-3</v>
      </c>
      <c r="R2111">
        <v>1.4683924329503798E-3</v>
      </c>
      <c r="S2111">
        <v>0.24879829567925113</v>
      </c>
      <c r="T2111">
        <v>4.0635045916915757</v>
      </c>
      <c r="U2111">
        <v>0</v>
      </c>
      <c r="V2111">
        <v>9.4523053561132026E-3</v>
      </c>
      <c r="W2111">
        <v>7.7914369392321631E-2</v>
      </c>
      <c r="X2111">
        <v>1.1424434546971811E-2</v>
      </c>
      <c r="Y2111">
        <v>4.1497891219766997E-3</v>
      </c>
    </row>
    <row r="2112" spans="1:25" x14ac:dyDescent="0.25">
      <c r="A2112" s="1090"/>
      <c r="B2112" s="1448">
        <v>1862</v>
      </c>
      <c r="C2112" s="1094">
        <v>1.0410178337556606</v>
      </c>
      <c r="D2112" s="1094">
        <v>0.98166198451271114</v>
      </c>
      <c r="E2112" s="1094">
        <v>1.0237155705875365</v>
      </c>
      <c r="F2112" s="1094">
        <v>1.010538884698108</v>
      </c>
      <c r="G2112" s="1094">
        <v>1.0096332568967614</v>
      </c>
      <c r="H2112" s="1094">
        <v>1.0281561120639291</v>
      </c>
      <c r="I2112" s="1094">
        <v>0.99646372039712106</v>
      </c>
      <c r="K2112">
        <v>4.5221939909147624</v>
      </c>
      <c r="L2112">
        <v>0</v>
      </c>
      <c r="M2112">
        <v>1.3990517697147706E-3</v>
      </c>
      <c r="N2112">
        <v>0.12990215936638647</v>
      </c>
      <c r="O2112">
        <v>3.7384936506643887E-2</v>
      </c>
      <c r="P2112">
        <v>1.9640095572430915E-2</v>
      </c>
      <c r="Q2112">
        <v>1.2872340319922573E-3</v>
      </c>
      <c r="R2112">
        <v>1.393528237295177E-3</v>
      </c>
      <c r="S2112">
        <v>0.22633678243555644</v>
      </c>
      <c r="T2112">
        <v>4.0068969723095211</v>
      </c>
      <c r="U2112">
        <v>0</v>
      </c>
      <c r="V2112">
        <v>9.4523053561131852E-3</v>
      </c>
      <c r="W2112">
        <v>7.6156653733638585E-2</v>
      </c>
      <c r="X2112">
        <v>1.1204157945454003E-2</v>
      </c>
      <c r="Y2112">
        <v>3.9382171894441426E-3</v>
      </c>
    </row>
    <row r="2113" spans="1:25" x14ac:dyDescent="0.25">
      <c r="A2113" s="1090"/>
      <c r="B2113" s="1448">
        <v>1863</v>
      </c>
      <c r="C2113" s="1094">
        <v>1.0319818445903213</v>
      </c>
      <c r="D2113" s="1094">
        <v>0.99377020896866131</v>
      </c>
      <c r="E2113" s="1094">
        <v>0.99382969806208976</v>
      </c>
      <c r="F2113" s="1094">
        <v>0.95295243001879504</v>
      </c>
      <c r="G2113" s="1094">
        <v>0.99337424338914304</v>
      </c>
      <c r="H2113" s="1094">
        <v>1.0056453255431328</v>
      </c>
      <c r="I2113" s="1094">
        <v>1.0277571086525654</v>
      </c>
      <c r="K2113">
        <v>4.2691965942969672</v>
      </c>
      <c r="L2113">
        <v>0</v>
      </c>
      <c r="M2113">
        <v>1.3799740920689696E-3</v>
      </c>
      <c r="N2113">
        <v>0.11724030235930696</v>
      </c>
      <c r="O2113">
        <v>3.5579456870325585E-2</v>
      </c>
      <c r="P2113">
        <v>1.8170762269928181E-2</v>
      </c>
      <c r="Q2113">
        <v>1.2596562233274365E-3</v>
      </c>
      <c r="R2113">
        <v>1.3740687702881748E-3</v>
      </c>
      <c r="S2113">
        <v>0.22389325397354873</v>
      </c>
      <c r="T2113">
        <v>3.779640263429787</v>
      </c>
      <c r="U2113">
        <v>0</v>
      </c>
      <c r="V2113">
        <v>9.452305356113206E-3</v>
      </c>
      <c r="W2113">
        <v>7.0127598375893621E-2</v>
      </c>
      <c r="X2113">
        <v>9.9556775104890777E-3</v>
      </c>
      <c r="Y2113">
        <v>3.8832232500223304E-3</v>
      </c>
    </row>
    <row r="2114" spans="1:25" x14ac:dyDescent="0.25">
      <c r="A2114" s="1090"/>
      <c r="B2114" s="1448">
        <v>1864</v>
      </c>
      <c r="C2114" s="1094">
        <v>0.99990973075763434</v>
      </c>
      <c r="D2114" s="1094">
        <v>1.0038130312063722</v>
      </c>
      <c r="E2114" s="1094">
        <v>0.98531129506095516</v>
      </c>
      <c r="F2114" s="1094">
        <v>1.0076837253997588</v>
      </c>
      <c r="G2114" s="1094">
        <v>0.96111328041939192</v>
      </c>
      <c r="H2114" s="1094">
        <v>0.95316749458330319</v>
      </c>
      <c r="I2114" s="1094">
        <v>1.0100535771530965</v>
      </c>
      <c r="K2114">
        <v>4.5032093879470052</v>
      </c>
      <c r="L2114">
        <v>0</v>
      </c>
      <c r="M2114">
        <v>1.4470700600696859E-3</v>
      </c>
      <c r="N2114">
        <v>0.11987520757863371</v>
      </c>
      <c r="O2114">
        <v>3.873255490823499E-2</v>
      </c>
      <c r="P2114">
        <v>1.9064833619593876E-2</v>
      </c>
      <c r="Q2114">
        <v>1.2853601597222271E-3</v>
      </c>
      <c r="R2114">
        <v>1.440890090900773E-3</v>
      </c>
      <c r="S2114">
        <v>0.23100889825920828</v>
      </c>
      <c r="T2114">
        <v>3.9970463901218336</v>
      </c>
      <c r="U2114">
        <v>0</v>
      </c>
      <c r="V2114">
        <v>9.4523053561131973E-3</v>
      </c>
      <c r="W2114">
        <v>7.212064254248679E-2</v>
      </c>
      <c r="X2114">
        <v>1.055730996670398E-2</v>
      </c>
      <c r="Y2114">
        <v>4.0720654036400248E-3</v>
      </c>
    </row>
    <row r="2115" spans="1:25" x14ac:dyDescent="0.25">
      <c r="A2115" s="1090"/>
      <c r="B2115" s="1448">
        <v>1865</v>
      </c>
      <c r="C2115" s="1094">
        <v>0.99736828572285974</v>
      </c>
      <c r="D2115" s="1094">
        <v>0.98142240075572618</v>
      </c>
      <c r="E2115" s="1094">
        <v>1.0073682622491325</v>
      </c>
      <c r="F2115" s="1094">
        <v>0.98604402074240105</v>
      </c>
      <c r="G2115" s="1094">
        <v>1.0170534481846332</v>
      </c>
      <c r="H2115" s="1094">
        <v>0.99733064296722451</v>
      </c>
      <c r="I2115" s="1094">
        <v>1.008411059564307</v>
      </c>
      <c r="K2115">
        <v>4.4275660060692204</v>
      </c>
      <c r="L2115">
        <v>0</v>
      </c>
      <c r="M2115">
        <v>1.430977123893747E-3</v>
      </c>
      <c r="N2115">
        <v>0.12656296915102286</v>
      </c>
      <c r="O2115">
        <v>3.8191008891076954E-2</v>
      </c>
      <c r="P2115">
        <v>1.8993715034578636E-2</v>
      </c>
      <c r="Q2115">
        <v>1.3251887736360458E-3</v>
      </c>
      <c r="R2115">
        <v>1.4250088513577317E-3</v>
      </c>
      <c r="S2115">
        <v>0.23281368468885072</v>
      </c>
      <c r="T2115">
        <v>3.910381315904063</v>
      </c>
      <c r="U2115">
        <v>0</v>
      </c>
      <c r="V2115">
        <v>9.4523053561131956E-3</v>
      </c>
      <c r="W2115">
        <v>7.501469240524776E-2</v>
      </c>
      <c r="X2115">
        <v>1.0809910328948848E-2</v>
      </c>
      <c r="Y2115">
        <v>4.0271838082161105E-3</v>
      </c>
    </row>
    <row r="2116" spans="1:25" x14ac:dyDescent="0.25">
      <c r="A2116" s="1090"/>
      <c r="B2116" s="1448">
        <v>1866</v>
      </c>
      <c r="C2116" s="1094">
        <v>1.0252194821261527</v>
      </c>
      <c r="D2116" s="1094">
        <v>1.0035656365831538</v>
      </c>
      <c r="E2116" s="1094">
        <v>0.9777388940708166</v>
      </c>
      <c r="F2116" s="1094">
        <v>1.0053380630068731</v>
      </c>
      <c r="G2116" s="1094">
        <v>1.0163592997313815</v>
      </c>
      <c r="H2116" s="1094">
        <v>0.98811020451183007</v>
      </c>
      <c r="I2116" s="1094">
        <v>0.99609153310626508</v>
      </c>
      <c r="K2116">
        <v>4.4869238814946559</v>
      </c>
      <c r="L2116">
        <v>0</v>
      </c>
      <c r="M2116">
        <v>1.4832355402939743E-3</v>
      </c>
      <c r="N2116">
        <v>0.12015839557799499</v>
      </c>
      <c r="O2116">
        <v>3.7742894915959446E-2</v>
      </c>
      <c r="P2116">
        <v>1.8886066425677025E-2</v>
      </c>
      <c r="Q2116">
        <v>1.2455458681865433E-3</v>
      </c>
      <c r="R2116">
        <v>1.4771109265205268E-3</v>
      </c>
      <c r="S2116">
        <v>0.22444298396684442</v>
      </c>
      <c r="T2116">
        <v>3.9880346767200066</v>
      </c>
      <c r="U2116">
        <v>0</v>
      </c>
      <c r="V2116">
        <v>9.4523053561132026E-3</v>
      </c>
      <c r="W2116">
        <v>7.2666653102928067E-2</v>
      </c>
      <c r="X2116">
        <v>1.0126055924278989E-2</v>
      </c>
      <c r="Y2116">
        <v>4.1744282504314317E-3</v>
      </c>
    </row>
    <row r="2117" spans="1:25" x14ac:dyDescent="0.25">
      <c r="A2117" s="1090"/>
      <c r="B2117" s="1448">
        <v>1867</v>
      </c>
      <c r="C2117" s="1094">
        <v>0.97235298934972114</v>
      </c>
      <c r="D2117" s="1094">
        <v>1.0397045963313014</v>
      </c>
      <c r="E2117" s="1094">
        <v>0.99099506869809884</v>
      </c>
      <c r="F2117" s="1094">
        <v>0.98975273767811178</v>
      </c>
      <c r="G2117" s="1094">
        <v>1.022820477768974</v>
      </c>
      <c r="H2117" s="1094">
        <v>0.97482607861290316</v>
      </c>
      <c r="I2117" s="1094">
        <v>1.0375651078128649</v>
      </c>
      <c r="K2117">
        <v>4.4450282558613914</v>
      </c>
      <c r="L2117">
        <v>0</v>
      </c>
      <c r="M2117">
        <v>1.4565560812503883E-3</v>
      </c>
      <c r="N2117">
        <v>0.12271448973999813</v>
      </c>
      <c r="O2117">
        <v>3.8536557430799895E-2</v>
      </c>
      <c r="P2117">
        <v>1.886620008667076E-2</v>
      </c>
      <c r="Q2117">
        <v>1.3097559292081253E-3</v>
      </c>
      <c r="R2117">
        <v>1.4503640726369917E-3</v>
      </c>
      <c r="S2117">
        <v>0.24028403687837133</v>
      </c>
      <c r="T2117">
        <v>3.9257064365535799</v>
      </c>
      <c r="U2117">
        <v>0</v>
      </c>
      <c r="V2117">
        <v>9.452305356113206E-3</v>
      </c>
      <c r="W2117">
        <v>7.3543488320320025E-2</v>
      </c>
      <c r="X2117">
        <v>1.0522337975607468E-2</v>
      </c>
      <c r="Y2117">
        <v>4.098839599330867E-3</v>
      </c>
    </row>
    <row r="2118" spans="1:25" x14ac:dyDescent="0.25">
      <c r="A2118" s="1090"/>
      <c r="B2118" s="1448">
        <v>1868</v>
      </c>
      <c r="C2118" s="1094">
        <v>0.95956786110978887</v>
      </c>
      <c r="D2118" s="1094">
        <v>1.0180977763929169</v>
      </c>
      <c r="E2118" s="1094">
        <v>0.98464166548698273</v>
      </c>
      <c r="F2118" s="1094">
        <v>1.0206756899241396</v>
      </c>
      <c r="G2118" s="1094">
        <v>1.01245225154729</v>
      </c>
      <c r="H2118" s="1094">
        <v>0.98916084839384955</v>
      </c>
      <c r="I2118" s="1094">
        <v>0.9964060374361744</v>
      </c>
      <c r="K2118">
        <v>4.5849718838410665</v>
      </c>
      <c r="L2118">
        <v>0</v>
      </c>
      <c r="M2118">
        <v>1.5782278948928694E-3</v>
      </c>
      <c r="N2118">
        <v>0.13050808459935079</v>
      </c>
      <c r="O2118">
        <v>4.0655738331432399E-2</v>
      </c>
      <c r="P2118">
        <v>1.9333761676381213E-2</v>
      </c>
      <c r="Q2118">
        <v>1.3310783982517084E-3</v>
      </c>
      <c r="R2118">
        <v>1.5718153894382272E-3</v>
      </c>
      <c r="S2118">
        <v>0.2413969234947381</v>
      </c>
      <c r="T2118">
        <v>4.0486061238889892</v>
      </c>
      <c r="U2118">
        <v>0</v>
      </c>
      <c r="V2118">
        <v>9.4523053561131817E-3</v>
      </c>
      <c r="W2118">
        <v>7.8553620074421751E-2</v>
      </c>
      <c r="X2118">
        <v>1.0698590233862633E-2</v>
      </c>
      <c r="Y2118">
        <v>4.4420702929805558E-3</v>
      </c>
    </row>
    <row r="2119" spans="1:25" x14ac:dyDescent="0.25">
      <c r="A2119" s="1090"/>
      <c r="B2119" s="1448">
        <v>1869</v>
      </c>
      <c r="C2119" s="1094">
        <v>1.0080186494872518</v>
      </c>
      <c r="D2119" s="1094">
        <v>1.0141180579651734</v>
      </c>
      <c r="E2119" s="1094">
        <v>0.97574695390612898</v>
      </c>
      <c r="F2119" s="1094">
        <v>1.0214545223478797</v>
      </c>
      <c r="G2119" s="1094">
        <v>0.99031734397223925</v>
      </c>
      <c r="H2119" s="1094">
        <v>1.0049302629388481</v>
      </c>
      <c r="I2119" s="1094">
        <v>0.98620136541260173</v>
      </c>
      <c r="K2119">
        <v>4.565959254398404</v>
      </c>
      <c r="L2119">
        <v>0</v>
      </c>
      <c r="M2119">
        <v>1.5587123114873121E-3</v>
      </c>
      <c r="N2119">
        <v>0.12554524671497966</v>
      </c>
      <c r="O2119">
        <v>3.8853198547649417E-2</v>
      </c>
      <c r="P2119">
        <v>1.9163768360180695E-2</v>
      </c>
      <c r="Q2119">
        <v>1.2593267471692688E-3</v>
      </c>
      <c r="R2119">
        <v>1.5524832150034802E-3</v>
      </c>
      <c r="S2119">
        <v>0.22901177094584244</v>
      </c>
      <c r="T2119">
        <v>4.0520447649615887</v>
      </c>
      <c r="U2119">
        <v>0</v>
      </c>
      <c r="V2119">
        <v>9.45230535611318E-3</v>
      </c>
      <c r="W2119">
        <v>7.6028308748012946E-2</v>
      </c>
      <c r="X2119">
        <v>1.0219357021265455E-2</v>
      </c>
      <c r="Y2119">
        <v>4.3874360920862655E-3</v>
      </c>
    </row>
    <row r="2120" spans="1:25" x14ac:dyDescent="0.25">
      <c r="A2120" s="1090"/>
      <c r="B2120" s="1448">
        <v>1870</v>
      </c>
      <c r="C2120" s="1094">
        <v>1.0159239947775576</v>
      </c>
      <c r="D2120" s="1094">
        <v>0.99535341455998727</v>
      </c>
      <c r="E2120" s="1094">
        <v>0.96557408609146889</v>
      </c>
      <c r="F2120" s="1094">
        <v>1.0181691513097877</v>
      </c>
      <c r="G2120" s="1094">
        <v>1.0067288448138361</v>
      </c>
      <c r="H2120" s="1094">
        <v>1.0024512101232821</v>
      </c>
      <c r="I2120" s="1094">
        <v>1.0152964278699503</v>
      </c>
      <c r="K2120">
        <v>4.5559313733941771</v>
      </c>
      <c r="L2120">
        <v>0</v>
      </c>
      <c r="M2120">
        <v>1.582751129840315E-3</v>
      </c>
      <c r="N2120">
        <v>0.12368529665424027</v>
      </c>
      <c r="O2120">
        <v>3.8784798769320158E-2</v>
      </c>
      <c r="P2120">
        <v>1.8983664290964732E-2</v>
      </c>
      <c r="Q2120">
        <v>1.2477635797577356E-3</v>
      </c>
      <c r="R2120">
        <v>1.5763899470107182E-3</v>
      </c>
      <c r="S2120">
        <v>0.23453965778578717</v>
      </c>
      <c r="T2120">
        <v>4.03941197685924</v>
      </c>
      <c r="U2120">
        <v>0</v>
      </c>
      <c r="V2120">
        <v>9.4523053561131852E-3</v>
      </c>
      <c r="W2120">
        <v>7.5429186787113162E-2</v>
      </c>
      <c r="X2120">
        <v>9.9480861525406087E-3</v>
      </c>
      <c r="Y2120">
        <v>4.4549983419313651E-3</v>
      </c>
    </row>
    <row r="2121" spans="1:25" x14ac:dyDescent="0.25">
      <c r="A2121" s="1090"/>
      <c r="B2121" s="1448">
        <v>1871</v>
      </c>
      <c r="C2121" s="1094">
        <v>0.98518848305819939</v>
      </c>
      <c r="D2121" s="1094">
        <v>0.99057317035238701</v>
      </c>
      <c r="E2121" s="1094">
        <v>1.0161925583339697</v>
      </c>
      <c r="F2121" s="1094">
        <v>1.0147822570811185</v>
      </c>
      <c r="G2121" s="1094">
        <v>0.96563958976496422</v>
      </c>
      <c r="H2121" s="1094">
        <v>0.99910420660471411</v>
      </c>
      <c r="I2121" s="1094">
        <v>0.98905771439939005</v>
      </c>
      <c r="K2121">
        <v>4.5554022891145314</v>
      </c>
      <c r="L2121">
        <v>0</v>
      </c>
      <c r="M2121">
        <v>1.4603886757545239E-3</v>
      </c>
      <c r="N2121">
        <v>0.13259954958589185</v>
      </c>
      <c r="O2121">
        <v>3.9579802243335051E-2</v>
      </c>
      <c r="P2121">
        <v>1.9651617071046935E-2</v>
      </c>
      <c r="Q2121">
        <v>1.3466715380544207E-3</v>
      </c>
      <c r="R2121">
        <v>1.4544800376768685E-3</v>
      </c>
      <c r="S2121">
        <v>0.23515671809376179</v>
      </c>
      <c r="T2121">
        <v>4.0240102783461627</v>
      </c>
      <c r="U2121">
        <v>0</v>
      </c>
      <c r="V2121">
        <v>9.4523053561131973E-3</v>
      </c>
      <c r="W2121">
        <v>7.8128975742816312E-2</v>
      </c>
      <c r="X2121">
        <v>1.1371808144650733E-2</v>
      </c>
      <c r="Y2121">
        <v>4.1104716307726252E-3</v>
      </c>
    </row>
    <row r="2122" spans="1:25" x14ac:dyDescent="0.25">
      <c r="A2122" s="1090"/>
      <c r="B2122" s="1448">
        <v>1872</v>
      </c>
      <c r="C2122" s="1094">
        <v>0.99126121563729575</v>
      </c>
      <c r="D2122" s="1094">
        <v>1.0025451898166351</v>
      </c>
      <c r="E2122" s="1094">
        <v>1.0064766796245428</v>
      </c>
      <c r="F2122" s="1094">
        <v>0.96777696376129851</v>
      </c>
      <c r="G2122" s="1094">
        <v>1.020017768144601</v>
      </c>
      <c r="H2122" s="1094">
        <v>0.98948209579317215</v>
      </c>
      <c r="I2122" s="1094">
        <v>0.98260820618090339</v>
      </c>
      <c r="K2122">
        <v>4.3383482104067435</v>
      </c>
      <c r="L2122">
        <v>0</v>
      </c>
      <c r="M2122">
        <v>1.3928331405241607E-3</v>
      </c>
      <c r="N2122">
        <v>0.12285065246319642</v>
      </c>
      <c r="O2122">
        <v>3.7400530437297519E-2</v>
      </c>
      <c r="P2122">
        <v>1.8607047965489322E-2</v>
      </c>
      <c r="Q2122">
        <v>1.3210388777037375E-3</v>
      </c>
      <c r="R2122">
        <v>1.3868678280658962E-3</v>
      </c>
      <c r="S2122">
        <v>0.22337257395427643</v>
      </c>
      <c r="T2122">
        <v>3.8379719030746036</v>
      </c>
      <c r="U2122">
        <v>0</v>
      </c>
      <c r="V2122">
        <v>9.4523053561131817E-3</v>
      </c>
      <c r="W2122">
        <v>7.2858063679293941E-2</v>
      </c>
      <c r="X2122">
        <v>1.0600665546765524E-2</v>
      </c>
      <c r="Y2122">
        <v>3.9193943644640055E-3</v>
      </c>
    </row>
    <row r="2123" spans="1:25" x14ac:dyDescent="0.25">
      <c r="A2123" s="1090"/>
      <c r="B2123" s="1448">
        <v>1873</v>
      </c>
      <c r="C2123" s="1094">
        <v>0.98713137494497372</v>
      </c>
      <c r="D2123" s="1094">
        <v>0.99824711860683402</v>
      </c>
      <c r="E2123" s="1094">
        <v>1.0339837918545605</v>
      </c>
      <c r="F2123" s="1094">
        <v>0.97306879086686437</v>
      </c>
      <c r="G2123" s="1094">
        <v>1.0475071447241635</v>
      </c>
      <c r="H2123" s="1094">
        <v>0.98878628119712941</v>
      </c>
      <c r="I2123" s="1094">
        <v>1.0025255721165813</v>
      </c>
      <c r="K2123">
        <v>4.3716668164929571</v>
      </c>
      <c r="L2123">
        <v>0</v>
      </c>
      <c r="M2123">
        <v>1.3282380953193245E-3</v>
      </c>
      <c r="N2123">
        <v>0.12708850629676188</v>
      </c>
      <c r="O2123">
        <v>3.7640465031410109E-2</v>
      </c>
      <c r="P2123">
        <v>1.9109275285451994E-2</v>
      </c>
      <c r="Q2123">
        <v>1.3601376173860613E-3</v>
      </c>
      <c r="R2123">
        <v>1.3225762592509447E-3</v>
      </c>
      <c r="S2123">
        <v>0.2299404121689046</v>
      </c>
      <c r="T2123">
        <v>3.8579488600124825</v>
      </c>
      <c r="U2123">
        <v>0</v>
      </c>
      <c r="V2123">
        <v>9.4523053561131921E-3</v>
      </c>
      <c r="W2123">
        <v>7.4001743297521794E-2</v>
      </c>
      <c r="X2123">
        <v>1.1393071780427526E-2</v>
      </c>
      <c r="Y2123">
        <v>3.7377014825638716E-3</v>
      </c>
    </row>
    <row r="2124" spans="1:25" x14ac:dyDescent="0.25">
      <c r="A2124" s="1090"/>
      <c r="B2124" s="1448">
        <v>1874</v>
      </c>
      <c r="C2124" s="1094">
        <v>0.99540729708933207</v>
      </c>
      <c r="D2124" s="1094">
        <v>1.0214923045628328</v>
      </c>
      <c r="E2124" s="1094">
        <v>0.96336387357980624</v>
      </c>
      <c r="F2124" s="1094">
        <v>1.0115270507167877</v>
      </c>
      <c r="G2124" s="1094">
        <v>1.0043814668979318</v>
      </c>
      <c r="H2124" s="1094">
        <v>1.0034428996681666</v>
      </c>
      <c r="I2124" s="1094">
        <v>0.99027903434902576</v>
      </c>
      <c r="K2124">
        <v>4.5264079846930469</v>
      </c>
      <c r="L2124">
        <v>0</v>
      </c>
      <c r="M2124">
        <v>1.5972704810596372E-3</v>
      </c>
      <c r="N2124">
        <v>0.12400025759432175</v>
      </c>
      <c r="O2124">
        <v>3.8935513904091661E-2</v>
      </c>
      <c r="P2124">
        <v>1.8818261896147024E-2</v>
      </c>
      <c r="Q2124">
        <v>1.2579056252608484E-3</v>
      </c>
      <c r="R2124">
        <v>1.5908153474554398E-3</v>
      </c>
      <c r="S2124">
        <v>0.23071318360588519</v>
      </c>
      <c r="T2124">
        <v>4.0131471882206649</v>
      </c>
      <c r="U2124">
        <v>0</v>
      </c>
      <c r="V2124">
        <v>9.4523053561131921E-3</v>
      </c>
      <c r="W2124">
        <v>7.5737087394223621E-2</v>
      </c>
      <c r="X2124">
        <v>9.8569706050264435E-3</v>
      </c>
      <c r="Y2124">
        <v>4.4957656249153743E-3</v>
      </c>
    </row>
    <row r="2125" spans="1:25" x14ac:dyDescent="0.25">
      <c r="A2125" s="1090"/>
      <c r="B2125" s="1448">
        <v>1875</v>
      </c>
      <c r="C2125" s="1094">
        <v>0.96452275254322228</v>
      </c>
      <c r="D2125" s="1094">
        <v>1.003989249593475</v>
      </c>
      <c r="E2125" s="1094">
        <v>1.0453776971773192</v>
      </c>
      <c r="F2125" s="1094">
        <v>0.99053647212773277</v>
      </c>
      <c r="G2125" s="1094">
        <v>1.0110489324593661</v>
      </c>
      <c r="H2125" s="1094">
        <v>0.97822859414544105</v>
      </c>
      <c r="I2125" s="1094">
        <v>1.0110695769565168</v>
      </c>
      <c r="K2125">
        <v>4.4592049253621511</v>
      </c>
      <c r="L2125">
        <v>0</v>
      </c>
      <c r="M2125">
        <v>1.3331881360154657E-3</v>
      </c>
      <c r="N2125">
        <v>0.13193299214471516</v>
      </c>
      <c r="O2125">
        <v>3.9043781672760826E-2</v>
      </c>
      <c r="P2125">
        <v>1.9632550006325578E-2</v>
      </c>
      <c r="Q2125">
        <v>1.4021177414248493E-3</v>
      </c>
      <c r="R2125">
        <v>1.3275447438430637E-3</v>
      </c>
      <c r="S2125">
        <v>0.23893574729007844</v>
      </c>
      <c r="T2125">
        <v>3.926781991455353</v>
      </c>
      <c r="U2125">
        <v>0</v>
      </c>
      <c r="V2125">
        <v>9.4523053561131973E-3</v>
      </c>
      <c r="W2125">
        <v>7.6248805911786108E-2</v>
      </c>
      <c r="X2125">
        <v>1.2028534376415842E-2</v>
      </c>
      <c r="Y2125">
        <v>3.7517427993470553E-3</v>
      </c>
    </row>
    <row r="2126" spans="1:25" x14ac:dyDescent="0.25">
      <c r="A2126" s="1090"/>
      <c r="B2126" s="1448">
        <v>1876</v>
      </c>
      <c r="C2126" s="1094">
        <v>1.0104126196512149</v>
      </c>
      <c r="D2126" s="1094">
        <v>0.96414697963348472</v>
      </c>
      <c r="E2126" s="1094">
        <v>1.0186913049669617</v>
      </c>
      <c r="F2126" s="1094">
        <v>1.017612430316388</v>
      </c>
      <c r="G2126" s="1094">
        <v>1.0087529363714511</v>
      </c>
      <c r="H2126" s="1094">
        <v>0.99854675400663573</v>
      </c>
      <c r="I2126" s="1094">
        <v>1.0194384037484818</v>
      </c>
      <c r="K2126">
        <v>4.5673846399077149</v>
      </c>
      <c r="L2126">
        <v>0</v>
      </c>
      <c r="M2126">
        <v>1.4350174473233199E-3</v>
      </c>
      <c r="N2126">
        <v>0.13126408415358229</v>
      </c>
      <c r="O2126">
        <v>3.9102620074227275E-2</v>
      </c>
      <c r="P2126">
        <v>1.9755283824886661E-2</v>
      </c>
      <c r="Q2126">
        <v>1.3301461699477539E-3</v>
      </c>
      <c r="R2126">
        <v>1.4292243097598141E-3</v>
      </c>
      <c r="S2126">
        <v>0.23868760179011214</v>
      </c>
      <c r="T2126">
        <v>4.0351370250498793</v>
      </c>
      <c r="U2126">
        <v>0</v>
      </c>
      <c r="V2126">
        <v>9.4523053561132026E-3</v>
      </c>
      <c r="W2126">
        <v>7.7213128895957328E-2</v>
      </c>
      <c r="X2126">
        <v>1.1409140715072631E-2</v>
      </c>
      <c r="Y2126">
        <v>4.0390970154954185E-3</v>
      </c>
    </row>
    <row r="2127" spans="1:25" x14ac:dyDescent="0.25">
      <c r="A2127" s="1090"/>
      <c r="B2127" s="1448">
        <v>1877</v>
      </c>
      <c r="C2127" s="1094">
        <v>0.96413052091986029</v>
      </c>
      <c r="D2127" s="1094">
        <v>0.98595060830108971</v>
      </c>
      <c r="E2127" s="1094">
        <v>0.98932764289077479</v>
      </c>
      <c r="F2127" s="1094">
        <v>1.037614300878571</v>
      </c>
      <c r="G2127" s="1094">
        <v>1.0057988353481173</v>
      </c>
      <c r="H2127" s="1094">
        <v>0.99921141172608319</v>
      </c>
      <c r="I2127" s="1094">
        <v>1.0014667919495066</v>
      </c>
      <c r="K2127">
        <v>4.6677479961382407</v>
      </c>
      <c r="L2127">
        <v>0</v>
      </c>
      <c r="M2127">
        <v>1.6177685769822739E-3</v>
      </c>
      <c r="N2127">
        <v>0.13566448242240417</v>
      </c>
      <c r="O2127">
        <v>4.1631424875838596E-2</v>
      </c>
      <c r="P2127">
        <v>1.9731523477366619E-2</v>
      </c>
      <c r="Q2127">
        <v>1.3473359363835925E-3</v>
      </c>
      <c r="R2127">
        <v>1.6113673345119186E-3</v>
      </c>
      <c r="S2127">
        <v>0.24737279131886819</v>
      </c>
      <c r="T2127">
        <v>4.1156083821092908</v>
      </c>
      <c r="U2127">
        <v>0</v>
      </c>
      <c r="V2127">
        <v>9.4523053561131869E-3</v>
      </c>
      <c r="W2127">
        <v>8.1396786810676081E-2</v>
      </c>
      <c r="X2127">
        <v>1.0995517964361165E-2</v>
      </c>
      <c r="Y2127">
        <v>4.5538471094069667E-3</v>
      </c>
    </row>
    <row r="2128" spans="1:25" x14ac:dyDescent="0.25">
      <c r="A2128" s="1090"/>
      <c r="B2128" s="1448">
        <v>1878</v>
      </c>
      <c r="C2128" s="1094">
        <v>0.98747752426262159</v>
      </c>
      <c r="D2128" s="1094">
        <v>0.99696757842104278</v>
      </c>
      <c r="E2128" s="1094">
        <v>0.99790836134306715</v>
      </c>
      <c r="F2128" s="1094">
        <v>0.96720371194170318</v>
      </c>
      <c r="G2128" s="1094">
        <v>0.99764330911749788</v>
      </c>
      <c r="H2128" s="1094">
        <v>0.98402592037240766</v>
      </c>
      <c r="I2128" s="1094">
        <v>1.0075858190356239</v>
      </c>
      <c r="K2128">
        <v>4.3418791253425404</v>
      </c>
      <c r="L2128">
        <v>0</v>
      </c>
      <c r="M2128">
        <v>1.4181125693319588E-3</v>
      </c>
      <c r="N2128">
        <v>0.12194211038130932</v>
      </c>
      <c r="O2128">
        <v>3.7663138203974406E-2</v>
      </c>
      <c r="P2128">
        <v>1.8509255959239052E-2</v>
      </c>
      <c r="Q2128">
        <v>1.3193527953916889E-3</v>
      </c>
      <c r="R2128">
        <v>1.4120017077293007E-3</v>
      </c>
      <c r="S2128">
        <v>0.22982358633846126</v>
      </c>
      <c r="T2128">
        <v>3.8360137724242622</v>
      </c>
      <c r="U2128">
        <v>0</v>
      </c>
      <c r="V2128">
        <v>9.4523053561131852E-3</v>
      </c>
      <c r="W2128">
        <v>7.2738639994882184E-2</v>
      </c>
      <c r="X2128">
        <v>1.0432650123238E-2</v>
      </c>
      <c r="Y2128">
        <v>3.9904246272737236E-3</v>
      </c>
    </row>
    <row r="2129" spans="1:25" x14ac:dyDescent="0.25">
      <c r="A2129" s="1090"/>
      <c r="B2129" s="1448">
        <v>1879</v>
      </c>
      <c r="C2129" s="1094">
        <v>0.99655460362109738</v>
      </c>
      <c r="D2129" s="1094">
        <v>1.0081754942886936</v>
      </c>
      <c r="E2129" s="1094">
        <v>1.0089450622672107</v>
      </c>
      <c r="F2129" s="1094">
        <v>0.97966924857443749</v>
      </c>
      <c r="G2129" s="1094">
        <v>0.99729024893854001</v>
      </c>
      <c r="H2129" s="1094">
        <v>1.0321162758475866</v>
      </c>
      <c r="I2129" s="1094">
        <v>0.99710046776283856</v>
      </c>
      <c r="K2129">
        <v>4.4024917533535692</v>
      </c>
      <c r="L2129">
        <v>0</v>
      </c>
      <c r="M2129">
        <v>1.4519629176060519E-3</v>
      </c>
      <c r="N2129">
        <v>0.12903490279072632</v>
      </c>
      <c r="O2129">
        <v>3.7558123466532048E-2</v>
      </c>
      <c r="P2129">
        <v>1.8887346585601494E-2</v>
      </c>
      <c r="Q2129">
        <v>1.3138445682674491E-3</v>
      </c>
      <c r="R2129">
        <v>1.4460733001162606E-3</v>
      </c>
      <c r="S2129">
        <v>0.23008317671244316</v>
      </c>
      <c r="T2129">
        <v>3.8850421202792069</v>
      </c>
      <c r="U2129">
        <v>0</v>
      </c>
      <c r="V2129">
        <v>9.4523053561131904E-3</v>
      </c>
      <c r="W2129">
        <v>7.6398809858359687E-2</v>
      </c>
      <c r="X2129">
        <v>1.0640299805202204E-2</v>
      </c>
      <c r="Y2129">
        <v>4.0867135486022978E-3</v>
      </c>
    </row>
    <row r="2130" spans="1:25" x14ac:dyDescent="0.25">
      <c r="A2130" s="1090"/>
      <c r="B2130" s="1448">
        <v>1880</v>
      </c>
      <c r="C2130" s="1094">
        <v>0.98907828438843082</v>
      </c>
      <c r="D2130" s="1094">
        <v>1.0336527511711411</v>
      </c>
      <c r="E2130" s="1094">
        <v>0.99364658518770133</v>
      </c>
      <c r="F2130" s="1094">
        <v>1.0201665084678309</v>
      </c>
      <c r="G2130" s="1094">
        <v>0.97398666574350423</v>
      </c>
      <c r="H2130" s="1094">
        <v>0.99814478913258387</v>
      </c>
      <c r="I2130" s="1094">
        <v>0.98181750934411915</v>
      </c>
      <c r="K2130">
        <v>4.565261212908748</v>
      </c>
      <c r="L2130">
        <v>0</v>
      </c>
      <c r="M2130">
        <v>1.5061545805086988E-3</v>
      </c>
      <c r="N2130">
        <v>0.12792315569521637</v>
      </c>
      <c r="O2130">
        <v>3.912183888166168E-2</v>
      </c>
      <c r="P2130">
        <v>1.9404399253663714E-2</v>
      </c>
      <c r="Q2130">
        <v>1.2935687713133853E-3</v>
      </c>
      <c r="R2130">
        <v>1.5000869826155123E-3</v>
      </c>
      <c r="S2130">
        <v>0.23033467066533156</v>
      </c>
      <c r="T2130">
        <v>4.0462347218326773</v>
      </c>
      <c r="U2130">
        <v>0</v>
      </c>
      <c r="V2130">
        <v>9.4523053561131887E-3</v>
      </c>
      <c r="W2130">
        <v>7.6527086340993422E-2</v>
      </c>
      <c r="X2130">
        <v>1.0736173370575889E-2</v>
      </c>
      <c r="Y2130">
        <v>4.2393603390947629E-3</v>
      </c>
    </row>
    <row r="2131" spans="1:25" x14ac:dyDescent="0.25">
      <c r="A2131" s="1090"/>
      <c r="B2131" s="1448">
        <v>1881</v>
      </c>
      <c r="C2131" s="1094">
        <v>1.0016655365770464</v>
      </c>
      <c r="D2131" s="1094">
        <v>1.0095338538901646</v>
      </c>
      <c r="E2131" s="1094">
        <v>0.9558832409346133</v>
      </c>
      <c r="F2131" s="1094">
        <v>1.0151025114780299</v>
      </c>
      <c r="G2131" s="1094">
        <v>0.98404213240726257</v>
      </c>
      <c r="H2131" s="1094">
        <v>1.0093796388554743</v>
      </c>
      <c r="I2131" s="1094">
        <v>1.0315677797466558</v>
      </c>
      <c r="K2131">
        <v>4.5516071199181711</v>
      </c>
      <c r="L2131">
        <v>0</v>
      </c>
      <c r="M2131">
        <v>1.6352651262888968E-3</v>
      </c>
      <c r="N2131">
        <v>0.12416347641199285</v>
      </c>
      <c r="O2131">
        <v>3.9063826956504288E-2</v>
      </c>
      <c r="P2131">
        <v>1.8817455332869083E-2</v>
      </c>
      <c r="Q2131">
        <v>1.2477131499019874E-3</v>
      </c>
      <c r="R2131">
        <v>1.6287183594832669E-3</v>
      </c>
      <c r="S2131">
        <v>0.24071890912935304</v>
      </c>
      <c r="T2131">
        <v>4.0276273734718941</v>
      </c>
      <c r="U2131">
        <v>0</v>
      </c>
      <c r="V2131">
        <v>9.4523053561131869E-3</v>
      </c>
      <c r="W2131">
        <v>7.6231936941468736E-2</v>
      </c>
      <c r="X2131">
        <v>9.6877875042151972E-3</v>
      </c>
      <c r="Y2131">
        <v>4.6028824306640886E-3</v>
      </c>
    </row>
    <row r="2132" spans="1:25" x14ac:dyDescent="0.25">
      <c r="A2132" s="1090"/>
      <c r="B2132" s="1448">
        <v>1882</v>
      </c>
      <c r="C2132" s="1094">
        <v>1.0340039030670547</v>
      </c>
      <c r="D2132" s="1094">
        <v>0.98935571907666742</v>
      </c>
      <c r="E2132" s="1094">
        <v>1.0018043699382262</v>
      </c>
      <c r="F2132" s="1094">
        <v>1.0051773342141788</v>
      </c>
      <c r="G2132" s="1094">
        <v>1.0281932057423151</v>
      </c>
      <c r="H2132" s="1094">
        <v>1.0058352769511527</v>
      </c>
      <c r="I2132" s="1094">
        <v>0.96202474208490618</v>
      </c>
      <c r="K2132">
        <v>4.4842086195909268</v>
      </c>
      <c r="L2132">
        <v>0</v>
      </c>
      <c r="M2132">
        <v>1.4310653535815573E-3</v>
      </c>
      <c r="N2132">
        <v>0.1245161893658204</v>
      </c>
      <c r="O2132">
        <v>3.7469259360563237E-2</v>
      </c>
      <c r="P2132">
        <v>1.9190423837541857E-2</v>
      </c>
      <c r="Q2132">
        <v>1.2680829173962521E-3</v>
      </c>
      <c r="R2132">
        <v>1.4252593710167186E-3</v>
      </c>
      <c r="S2132">
        <v>0.21709333274740653</v>
      </c>
      <c r="T2132">
        <v>3.9864713085405321</v>
      </c>
      <c r="U2132">
        <v>0</v>
      </c>
      <c r="V2132">
        <v>9.4523053561131904E-3</v>
      </c>
      <c r="W2132">
        <v>7.4078740515594654E-2</v>
      </c>
      <c r="X2132">
        <v>1.06468911366241E-2</v>
      </c>
      <c r="Y2132">
        <v>4.0278917958986764E-3</v>
      </c>
    </row>
    <row r="2133" spans="1:25" x14ac:dyDescent="0.25">
      <c r="A2133" s="1090"/>
      <c r="B2133" s="1448">
        <v>1883</v>
      </c>
      <c r="C2133" s="1094">
        <v>1.0007455338341873</v>
      </c>
      <c r="D2133" s="1094">
        <v>1.0088322250138919</v>
      </c>
      <c r="E2133" s="1094">
        <v>0.98047487395809296</v>
      </c>
      <c r="F2133" s="1094">
        <v>1.0481340405646724</v>
      </c>
      <c r="G2133" s="1094">
        <v>0.99944847845846263</v>
      </c>
      <c r="H2133" s="1094">
        <v>1.0257254918021663</v>
      </c>
      <c r="I2133" s="1094">
        <v>0.98471809244261133</v>
      </c>
      <c r="K2133">
        <v>4.6936647551275561</v>
      </c>
      <c r="L2133">
        <v>0</v>
      </c>
      <c r="M2133">
        <v>1.6313909302942307E-3</v>
      </c>
      <c r="N2133">
        <v>0.13327991879927192</v>
      </c>
      <c r="O2133">
        <v>4.0208035827948851E-2</v>
      </c>
      <c r="P2133">
        <v>1.973953761785131E-2</v>
      </c>
      <c r="Q2133">
        <v>1.2763672429074017E-3</v>
      </c>
      <c r="R2133">
        <v>1.6251655122632384E-3</v>
      </c>
      <c r="S2133">
        <v>0.23641965860960135</v>
      </c>
      <c r="T2133">
        <v>4.1576899829813989</v>
      </c>
      <c r="U2133">
        <v>0</v>
      </c>
      <c r="V2133">
        <v>9.4523053561131835E-3</v>
      </c>
      <c r="W2133">
        <v>8.045094918348053E-2</v>
      </c>
      <c r="X2133">
        <v>1.0561383113840377E-2</v>
      </c>
      <c r="Y2133">
        <v>4.5928418131732322E-3</v>
      </c>
    </row>
    <row r="2134" spans="1:25" x14ac:dyDescent="0.25">
      <c r="A2134" s="1090"/>
      <c r="B2134" s="1448">
        <v>1884</v>
      </c>
      <c r="C2134" s="1094">
        <v>1.0129119062423049</v>
      </c>
      <c r="D2134" s="1094">
        <v>1.0375322485461127</v>
      </c>
      <c r="E2134" s="1094">
        <v>1.031318869080865</v>
      </c>
      <c r="F2134" s="1094">
        <v>1.0181719195271626</v>
      </c>
      <c r="G2134" s="1094">
        <v>0.99175512041394465</v>
      </c>
      <c r="H2134" s="1094">
        <v>1.0177666700506509</v>
      </c>
      <c r="I2134" s="1094">
        <v>0.95756516652027657</v>
      </c>
      <c r="K2134">
        <v>4.5484643966972049</v>
      </c>
      <c r="L2134">
        <v>0</v>
      </c>
      <c r="M2134">
        <v>1.3802744323307681E-3</v>
      </c>
      <c r="N2134">
        <v>0.13107125311272946</v>
      </c>
      <c r="O2134">
        <v>3.7812863748988117E-2</v>
      </c>
      <c r="P2134">
        <v>1.9860111021853154E-2</v>
      </c>
      <c r="Q2134">
        <v>1.302294330570095E-3</v>
      </c>
      <c r="R2134">
        <v>1.3748105098000789E-3</v>
      </c>
      <c r="S2134">
        <v>0.22023394500462051</v>
      </c>
      <c r="T2134">
        <v>4.0368719704727374</v>
      </c>
      <c r="U2134">
        <v>0</v>
      </c>
      <c r="V2134">
        <v>9.4523053561131904E-3</v>
      </c>
      <c r="W2134">
        <v>7.6455421693955403E-2</v>
      </c>
      <c r="X2134">
        <v>1.1524376415654E-2</v>
      </c>
      <c r="Y2134">
        <v>3.8853194625121028E-3</v>
      </c>
    </row>
    <row r="2135" spans="1:25" x14ac:dyDescent="0.25">
      <c r="A2135" s="1090"/>
      <c r="B2135" s="1448">
        <v>1885</v>
      </c>
      <c r="C2135" s="1094">
        <v>0.98593666179096295</v>
      </c>
      <c r="D2135" s="1094">
        <v>1.0180604971803473</v>
      </c>
      <c r="E2135" s="1094">
        <v>1.0140291864857744</v>
      </c>
      <c r="F2135" s="1094">
        <v>1.005331294414191</v>
      </c>
      <c r="G2135" s="1094">
        <v>1.0103451169895106</v>
      </c>
      <c r="H2135" s="1094">
        <v>1.0189268029146969</v>
      </c>
      <c r="I2135" s="1094">
        <v>0.98803960433096383</v>
      </c>
      <c r="K2135">
        <v>4.513838980244115</v>
      </c>
      <c r="L2135">
        <v>0</v>
      </c>
      <c r="M2135">
        <v>1.465049116698049E-3</v>
      </c>
      <c r="N2135">
        <v>0.13217922215957931</v>
      </c>
      <c r="O2135">
        <v>3.8769868127822696E-2</v>
      </c>
      <c r="P2135">
        <v>1.9437850938652947E-2</v>
      </c>
      <c r="Q2135">
        <v>1.3285553718559082E-3</v>
      </c>
      <c r="R2135">
        <v>1.4591825220954338E-3</v>
      </c>
      <c r="S2135">
        <v>0.23283926814812517</v>
      </c>
      <c r="T2135">
        <v>3.9866157074070259</v>
      </c>
      <c r="U2135">
        <v>0</v>
      </c>
      <c r="V2135">
        <v>9.4523053561131973E-3</v>
      </c>
      <c r="W2135">
        <v>7.7994112351032846E-2</v>
      </c>
      <c r="X2135">
        <v>1.1104195767750466E-2</v>
      </c>
      <c r="Y2135">
        <v>4.1237612107571913E-3</v>
      </c>
    </row>
    <row r="2136" spans="1:25" x14ac:dyDescent="0.25">
      <c r="A2136" s="1090"/>
      <c r="B2136" s="1448">
        <v>1886</v>
      </c>
      <c r="C2136" s="1094">
        <v>1.0040643539815226</v>
      </c>
      <c r="D2136" s="1094">
        <v>0.97484380423353989</v>
      </c>
      <c r="E2136" s="1094">
        <v>1.0237855387438508</v>
      </c>
      <c r="F2136" s="1094">
        <v>0.99904776255009498</v>
      </c>
      <c r="G2136" s="1094">
        <v>1.0402165348881778</v>
      </c>
      <c r="H2136" s="1094">
        <v>0.97735111151285925</v>
      </c>
      <c r="I2136" s="1094">
        <v>1.0129782397394271</v>
      </c>
      <c r="K2136">
        <v>4.4798636615975322</v>
      </c>
      <c r="L2136">
        <v>0</v>
      </c>
      <c r="M2136">
        <v>1.3668536110732199E-3</v>
      </c>
      <c r="N2136">
        <v>0.12690660493028166</v>
      </c>
      <c r="O2136">
        <v>3.8426584835046088E-2</v>
      </c>
      <c r="P2136">
        <v>1.9462404959603951E-2</v>
      </c>
      <c r="Q2136">
        <v>1.33841427846284E-3</v>
      </c>
      <c r="R2136">
        <v>1.3611116521866215E-3</v>
      </c>
      <c r="S2136">
        <v>0.23330252678988417</v>
      </c>
      <c r="T2136">
        <v>3.9613307879251165</v>
      </c>
      <c r="U2136">
        <v>0</v>
      </c>
      <c r="V2136">
        <v>9.4523053561131921E-3</v>
      </c>
      <c r="W2136">
        <v>7.4397012844829052E-2</v>
      </c>
      <c r="X2136">
        <v>1.1406156192040664E-2</v>
      </c>
      <c r="Y2136">
        <v>3.846605445038169E-3</v>
      </c>
    </row>
    <row r="2137" spans="1:25" x14ac:dyDescent="0.25">
      <c r="A2137" s="1090"/>
      <c r="B2137" s="1448">
        <v>1887</v>
      </c>
      <c r="C2137" s="1094">
        <v>1.0015252717472474</v>
      </c>
      <c r="D2137" s="1094">
        <v>1.0077520017450725</v>
      </c>
      <c r="E2137" s="1094">
        <v>0.97709174548337951</v>
      </c>
      <c r="F2137" s="1094">
        <v>1.0005158555728266</v>
      </c>
      <c r="G2137" s="1094">
        <v>1.0163355887550756</v>
      </c>
      <c r="H2137" s="1094">
        <v>0.99296509407833955</v>
      </c>
      <c r="I2137" s="1094">
        <v>1.0213107515911748</v>
      </c>
      <c r="K2137">
        <v>4.4831808180770745</v>
      </c>
      <c r="L2137">
        <v>0</v>
      </c>
      <c r="M2137">
        <v>1.5180311152981948E-3</v>
      </c>
      <c r="N2137">
        <v>0.12274130284839146</v>
      </c>
      <c r="O2137">
        <v>3.8390937064346535E-2</v>
      </c>
      <c r="P2137">
        <v>1.8838047997705703E-2</v>
      </c>
      <c r="Q2137">
        <v>1.2721758373281237E-3</v>
      </c>
      <c r="R2137">
        <v>1.511763529767675E-3</v>
      </c>
      <c r="S2137">
        <v>0.23488498974233973</v>
      </c>
      <c r="T2137">
        <v>3.9689305864739612</v>
      </c>
      <c r="U2137">
        <v>0</v>
      </c>
      <c r="V2137">
        <v>9.4523053561131869E-3</v>
      </c>
      <c r="W2137">
        <v>7.4261661901595361E-2</v>
      </c>
      <c r="X2137">
        <v>1.014271928801205E-2</v>
      </c>
      <c r="Y2137">
        <v>4.272359152808978E-3</v>
      </c>
    </row>
    <row r="2138" spans="1:25" x14ac:dyDescent="0.25">
      <c r="A2138" s="1090"/>
      <c r="B2138" s="1448">
        <v>1888</v>
      </c>
      <c r="C2138" s="1094">
        <v>0.99855324019415892</v>
      </c>
      <c r="D2138" s="1094">
        <v>1.0096792482528434</v>
      </c>
      <c r="E2138" s="1094">
        <v>0.98574770935610734</v>
      </c>
      <c r="F2138" s="1094">
        <v>0.9616222367021654</v>
      </c>
      <c r="G2138" s="1094">
        <v>0.99321612540787241</v>
      </c>
      <c r="H2138" s="1094">
        <v>1.0200055153591399</v>
      </c>
      <c r="I2138" s="1094">
        <v>0.97113823096492213</v>
      </c>
      <c r="K2138">
        <v>4.3101029356515141</v>
      </c>
      <c r="L2138">
        <v>0</v>
      </c>
      <c r="M2138">
        <v>1.475254231920958E-3</v>
      </c>
      <c r="N2138">
        <v>0.12237928109725602</v>
      </c>
      <c r="O2138">
        <v>3.692325657280085E-2</v>
      </c>
      <c r="P2138">
        <v>1.8198780083566929E-2</v>
      </c>
      <c r="Q2138">
        <v>1.284594634266708E-3</v>
      </c>
      <c r="R2138">
        <v>1.4690859332019352E-3</v>
      </c>
      <c r="S2138">
        <v>0.21990224106457951</v>
      </c>
      <c r="T2138">
        <v>3.8143242519036153</v>
      </c>
      <c r="U2138">
        <v>0</v>
      </c>
      <c r="V2138">
        <v>9.4523053561131939E-3</v>
      </c>
      <c r="W2138">
        <v>7.360524226875656E-2</v>
      </c>
      <c r="X2138">
        <v>9.8874019626454084E-3</v>
      </c>
      <c r="Y2138">
        <v>4.1517490066338338E-3</v>
      </c>
    </row>
    <row r="2139" spans="1:25" x14ac:dyDescent="0.25">
      <c r="A2139" s="1090"/>
      <c r="B2139" s="1448">
        <v>1889</v>
      </c>
      <c r="C2139" s="1094">
        <v>0.99288076310381046</v>
      </c>
      <c r="D2139" s="1094">
        <v>0.99013863046828154</v>
      </c>
      <c r="E2139" s="1094">
        <v>1.0007054332318184</v>
      </c>
      <c r="F2139" s="1094">
        <v>0.98931966731108156</v>
      </c>
      <c r="G2139" s="1094">
        <v>1.0170932684694534</v>
      </c>
      <c r="H2139" s="1094">
        <v>1.0017811853900398</v>
      </c>
      <c r="I2139" s="1094">
        <v>1.0240491580461959</v>
      </c>
      <c r="K2139">
        <v>4.4468176921260936</v>
      </c>
      <c r="L2139">
        <v>0</v>
      </c>
      <c r="M2139">
        <v>1.4639315847248336E-3</v>
      </c>
      <c r="N2139">
        <v>0.12695144274087186</v>
      </c>
      <c r="O2139">
        <v>3.8400963744453676E-2</v>
      </c>
      <c r="P2139">
        <v>1.8982581627730401E-2</v>
      </c>
      <c r="Q2139">
        <v>1.3189447916654546E-3</v>
      </c>
      <c r="R2139">
        <v>1.4578730350777841E-3</v>
      </c>
      <c r="S2139">
        <v>0.23772168436749949</v>
      </c>
      <c r="T2139">
        <v>3.9236221557534425</v>
      </c>
      <c r="U2139">
        <v>0</v>
      </c>
      <c r="V2139">
        <v>9.4523053561131852E-3</v>
      </c>
      <c r="W2139">
        <v>7.5583622770121664E-2</v>
      </c>
      <c r="X2139">
        <v>1.0669989023373683E-2</v>
      </c>
      <c r="Y2139">
        <v>4.1200605004707092E-3</v>
      </c>
    </row>
    <row r="2140" spans="1:25" x14ac:dyDescent="0.25">
      <c r="A2140" s="1090"/>
      <c r="B2140" s="1448">
        <v>1890</v>
      </c>
      <c r="C2140" s="1094">
        <v>1.0267730762169749</v>
      </c>
      <c r="D2140" s="1094">
        <v>1.0401535010717755</v>
      </c>
      <c r="E2140" s="1094">
        <v>0.9991972000023327</v>
      </c>
      <c r="F2140" s="1094">
        <v>0.98332639727328397</v>
      </c>
      <c r="G2140" s="1094">
        <v>0.95844077104664938</v>
      </c>
      <c r="H2140" s="1094">
        <v>0.99848148562423678</v>
      </c>
      <c r="I2140" s="1094">
        <v>0.96217613298058846</v>
      </c>
      <c r="K2140">
        <v>4.3814973341903665</v>
      </c>
      <c r="L2140">
        <v>0</v>
      </c>
      <c r="M2140">
        <v>1.3794355659131059E-3</v>
      </c>
      <c r="N2140">
        <v>0.11908594974081493</v>
      </c>
      <c r="O2140">
        <v>3.6197816712240906E-2</v>
      </c>
      <c r="P2140">
        <v>1.8735087966010984E-2</v>
      </c>
      <c r="Q2140">
        <v>1.2488988959886106E-3</v>
      </c>
      <c r="R2140">
        <v>1.3736730765765562E-3</v>
      </c>
      <c r="S2140">
        <v>0.21168737930417897</v>
      </c>
      <c r="T2140">
        <v>3.8999094442906115</v>
      </c>
      <c r="U2140">
        <v>0</v>
      </c>
      <c r="V2140">
        <v>9.4523053561131921E-3</v>
      </c>
      <c r="W2140">
        <v>7.0973024329173323E-2</v>
      </c>
      <c r="X2140">
        <v>1.0331085095181684E-2</v>
      </c>
      <c r="Y2140">
        <v>3.88210498938351E-3</v>
      </c>
    </row>
    <row r="2141" spans="1:25" x14ac:dyDescent="0.25">
      <c r="A2141" s="1090"/>
      <c r="B2141" s="1448">
        <v>1891</v>
      </c>
      <c r="C2141" s="1094">
        <v>1.0166052780448589</v>
      </c>
      <c r="D2141" s="1094">
        <v>0.99147358638151106</v>
      </c>
      <c r="E2141" s="1094">
        <v>1.0030897392155014</v>
      </c>
      <c r="F2141" s="1094">
        <v>1.0082439395955642</v>
      </c>
      <c r="G2141" s="1094">
        <v>1.0100424880751269</v>
      </c>
      <c r="H2141" s="1094">
        <v>0.9874940856635247</v>
      </c>
      <c r="I2141" s="1094">
        <v>1.0020524514598705</v>
      </c>
      <c r="K2141">
        <v>4.5095119796606369</v>
      </c>
      <c r="L2141">
        <v>0</v>
      </c>
      <c r="M2141">
        <v>1.4282589683107009E-3</v>
      </c>
      <c r="N2141">
        <v>0.12473824324764111</v>
      </c>
      <c r="O2141">
        <v>3.8185323021895062E-2</v>
      </c>
      <c r="P2141">
        <v>1.9317994310504405E-2</v>
      </c>
      <c r="Q2141">
        <v>1.290100885172218E-3</v>
      </c>
      <c r="R2141">
        <v>1.4223746245380536E-3</v>
      </c>
      <c r="S2141">
        <v>0.22893467540034546</v>
      </c>
      <c r="T2141">
        <v>3.9985839839805597</v>
      </c>
      <c r="U2141">
        <v>0</v>
      </c>
      <c r="V2141">
        <v>9.4523053561131939E-3</v>
      </c>
      <c r="W2141">
        <v>7.4146511909908952E-2</v>
      </c>
      <c r="X2141">
        <v>1.0848986610157686E-2</v>
      </c>
      <c r="Y2141">
        <v>4.0197392821099956E-3</v>
      </c>
    </row>
    <row r="2142" spans="1:25" x14ac:dyDescent="0.25">
      <c r="A2142" s="1090"/>
      <c r="B2142" s="1448">
        <v>1892</v>
      </c>
      <c r="C2142" s="1094">
        <v>0.99363033209058893</v>
      </c>
      <c r="D2142" s="1094">
        <v>1.0029487785164553</v>
      </c>
      <c r="E2142" s="1094">
        <v>1.0196251716680687</v>
      </c>
      <c r="F2142" s="1094">
        <v>0.99686922512672294</v>
      </c>
      <c r="G2142" s="1094">
        <v>1.002943333464196</v>
      </c>
      <c r="H2142" s="1094">
        <v>1.0185862444216598</v>
      </c>
      <c r="I2142" s="1094">
        <v>1.0112105195545755</v>
      </c>
      <c r="K2142">
        <v>4.4813375293651587</v>
      </c>
      <c r="L2142">
        <v>0</v>
      </c>
      <c r="M2142">
        <v>1.4326559398146054E-3</v>
      </c>
      <c r="N2142">
        <v>0.13141032901932051</v>
      </c>
      <c r="O2142">
        <v>3.833613913331245E-2</v>
      </c>
      <c r="P2142">
        <v>1.9377250264955223E-2</v>
      </c>
      <c r="Q2142">
        <v>1.3324854369763685E-3</v>
      </c>
      <c r="R2142">
        <v>1.4268686271115829E-3</v>
      </c>
      <c r="S2142">
        <v>0.23613812623625727</v>
      </c>
      <c r="T2142">
        <v>3.9528489070913522</v>
      </c>
      <c r="U2142">
        <v>0</v>
      </c>
      <c r="V2142">
        <v>9.4523053561132078E-3</v>
      </c>
      <c r="W2142">
        <v>7.7251008340303781E-2</v>
      </c>
      <c r="X2142">
        <v>1.1164326122779041E-2</v>
      </c>
      <c r="Y2142">
        <v>4.0324396764836535E-3</v>
      </c>
    </row>
    <row r="2143" spans="1:25" x14ac:dyDescent="0.25">
      <c r="A2143" s="1090"/>
      <c r="B2143" s="1448">
        <v>1893</v>
      </c>
      <c r="C2143" s="1094">
        <v>0.99592905889789418</v>
      </c>
      <c r="D2143" s="1094">
        <v>1.0059448673740852</v>
      </c>
      <c r="E2143" s="1094">
        <v>1.001171435792314</v>
      </c>
      <c r="F2143" s="1094">
        <v>1.0052334634567353</v>
      </c>
      <c r="G2143" s="1094">
        <v>0.99909755666085198</v>
      </c>
      <c r="H2143" s="1094">
        <v>1.0221299712697158</v>
      </c>
      <c r="I2143" s="1094">
        <v>0.9738591522723139</v>
      </c>
      <c r="K2143">
        <v>4.5066291317482827</v>
      </c>
      <c r="L2143">
        <v>0</v>
      </c>
      <c r="M2143">
        <v>1.5019206193832267E-3</v>
      </c>
      <c r="N2143">
        <v>0.13044494803162232</v>
      </c>
      <c r="O2143">
        <v>3.8650368099508031E-2</v>
      </c>
      <c r="P2143">
        <v>1.9233257572780597E-2</v>
      </c>
      <c r="Q2143">
        <v>1.3071257919105175E-3</v>
      </c>
      <c r="R2143">
        <v>1.4959246441778537E-3</v>
      </c>
      <c r="S2143">
        <v>0.22823858763097032</v>
      </c>
      <c r="T2143">
        <v>3.9867181248179002</v>
      </c>
      <c r="U2143">
        <v>0</v>
      </c>
      <c r="V2143">
        <v>9.4523053561131817E-3</v>
      </c>
      <c r="W2143">
        <v>7.7639124504906495E-2</v>
      </c>
      <c r="X2143">
        <v>1.0723688664888608E-2</v>
      </c>
      <c r="Y2143">
        <v>4.227597252890433E-3</v>
      </c>
    </row>
    <row r="2144" spans="1:25" x14ac:dyDescent="0.25">
      <c r="A2144" s="1090"/>
      <c r="B2144" s="1448">
        <v>1894</v>
      </c>
      <c r="C2144" s="1094">
        <v>1.0067699690300607</v>
      </c>
      <c r="D2144" s="1094">
        <v>0.99316939234190649</v>
      </c>
      <c r="E2144" s="1094">
        <v>1.0092378868452896</v>
      </c>
      <c r="F2144" s="1094">
        <v>1.0236494283612894</v>
      </c>
      <c r="G2144" s="1094">
        <v>1.0130637158429106</v>
      </c>
      <c r="H2144" s="1094">
        <v>0.99329791641976262</v>
      </c>
      <c r="I2144" s="1094">
        <v>0.9738596407047172</v>
      </c>
      <c r="K2144">
        <v>4.5772479661153165</v>
      </c>
      <c r="L2144">
        <v>0</v>
      </c>
      <c r="M2144">
        <v>1.4528067566375754E-3</v>
      </c>
      <c r="N2144">
        <v>0.12922472030432872</v>
      </c>
      <c r="O2144">
        <v>3.9077683943191784E-2</v>
      </c>
      <c r="P2144">
        <v>1.9677491563677998E-2</v>
      </c>
      <c r="Q2144">
        <v>1.3086645057941238E-3</v>
      </c>
      <c r="R2144">
        <v>1.4469454442192983E-3</v>
      </c>
      <c r="S2144">
        <v>0.2273050420190072</v>
      </c>
      <c r="T2144">
        <v>4.0594415089888498</v>
      </c>
      <c r="U2144">
        <v>0</v>
      </c>
      <c r="V2144">
        <v>9.4523053561132008E-3</v>
      </c>
      <c r="W2144">
        <v>7.6496148722162122E-2</v>
      </c>
      <c r="X2144">
        <v>1.1181083730184527E-2</v>
      </c>
      <c r="Y2144">
        <v>4.0891782944225338E-3</v>
      </c>
    </row>
    <row r="2145" spans="1:25" x14ac:dyDescent="0.25">
      <c r="A2145" s="1090"/>
      <c r="B2145" s="1448">
        <v>1895</v>
      </c>
      <c r="C2145" s="1094">
        <v>1.0122827003165706</v>
      </c>
      <c r="D2145" s="1094">
        <v>1.0189097299114087</v>
      </c>
      <c r="E2145" s="1094">
        <v>0.98701878483021233</v>
      </c>
      <c r="F2145" s="1094">
        <v>1.032520210498048</v>
      </c>
      <c r="G2145" s="1094">
        <v>1.0178301610851761</v>
      </c>
      <c r="H2145" s="1094">
        <v>1.0080322405705631</v>
      </c>
      <c r="I2145" s="1094">
        <v>0.98880402435460046</v>
      </c>
      <c r="K2145">
        <v>4.6143907735878695</v>
      </c>
      <c r="L2145">
        <v>0</v>
      </c>
      <c r="M2145">
        <v>1.5340308290945014E-3</v>
      </c>
      <c r="N2145">
        <v>0.12776647331809171</v>
      </c>
      <c r="O2145">
        <v>3.895689131181064E-2</v>
      </c>
      <c r="P2145">
        <v>1.9529508675360453E-2</v>
      </c>
      <c r="Q2145">
        <v>1.2639556171788586E-3</v>
      </c>
      <c r="R2145">
        <v>1.5279844712192195E-3</v>
      </c>
      <c r="S2145">
        <v>0.23025484059668599</v>
      </c>
      <c r="T2145">
        <v>4.0954944154044286</v>
      </c>
      <c r="U2145">
        <v>0</v>
      </c>
      <c r="V2145">
        <v>9.4523053561131887E-3</v>
      </c>
      <c r="W2145">
        <v>7.6778777052847608E-2</v>
      </c>
      <c r="X2145">
        <v>1.0581451841465937E-2</v>
      </c>
      <c r="Y2145">
        <v>4.3182007717613366E-3</v>
      </c>
    </row>
    <row r="2146" spans="1:25" x14ac:dyDescent="0.25">
      <c r="A2146" s="1090"/>
      <c r="B2146" s="1448">
        <v>1896</v>
      </c>
      <c r="C2146" s="1094">
        <v>0.99910706446314912</v>
      </c>
      <c r="D2146" s="1094">
        <v>0.96752593844647439</v>
      </c>
      <c r="E2146" s="1094">
        <v>0.97082394359210356</v>
      </c>
      <c r="F2146" s="1094">
        <v>1.0220289953951454</v>
      </c>
      <c r="G2146" s="1094">
        <v>1.0365711907641455</v>
      </c>
      <c r="H2146" s="1094">
        <v>1.0174148145647894</v>
      </c>
      <c r="I2146" s="1094">
        <v>1.007614868166071</v>
      </c>
      <c r="K2146">
        <v>4.5890235252695826</v>
      </c>
      <c r="L2146">
        <v>0</v>
      </c>
      <c r="M2146">
        <v>1.6401433790030205E-3</v>
      </c>
      <c r="N2146">
        <v>0.13019400485470492</v>
      </c>
      <c r="O2146">
        <v>4.0001536703830415E-2</v>
      </c>
      <c r="P2146">
        <v>1.9154116129076887E-2</v>
      </c>
      <c r="Q2146">
        <v>1.2891440863305485E-3</v>
      </c>
      <c r="R2146">
        <v>1.6336729127880232E-3</v>
      </c>
      <c r="S2146">
        <v>0.24052511211361513</v>
      </c>
      <c r="T2146">
        <v>4.0545177602066387</v>
      </c>
      <c r="U2146">
        <v>0</v>
      </c>
      <c r="V2146">
        <v>9.4523053561131869E-3</v>
      </c>
      <c r="W2146">
        <v>7.9111133478506609E-2</v>
      </c>
      <c r="X2146">
        <v>1.01679984304164E-2</v>
      </c>
      <c r="Y2146">
        <v>4.6168843765655799E-3</v>
      </c>
    </row>
    <row r="2147" spans="1:25" x14ac:dyDescent="0.25">
      <c r="A2147" s="1090"/>
      <c r="B2147" s="1448">
        <v>1897</v>
      </c>
      <c r="C2147" s="1094">
        <v>0.99370496452121326</v>
      </c>
      <c r="D2147" s="1094">
        <v>0.99801198101575617</v>
      </c>
      <c r="E2147" s="1094">
        <v>1.0159161656091289</v>
      </c>
      <c r="F2147" s="1094">
        <v>0.9664910344084503</v>
      </c>
      <c r="G2147" s="1094">
        <v>1.0190391089079889</v>
      </c>
      <c r="H2147" s="1094">
        <v>1.0033907824115287</v>
      </c>
      <c r="I2147" s="1094">
        <v>0.96366175931899611</v>
      </c>
      <c r="K2147">
        <v>4.3327625950547066</v>
      </c>
      <c r="L2147">
        <v>0</v>
      </c>
      <c r="M2147">
        <v>1.3818345489375954E-3</v>
      </c>
      <c r="N2147">
        <v>0.1253413956378116</v>
      </c>
      <c r="O2147">
        <v>3.7263389371418751E-2</v>
      </c>
      <c r="P2147">
        <v>1.8694782004947449E-2</v>
      </c>
      <c r="Q2147">
        <v>1.3308283380380188E-3</v>
      </c>
      <c r="R2147">
        <v>1.3759906460980452E-3</v>
      </c>
      <c r="S2147">
        <v>0.21962661332239378</v>
      </c>
      <c r="T2147">
        <v>3.8325267030748469</v>
      </c>
      <c r="U2147">
        <v>0</v>
      </c>
      <c r="V2147">
        <v>9.4523053561131869E-3</v>
      </c>
      <c r="W2147">
        <v>7.386604733795793E-2</v>
      </c>
      <c r="X2147">
        <v>1.0777719896229044E-2</v>
      </c>
      <c r="Y2147">
        <v>3.8886546177892994E-3</v>
      </c>
    </row>
    <row r="2148" spans="1:25" x14ac:dyDescent="0.25">
      <c r="A2148" s="1090"/>
      <c r="B2148" s="1448">
        <v>1898</v>
      </c>
      <c r="C2148" s="1094">
        <v>0.98057682405499658</v>
      </c>
      <c r="D2148" s="1094">
        <v>0.98208122229202632</v>
      </c>
      <c r="E2148" s="1094">
        <v>0.98770027961279871</v>
      </c>
      <c r="F2148" s="1094">
        <v>1.0221177636399752</v>
      </c>
      <c r="G2148" s="1094">
        <v>1.0147098357256814</v>
      </c>
      <c r="H2148" s="1094">
        <v>1.0254981646448742</v>
      </c>
      <c r="I2148" s="1094">
        <v>1.0002675285395954</v>
      </c>
      <c r="K2148">
        <v>4.5987241013119888</v>
      </c>
      <c r="L2148">
        <v>0</v>
      </c>
      <c r="M2148">
        <v>1.6162477641792747E-3</v>
      </c>
      <c r="N2148">
        <v>0.13489028467786995</v>
      </c>
      <c r="O2148">
        <v>4.039703358696501E-2</v>
      </c>
      <c r="P2148">
        <v>1.9410167082209502E-2</v>
      </c>
      <c r="Q2148">
        <v>1.3249608372675602E-3</v>
      </c>
      <c r="R2148">
        <v>1.6099223743200751E-3</v>
      </c>
      <c r="S2148">
        <v>0.24283714872300061</v>
      </c>
      <c r="T2148">
        <v>4.0542063900170406</v>
      </c>
      <c r="U2148">
        <v>0</v>
      </c>
      <c r="V2148">
        <v>9.4523053561132026E-3</v>
      </c>
      <c r="W2148">
        <v>8.1022043079303052E-2</v>
      </c>
      <c r="X2148">
        <v>1.0640329800485838E-2</v>
      </c>
      <c r="Y2148">
        <v>4.5497635415873245E-3</v>
      </c>
    </row>
    <row r="2149" spans="1:25" x14ac:dyDescent="0.25">
      <c r="A2149" s="1090"/>
      <c r="B2149" s="1448">
        <v>1899</v>
      </c>
      <c r="C2149" s="1094">
        <v>0.96613024164202099</v>
      </c>
      <c r="D2149" s="1094">
        <v>1.0132424942546889</v>
      </c>
      <c r="E2149" s="1094">
        <v>0.97739520907512878</v>
      </c>
      <c r="F2149" s="1094">
        <v>1.0225283104721501</v>
      </c>
      <c r="G2149" s="1094">
        <v>1.0122661267603139</v>
      </c>
      <c r="H2149" s="1094">
        <v>0.99341389296751725</v>
      </c>
      <c r="I2149" s="1094">
        <v>1.0153015136193972</v>
      </c>
      <c r="K2149">
        <v>4.5955682793790196</v>
      </c>
      <c r="L2149">
        <v>0</v>
      </c>
      <c r="M2149">
        <v>1.6043375438901594E-3</v>
      </c>
      <c r="N2149">
        <v>0.12984832674636568</v>
      </c>
      <c r="O2149">
        <v>4.0582522596822539E-2</v>
      </c>
      <c r="P2149">
        <v>1.9279429601398147E-2</v>
      </c>
      <c r="Q2149">
        <v>1.3162672926419338E-3</v>
      </c>
      <c r="R2149">
        <v>1.5978585725241617E-3</v>
      </c>
      <c r="S2149">
        <v>0.24529857331276814</v>
      </c>
      <c r="T2149">
        <v>4.0562394993983988</v>
      </c>
      <c r="U2149">
        <v>0</v>
      </c>
      <c r="V2149">
        <v>9.4523053561132026E-3</v>
      </c>
      <c r="W2149">
        <v>7.854523214417751E-2</v>
      </c>
      <c r="X2149">
        <v>1.0496931585010061E-2</v>
      </c>
      <c r="Y2149">
        <v>4.5156703166843778E-3</v>
      </c>
    </row>
    <row r="2150" spans="1:25" x14ac:dyDescent="0.25">
      <c r="A2150" s="1090"/>
      <c r="B2150" s="1448">
        <v>1900</v>
      </c>
      <c r="C2150" s="1094">
        <v>1.0075850145424541</v>
      </c>
      <c r="D2150" s="1094">
        <v>1.0280947458666907</v>
      </c>
      <c r="E2150" s="1094">
        <v>1.010789435997284</v>
      </c>
      <c r="F2150" s="1094">
        <v>0.99478305554741597</v>
      </c>
      <c r="G2150" s="1094">
        <v>0.9976661240624185</v>
      </c>
      <c r="H2150" s="1094">
        <v>0.98418864761860159</v>
      </c>
      <c r="I2150" s="1094">
        <v>1.044171865090844</v>
      </c>
      <c r="K2150">
        <v>4.4580991837450288</v>
      </c>
      <c r="L2150">
        <v>0</v>
      </c>
      <c r="M2150">
        <v>1.3742245825615915E-3</v>
      </c>
      <c r="N2150">
        <v>0.12277866772249103</v>
      </c>
      <c r="O2150">
        <v>3.7413614190832258E-2</v>
      </c>
      <c r="P2150">
        <v>1.9213228501680252E-2</v>
      </c>
      <c r="Q2150">
        <v>1.291358362573944E-3</v>
      </c>
      <c r="R2150">
        <v>1.3684672903151837E-3</v>
      </c>
      <c r="S2150">
        <v>0.2356692802631436</v>
      </c>
      <c r="T2150">
        <v>3.9449089164575031</v>
      </c>
      <c r="U2150">
        <v>0</v>
      </c>
      <c r="V2150">
        <v>9.4523053561131956E-3</v>
      </c>
      <c r="W2150">
        <v>7.2604667779983242E-2</v>
      </c>
      <c r="X2150">
        <v>1.0905509362984636E-2</v>
      </c>
      <c r="Y2150">
        <v>3.8673930399658915E-3</v>
      </c>
    </row>
    <row r="2151" spans="1:25" x14ac:dyDescent="0.25">
      <c r="A2151" s="1090"/>
      <c r="B2151" s="1448">
        <v>1901</v>
      </c>
      <c r="C2151" s="1094">
        <v>1.0220077984953269</v>
      </c>
      <c r="D2151" s="1094">
        <v>1.0074181029568239</v>
      </c>
      <c r="E2151" s="1094">
        <v>1.0144155888371482</v>
      </c>
      <c r="F2151" s="1094">
        <v>0.97690228895318643</v>
      </c>
      <c r="G2151" s="1094">
        <v>0.97122358412908638</v>
      </c>
      <c r="H2151" s="1094">
        <v>0.98142634762972758</v>
      </c>
      <c r="I2151" s="1094">
        <v>1.0077561451627612</v>
      </c>
      <c r="K2151">
        <v>4.3677482794677758</v>
      </c>
      <c r="L2151">
        <v>0</v>
      </c>
      <c r="M2151">
        <v>1.3274756675236161E-3</v>
      </c>
      <c r="N2151">
        <v>0.11987124288200496</v>
      </c>
      <c r="O2151">
        <v>3.6494417559990479E-2</v>
      </c>
      <c r="P2151">
        <v>1.8878276058144957E-2</v>
      </c>
      <c r="Q2151">
        <v>1.2874860344178121E-3</v>
      </c>
      <c r="R2151">
        <v>1.3217969241012524E-3</v>
      </c>
      <c r="S2151">
        <v>0.22267937337249399</v>
      </c>
      <c r="T2151">
        <v>3.873866934070624</v>
      </c>
      <c r="U2151">
        <v>0</v>
      </c>
      <c r="V2151">
        <v>9.4523053561131939E-3</v>
      </c>
      <c r="W2151">
        <v>7.0713332304426182E-2</v>
      </c>
      <c r="X2151">
        <v>1.0775091551047503E-2</v>
      </c>
      <c r="Y2151">
        <v>3.7354990219314183E-3</v>
      </c>
    </row>
    <row r="2152" spans="1:25" x14ac:dyDescent="0.25">
      <c r="A2152" s="1090"/>
      <c r="B2152" s="1448">
        <v>1902</v>
      </c>
      <c r="C2152" s="1094">
        <v>1.0000906055477472</v>
      </c>
      <c r="D2152" s="1094">
        <v>1.0199780249154329</v>
      </c>
      <c r="E2152" s="1094">
        <v>1.0175677567938179</v>
      </c>
      <c r="F2152" s="1094">
        <v>1.0142161034757513</v>
      </c>
      <c r="G2152" s="1094">
        <v>0.98723690104404693</v>
      </c>
      <c r="H2152" s="1094">
        <v>1.0229976007452912</v>
      </c>
      <c r="I2152" s="1094">
        <v>1.0037896685193326</v>
      </c>
      <c r="K2152">
        <v>4.5508798150587459</v>
      </c>
      <c r="L2152">
        <v>0</v>
      </c>
      <c r="M2152">
        <v>1.4508689263346222E-3</v>
      </c>
      <c r="N2152">
        <v>0.1322846375646563</v>
      </c>
      <c r="O2152">
        <v>3.8505443373560266E-2</v>
      </c>
      <c r="P2152">
        <v>1.9659175634542256E-2</v>
      </c>
      <c r="Q2152">
        <v>1.312702623469515E-3</v>
      </c>
      <c r="R2152">
        <v>1.4451327212864223E-3</v>
      </c>
      <c r="S2152">
        <v>0.23478755909610771</v>
      </c>
      <c r="T2152">
        <v>4.0217125834067167</v>
      </c>
      <c r="U2152">
        <v>0</v>
      </c>
      <c r="V2152">
        <v>9.4523053561131904E-3</v>
      </c>
      <c r="W2152">
        <v>7.7871837228633611E-2</v>
      </c>
      <c r="X2152">
        <v>1.1215251578974407E-2</v>
      </c>
      <c r="Y2152">
        <v>4.0840554010193762E-3</v>
      </c>
    </row>
    <row r="2153" spans="1:25" x14ac:dyDescent="0.25">
      <c r="A2153" s="1090"/>
      <c r="B2153" s="1448">
        <v>1903</v>
      </c>
      <c r="C2153" s="1094">
        <v>0.99614368930427333</v>
      </c>
      <c r="D2153" s="1094">
        <v>1.0154915915452412</v>
      </c>
      <c r="E2153" s="1094">
        <v>1.0206535111311521</v>
      </c>
      <c r="F2153" s="1094">
        <v>0.96297086867683745</v>
      </c>
      <c r="G2153" s="1094">
        <v>1.0297548012542725</v>
      </c>
      <c r="H2153" s="1094">
        <v>0.99463136619425374</v>
      </c>
      <c r="I2153" s="1094">
        <v>0.98226997134796923</v>
      </c>
      <c r="K2153">
        <v>4.3156462937906737</v>
      </c>
      <c r="L2153">
        <v>0</v>
      </c>
      <c r="M2153">
        <v>1.3385805922487334E-3</v>
      </c>
      <c r="N2153">
        <v>0.12312542699088395</v>
      </c>
      <c r="O2153">
        <v>3.6749104159399491E-2</v>
      </c>
      <c r="P2153">
        <v>1.870072750830596E-2</v>
      </c>
      <c r="Q2153">
        <v>1.3236835772634473E-3</v>
      </c>
      <c r="R2153">
        <v>1.3328489725854304E-3</v>
      </c>
      <c r="S2153">
        <v>0.22096202982764793</v>
      </c>
      <c r="T2153">
        <v>3.8183956625351043</v>
      </c>
      <c r="U2153">
        <v>0</v>
      </c>
      <c r="V2153">
        <v>9.4523053561131939E-3</v>
      </c>
      <c r="W2153">
        <v>7.2331028964237848E-2</v>
      </c>
      <c r="X2153">
        <v>1.0845323536648268E-2</v>
      </c>
      <c r="Y2153">
        <v>3.7667329547316913E-3</v>
      </c>
    </row>
    <row r="2154" spans="1:25" x14ac:dyDescent="0.25">
      <c r="A2154" s="1090"/>
      <c r="B2154" s="1448">
        <v>1904</v>
      </c>
      <c r="C2154" s="1094">
        <v>1.0341467789037979</v>
      </c>
      <c r="D2154" s="1094">
        <v>0.97057494603768812</v>
      </c>
      <c r="E2154" s="1094">
        <v>0.98603441385927793</v>
      </c>
      <c r="F2154" s="1094">
        <v>1.0060671852993361</v>
      </c>
      <c r="G2154" s="1094">
        <v>1.0408236939939624</v>
      </c>
      <c r="H2154" s="1094">
        <v>1.0015091940078773</v>
      </c>
      <c r="I2154" s="1094">
        <v>1.0319727066721736</v>
      </c>
      <c r="K2154">
        <v>4.5043034718610713</v>
      </c>
      <c r="L2154">
        <v>0</v>
      </c>
      <c r="M2154">
        <v>1.4854193839915993E-3</v>
      </c>
      <c r="N2154">
        <v>0.12334099908897936</v>
      </c>
      <c r="O2154">
        <v>3.7892312169556054E-2</v>
      </c>
      <c r="P2154">
        <v>1.9059813620754984E-2</v>
      </c>
      <c r="Q2154">
        <v>1.2604469251599989E-3</v>
      </c>
      <c r="R2154">
        <v>1.4793721810968487E-3</v>
      </c>
      <c r="S2154">
        <v>0.23402088236733407</v>
      </c>
      <c r="T2154">
        <v>3.990606375391585</v>
      </c>
      <c r="U2154">
        <v>0</v>
      </c>
      <c r="V2154">
        <v>9.4523053561132026E-3</v>
      </c>
      <c r="W2154">
        <v>7.4169157182829973E-2</v>
      </c>
      <c r="X2154">
        <v>1.032640823314648E-2</v>
      </c>
      <c r="Y2154">
        <v>4.1808187285027366E-3</v>
      </c>
    </row>
    <row r="2155" spans="1:25" x14ac:dyDescent="0.25">
      <c r="A2155" s="1090"/>
      <c r="B2155" s="1448">
        <v>1905</v>
      </c>
      <c r="C2155" s="1094">
        <v>1.009639987652472</v>
      </c>
      <c r="D2155" s="1094">
        <v>0.99628345256655615</v>
      </c>
      <c r="E2155" s="1094">
        <v>1.0272379632544426</v>
      </c>
      <c r="F2155" s="1094">
        <v>1.0073176140977056</v>
      </c>
      <c r="G2155" s="1094">
        <v>1.035243104543033</v>
      </c>
      <c r="H2155" s="1094">
        <v>1.0401484354401136</v>
      </c>
      <c r="I2155" s="1094">
        <v>1.0162498013386634</v>
      </c>
      <c r="K2155">
        <v>4.528815180331649</v>
      </c>
      <c r="L2155">
        <v>0</v>
      </c>
      <c r="M2155">
        <v>1.4354176335581118E-3</v>
      </c>
      <c r="N2155">
        <v>0.13467883828802704</v>
      </c>
      <c r="O2155">
        <v>3.8173101648661355E-2</v>
      </c>
      <c r="P2155">
        <v>1.9681758148826146E-2</v>
      </c>
      <c r="Q2155">
        <v>1.3233379957313517E-3</v>
      </c>
      <c r="R2155">
        <v>1.429798024490847E-3</v>
      </c>
      <c r="S2155">
        <v>0.23734535713269331</v>
      </c>
      <c r="T2155">
        <v>3.9939908555189874</v>
      </c>
      <c r="U2155">
        <v>0</v>
      </c>
      <c r="V2155">
        <v>9.4523053561131921E-3</v>
      </c>
      <c r="W2155">
        <v>7.8772491975062225E-2</v>
      </c>
      <c r="X2155">
        <v>1.1362035499483895E-2</v>
      </c>
      <c r="Y2155">
        <v>4.0407183771263636E-3</v>
      </c>
    </row>
    <row r="2156" spans="1:25" x14ac:dyDescent="0.25">
      <c r="A2156" s="1090"/>
      <c r="B2156" s="1448">
        <v>1906</v>
      </c>
      <c r="C2156" s="1094">
        <v>0.99860763679766873</v>
      </c>
      <c r="D2156" s="1094">
        <v>0.99272159478718125</v>
      </c>
      <c r="E2156" s="1094">
        <v>0.96120699257450237</v>
      </c>
      <c r="F2156" s="1094">
        <v>0.9750319055783413</v>
      </c>
      <c r="G2156" s="1094">
        <v>0.966040041851706</v>
      </c>
      <c r="H2156" s="1094">
        <v>1.0168064042752114</v>
      </c>
      <c r="I2156" s="1094">
        <v>1.0172061063458213</v>
      </c>
      <c r="K2156">
        <v>4.3789730180043973</v>
      </c>
      <c r="L2156">
        <v>0</v>
      </c>
      <c r="M2156">
        <v>1.5803787402760212E-3</v>
      </c>
      <c r="N2156">
        <v>0.12189345653004804</v>
      </c>
      <c r="O2156">
        <v>3.7854849125434999E-2</v>
      </c>
      <c r="P2156">
        <v>1.8159878954586053E-2</v>
      </c>
      <c r="Q2156">
        <v>1.265886230448059E-3</v>
      </c>
      <c r="R2156">
        <v>1.5738408880702035E-3</v>
      </c>
      <c r="S2156">
        <v>0.23344719597828009</v>
      </c>
      <c r="T2156">
        <v>3.8684373714554319</v>
      </c>
      <c r="U2156">
        <v>0</v>
      </c>
      <c r="V2156">
        <v>9.4523053561132026E-3</v>
      </c>
      <c r="W2156">
        <v>7.4561733890107021E-2</v>
      </c>
      <c r="X2156">
        <v>9.4590838293941767E-3</v>
      </c>
      <c r="Y2156">
        <v>4.4477945067540273E-3</v>
      </c>
    </row>
    <row r="2157" spans="1:25" x14ac:dyDescent="0.25">
      <c r="A2157" s="1090"/>
      <c r="B2157" s="1448">
        <v>1907</v>
      </c>
      <c r="C2157" s="1094">
        <v>0.99435554197461662</v>
      </c>
      <c r="D2157" s="1094">
        <v>1.0126203205892299</v>
      </c>
      <c r="E2157" s="1094">
        <v>0.971666719202956</v>
      </c>
      <c r="F2157" s="1094">
        <v>0.99238963408855219</v>
      </c>
      <c r="G2157" s="1094">
        <v>1.0210242502246838</v>
      </c>
      <c r="H2157" s="1094">
        <v>0.99690269831701406</v>
      </c>
      <c r="I2157" s="1094">
        <v>0.98799608743326817</v>
      </c>
      <c r="K2157">
        <v>4.4429016972110356</v>
      </c>
      <c r="L2157">
        <v>0</v>
      </c>
      <c r="M2157">
        <v>1.5370819041756318E-3</v>
      </c>
      <c r="N2157">
        <v>0.12229405983565515</v>
      </c>
      <c r="O2157">
        <v>3.8316655837083567E-2</v>
      </c>
      <c r="P2157">
        <v>1.8585058667221384E-2</v>
      </c>
      <c r="Q2157">
        <v>1.2728513188034903E-3</v>
      </c>
      <c r="R2157">
        <v>1.5307091818913491E-3</v>
      </c>
      <c r="S2157">
        <v>0.22756546934790001</v>
      </c>
      <c r="T2157">
        <v>3.9369023848433384</v>
      </c>
      <c r="U2157">
        <v>0</v>
      </c>
      <c r="V2157">
        <v>9.4523053561131869E-3</v>
      </c>
      <c r="W2157">
        <v>7.4267655313971392E-2</v>
      </c>
      <c r="X2157">
        <v>9.9257284010935646E-3</v>
      </c>
      <c r="Y2157">
        <v>4.3259010121425969E-3</v>
      </c>
    </row>
    <row r="2158" spans="1:25" x14ac:dyDescent="0.25">
      <c r="A2158" s="1090"/>
      <c r="B2158" s="1448">
        <v>1908</v>
      </c>
      <c r="C2158" s="1094">
        <v>1.0065901522327558</v>
      </c>
      <c r="D2158" s="1094">
        <v>0.96068152966985654</v>
      </c>
      <c r="E2158" s="1094">
        <v>1.0094059179965444</v>
      </c>
      <c r="F2158" s="1094">
        <v>1.03474049775397</v>
      </c>
      <c r="G2158" s="1094">
        <v>0.97103297089301677</v>
      </c>
      <c r="H2158" s="1094">
        <v>0.9763144379104477</v>
      </c>
      <c r="I2158" s="1094">
        <v>1.0264944119859105</v>
      </c>
      <c r="K2158">
        <v>4.6393538431702543</v>
      </c>
      <c r="L2158">
        <v>0</v>
      </c>
      <c r="M2158">
        <v>1.4624492716195712E-3</v>
      </c>
      <c r="N2158">
        <v>0.13014369684316845</v>
      </c>
      <c r="O2158">
        <v>4.0036034304811501E-2</v>
      </c>
      <c r="P2158">
        <v>1.9950769973692578E-2</v>
      </c>
      <c r="Q2158">
        <v>1.3266172049433719E-3</v>
      </c>
      <c r="R2158">
        <v>1.4565105071772774E-3</v>
      </c>
      <c r="S2158">
        <v>0.24245137937479144</v>
      </c>
      <c r="T2158">
        <v>4.1034182841737739</v>
      </c>
      <c r="U2158">
        <v>0</v>
      </c>
      <c r="V2158">
        <v>9.4523053561131973E-3</v>
      </c>
      <c r="W2158">
        <v>7.7031454390763671E-2</v>
      </c>
      <c r="X2158">
        <v>1.1433030420034539E-2</v>
      </c>
      <c r="Y2158">
        <v>4.1162098925997944E-3</v>
      </c>
    </row>
    <row r="2159" spans="1:25" x14ac:dyDescent="0.25">
      <c r="A2159" s="1090"/>
      <c r="B2159" s="1448">
        <v>1909</v>
      </c>
      <c r="C2159" s="1094">
        <v>0.96749554544319005</v>
      </c>
      <c r="D2159" s="1094">
        <v>0.99934599210157871</v>
      </c>
      <c r="E2159" s="1094">
        <v>1.0012189616087075</v>
      </c>
      <c r="F2159" s="1094">
        <v>0.97816260896160445</v>
      </c>
      <c r="G2159" s="1094">
        <v>0.98821399183934355</v>
      </c>
      <c r="H2159" s="1094">
        <v>0.9986201625020571</v>
      </c>
      <c r="I2159" s="1094">
        <v>0.99282694148163864</v>
      </c>
      <c r="K2159">
        <v>4.4005318136705514</v>
      </c>
      <c r="L2159">
        <v>0</v>
      </c>
      <c r="M2159">
        <v>1.4737154144190544E-3</v>
      </c>
      <c r="N2159">
        <v>0.12798673732935462</v>
      </c>
      <c r="O2159">
        <v>3.8816539318811003E-2</v>
      </c>
      <c r="P2159">
        <v>1.8770524752693817E-2</v>
      </c>
      <c r="Q2159">
        <v>1.3491424637068605E-3</v>
      </c>
      <c r="R2159">
        <v>1.4675275739972913E-3</v>
      </c>
      <c r="S2159">
        <v>0.23382044605205493</v>
      </c>
      <c r="T2159">
        <v>3.8793543643395894</v>
      </c>
      <c r="U2159">
        <v>0</v>
      </c>
      <c r="V2159">
        <v>9.4523053561132008E-3</v>
      </c>
      <c r="W2159">
        <v>7.6173584828528484E-2</v>
      </c>
      <c r="X2159">
        <v>1.0667012105571645E-2</v>
      </c>
      <c r="Y2159">
        <v>4.1473449645464148E-3</v>
      </c>
    </row>
    <row r="2160" spans="1:25" x14ac:dyDescent="0.25">
      <c r="A2160" s="1090"/>
      <c r="B2160" s="1448">
        <v>1910</v>
      </c>
      <c r="C2160" s="1094">
        <v>1.0031023359089668</v>
      </c>
      <c r="D2160" s="1094">
        <v>1.002657881186749</v>
      </c>
      <c r="E2160" s="1094">
        <v>0.99948926294896467</v>
      </c>
      <c r="F2160" s="1094">
        <v>0.9839622322067989</v>
      </c>
      <c r="G2160" s="1094">
        <v>1.033002716642383</v>
      </c>
      <c r="H2160" s="1094">
        <v>1.0360127163684643</v>
      </c>
      <c r="I2160" s="1094">
        <v>0.99517909779231606</v>
      </c>
      <c r="K2160">
        <v>4.4187422177745042</v>
      </c>
      <c r="L2160">
        <v>0</v>
      </c>
      <c r="M2160">
        <v>1.4867777504685709E-3</v>
      </c>
      <c r="N2160">
        <v>0.12848372733586733</v>
      </c>
      <c r="O2160">
        <v>3.7622488967269309E-2</v>
      </c>
      <c r="P2160">
        <v>1.8831538580764532E-2</v>
      </c>
      <c r="Q2160">
        <v>1.2976068511697397E-3</v>
      </c>
      <c r="R2160">
        <v>1.4807956990939126E-3</v>
      </c>
      <c r="S2160">
        <v>0.22948876628125683</v>
      </c>
      <c r="T2160">
        <v>3.9024202423816918</v>
      </c>
      <c r="U2160">
        <v>0</v>
      </c>
      <c r="V2160">
        <v>9.4523053561131973E-3</v>
      </c>
      <c r="W2160">
        <v>7.6558805254216239E-2</v>
      </c>
      <c r="X2160">
        <v>1.0407877118485757E-2</v>
      </c>
      <c r="Y2160">
        <v>4.1848416990428973E-3</v>
      </c>
    </row>
    <row r="2161" spans="1:25" x14ac:dyDescent="0.25">
      <c r="A2161" s="1090"/>
      <c r="B2161" s="1448">
        <v>1911</v>
      </c>
      <c r="C2161" s="1094">
        <v>1.0308723228713916</v>
      </c>
      <c r="D2161" s="1094">
        <v>1.0213885022691356</v>
      </c>
      <c r="E2161" s="1094">
        <v>0.98951077198593951</v>
      </c>
      <c r="F2161" s="1094">
        <v>0.96457401109716778</v>
      </c>
      <c r="G2161" s="1094">
        <v>0.98806140389458874</v>
      </c>
      <c r="H2161" s="1094">
        <v>0.96284753412571111</v>
      </c>
      <c r="I2161" s="1094">
        <v>0.99143305190259701</v>
      </c>
      <c r="K2161">
        <v>4.2967841961103685</v>
      </c>
      <c r="L2161">
        <v>0</v>
      </c>
      <c r="M2161">
        <v>1.3362125898962298E-3</v>
      </c>
      <c r="N2161">
        <v>0.11206266807120581</v>
      </c>
      <c r="O2161">
        <v>3.5686449343160467E-2</v>
      </c>
      <c r="P2161">
        <v>1.827220972866642E-2</v>
      </c>
      <c r="Q2161">
        <v>1.2426280283967563E-3</v>
      </c>
      <c r="R2161">
        <v>1.3303120235953014E-3</v>
      </c>
      <c r="S2161">
        <v>0.21315258859978661</v>
      </c>
      <c r="T2161">
        <v>3.8258935580475399</v>
      </c>
      <c r="U2161">
        <v>0</v>
      </c>
      <c r="V2161">
        <v>9.4523053561131939E-3</v>
      </c>
      <c r="W2161">
        <v>6.7227647734827284E-2</v>
      </c>
      <c r="X2161">
        <v>1.0040478423772453E-2</v>
      </c>
      <c r="Y2161">
        <v>3.7595633431986935E-3</v>
      </c>
    </row>
    <row r="2162" spans="1:25" x14ac:dyDescent="0.25">
      <c r="A2162" s="1090"/>
      <c r="B2162" s="1448">
        <v>1912</v>
      </c>
      <c r="C2162" s="1094">
        <v>0.99767216757995725</v>
      </c>
      <c r="D2162" s="1094">
        <v>0.99324580675855323</v>
      </c>
      <c r="E2162" s="1094">
        <v>0.96250363641385395</v>
      </c>
      <c r="F2162" s="1094">
        <v>1.0310340451216728</v>
      </c>
      <c r="G2162" s="1094">
        <v>1.0344311740548402</v>
      </c>
      <c r="H2162" s="1094">
        <v>1.020214209866857</v>
      </c>
      <c r="I2162" s="1094">
        <v>1.0113565998502956</v>
      </c>
      <c r="K2162">
        <v>4.6254977511985036</v>
      </c>
      <c r="L2162">
        <v>0</v>
      </c>
      <c r="M2162">
        <v>1.6730379974266537E-3</v>
      </c>
      <c r="N2162">
        <v>0.12956913377255908</v>
      </c>
      <c r="O2162">
        <v>4.0048998821397862E-2</v>
      </c>
      <c r="P2162">
        <v>1.9195864014314733E-2</v>
      </c>
      <c r="Q2162">
        <v>1.2682489532975911E-3</v>
      </c>
      <c r="R2162">
        <v>1.666513130056433E-3</v>
      </c>
      <c r="S2162">
        <v>0.24150936860543282</v>
      </c>
      <c r="T2162">
        <v>4.0905739070665952</v>
      </c>
      <c r="U2162">
        <v>0</v>
      </c>
      <c r="V2162">
        <v>9.4523053561131991E-3</v>
      </c>
      <c r="W2162">
        <v>7.9185658492816224E-2</v>
      </c>
      <c r="X2162">
        <v>9.991097645546506E-3</v>
      </c>
      <c r="Y2162">
        <v>4.7096933377980873E-3</v>
      </c>
    </row>
    <row r="2163" spans="1:25" x14ac:dyDescent="0.25">
      <c r="A2163" s="1090"/>
      <c r="B2163" s="1448">
        <v>1913</v>
      </c>
      <c r="C2163" s="1094">
        <v>1.0318748229146988</v>
      </c>
      <c r="D2163" s="1094">
        <v>0.96226761786283732</v>
      </c>
      <c r="E2163" s="1094">
        <v>0.99314582881536972</v>
      </c>
      <c r="F2163" s="1094">
        <v>1.0378504942459517</v>
      </c>
      <c r="G2163" s="1094">
        <v>1.0167918626427257</v>
      </c>
      <c r="H2163" s="1094">
        <v>0.98313184357392713</v>
      </c>
      <c r="I2163" s="1094">
        <v>0.96023004597376371</v>
      </c>
      <c r="K2163">
        <v>4.6252082634067078</v>
      </c>
      <c r="L2163">
        <v>0</v>
      </c>
      <c r="M2163">
        <v>1.4900966262633639E-3</v>
      </c>
      <c r="N2163">
        <v>0.12637256618037074</v>
      </c>
      <c r="O2163">
        <v>3.9260603472624646E-2</v>
      </c>
      <c r="P2163">
        <v>1.9677303796056204E-2</v>
      </c>
      <c r="Q2163">
        <v>1.2753738906876877E-3</v>
      </c>
      <c r="R2163">
        <v>1.4841054861125412E-3</v>
      </c>
      <c r="S2163">
        <v>0.22208750660865573</v>
      </c>
      <c r="T2163">
        <v>4.1163936733315811</v>
      </c>
      <c r="U2163">
        <v>0</v>
      </c>
      <c r="V2163">
        <v>9.4523053561131939E-3</v>
      </c>
      <c r="W2163">
        <v>7.5625187707932404E-2</v>
      </c>
      <c r="X2163">
        <v>1.0875538792989385E-2</v>
      </c>
      <c r="Y2163">
        <v>4.1941954098478262E-3</v>
      </c>
    </row>
    <row r="2164" spans="1:25" x14ac:dyDescent="0.25">
      <c r="A2164" s="1090"/>
      <c r="B2164" s="1448">
        <v>1914</v>
      </c>
      <c r="C2164" s="1094">
        <v>0.99391045532403632</v>
      </c>
      <c r="D2164" s="1094">
        <v>0.98027321712336757</v>
      </c>
      <c r="E2164" s="1094">
        <v>1.017542600684755</v>
      </c>
      <c r="F2164" s="1094">
        <v>1.0267129156225525</v>
      </c>
      <c r="G2164" s="1094">
        <v>1.0349404656538681</v>
      </c>
      <c r="H2164" s="1094">
        <v>1.0061117395376922</v>
      </c>
      <c r="I2164" s="1094">
        <v>1.0365868131192468</v>
      </c>
      <c r="K2164">
        <v>4.61899977578814</v>
      </c>
      <c r="L2164">
        <v>0</v>
      </c>
      <c r="M2164">
        <v>1.476758750479806E-3</v>
      </c>
      <c r="N2164">
        <v>0.13463276761708021</v>
      </c>
      <c r="O2164">
        <v>3.9850353370581987E-2</v>
      </c>
      <c r="P2164">
        <v>1.9946186620443226E-2</v>
      </c>
      <c r="Q2164">
        <v>1.3419818854688858E-3</v>
      </c>
      <c r="R2164">
        <v>1.4708941653264382E-3</v>
      </c>
      <c r="S2164">
        <v>0.24759162765897438</v>
      </c>
      <c r="T2164">
        <v>4.0712676786572883</v>
      </c>
      <c r="U2164">
        <v>0</v>
      </c>
      <c r="V2164">
        <v>9.4523053561131852E-3</v>
      </c>
      <c r="W2164">
        <v>7.9255439697794264E-2</v>
      </c>
      <c r="X2164">
        <v>1.151044030087929E-2</v>
      </c>
      <c r="Y2164">
        <v>4.1568592086696733E-3</v>
      </c>
    </row>
    <row r="2165" spans="1:25" x14ac:dyDescent="0.25">
      <c r="A2165" s="1090"/>
      <c r="B2165" s="1448">
        <v>1915</v>
      </c>
      <c r="C2165" s="1094">
        <v>0.98783723767552356</v>
      </c>
      <c r="D2165" s="1094">
        <v>1.0327623782640738</v>
      </c>
      <c r="E2165" s="1094">
        <v>0.99334334743524699</v>
      </c>
      <c r="F2165" s="1094">
        <v>0.96060919928980182</v>
      </c>
      <c r="G2165" s="1094">
        <v>0.98924420741189001</v>
      </c>
      <c r="H2165" s="1094">
        <v>0.99063372127287752</v>
      </c>
      <c r="I2165" s="1094">
        <v>0.97736671045939372</v>
      </c>
      <c r="K2165">
        <v>4.3013380556213665</v>
      </c>
      <c r="L2165">
        <v>0</v>
      </c>
      <c r="M2165">
        <v>1.4110587069480064E-3</v>
      </c>
      <c r="N2165">
        <v>0.11970483749584437</v>
      </c>
      <c r="O2165">
        <v>3.689889976662844E-2</v>
      </c>
      <c r="P2165">
        <v>1.828370814306194E-2</v>
      </c>
      <c r="Q2165">
        <v>1.295302380393373E-3</v>
      </c>
      <c r="R2165">
        <v>1.4049775133870438E-3</v>
      </c>
      <c r="S2165">
        <v>0.21992345126486981</v>
      </c>
      <c r="T2165">
        <v>3.810026712690862</v>
      </c>
      <c r="U2165">
        <v>0</v>
      </c>
      <c r="V2165">
        <v>9.4523053561131835E-3</v>
      </c>
      <c r="W2165">
        <v>7.1625409597361772E-2</v>
      </c>
      <c r="X2165">
        <v>1.0162936402003246E-2</v>
      </c>
      <c r="Y2165">
        <v>3.9705737177906375E-3</v>
      </c>
    </row>
    <row r="2166" spans="1:25" x14ac:dyDescent="0.25">
      <c r="A2166" s="1090"/>
      <c r="B2166" s="1448">
        <v>1916</v>
      </c>
      <c r="C2166" s="1094">
        <v>0.96322649065824062</v>
      </c>
      <c r="D2166" s="1094">
        <v>1.0006483597727671</v>
      </c>
      <c r="E2166" s="1094">
        <v>1.0123563545664231</v>
      </c>
      <c r="F2166" s="1094">
        <v>0.97936133245987711</v>
      </c>
      <c r="G2166" s="1094">
        <v>1.0343585773578261</v>
      </c>
      <c r="H2166" s="1094">
        <v>0.98314474855003531</v>
      </c>
      <c r="I2166" s="1094">
        <v>1.0137497828512656</v>
      </c>
      <c r="K2166">
        <v>4.4095374432784507</v>
      </c>
      <c r="L2166">
        <v>0</v>
      </c>
      <c r="M2166">
        <v>1.4244850520376867E-3</v>
      </c>
      <c r="N2166">
        <v>0.12785186245315877</v>
      </c>
      <c r="O2166">
        <v>3.8938212347655564E-2</v>
      </c>
      <c r="P2166">
        <v>1.8968334945998401E-2</v>
      </c>
      <c r="Q2166">
        <v>1.3673498923507099E-3</v>
      </c>
      <c r="R2166">
        <v>1.4184171777398003E-3</v>
      </c>
      <c r="S2166">
        <v>0.23869879431774157</v>
      </c>
      <c r="T2166">
        <v>3.8836944676805918</v>
      </c>
      <c r="U2166">
        <v>0</v>
      </c>
      <c r="V2166">
        <v>9.4523053561131991E-3</v>
      </c>
      <c r="W2166">
        <v>7.5525279643921833E-2</v>
      </c>
      <c r="X2166">
        <v>1.1038349279893299E-2</v>
      </c>
      <c r="Y2166">
        <v>4.0085552353213618E-3</v>
      </c>
    </row>
    <row r="2167" spans="1:25" x14ac:dyDescent="0.25">
      <c r="A2167" s="1090"/>
      <c r="B2167" s="1448">
        <v>1917</v>
      </c>
      <c r="C2167" s="1094">
        <v>0.98567770308540348</v>
      </c>
      <c r="D2167" s="1094">
        <v>0.99674494849720774</v>
      </c>
      <c r="E2167" s="1094">
        <v>1.0150741749293815</v>
      </c>
      <c r="F2167" s="1094">
        <v>1.0241954020583872</v>
      </c>
      <c r="G2167" s="1094">
        <v>0.98840628067930958</v>
      </c>
      <c r="H2167" s="1094">
        <v>0.99147430490993094</v>
      </c>
      <c r="I2167" s="1094">
        <v>0.97709133900986622</v>
      </c>
      <c r="K2167">
        <v>4.5902729633112935</v>
      </c>
      <c r="L2167">
        <v>0</v>
      </c>
      <c r="M2167">
        <v>1.461718257717634E-3</v>
      </c>
      <c r="N2167">
        <v>0.13228252976123922</v>
      </c>
      <c r="O2167">
        <v>3.9836051950398257E-2</v>
      </c>
      <c r="P2167">
        <v>1.979575796586874E-2</v>
      </c>
      <c r="Q2167">
        <v>1.3413895834708323E-3</v>
      </c>
      <c r="R2167">
        <v>1.4558132821304479E-3</v>
      </c>
      <c r="S2167">
        <v>0.23263207237617051</v>
      </c>
      <c r="T2167">
        <v>4.0613803809319764</v>
      </c>
      <c r="U2167">
        <v>0</v>
      </c>
      <c r="V2167">
        <v>9.4523053561131973E-3</v>
      </c>
      <c r="W2167">
        <v>7.8000501324717905E-2</v>
      </c>
      <c r="X2167">
        <v>1.1443639555535888E-2</v>
      </c>
      <c r="Y2167">
        <v>4.1142394813868388E-3</v>
      </c>
    </row>
    <row r="2168" spans="1:25" x14ac:dyDescent="0.25">
      <c r="A2168" s="1090"/>
      <c r="B2168" s="1448">
        <v>1918</v>
      </c>
      <c r="C2168" s="1094">
        <v>1.0191455862692371</v>
      </c>
      <c r="D2168" s="1094">
        <v>0.96348884054522843</v>
      </c>
      <c r="E2168" s="1094">
        <v>1.0157206397800547</v>
      </c>
      <c r="F2168" s="1094">
        <v>1.0085491241918068</v>
      </c>
      <c r="G2168" s="1094">
        <v>1.0102897515089757</v>
      </c>
      <c r="H2168" s="1094">
        <v>1.0003821177837513</v>
      </c>
      <c r="I2168" s="1094">
        <v>0.9974747512654033</v>
      </c>
      <c r="K2168">
        <v>4.5184790411239666</v>
      </c>
      <c r="L2168">
        <v>0</v>
      </c>
      <c r="M2168">
        <v>1.4219697124115522E-3</v>
      </c>
      <c r="N2168">
        <v>0.1289284612269197</v>
      </c>
      <c r="O2168">
        <v>3.8453307878328728E-2</v>
      </c>
      <c r="P2168">
        <v>1.9508973156461142E-2</v>
      </c>
      <c r="Q2168">
        <v>1.3157908143098642E-3</v>
      </c>
      <c r="R2168">
        <v>1.4161884976238413E-3</v>
      </c>
      <c r="S2168">
        <v>0.2303409724220212</v>
      </c>
      <c r="T2168">
        <v>3.9993114407998367</v>
      </c>
      <c r="U2168">
        <v>0</v>
      </c>
      <c r="V2168">
        <v>9.4523053561132043E-3</v>
      </c>
      <c r="W2168">
        <v>7.5989907199185983E-2</v>
      </c>
      <c r="X2168">
        <v>1.118140667040963E-2</v>
      </c>
      <c r="Y2168">
        <v>4.002256815161984E-3</v>
      </c>
    </row>
    <row r="2169" spans="1:25" x14ac:dyDescent="0.25">
      <c r="A2169" s="1090"/>
      <c r="B2169" s="1448">
        <v>1919</v>
      </c>
      <c r="C2169" s="1094">
        <v>0.99340819627229049</v>
      </c>
      <c r="D2169" s="1094">
        <v>1.0042823834995271</v>
      </c>
      <c r="E2169" s="1094">
        <v>1.0373305797585504</v>
      </c>
      <c r="F2169" s="1094">
        <v>1.014030512524601</v>
      </c>
      <c r="G2169" s="1094">
        <v>1.038250220158744</v>
      </c>
      <c r="H2169" s="1094">
        <v>0.99516205735860919</v>
      </c>
      <c r="I2169" s="1094">
        <v>0.98955700245821177</v>
      </c>
      <c r="K2169">
        <v>4.5469728142107098</v>
      </c>
      <c r="L2169">
        <v>0</v>
      </c>
      <c r="M2169">
        <v>1.3709559194601166E-3</v>
      </c>
      <c r="N2169">
        <v>0.13250594141518596</v>
      </c>
      <c r="O2169">
        <v>3.8859719237645821E-2</v>
      </c>
      <c r="P2169">
        <v>1.9923534466338485E-2</v>
      </c>
      <c r="Q2169">
        <v>1.3520750535588977E-3</v>
      </c>
      <c r="R2169">
        <v>1.3653830362455423E-3</v>
      </c>
      <c r="S2169">
        <v>0.23194566517811446</v>
      </c>
      <c r="T2169">
        <v>4.0202237953127433</v>
      </c>
      <c r="U2169">
        <v>0</v>
      </c>
      <c r="V2169">
        <v>9.4523053561131991E-3</v>
      </c>
      <c r="W2169">
        <v>7.6986048306073099E-2</v>
      </c>
      <c r="X2169">
        <v>1.187062606565579E-2</v>
      </c>
      <c r="Y2169">
        <v>3.8586767024934251E-3</v>
      </c>
    </row>
    <row r="2170" spans="1:25" x14ac:dyDescent="0.25">
      <c r="A2170" s="1090"/>
      <c r="B2170" s="1448">
        <v>1920</v>
      </c>
      <c r="C2170" s="1094">
        <v>0.99175311696624813</v>
      </c>
      <c r="D2170" s="1094">
        <v>1.0126202155787383</v>
      </c>
      <c r="E2170" s="1094">
        <v>0.98110239760731777</v>
      </c>
      <c r="F2170" s="1094">
        <v>1.0294186562098537</v>
      </c>
      <c r="G2170" s="1094">
        <v>1.0032247981258542</v>
      </c>
      <c r="H2170" s="1094">
        <v>1.0104120732864232</v>
      </c>
      <c r="I2170" s="1094">
        <v>1.0366922025056158</v>
      </c>
      <c r="K2170">
        <v>4.6233281075365564</v>
      </c>
      <c r="L2170">
        <v>0</v>
      </c>
      <c r="M2170">
        <v>1.5882847284848839E-3</v>
      </c>
      <c r="N2170">
        <v>0.12998339765225006</v>
      </c>
      <c r="O2170">
        <v>3.9784021117208107E-2</v>
      </c>
      <c r="P2170">
        <v>1.9461272022057347E-2</v>
      </c>
      <c r="Q2170">
        <v>1.2867113228044746E-3</v>
      </c>
      <c r="R2170">
        <v>1.5820205323838609E-3</v>
      </c>
      <c r="S2170">
        <v>0.24654082773832181</v>
      </c>
      <c r="T2170">
        <v>4.0834258254278986</v>
      </c>
      <c r="U2170">
        <v>0</v>
      </c>
      <c r="V2170">
        <v>9.4523053561131991E-3</v>
      </c>
      <c r="W2170">
        <v>7.8427382209931812E-2</v>
      </c>
      <c r="X2170">
        <v>1.0501718079998695E-2</v>
      </c>
      <c r="Y2170">
        <v>4.470910806070723E-3</v>
      </c>
    </row>
    <row r="2171" spans="1:25" x14ac:dyDescent="0.25">
      <c r="A2171" s="1090"/>
      <c r="B2171" s="1448">
        <v>1921</v>
      </c>
      <c r="C2171" s="1094">
        <v>1.0218819345068284</v>
      </c>
      <c r="D2171" s="1094">
        <v>0.97275774506106294</v>
      </c>
      <c r="E2171" s="1094">
        <v>1.0401441644303659</v>
      </c>
      <c r="F2171" s="1094">
        <v>1.0209161031670222</v>
      </c>
      <c r="G2171" s="1094">
        <v>1.0118242516331046</v>
      </c>
      <c r="H2171" s="1094">
        <v>1.0109342445973746</v>
      </c>
      <c r="I2171" s="1094">
        <v>1.0156717525544776</v>
      </c>
      <c r="K2171">
        <v>4.5798891303169773</v>
      </c>
      <c r="L2171">
        <v>0</v>
      </c>
      <c r="M2171">
        <v>1.3723311451434429E-3</v>
      </c>
      <c r="N2171">
        <v>0.13375816836542306</v>
      </c>
      <c r="O2171">
        <v>3.8502146522075356E-2</v>
      </c>
      <c r="P2171">
        <v>2.0110204626455287E-2</v>
      </c>
      <c r="Q2171">
        <v>1.3344125121872549E-3</v>
      </c>
      <c r="R2171">
        <v>1.3668765930940829E-3</v>
      </c>
      <c r="S2171">
        <v>0.23597611500663168</v>
      </c>
      <c r="T2171">
        <v>4.0474150958190558</v>
      </c>
      <c r="U2171">
        <v>0</v>
      </c>
      <c r="V2171">
        <v>9.4523053561131939E-3</v>
      </c>
      <c r="W2171">
        <v>7.7569759091734858E-2</v>
      </c>
      <c r="X2171">
        <v>1.1913479961173135E-2</v>
      </c>
      <c r="Y2171">
        <v>3.8628976081750734E-3</v>
      </c>
    </row>
    <row r="2172" spans="1:25" x14ac:dyDescent="0.25">
      <c r="A2172" s="1090"/>
      <c r="B2172" s="1448">
        <v>1922</v>
      </c>
      <c r="C2172" s="1094">
        <v>1.0108636712676189</v>
      </c>
      <c r="D2172" s="1094">
        <v>1.0116262247478169</v>
      </c>
      <c r="E2172" s="1094">
        <v>1.0292390981631607</v>
      </c>
      <c r="F2172" s="1094">
        <v>1.0112854297839979</v>
      </c>
      <c r="G2172" s="1094">
        <v>1.0131234386660515</v>
      </c>
      <c r="H2172" s="1094">
        <v>0.97277495659775093</v>
      </c>
      <c r="I2172" s="1094">
        <v>0.98393597734927518</v>
      </c>
      <c r="K2172">
        <v>4.5166881145934505</v>
      </c>
      <c r="L2172">
        <v>0</v>
      </c>
      <c r="M2172">
        <v>1.3322224014269339E-3</v>
      </c>
      <c r="N2172">
        <v>0.12570611259660025</v>
      </c>
      <c r="O2172">
        <v>3.8030060228334196E-2</v>
      </c>
      <c r="P2172">
        <v>1.9721474831803462E-2</v>
      </c>
      <c r="Q2172">
        <v>1.315895721785016E-3</v>
      </c>
      <c r="R2172">
        <v>1.3266673623907527E-3</v>
      </c>
      <c r="S2172">
        <v>0.22407231192044264</v>
      </c>
      <c r="T2172">
        <v>4.0096471559993443</v>
      </c>
      <c r="U2172">
        <v>0</v>
      </c>
      <c r="V2172">
        <v>9.4523053561131991E-3</v>
      </c>
      <c r="W2172">
        <v>7.3426924392234319E-2</v>
      </c>
      <c r="X2172">
        <v>1.157216533344445E-2</v>
      </c>
      <c r="Y2172">
        <v>3.7492632523779194E-3</v>
      </c>
    </row>
    <row r="2173" spans="1:25" x14ac:dyDescent="0.25">
      <c r="A2173" s="1090"/>
      <c r="B2173" s="1448">
        <v>1923</v>
      </c>
      <c r="C2173" s="1094">
        <v>1.0400969295887414</v>
      </c>
      <c r="D2173" s="1094">
        <v>0.98714998716645108</v>
      </c>
      <c r="E2173" s="1094">
        <v>0.99922845683095529</v>
      </c>
      <c r="F2173" s="1094">
        <v>0.99699752314764967</v>
      </c>
      <c r="G2173" s="1094">
        <v>1.0165116224158011</v>
      </c>
      <c r="H2173" s="1094">
        <v>0.97307370444338481</v>
      </c>
      <c r="I2173" s="1094">
        <v>1.0371600820019882</v>
      </c>
      <c r="K2173">
        <v>4.4537251407671068</v>
      </c>
      <c r="L2173">
        <v>0</v>
      </c>
      <c r="M2173">
        <v>1.3738409942175142E-3</v>
      </c>
      <c r="N2173">
        <v>0.11860793868602372</v>
      </c>
      <c r="O2173">
        <v>3.6996675918149362E-2</v>
      </c>
      <c r="P2173">
        <v>1.9061069393941872E-2</v>
      </c>
      <c r="Q2173">
        <v>1.2589987406868843E-3</v>
      </c>
      <c r="R2173">
        <v>1.3680324416355579E-3</v>
      </c>
      <c r="S2173">
        <v>0.22907366955009212</v>
      </c>
      <c r="T2173">
        <v>3.9541284560896846</v>
      </c>
      <c r="U2173">
        <v>0</v>
      </c>
      <c r="V2173">
        <v>9.45230535611318E-3</v>
      </c>
      <c r="W2173">
        <v>7.06866444607301E-2</v>
      </c>
      <c r="X2173">
        <v>1.0599026999870901E-2</v>
      </c>
      <c r="Y2173">
        <v>3.8661641243981429E-3</v>
      </c>
    </row>
    <row r="2174" spans="1:25" x14ac:dyDescent="0.25">
      <c r="A2174" s="1090"/>
      <c r="B2174" s="1448">
        <v>1924</v>
      </c>
      <c r="C2174" s="1094">
        <v>0.99817369935877553</v>
      </c>
      <c r="D2174" s="1094">
        <v>0.99171607898528136</v>
      </c>
      <c r="E2174" s="1094">
        <v>0.99266740989986391</v>
      </c>
      <c r="F2174" s="1094">
        <v>0.96007475197678127</v>
      </c>
      <c r="G2174" s="1094">
        <v>1.0079981264104487</v>
      </c>
      <c r="H2174" s="1094">
        <v>0.98931468796348143</v>
      </c>
      <c r="I2174" s="1094">
        <v>1.0041066246973667</v>
      </c>
      <c r="K2174">
        <v>4.3064634348333222</v>
      </c>
      <c r="L2174">
        <v>0</v>
      </c>
      <c r="M2174">
        <v>1.4186256279167975E-3</v>
      </c>
      <c r="N2174">
        <v>0.12010487176699644</v>
      </c>
      <c r="O2174">
        <v>3.7097837423053392E-2</v>
      </c>
      <c r="P2174">
        <v>1.8293454159360741E-2</v>
      </c>
      <c r="Q2174">
        <v>1.3020958254210419E-3</v>
      </c>
      <c r="R2174">
        <v>1.412500278664278E-3</v>
      </c>
      <c r="S2174">
        <v>0.22622020453770009</v>
      </c>
      <c r="T2174">
        <v>3.8079317523047647</v>
      </c>
      <c r="U2174">
        <v>0</v>
      </c>
      <c r="V2174">
        <v>9.4523053561131956E-3</v>
      </c>
      <c r="W2174">
        <v>7.1897765399678654E-2</v>
      </c>
      <c r="X2174">
        <v>1.0177439782685364E-2</v>
      </c>
      <c r="Y2174">
        <v>3.99183362680006E-3</v>
      </c>
    </row>
    <row r="2175" spans="1:25" x14ac:dyDescent="0.25">
      <c r="A2175" s="1090"/>
      <c r="B2175" s="1448">
        <v>1925</v>
      </c>
      <c r="C2175" s="1094">
        <v>1.0120913599676946</v>
      </c>
      <c r="D2175" s="1094">
        <v>1.0305383862622957</v>
      </c>
      <c r="E2175" s="1094">
        <v>1.0134555485789565</v>
      </c>
      <c r="F2175" s="1094">
        <v>0.96240913146679552</v>
      </c>
      <c r="G2175" s="1094">
        <v>1.0179590048356115</v>
      </c>
      <c r="H2175" s="1094">
        <v>1.0390307945611024</v>
      </c>
      <c r="I2175" s="1094">
        <v>0.96401331640082966</v>
      </c>
      <c r="K2175">
        <v>4.3103578166849363</v>
      </c>
      <c r="L2175">
        <v>0</v>
      </c>
      <c r="M2175">
        <v>1.3883724520328301E-3</v>
      </c>
      <c r="N2175">
        <v>0.12503665048184959</v>
      </c>
      <c r="O2175">
        <v>3.5983439889921608E-2</v>
      </c>
      <c r="P2175">
        <v>1.8567822959246184E-2</v>
      </c>
      <c r="Q2175">
        <v>1.2873038546842616E-3</v>
      </c>
      <c r="R2175">
        <v>1.3826783546020099E-3</v>
      </c>
      <c r="S2175">
        <v>0.21544823362070253</v>
      </c>
      <c r="T2175">
        <v>3.8164298425041032</v>
      </c>
      <c r="U2175">
        <v>0</v>
      </c>
      <c r="V2175">
        <v>9.4523053561131869E-3</v>
      </c>
      <c r="W2175">
        <v>7.380788796691061E-2</v>
      </c>
      <c r="X2175">
        <v>1.0442469556230873E-2</v>
      </c>
      <c r="Y2175">
        <v>3.9075545926038954E-3</v>
      </c>
    </row>
    <row r="2176" spans="1:25" x14ac:dyDescent="0.25">
      <c r="A2176" s="1090"/>
      <c r="B2176" s="1448">
        <v>1926</v>
      </c>
      <c r="C2176" s="1094">
        <v>1.0083799440946684</v>
      </c>
      <c r="D2176" s="1094">
        <v>1.0005991634960782</v>
      </c>
      <c r="E2176" s="1094">
        <v>1.0048770478666993</v>
      </c>
      <c r="F2176" s="1094">
        <v>0.97831372029335884</v>
      </c>
      <c r="G2176" s="1094">
        <v>0.97837758561004584</v>
      </c>
      <c r="H2176" s="1094">
        <v>1.0153432245703453</v>
      </c>
      <c r="I2176" s="1094">
        <v>0.99964385639723119</v>
      </c>
      <c r="K2176">
        <v>4.3876985113076463</v>
      </c>
      <c r="L2176">
        <v>0</v>
      </c>
      <c r="M2176">
        <v>1.42610928166336E-3</v>
      </c>
      <c r="N2176">
        <v>0.12521049782392601</v>
      </c>
      <c r="O2176">
        <v>3.7205449063073895E-2</v>
      </c>
      <c r="P2176">
        <v>1.8792810004315545E-2</v>
      </c>
      <c r="Q2176">
        <v>1.2978479013205121E-3</v>
      </c>
      <c r="R2176">
        <v>1.4202208595453854E-3</v>
      </c>
      <c r="S2176">
        <v>0.2270464434932786</v>
      </c>
      <c r="T2176">
        <v>3.8798175872408662</v>
      </c>
      <c r="U2176">
        <v>0</v>
      </c>
      <c r="V2176">
        <v>9.4523053561131939E-3</v>
      </c>
      <c r="W2176">
        <v>7.4337616734727996E-2</v>
      </c>
      <c r="X2176">
        <v>1.053018953433402E-2</v>
      </c>
      <c r="Y2176">
        <v>4.0136525778085358E-3</v>
      </c>
    </row>
    <row r="2177" spans="1:25" x14ac:dyDescent="0.25">
      <c r="A2177" s="1090"/>
      <c r="B2177" s="1448">
        <v>1927</v>
      </c>
      <c r="C2177" s="1094">
        <v>1.001048204392001</v>
      </c>
      <c r="D2177" s="1094">
        <v>0.97124582153926253</v>
      </c>
      <c r="E2177" s="1094">
        <v>1.023253411214138</v>
      </c>
      <c r="F2177" s="1094">
        <v>1.0094934833811322</v>
      </c>
      <c r="G2177" s="1094">
        <v>0.97336236990946701</v>
      </c>
      <c r="H2177" s="1094">
        <v>0.99990957826330817</v>
      </c>
      <c r="I2177" s="1094">
        <v>0.9565344530389126</v>
      </c>
      <c r="K2177">
        <v>4.5210462340983959</v>
      </c>
      <c r="L2177">
        <v>0</v>
      </c>
      <c r="M2177">
        <v>1.4209155647980848E-3</v>
      </c>
      <c r="N2177">
        <v>0.13173668378340375</v>
      </c>
      <c r="O2177">
        <v>3.9006735951326824E-2</v>
      </c>
      <c r="P2177">
        <v>1.9605563451025487E-2</v>
      </c>
      <c r="Q2177">
        <v>1.3438300349717419E-3</v>
      </c>
      <c r="R2177">
        <v>1.4151412904948926E-3</v>
      </c>
      <c r="S2177">
        <v>0.22443353981529271</v>
      </c>
      <c r="T2177">
        <v>4.0027694036997801</v>
      </c>
      <c r="U2177">
        <v>0</v>
      </c>
      <c r="V2177">
        <v>9.4523053561131956E-3</v>
      </c>
      <c r="W2177">
        <v>7.7255912800367296E-2</v>
      </c>
      <c r="X2177">
        <v>1.1448736152549913E-2</v>
      </c>
      <c r="Y2177">
        <v>3.9992973278650925E-3</v>
      </c>
    </row>
    <row r="2178" spans="1:25" x14ac:dyDescent="0.25">
      <c r="A2178" s="1090"/>
      <c r="B2178" s="1448">
        <v>1928</v>
      </c>
      <c r="C2178" s="1094">
        <v>1.0048663827773177</v>
      </c>
      <c r="D2178" s="1094">
        <v>1.0128464301831333</v>
      </c>
      <c r="E2178" s="1094">
        <v>1.0168327101978445</v>
      </c>
      <c r="F2178" s="1094">
        <v>0.99979061836520333</v>
      </c>
      <c r="G2178" s="1094">
        <v>1.0081180544440165</v>
      </c>
      <c r="H2178" s="1094">
        <v>1.016364638674242</v>
      </c>
      <c r="I2178" s="1094">
        <v>1.0000607366077345</v>
      </c>
      <c r="K2178">
        <v>4.4834522204919418</v>
      </c>
      <c r="L2178">
        <v>0</v>
      </c>
      <c r="M2178">
        <v>1.4204663965679512E-3</v>
      </c>
      <c r="N2178">
        <v>0.12922048281363813</v>
      </c>
      <c r="O2178">
        <v>3.7888552479962208E-2</v>
      </c>
      <c r="P2178">
        <v>1.9365617432308867E-2</v>
      </c>
      <c r="Q2178">
        <v>1.3093195561375351E-3</v>
      </c>
      <c r="R2178">
        <v>1.4147325162730403E-3</v>
      </c>
      <c r="S2178">
        <v>0.23052848056695477</v>
      </c>
      <c r="T2178">
        <v>3.9645383667361402</v>
      </c>
      <c r="U2178">
        <v>0</v>
      </c>
      <c r="V2178">
        <v>9.4523053561131835E-3</v>
      </c>
      <c r="W2178">
        <v>7.6105427144007504E-2</v>
      </c>
      <c r="X2178">
        <v>1.1051260186272173E-2</v>
      </c>
      <c r="Y2178">
        <v>3.9981421007057021E-3</v>
      </c>
    </row>
    <row r="2179" spans="1:25" x14ac:dyDescent="0.25">
      <c r="A2179" s="1090"/>
      <c r="B2179" s="1448">
        <v>1929</v>
      </c>
      <c r="C2179" s="1094">
        <v>1.0148339172431144</v>
      </c>
      <c r="D2179" s="1094">
        <v>1.0071369687550162</v>
      </c>
      <c r="E2179" s="1094">
        <v>0.9830168860305214</v>
      </c>
      <c r="F2179" s="1094">
        <v>1.0037546390561862</v>
      </c>
      <c r="G2179" s="1094">
        <v>1.0001571128486402</v>
      </c>
      <c r="H2179" s="1094">
        <v>1.0033854045908279</v>
      </c>
      <c r="I2179" s="1094">
        <v>0.95661115834893495</v>
      </c>
      <c r="K2179">
        <v>4.4798258457705211</v>
      </c>
      <c r="L2179">
        <v>0</v>
      </c>
      <c r="M2179">
        <v>1.5003174187140189E-3</v>
      </c>
      <c r="N2179">
        <v>0.12346770460209437</v>
      </c>
      <c r="O2179">
        <v>3.7979412861279857E-2</v>
      </c>
      <c r="P2179">
        <v>1.8905474259958293E-2</v>
      </c>
      <c r="Q2179">
        <v>1.2622742465008584E-3</v>
      </c>
      <c r="R2179">
        <v>1.4942069981186252E-3</v>
      </c>
      <c r="S2179">
        <v>0.21838054207816682</v>
      </c>
      <c r="T2179">
        <v>3.9815497797539745</v>
      </c>
      <c r="U2179">
        <v>0</v>
      </c>
      <c r="V2179">
        <v>9.4523053561132026E-3</v>
      </c>
      <c r="W2179">
        <v>7.4398529836485122E-2</v>
      </c>
      <c r="X2179">
        <v>1.0213190142544201E-2</v>
      </c>
      <c r="Y2179">
        <v>4.2227430539909794E-3</v>
      </c>
    </row>
    <row r="2180" spans="1:25" x14ac:dyDescent="0.25">
      <c r="A2180" s="1090"/>
      <c r="B2180" s="1448">
        <v>1930</v>
      </c>
      <c r="C2180" s="1094">
        <v>0.96291721027181421</v>
      </c>
      <c r="D2180" s="1094">
        <v>0.9876863281865339</v>
      </c>
      <c r="E2180" s="1094">
        <v>0.99595741525708192</v>
      </c>
      <c r="F2180" s="1094">
        <v>0.99421000843435459</v>
      </c>
      <c r="G2180" s="1094">
        <v>0.98099446964991133</v>
      </c>
      <c r="H2180" s="1094">
        <v>1.0019188586230747</v>
      </c>
      <c r="I2180" s="1094">
        <v>0.99549192784081164</v>
      </c>
      <c r="K2180">
        <v>4.4766906297484441</v>
      </c>
      <c r="L2180">
        <v>0</v>
      </c>
      <c r="M2180">
        <v>1.5338871649006318E-3</v>
      </c>
      <c r="N2180">
        <v>0.13116225159677844</v>
      </c>
      <c r="O2180">
        <v>3.986494093210452E-2</v>
      </c>
      <c r="P2180">
        <v>1.901122122895783E-2</v>
      </c>
      <c r="Q2180">
        <v>1.3558025318775207E-3</v>
      </c>
      <c r="R2180">
        <v>1.5275710649791741E-3</v>
      </c>
      <c r="S2180">
        <v>0.2392675119412461</v>
      </c>
      <c r="T2180">
        <v>3.9431970599412747</v>
      </c>
      <c r="U2180">
        <v>0</v>
      </c>
      <c r="V2180">
        <v>9.4523053561131835E-3</v>
      </c>
      <c r="W2180">
        <v>7.8341915303094325E-2</v>
      </c>
      <c r="X2180">
        <v>1.0726904562756779E-2</v>
      </c>
      <c r="Y2180">
        <v>4.317032454164896E-3</v>
      </c>
    </row>
    <row r="2181" spans="1:25" x14ac:dyDescent="0.25">
      <c r="A2181" s="1090"/>
      <c r="B2181" s="1448">
        <v>1931</v>
      </c>
      <c r="C2181" s="1094">
        <v>1.0297918901105538</v>
      </c>
      <c r="D2181" s="1094">
        <v>1.0048609962570854</v>
      </c>
      <c r="E2181" s="1094">
        <v>0.98475778469964681</v>
      </c>
      <c r="F2181" s="1094">
        <v>1.0424219831186115</v>
      </c>
      <c r="G2181" s="1094">
        <v>1.0035531925097978</v>
      </c>
      <c r="H2181" s="1094">
        <v>0.99930183965071606</v>
      </c>
      <c r="I2181" s="1094">
        <v>0.96647233088670503</v>
      </c>
      <c r="K2181">
        <v>4.643996590207621</v>
      </c>
      <c r="L2181">
        <v>0</v>
      </c>
      <c r="M2181">
        <v>1.5247987883119354E-3</v>
      </c>
      <c r="N2181">
        <v>0.12614912711450105</v>
      </c>
      <c r="O2181">
        <v>3.8892718224895581E-2</v>
      </c>
      <c r="P2181">
        <v>1.9640409761888775E-2</v>
      </c>
      <c r="Q2181">
        <v>1.2469438716035423E-3</v>
      </c>
      <c r="R2181">
        <v>1.5187936719712547E-3</v>
      </c>
      <c r="S2181">
        <v>0.22295434986492096</v>
      </c>
      <c r="T2181">
        <v>4.1348601972511858</v>
      </c>
      <c r="U2181">
        <v>0</v>
      </c>
      <c r="V2181">
        <v>9.4523053561131904E-3</v>
      </c>
      <c r="W2181">
        <v>7.5923915512323109E-2</v>
      </c>
      <c r="X2181">
        <v>1.0590401495125483E-2</v>
      </c>
      <c r="Y2181">
        <v>4.2922268714022599E-3</v>
      </c>
    </row>
    <row r="2182" spans="1:25" x14ac:dyDescent="0.25">
      <c r="A2182" s="1090"/>
      <c r="B2182" s="1448">
        <v>1932</v>
      </c>
      <c r="C2182" s="1094">
        <v>1.0267687334002453</v>
      </c>
      <c r="D2182" s="1094">
        <v>0.97525042142345209</v>
      </c>
      <c r="E2182" s="1094">
        <v>1.00077082856906</v>
      </c>
      <c r="F2182" s="1094">
        <v>0.97824745215384223</v>
      </c>
      <c r="G2182" s="1094">
        <v>1.0346635224948426</v>
      </c>
      <c r="H2182" s="1094">
        <v>1.0272241515872336</v>
      </c>
      <c r="I2182" s="1094">
        <v>1.0185846064907313</v>
      </c>
      <c r="K2182">
        <v>4.3902517464094482</v>
      </c>
      <c r="L2182">
        <v>0</v>
      </c>
      <c r="M2182">
        <v>1.4439168374726376E-3</v>
      </c>
      <c r="N2182">
        <v>0.12524720720110069</v>
      </c>
      <c r="O2182">
        <v>3.6940734842695833E-2</v>
      </c>
      <c r="P2182">
        <v>1.8747954558815397E-2</v>
      </c>
      <c r="Q2182">
        <v>1.2832384104339647E-3</v>
      </c>
      <c r="R2182">
        <v>1.4380234464332516E-3</v>
      </c>
      <c r="S2182">
        <v>0.22988456778528768</v>
      </c>
      <c r="T2182">
        <v>3.879707535040287</v>
      </c>
      <c r="U2182">
        <v>0</v>
      </c>
      <c r="V2182">
        <v>9.4523053561131921E-3</v>
      </c>
      <c r="W2182">
        <v>7.4565670624181832E-2</v>
      </c>
      <c r="X2182">
        <v>1.0364461934052917E-2</v>
      </c>
      <c r="Y2182">
        <v>4.0639640475168574E-3</v>
      </c>
    </row>
    <row r="2183" spans="1:25" x14ac:dyDescent="0.25">
      <c r="A2183" s="1090"/>
      <c r="B2183" s="1448">
        <v>1933</v>
      </c>
      <c r="C2183" s="1094">
        <v>1.0034484951614466</v>
      </c>
      <c r="D2183" s="1094">
        <v>0.95412080544812727</v>
      </c>
      <c r="E2183" s="1094">
        <v>1.0215171873938877</v>
      </c>
      <c r="F2183" s="1094">
        <v>0.959708663785933</v>
      </c>
      <c r="G2183" s="1094">
        <v>1.002829053940165</v>
      </c>
      <c r="H2183" s="1094">
        <v>1.0290344783064407</v>
      </c>
      <c r="I2183" s="1094">
        <v>0.99770973635255256</v>
      </c>
      <c r="K2183">
        <v>4.3214076151761098</v>
      </c>
      <c r="L2183">
        <v>0</v>
      </c>
      <c r="M2183">
        <v>1.4021952292437904E-3</v>
      </c>
      <c r="N2183">
        <v>0.12932356838565726</v>
      </c>
      <c r="O2183">
        <v>3.7270186591364739E-2</v>
      </c>
      <c r="P2183">
        <v>1.8690648760018275E-2</v>
      </c>
      <c r="Q2183">
        <v>1.348209730666246E-3</v>
      </c>
      <c r="R2183">
        <v>1.3963723069247442E-3</v>
      </c>
      <c r="S2183">
        <v>0.22919052497871228</v>
      </c>
      <c r="T2183">
        <v>3.8054290500520507</v>
      </c>
      <c r="U2183">
        <v>0</v>
      </c>
      <c r="V2183">
        <v>9.4523053561132008E-3</v>
      </c>
      <c r="W2183">
        <v>7.5928470452475208E-2</v>
      </c>
      <c r="X2183">
        <v>1.0834219044013521E-2</v>
      </c>
      <c r="Y2183">
        <v>3.9462547473517445E-3</v>
      </c>
    </row>
    <row r="2184" spans="1:25" x14ac:dyDescent="0.25">
      <c r="A2184" s="1090"/>
      <c r="B2184" s="1448">
        <v>1934</v>
      </c>
      <c r="C2184" s="1094">
        <v>0.98224373937880038</v>
      </c>
      <c r="D2184" s="1094">
        <v>0.98485320434155399</v>
      </c>
      <c r="E2184" s="1094">
        <v>1.0326033583513705</v>
      </c>
      <c r="F2184" s="1094">
        <v>1.0111360812882579</v>
      </c>
      <c r="G2184" s="1094">
        <v>1.0038856176827236</v>
      </c>
      <c r="H2184" s="1094">
        <v>1.0061229343798654</v>
      </c>
      <c r="I2184" s="1094">
        <v>1.0309353305520801</v>
      </c>
      <c r="K2184">
        <v>4.5558781172736991</v>
      </c>
      <c r="L2184">
        <v>0</v>
      </c>
      <c r="M2184">
        <v>1.4229607008857236E-3</v>
      </c>
      <c r="N2184">
        <v>0.13562876677323663</v>
      </c>
      <c r="O2184">
        <v>3.9530446439085522E-2</v>
      </c>
      <c r="P2184">
        <v>1.986962011442155E-2</v>
      </c>
      <c r="Q2184">
        <v>1.3727204238586953E-3</v>
      </c>
      <c r="R2184">
        <v>1.4172231241930228E-3</v>
      </c>
      <c r="S2184">
        <v>0.2462491089603881</v>
      </c>
      <c r="T2184">
        <v>4.0089274310281207</v>
      </c>
      <c r="U2184">
        <v>0</v>
      </c>
      <c r="V2184">
        <v>9.4523053561131904E-3</v>
      </c>
      <c r="W2184">
        <v>7.9046686800086002E-2</v>
      </c>
      <c r="X2184">
        <v>1.1801588206241984E-2</v>
      </c>
      <c r="Y2184">
        <v>4.0051807488364916E-3</v>
      </c>
    </row>
    <row r="2185" spans="1:25" x14ac:dyDescent="0.25">
      <c r="A2185" s="1090"/>
      <c r="B2185" s="1448">
        <v>1935</v>
      </c>
      <c r="C2185" s="1094">
        <v>0.96075649765812121</v>
      </c>
      <c r="D2185" s="1094">
        <v>1.0014483259602205</v>
      </c>
      <c r="E2185" s="1094">
        <v>0.97233160512568539</v>
      </c>
      <c r="F2185" s="1094">
        <v>0.99849220780828551</v>
      </c>
      <c r="G2185" s="1094">
        <v>0.99528852258881906</v>
      </c>
      <c r="H2185" s="1094">
        <v>1.0255870152579485</v>
      </c>
      <c r="I2185" s="1094">
        <v>1.0043142220491772</v>
      </c>
      <c r="K2185">
        <v>4.5005142175120048</v>
      </c>
      <c r="L2185">
        <v>0</v>
      </c>
      <c r="M2185">
        <v>1.6516515512426935E-3</v>
      </c>
      <c r="N2185">
        <v>0.13168775609417371</v>
      </c>
      <c r="O2185">
        <v>4.0073246363900944E-2</v>
      </c>
      <c r="P2185">
        <v>1.8773165025357471E-2</v>
      </c>
      <c r="Q2185">
        <v>1.3239915612866646E-3</v>
      </c>
      <c r="R2185">
        <v>1.6450358607268379E-3</v>
      </c>
      <c r="S2185">
        <v>0.24348396118667576</v>
      </c>
      <c r="T2185">
        <v>3.961086238616816</v>
      </c>
      <c r="U2185">
        <v>0</v>
      </c>
      <c r="V2185">
        <v>9.4523053561131991E-3</v>
      </c>
      <c r="W2185">
        <v>7.9935708483256304E-2</v>
      </c>
      <c r="X2185">
        <v>1.0055463579975134E-2</v>
      </c>
      <c r="Y2185">
        <v>4.6489969349607068E-3</v>
      </c>
    </row>
    <row r="2186" spans="1:25" x14ac:dyDescent="0.25">
      <c r="A2186" s="1090"/>
      <c r="B2186" s="1448">
        <v>1936</v>
      </c>
      <c r="C2186" s="1094">
        <v>0.9704773409991887</v>
      </c>
      <c r="D2186" s="1094">
        <v>0.95549886863555122</v>
      </c>
      <c r="E2186" s="1094">
        <v>0.99325997756459383</v>
      </c>
      <c r="F2186" s="1094">
        <v>0.98850042315295306</v>
      </c>
      <c r="G2186" s="1094">
        <v>1.0284414957404255</v>
      </c>
      <c r="H2186" s="1094">
        <v>1.0075791744327054</v>
      </c>
      <c r="I2186" s="1094">
        <v>1.0354970667362393</v>
      </c>
      <c r="K2186">
        <v>4.464493147687886</v>
      </c>
      <c r="L2186">
        <v>0</v>
      </c>
      <c r="M2186">
        <v>1.5508622114539944E-3</v>
      </c>
      <c r="N2186">
        <v>0.13155762827434614</v>
      </c>
      <c r="O2186">
        <v>3.9871087563165396E-2</v>
      </c>
      <c r="P2186">
        <v>1.891481308588816E-2</v>
      </c>
      <c r="Q2186">
        <v>1.3600287423760032E-3</v>
      </c>
      <c r="R2186">
        <v>1.5444755619417128E-3</v>
      </c>
      <c r="S2186">
        <v>0.24898513067463107</v>
      </c>
      <c r="T2186">
        <v>3.9206537320727097</v>
      </c>
      <c r="U2186">
        <v>0</v>
      </c>
      <c r="V2186">
        <v>9.4523053561131852E-3</v>
      </c>
      <c r="W2186">
        <v>7.8721984836168629E-2</v>
      </c>
      <c r="X2186">
        <v>1.0618017878820683E-2</v>
      </c>
      <c r="Y2186">
        <v>4.3648058531783208E-3</v>
      </c>
    </row>
    <row r="2187" spans="1:25" x14ac:dyDescent="0.25">
      <c r="A2187" s="1090"/>
      <c r="B2187" s="1448">
        <v>1937</v>
      </c>
      <c r="C2187" s="1094">
        <v>0.99111724190514283</v>
      </c>
      <c r="D2187" s="1094">
        <v>1.0225762521874853</v>
      </c>
      <c r="E2187" s="1094">
        <v>0.97956102325170635</v>
      </c>
      <c r="F2187" s="1094">
        <v>0.99771178586186504</v>
      </c>
      <c r="G2187" s="1094">
        <v>1.0150302126236936</v>
      </c>
      <c r="H2187" s="1094">
        <v>0.99861092868846912</v>
      </c>
      <c r="I2187" s="1094">
        <v>0.9792993071560393</v>
      </c>
      <c r="K2187">
        <v>4.4654759901966932</v>
      </c>
      <c r="L2187">
        <v>0</v>
      </c>
      <c r="M2187">
        <v>1.5215229192138424E-3</v>
      </c>
      <c r="N2187">
        <v>0.12392995582350981</v>
      </c>
      <c r="O2187">
        <v>3.8443201895888901E-2</v>
      </c>
      <c r="P2187">
        <v>1.8785968442143319E-2</v>
      </c>
      <c r="Q2187">
        <v>1.2807933866438013E-3</v>
      </c>
      <c r="R2187">
        <v>1.5152589497674921E-3</v>
      </c>
      <c r="S2187">
        <v>0.22657873808442761</v>
      </c>
      <c r="T2187">
        <v>3.9577123574966033</v>
      </c>
      <c r="U2187">
        <v>0</v>
      </c>
      <c r="V2187">
        <v>9.4523053561131869E-3</v>
      </c>
      <c r="W2187">
        <v>7.4853939153470786E-2</v>
      </c>
      <c r="X2187">
        <v>1.0162757050749545E-2</v>
      </c>
      <c r="Y2187">
        <v>4.2822374765911523E-3</v>
      </c>
    </row>
    <row r="2188" spans="1:25" x14ac:dyDescent="0.25">
      <c r="A2188" s="1090"/>
      <c r="B2188" s="1448">
        <v>1938</v>
      </c>
      <c r="C2188" s="1094">
        <v>1.0163051356543298</v>
      </c>
      <c r="D2188" s="1094">
        <v>0.97764305441786425</v>
      </c>
      <c r="E2188" s="1094">
        <v>1.0073574643793461</v>
      </c>
      <c r="F2188" s="1094">
        <v>1.0122279834842802</v>
      </c>
      <c r="G2188" s="1094">
        <v>1.0063718277026505</v>
      </c>
      <c r="H2188" s="1094">
        <v>0.99407611391406614</v>
      </c>
      <c r="I2188" s="1094">
        <v>0.97473300101418148</v>
      </c>
      <c r="K2188">
        <v>4.5254991236902438</v>
      </c>
      <c r="L2188">
        <v>0</v>
      </c>
      <c r="M2188">
        <v>1.4389975333253008E-3</v>
      </c>
      <c r="N2188">
        <v>0.12728029794898724</v>
      </c>
      <c r="O2188">
        <v>3.8534142636383197E-2</v>
      </c>
      <c r="P2188">
        <v>1.9431829144403723E-2</v>
      </c>
      <c r="Q2188">
        <v>1.3024931290651959E-3</v>
      </c>
      <c r="R2188">
        <v>1.4331312879262822E-3</v>
      </c>
      <c r="S2188">
        <v>0.22479606871061583</v>
      </c>
      <c r="T2188">
        <v>4.0142201765019552</v>
      </c>
      <c r="U2188">
        <v>0</v>
      </c>
      <c r="V2188">
        <v>9.4523053561131852E-3</v>
      </c>
      <c r="W2188">
        <v>7.5440405655789966E-2</v>
      </c>
      <c r="X2188">
        <v>1.0997132418253114E-2</v>
      </c>
      <c r="Y2188">
        <v>4.0501384340775283E-3</v>
      </c>
    </row>
    <row r="2189" spans="1:25" x14ac:dyDescent="0.25">
      <c r="A2189" s="1090"/>
      <c r="B2189" s="1448">
        <v>1939</v>
      </c>
      <c r="C2189" s="1094">
        <v>0.9781673767207606</v>
      </c>
      <c r="D2189" s="1094">
        <v>1.0293498815909659</v>
      </c>
      <c r="E2189" s="1094">
        <v>1.0075851032617544</v>
      </c>
      <c r="F2189" s="1094">
        <v>1.0306218997121923</v>
      </c>
      <c r="G2189" s="1094">
        <v>0.97246836123841218</v>
      </c>
      <c r="H2189" s="1094">
        <v>1.0208701310618513</v>
      </c>
      <c r="I2189" s="1094">
        <v>0.98549789604944693</v>
      </c>
      <c r="K2189">
        <v>4.62646358716772</v>
      </c>
      <c r="L2189">
        <v>0</v>
      </c>
      <c r="M2189">
        <v>1.5305585669965135E-3</v>
      </c>
      <c r="N2189">
        <v>0.13549437699660644</v>
      </c>
      <c r="O2189">
        <v>3.9930694949737465E-2</v>
      </c>
      <c r="P2189">
        <v>1.9826760938259035E-2</v>
      </c>
      <c r="Q2189">
        <v>1.3259209523060109E-3</v>
      </c>
      <c r="R2189">
        <v>1.5245908302672011E-3</v>
      </c>
      <c r="S2189">
        <v>0.23747433139473362</v>
      </c>
      <c r="T2189">
        <v>4.0871565313249549</v>
      </c>
      <c r="U2189">
        <v>0</v>
      </c>
      <c r="V2189">
        <v>9.4523053561132008E-3</v>
      </c>
      <c r="W2189">
        <v>8.0296686321493366E-2</v>
      </c>
      <c r="X2189">
        <v>1.1203336586902271E-2</v>
      </c>
      <c r="Y2189">
        <v>4.3086100833387049E-3</v>
      </c>
    </row>
    <row r="2190" spans="1:25" x14ac:dyDescent="0.25">
      <c r="A2190" s="1090"/>
      <c r="B2190" s="1448">
        <v>1940</v>
      </c>
      <c r="C2190" s="1094">
        <v>1.0227818834268498</v>
      </c>
      <c r="D2190" s="1094">
        <v>0.99250981788491177</v>
      </c>
      <c r="E2190" s="1094">
        <v>0.99068381772124436</v>
      </c>
      <c r="F2190" s="1094">
        <v>1.0251520735856705</v>
      </c>
      <c r="G2190" s="1094">
        <v>1.0114481314868056</v>
      </c>
      <c r="H2190" s="1094">
        <v>0.97473096740019194</v>
      </c>
      <c r="I2190" s="1094">
        <v>0.98965897128649716</v>
      </c>
      <c r="K2190">
        <v>4.5728284906252927</v>
      </c>
      <c r="L2190">
        <v>0</v>
      </c>
      <c r="M2190">
        <v>1.4617715906829036E-3</v>
      </c>
      <c r="N2190">
        <v>0.12305831153958149</v>
      </c>
      <c r="O2190">
        <v>3.8660688703553277E-2</v>
      </c>
      <c r="P2190">
        <v>1.9432691165854554E-2</v>
      </c>
      <c r="Q2190">
        <v>1.2681914893454681E-3</v>
      </c>
      <c r="R2190">
        <v>1.4557705468044386E-3</v>
      </c>
      <c r="S2190">
        <v>0.22624863530052383</v>
      </c>
      <c r="T2190">
        <v>4.0661248215552881</v>
      </c>
      <c r="U2190">
        <v>0</v>
      </c>
      <c r="V2190">
        <v>9.4523053561131835E-3</v>
      </c>
      <c r="W2190">
        <v>7.3765155601289087E-2</v>
      </c>
      <c r="X2190">
        <v>1.0709572249531285E-2</v>
      </c>
      <c r="Y2190">
        <v>4.1141187080928499E-3</v>
      </c>
    </row>
    <row r="2191" spans="1:25" x14ac:dyDescent="0.25">
      <c r="A2191" s="1090"/>
      <c r="B2191" s="1448">
        <v>1941</v>
      </c>
      <c r="C2191" s="1094">
        <v>1.0269456854886017</v>
      </c>
      <c r="D2191" s="1094">
        <v>0.98261797765706671</v>
      </c>
      <c r="E2191" s="1094">
        <v>1.0431163756401194</v>
      </c>
      <c r="F2191" s="1094">
        <v>1.0068913443785805</v>
      </c>
      <c r="G2191" s="1094">
        <v>0.99324286522922534</v>
      </c>
      <c r="H2191" s="1094">
        <v>1.0246454819517561</v>
      </c>
      <c r="I2191" s="1094">
        <v>0.96391003321521374</v>
      </c>
      <c r="K2191">
        <v>4.5062806995033924</v>
      </c>
      <c r="L2191">
        <v>0</v>
      </c>
      <c r="M2191">
        <v>1.3511150600577296E-3</v>
      </c>
      <c r="N2191">
        <v>0.13285138261367815</v>
      </c>
      <c r="O2191">
        <v>3.7613595064222613E-2</v>
      </c>
      <c r="P2191">
        <v>1.982170044759227E-2</v>
      </c>
      <c r="Q2191">
        <v>1.3257719284782044E-3</v>
      </c>
      <c r="R2191">
        <v>1.3457431970976257E-3</v>
      </c>
      <c r="S2191">
        <v>0.22107999784251905</v>
      </c>
      <c r="T2191">
        <v>3.991702401901065</v>
      </c>
      <c r="U2191">
        <v>0</v>
      </c>
      <c r="V2191">
        <v>9.4523053561131869E-3</v>
      </c>
      <c r="W2191">
        <v>7.6893557151823055E-2</v>
      </c>
      <c r="X2191">
        <v>1.1742186043229744E-2</v>
      </c>
      <c r="Y2191">
        <v>3.8031730176306265E-3</v>
      </c>
    </row>
    <row r="2192" spans="1:25" x14ac:dyDescent="0.25">
      <c r="A2192" s="1090"/>
      <c r="B2192" s="1448">
        <v>1942</v>
      </c>
      <c r="C2192" s="1094">
        <v>0.99282678038259009</v>
      </c>
      <c r="D2192" s="1094">
        <v>0.99039410033082731</v>
      </c>
      <c r="E2192" s="1094">
        <v>1.0070895615092028</v>
      </c>
      <c r="F2192" s="1094">
        <v>0.99225538861944929</v>
      </c>
      <c r="G2192" s="1094">
        <v>0.9893086486622289</v>
      </c>
      <c r="H2192" s="1094">
        <v>0.99238400819188843</v>
      </c>
      <c r="I2192" s="1094">
        <v>1.0089965458178982</v>
      </c>
      <c r="K2192">
        <v>4.4542556326795442</v>
      </c>
      <c r="L2192">
        <v>0</v>
      </c>
      <c r="M2192">
        <v>1.4349790503980027E-3</v>
      </c>
      <c r="N2192">
        <v>0.12681289401871293</v>
      </c>
      <c r="O2192">
        <v>3.8469029723492185E-2</v>
      </c>
      <c r="P2192">
        <v>1.9107765196099274E-2</v>
      </c>
      <c r="Q2192">
        <v>1.3260983363643363E-3</v>
      </c>
      <c r="R2192">
        <v>1.4290017501928272E-3</v>
      </c>
      <c r="S2192">
        <v>0.23396787322822823</v>
      </c>
      <c r="T2192">
        <v>3.9350243983698858</v>
      </c>
      <c r="U2192">
        <v>0</v>
      </c>
      <c r="V2192">
        <v>9.4523053561131939E-3</v>
      </c>
      <c r="W2192">
        <v>7.5176914771942188E-2</v>
      </c>
      <c r="X2192">
        <v>1.0885862933741082E-2</v>
      </c>
      <c r="Y2192">
        <v>4.0384680451674938E-3</v>
      </c>
    </row>
    <row r="2193" spans="1:25" x14ac:dyDescent="0.25">
      <c r="A2193" s="1090"/>
      <c r="B2193" s="1448">
        <v>1943</v>
      </c>
      <c r="C2193" s="1094">
        <v>1.0023230632708271</v>
      </c>
      <c r="D2193" s="1094">
        <v>0.96754641255888363</v>
      </c>
      <c r="E2193" s="1094">
        <v>1.0218199167305935</v>
      </c>
      <c r="F2193" s="1094">
        <v>0.99489726701321901</v>
      </c>
      <c r="G2193" s="1094">
        <v>0.96819699677261351</v>
      </c>
      <c r="H2193" s="1094">
        <v>0.99724102988327856</v>
      </c>
      <c r="I2193" s="1094">
        <v>0.97311709789573098</v>
      </c>
      <c r="K2193">
        <v>4.4599107302890753</v>
      </c>
      <c r="L2193">
        <v>0</v>
      </c>
      <c r="M2193">
        <v>1.4013095147035093E-3</v>
      </c>
      <c r="N2193">
        <v>0.12936008084963488</v>
      </c>
      <c r="O2193">
        <v>3.8462427998374668E-2</v>
      </c>
      <c r="P2193">
        <v>1.9324439752132407E-2</v>
      </c>
      <c r="Q2193">
        <v>1.3425441635344915E-3</v>
      </c>
      <c r="R2193">
        <v>1.3955162524004177E-3</v>
      </c>
      <c r="S2193">
        <v>0.22588068599896607</v>
      </c>
      <c r="T2193">
        <v>3.9449472682336943</v>
      </c>
      <c r="U2193">
        <v>0</v>
      </c>
      <c r="V2193">
        <v>9.4523053561131991E-3</v>
      </c>
      <c r="W2193">
        <v>7.5934595510782674E-2</v>
      </c>
      <c r="X2193">
        <v>1.1268340216232239E-2</v>
      </c>
      <c r="Y2193">
        <v>3.9438354719093256E-3</v>
      </c>
    </row>
    <row r="2194" spans="1:25" x14ac:dyDescent="0.25">
      <c r="A2194" s="1090"/>
      <c r="B2194" s="1448">
        <v>1944</v>
      </c>
      <c r="C2194" s="1094">
        <v>0.98069240666951574</v>
      </c>
      <c r="D2194" s="1094">
        <v>1.0025988359668245</v>
      </c>
      <c r="E2194" s="1094">
        <v>0.99274939956050001</v>
      </c>
      <c r="F2194" s="1094">
        <v>0.97847355759039034</v>
      </c>
      <c r="G2194" s="1094">
        <v>1.0117340759303544</v>
      </c>
      <c r="H2194" s="1094">
        <v>1.0143114824975561</v>
      </c>
      <c r="I2194" s="1094">
        <v>1.0196849490377038</v>
      </c>
      <c r="K2194">
        <v>4.4045204677824614</v>
      </c>
      <c r="L2194">
        <v>0</v>
      </c>
      <c r="M2194">
        <v>1.5018145831759452E-3</v>
      </c>
      <c r="N2194">
        <v>0.12720245765412017</v>
      </c>
      <c r="O2194">
        <v>3.8314543841425637E-2</v>
      </c>
      <c r="P2194">
        <v>1.8677745321680466E-2</v>
      </c>
      <c r="Q2194">
        <v>1.319626349767546E-3</v>
      </c>
      <c r="R2194">
        <v>1.4956082751369365E-3</v>
      </c>
      <c r="S2194">
        <v>0.2379379296483693</v>
      </c>
      <c r="T2194">
        <v>3.8809036250137723</v>
      </c>
      <c r="U2194">
        <v>0</v>
      </c>
      <c r="V2194">
        <v>9.4523053561131887E-3</v>
      </c>
      <c r="W2194">
        <v>7.6142316487805395E-2</v>
      </c>
      <c r="X2194">
        <v>1.0349421247619566E-2</v>
      </c>
      <c r="Y2194">
        <v>4.2267031698271663E-3</v>
      </c>
    </row>
    <row r="2195" spans="1:25" x14ac:dyDescent="0.25">
      <c r="A2195" s="1090"/>
      <c r="B2195" s="1448">
        <v>1945</v>
      </c>
      <c r="C2195" s="1094">
        <v>1.0199805251831477</v>
      </c>
      <c r="D2195" s="1094">
        <v>0.98645454542599864</v>
      </c>
      <c r="E2195" s="1094">
        <v>1.0072939681417614</v>
      </c>
      <c r="F2195" s="1094">
        <v>1.0073733593999206</v>
      </c>
      <c r="G2195" s="1094">
        <v>1.0095393285837462</v>
      </c>
      <c r="H2195" s="1094">
        <v>1.0119022141946394</v>
      </c>
      <c r="I2195" s="1094">
        <v>0.98321828533591349</v>
      </c>
      <c r="K2195">
        <v>4.5078821563089315</v>
      </c>
      <c r="L2195">
        <v>0</v>
      </c>
      <c r="M2195">
        <v>1.4475422092903119E-3</v>
      </c>
      <c r="N2195">
        <v>0.12801876756966038</v>
      </c>
      <c r="O2195">
        <v>3.8074683632704047E-2</v>
      </c>
      <c r="P2195">
        <v>1.934796562646356E-2</v>
      </c>
      <c r="Q2195">
        <v>1.2930801773001113E-3</v>
      </c>
      <c r="R2195">
        <v>1.4417172633082601E-3</v>
      </c>
      <c r="S2195">
        <v>0.22590896938304725</v>
      </c>
      <c r="T2195">
        <v>3.9949704881806394</v>
      </c>
      <c r="U2195">
        <v>0</v>
      </c>
      <c r="V2195">
        <v>9.4523053561131939E-3</v>
      </c>
      <c r="W2195">
        <v>7.5881344848909446E-2</v>
      </c>
      <c r="X2195">
        <v>1.0865973424058553E-2</v>
      </c>
      <c r="Y2195">
        <v>4.074403056015208E-3</v>
      </c>
    </row>
    <row r="2196" spans="1:25" x14ac:dyDescent="0.25">
      <c r="A2196" s="1090"/>
      <c r="B2196" s="1448">
        <v>1946</v>
      </c>
      <c r="C2196" s="1094">
        <v>0.97308469780841078</v>
      </c>
      <c r="D2196" s="1094">
        <v>0.98699480296230302</v>
      </c>
      <c r="E2196" s="1094">
        <v>0.9624195045680729</v>
      </c>
      <c r="F2196" s="1094">
        <v>1.0358608265323319</v>
      </c>
      <c r="G2196" s="1094">
        <v>0.99832266028036731</v>
      </c>
      <c r="H2196" s="1094">
        <v>1.0091500775255908</v>
      </c>
      <c r="I2196" s="1094">
        <v>0.98549242851092289</v>
      </c>
      <c r="K2196">
        <v>4.6509394193188749</v>
      </c>
      <c r="L2196">
        <v>0</v>
      </c>
      <c r="M2196">
        <v>1.7092319316531674E-3</v>
      </c>
      <c r="N2196">
        <v>0.13233585308171761</v>
      </c>
      <c r="O2196">
        <v>4.1358090420955701E-2</v>
      </c>
      <c r="P2196">
        <v>1.9279817707761358E-2</v>
      </c>
      <c r="Q2196">
        <v>1.303486092501869E-3</v>
      </c>
      <c r="R2196">
        <v>1.7025241002224249E-3</v>
      </c>
      <c r="S2196">
        <v>0.24162681126162378</v>
      </c>
      <c r="T2196">
        <v>4.109727290399233</v>
      </c>
      <c r="U2196">
        <v>0</v>
      </c>
      <c r="V2196">
        <v>9.4523053561131991E-3</v>
      </c>
      <c r="W2196">
        <v>8.0881246127899015E-2</v>
      </c>
      <c r="X2196">
        <v>1.0169763613702552E-2</v>
      </c>
      <c r="Y2196">
        <v>4.8114630887946932E-3</v>
      </c>
    </row>
    <row r="2197" spans="1:25" x14ac:dyDescent="0.25">
      <c r="A2197" s="1090"/>
      <c r="B2197" s="1448">
        <v>1947</v>
      </c>
      <c r="C2197" s="1094">
        <v>0.98040784934137282</v>
      </c>
      <c r="D2197" s="1094">
        <v>0.9778600463211492</v>
      </c>
      <c r="E2197" s="1094">
        <v>1.0152824372638702</v>
      </c>
      <c r="F2197" s="1094">
        <v>0.98163823247217818</v>
      </c>
      <c r="G2197" s="1094">
        <v>0.98121805268232287</v>
      </c>
      <c r="H2197" s="1094">
        <v>0.99806774566968148</v>
      </c>
      <c r="I2197" s="1094">
        <v>1.0007090215558108</v>
      </c>
      <c r="K2197">
        <v>4.4164255262278411</v>
      </c>
      <c r="L2197">
        <v>0</v>
      </c>
      <c r="M2197">
        <v>1.4283888399563712E-3</v>
      </c>
      <c r="N2197">
        <v>0.12932695255928317</v>
      </c>
      <c r="O2197">
        <v>3.867940330124231E-2</v>
      </c>
      <c r="P2197">
        <v>1.9031639213383106E-2</v>
      </c>
      <c r="Q2197">
        <v>1.3591982010652025E-3</v>
      </c>
      <c r="R2197">
        <v>1.4224091553604371E-3</v>
      </c>
      <c r="S2197">
        <v>0.2346487777696333</v>
      </c>
      <c r="T2197">
        <v>3.8926149603066267</v>
      </c>
      <c r="U2197">
        <v>0</v>
      </c>
      <c r="V2197">
        <v>9.4523053561131852E-3</v>
      </c>
      <c r="W2197">
        <v>7.6247119359006479E-2</v>
      </c>
      <c r="X2197">
        <v>1.1051312977234613E-2</v>
      </c>
      <c r="Y2197">
        <v>4.0198368688503551E-3</v>
      </c>
    </row>
    <row r="2198" spans="1:25" x14ac:dyDescent="0.25">
      <c r="A2198" s="1090"/>
      <c r="B2198" s="1448">
        <v>1948</v>
      </c>
      <c r="C2198" s="1094">
        <v>1.0299312573296719</v>
      </c>
      <c r="D2198" s="1094">
        <v>1.0061875234845963</v>
      </c>
      <c r="E2198" s="1094">
        <v>1.0395248799551093</v>
      </c>
      <c r="F2198" s="1094">
        <v>0.99400316330057747</v>
      </c>
      <c r="G2198" s="1094">
        <v>0.99690597651465218</v>
      </c>
      <c r="H2198" s="1094">
        <v>1.0361632626988848</v>
      </c>
      <c r="I2198" s="1094">
        <v>0.95873285437941591</v>
      </c>
      <c r="K2198">
        <v>4.4458692664426245</v>
      </c>
      <c r="L2198">
        <v>0</v>
      </c>
      <c r="M2198">
        <v>1.3424612095835713E-3</v>
      </c>
      <c r="N2198">
        <v>0.13060662130790743</v>
      </c>
      <c r="O2198">
        <v>3.6698993496976216E-2</v>
      </c>
      <c r="P2198">
        <v>1.9510970720437584E-2</v>
      </c>
      <c r="Q2198">
        <v>1.3055338654755621E-3</v>
      </c>
      <c r="R2198">
        <v>1.3371149298758355E-3</v>
      </c>
      <c r="S2198">
        <v>0.21659032421317384</v>
      </c>
      <c r="T2198">
        <v>3.9407419071612972</v>
      </c>
      <c r="U2198">
        <v>0</v>
      </c>
      <c r="V2198">
        <v>9.452305356113206E-3</v>
      </c>
      <c r="W2198">
        <v>7.5772964487415606E-2</v>
      </c>
      <c r="X2198">
        <v>1.1416203237806535E-2</v>
      </c>
      <c r="Y2198">
        <v>3.7787888757248081E-3</v>
      </c>
    </row>
    <row r="2199" spans="1:25" x14ac:dyDescent="0.25">
      <c r="A2199" s="1090"/>
      <c r="B2199" s="1448">
        <v>1949</v>
      </c>
      <c r="C2199" s="1094">
        <v>0.99462020823553865</v>
      </c>
      <c r="D2199" s="1094">
        <v>1.0300866073671813</v>
      </c>
      <c r="E2199" s="1094">
        <v>0.98065395870825633</v>
      </c>
      <c r="F2199" s="1094">
        <v>0.95892966913228428</v>
      </c>
      <c r="G2199" s="1094">
        <v>1.0078654967574019</v>
      </c>
      <c r="H2199" s="1094">
        <v>1.0194749606880649</v>
      </c>
      <c r="I2199" s="1094">
        <v>0.99960253955821043</v>
      </c>
      <c r="K2199">
        <v>4.302589426416433</v>
      </c>
      <c r="L2199">
        <v>0</v>
      </c>
      <c r="M2199">
        <v>1.4801736419153479E-3</v>
      </c>
      <c r="N2199">
        <v>0.12094414471599359</v>
      </c>
      <c r="O2199">
        <v>3.6704003329988487E-2</v>
      </c>
      <c r="P2199">
        <v>1.8106339502674911E-2</v>
      </c>
      <c r="Q2199">
        <v>1.2737599836928372E-3</v>
      </c>
      <c r="R2199">
        <v>1.4739642411306958E-3</v>
      </c>
      <c r="S2199">
        <v>0.22538933718221321</v>
      </c>
      <c r="T2199">
        <v>3.8038315769069624</v>
      </c>
      <c r="U2199">
        <v>0</v>
      </c>
      <c r="V2199">
        <v>9.4523053561131921E-3</v>
      </c>
      <c r="W2199">
        <v>7.2995827229893548E-2</v>
      </c>
      <c r="X2199">
        <v>9.7328061324030608E-3</v>
      </c>
      <c r="Y2199">
        <v>4.1655354772817052E-3</v>
      </c>
    </row>
    <row r="2200" spans="1:25" x14ac:dyDescent="0.25">
      <c r="A2200" s="1090"/>
      <c r="B2200" s="1448">
        <v>1950</v>
      </c>
      <c r="C2200" s="1094">
        <v>1.0194378412786724</v>
      </c>
      <c r="D2200" s="1094">
        <v>0.99719008772895568</v>
      </c>
      <c r="E2200" s="1094">
        <v>0.96480474644285275</v>
      </c>
      <c r="F2200" s="1094">
        <v>1.0227971779631346</v>
      </c>
      <c r="G2200" s="1094">
        <v>1.0124167139172764</v>
      </c>
      <c r="H2200" s="1094">
        <v>0.96080433570601498</v>
      </c>
      <c r="I2200" s="1094">
        <v>0.97251944274840563</v>
      </c>
      <c r="K2200">
        <v>4.5528109226105373</v>
      </c>
      <c r="L2200">
        <v>0</v>
      </c>
      <c r="M2200">
        <v>1.519938370232103E-3</v>
      </c>
      <c r="N2200">
        <v>0.11848712139635457</v>
      </c>
      <c r="O2200">
        <v>3.8803451992183491E-2</v>
      </c>
      <c r="P2200">
        <v>1.8995545428646378E-2</v>
      </c>
      <c r="Q2200">
        <v>1.2417087124475562E-3</v>
      </c>
      <c r="R2200">
        <v>1.5135935715644764E-3</v>
      </c>
      <c r="S2200">
        <v>0.22136740758744855</v>
      </c>
      <c r="T2200">
        <v>4.0578033539349905</v>
      </c>
      <c r="U2200">
        <v>0</v>
      </c>
      <c r="V2200">
        <v>9.4523053561132026E-3</v>
      </c>
      <c r="W2200">
        <v>7.2297577104589422E-2</v>
      </c>
      <c r="X2200">
        <v>1.0091264905782391E-2</v>
      </c>
      <c r="Y2200">
        <v>4.2775309906438203E-3</v>
      </c>
    </row>
    <row r="2201" spans="1:25" x14ac:dyDescent="0.25">
      <c r="A2201" s="1090"/>
      <c r="B2201" s="1448">
        <v>1951</v>
      </c>
      <c r="C2201" s="1094">
        <v>0.9823983426325904</v>
      </c>
      <c r="D2201" s="1094">
        <v>1.0187979476629156</v>
      </c>
      <c r="E2201" s="1094">
        <v>0.97831633081152036</v>
      </c>
      <c r="F2201" s="1094">
        <v>1.0001790981879357</v>
      </c>
      <c r="G2201" s="1094">
        <v>0.98219529446676324</v>
      </c>
      <c r="H2201" s="1094">
        <v>1.0076111993488532</v>
      </c>
      <c r="I2201" s="1094">
        <v>0.99983471451903538</v>
      </c>
      <c r="K2201">
        <v>4.4883760820421523</v>
      </c>
      <c r="L2201">
        <v>0</v>
      </c>
      <c r="M2201">
        <v>1.5590445729904521E-3</v>
      </c>
      <c r="N2201">
        <v>0.12652389829631275</v>
      </c>
      <c r="O2201">
        <v>3.8946520597641303E-2</v>
      </c>
      <c r="P2201">
        <v>1.8848685693041604E-2</v>
      </c>
      <c r="Q2201">
        <v>1.2926769353795084E-3</v>
      </c>
      <c r="R2201">
        <v>1.5526990894020342E-3</v>
      </c>
      <c r="S2201">
        <v>0.23472358714392069</v>
      </c>
      <c r="T2201">
        <v>3.9675475600230552</v>
      </c>
      <c r="U2201">
        <v>0</v>
      </c>
      <c r="V2201">
        <v>9.4523053561131817E-3</v>
      </c>
      <c r="W2201">
        <v>7.6485930487245571E-2</v>
      </c>
      <c r="X2201">
        <v>1.0173216823412417E-2</v>
      </c>
      <c r="Y2201">
        <v>4.388046169617809E-3</v>
      </c>
    </row>
    <row r="2202" spans="1:25" x14ac:dyDescent="0.25">
      <c r="A2202" s="1090"/>
      <c r="B2202" s="1448">
        <v>1952</v>
      </c>
      <c r="C2202" s="1094">
        <v>1.036105813069905</v>
      </c>
      <c r="D2202" s="1094">
        <v>0.97585716040561832</v>
      </c>
      <c r="E2202" s="1094">
        <v>0.9770064211048114</v>
      </c>
      <c r="F2202" s="1094">
        <v>0.9839386829871184</v>
      </c>
      <c r="G2202" s="1094">
        <v>0.97864165095677436</v>
      </c>
      <c r="H2202" s="1094">
        <v>0.98273958952954343</v>
      </c>
      <c r="I2202" s="1094">
        <v>0.96487862881605679</v>
      </c>
      <c r="K2202">
        <v>4.3844728298950297</v>
      </c>
      <c r="L2202">
        <v>0</v>
      </c>
      <c r="M2202">
        <v>1.4470439559463187E-3</v>
      </c>
      <c r="N2202">
        <v>0.11695870107139894</v>
      </c>
      <c r="O2202">
        <v>3.6967843369428939E-2</v>
      </c>
      <c r="P2202">
        <v>1.8447138163092701E-2</v>
      </c>
      <c r="Q2202">
        <v>1.2455457523005038E-3</v>
      </c>
      <c r="R2202">
        <v>1.4409060137549085E-3</v>
      </c>
      <c r="S2202">
        <v>0.21348100696141606</v>
      </c>
      <c r="T2202">
        <v>3.9031740945093376</v>
      </c>
      <c r="U2202">
        <v>0</v>
      </c>
      <c r="V2202">
        <v>9.4523053561131852E-3</v>
      </c>
      <c r="W2202">
        <v>7.0767183461774463E-2</v>
      </c>
      <c r="X2202">
        <v>9.9130387895172457E-3</v>
      </c>
      <c r="Y2202">
        <v>4.0721104028414654E-3</v>
      </c>
    </row>
    <row r="2203" spans="1:25" x14ac:dyDescent="0.25">
      <c r="A2203" s="1090"/>
      <c r="B2203" s="1448">
        <v>1953</v>
      </c>
      <c r="C2203" s="1094">
        <v>0.9967742526334108</v>
      </c>
      <c r="D2203" s="1094">
        <v>0.99044367915128628</v>
      </c>
      <c r="E2203" s="1094">
        <v>0.96015370970537073</v>
      </c>
      <c r="F2203" s="1094">
        <v>0.98978291832867016</v>
      </c>
      <c r="G2203" s="1094">
        <v>0.9789135147829906</v>
      </c>
      <c r="H2203" s="1094">
        <v>1.0015258784023522</v>
      </c>
      <c r="I2203" s="1094">
        <v>0.99676682437266451</v>
      </c>
      <c r="K2203">
        <v>4.4360912101917505</v>
      </c>
      <c r="L2203">
        <v>0</v>
      </c>
      <c r="M2203">
        <v>1.5879376350782456E-3</v>
      </c>
      <c r="N2203">
        <v>0.12209362610535693</v>
      </c>
      <c r="O2203">
        <v>3.854077665485299E-2</v>
      </c>
      <c r="P2203">
        <v>1.8390646004949083E-2</v>
      </c>
      <c r="Q2203">
        <v>1.2682060296859497E-3</v>
      </c>
      <c r="R2203">
        <v>1.5813672691391109E-3</v>
      </c>
      <c r="S2203">
        <v>0.23051615216910765</v>
      </c>
      <c r="T2203">
        <v>3.9270024481157533</v>
      </c>
      <c r="U2203">
        <v>0</v>
      </c>
      <c r="V2203">
        <v>9.4523053561131991E-3</v>
      </c>
      <c r="W2203">
        <v>7.4738808090567391E-2</v>
      </c>
      <c r="X2203">
        <v>9.6257473970317725E-3</v>
      </c>
      <c r="Y2203">
        <v>4.4690646342667711E-3</v>
      </c>
    </row>
    <row r="2204" spans="1:25" x14ac:dyDescent="0.25">
      <c r="A2204" s="1090"/>
      <c r="B2204" s="1448">
        <v>1954</v>
      </c>
      <c r="C2204" s="1094">
        <v>0.96459096968040348</v>
      </c>
      <c r="D2204" s="1094">
        <v>1.0376944076210832</v>
      </c>
      <c r="E2204" s="1094">
        <v>1.003996116394986</v>
      </c>
      <c r="F2204" s="1094">
        <v>1.0105164883511906</v>
      </c>
      <c r="G2204" s="1094">
        <v>1.0390035615634219</v>
      </c>
      <c r="H2204" s="1094">
        <v>0.97851118868758247</v>
      </c>
      <c r="I2204" s="1094">
        <v>1.0080804837685764</v>
      </c>
      <c r="K2204">
        <v>4.5361880314263514</v>
      </c>
      <c r="L2204">
        <v>0</v>
      </c>
      <c r="M2204">
        <v>1.4651310729789553E-3</v>
      </c>
      <c r="N2204">
        <v>0.12829883966432892</v>
      </c>
      <c r="O2204">
        <v>3.9600220736301282E-2</v>
      </c>
      <c r="P2204">
        <v>1.9418358929565727E-2</v>
      </c>
      <c r="Q2204">
        <v>1.3361465917578982E-3</v>
      </c>
      <c r="R2204">
        <v>1.4590530483829687E-3</v>
      </c>
      <c r="S2204">
        <v>0.23910211680664065</v>
      </c>
      <c r="T2204">
        <v>4.0075618429802145</v>
      </c>
      <c r="U2204">
        <v>0</v>
      </c>
      <c r="V2204">
        <v>9.4523053561131939E-3</v>
      </c>
      <c r="W2204">
        <v>7.6216398250845058E-2</v>
      </c>
      <c r="X2204">
        <v>1.1084484827016614E-2</v>
      </c>
      <c r="Y2204">
        <v>4.1233953081609145E-3</v>
      </c>
    </row>
    <row r="2205" spans="1:25" x14ac:dyDescent="0.25">
      <c r="A2205" s="1090"/>
      <c r="B2205" s="1448">
        <v>1955</v>
      </c>
      <c r="C2205" s="1094">
        <v>0.96270607656620122</v>
      </c>
      <c r="D2205" s="1094">
        <v>1.0005823791023871</v>
      </c>
      <c r="E2205" s="1094">
        <v>0.99771489017906911</v>
      </c>
      <c r="F2205" s="1094">
        <v>0.9665593850817189</v>
      </c>
      <c r="G2205" s="1094">
        <v>1.0135928257677094</v>
      </c>
      <c r="H2205" s="1094">
        <v>1.00517650700451</v>
      </c>
      <c r="I2205" s="1094">
        <v>1.037330152341716</v>
      </c>
      <c r="K2205">
        <v>4.3635569865916182</v>
      </c>
      <c r="L2205">
        <v>0</v>
      </c>
      <c r="M2205">
        <v>1.4833375158997816E-3</v>
      </c>
      <c r="N2205">
        <v>0.12748888067545255</v>
      </c>
      <c r="O2205">
        <v>3.8551997752575812E-2</v>
      </c>
      <c r="P2205">
        <v>1.8559337609137701E-2</v>
      </c>
      <c r="Q2205">
        <v>1.3511190299013726E-3</v>
      </c>
      <c r="R2205">
        <v>1.4770759332692781E-3</v>
      </c>
      <c r="S2205">
        <v>0.24398781586640711</v>
      </c>
      <c r="T2205">
        <v>3.8334654450329584</v>
      </c>
      <c r="U2205">
        <v>0</v>
      </c>
      <c r="V2205">
        <v>9.4523053561131921E-3</v>
      </c>
      <c r="W2205">
        <v>7.6057255803208351E-2</v>
      </c>
      <c r="X2205">
        <v>1.0474761691660955E-2</v>
      </c>
      <c r="Y2205">
        <v>4.1743293568317942E-3</v>
      </c>
    </row>
    <row r="2206" spans="1:25" x14ac:dyDescent="0.25">
      <c r="A2206" s="1090"/>
      <c r="B2206" s="1448">
        <v>1956</v>
      </c>
      <c r="C2206" s="1094">
        <v>0.95788630010415865</v>
      </c>
      <c r="D2206" s="1094">
        <v>1.0061564692859166</v>
      </c>
      <c r="E2206" s="1094">
        <v>1.0115622840027505</v>
      </c>
      <c r="F2206" s="1094">
        <v>1.0104079254242782</v>
      </c>
      <c r="G2206" s="1094">
        <v>1.0308871456892978</v>
      </c>
      <c r="H2206" s="1094">
        <v>1.0028525259219756</v>
      </c>
      <c r="I2206" s="1094">
        <v>1.0329252485756362</v>
      </c>
      <c r="K2206">
        <v>4.5587463219945246</v>
      </c>
      <c r="L2206">
        <v>0</v>
      </c>
      <c r="M2206">
        <v>1.5064816126590678E-3</v>
      </c>
      <c r="N2206">
        <v>0.13492248508721</v>
      </c>
      <c r="O2206">
        <v>4.0313690965526915E-2</v>
      </c>
      <c r="P2206">
        <v>1.9578557929322345E-2</v>
      </c>
      <c r="Q2206">
        <v>1.3710307148835168E-3</v>
      </c>
      <c r="R2206">
        <v>1.5003830849238495E-3</v>
      </c>
      <c r="S2206">
        <v>0.25097322986863374</v>
      </c>
      <c r="T2206">
        <v>4.0068412828105702</v>
      </c>
      <c r="U2206">
        <v>0</v>
      </c>
      <c r="V2206">
        <v>9.4523053561131921E-3</v>
      </c>
      <c r="W2206">
        <v>7.9744514107926726E-2</v>
      </c>
      <c r="X2206">
        <v>1.1315126535243166E-2</v>
      </c>
      <c r="Y2206">
        <v>4.2401971468244651E-3</v>
      </c>
    </row>
    <row r="2207" spans="1:25" x14ac:dyDescent="0.25">
      <c r="A2207" s="1090"/>
      <c r="B2207" s="1448">
        <v>1957</v>
      </c>
      <c r="C2207" s="1094">
        <v>0.9876467608769125</v>
      </c>
      <c r="D2207" s="1094">
        <v>1.0460225808719747</v>
      </c>
      <c r="E2207" s="1094">
        <v>1.0103718334528276</v>
      </c>
      <c r="F2207" s="1094">
        <v>1.0426988532221217</v>
      </c>
      <c r="G2207" s="1094">
        <v>0.99398374182400784</v>
      </c>
      <c r="H2207" s="1094">
        <v>1.017557924547708</v>
      </c>
      <c r="I2207" s="1094">
        <v>0.97993847863509009</v>
      </c>
      <c r="K2207">
        <v>4.6699835771627471</v>
      </c>
      <c r="L2207">
        <v>0</v>
      </c>
      <c r="M2207">
        <v>1.5098929883412312E-3</v>
      </c>
      <c r="N2207">
        <v>0.13477682067092717</v>
      </c>
      <c r="O2207">
        <v>3.9734670647080389E-2</v>
      </c>
      <c r="P2207">
        <v>2.0072579554542825E-2</v>
      </c>
      <c r="Q2207">
        <v>1.3078841473755081E-3</v>
      </c>
      <c r="R2207">
        <v>1.5040548051088521E-3</v>
      </c>
      <c r="S2207">
        <v>0.23439649064655055</v>
      </c>
      <c r="T2207">
        <v>4.1349401660666034</v>
      </c>
      <c r="U2207">
        <v>0</v>
      </c>
      <c r="V2207">
        <v>9.4523053561131783E-3</v>
      </c>
      <c r="W2207">
        <v>7.9722064339314558E-2</v>
      </c>
      <c r="X2207">
        <v>1.1335860209084793E-2</v>
      </c>
      <c r="Y2207">
        <v>4.2505737083898577E-3</v>
      </c>
    </row>
    <row r="2208" spans="1:25" x14ac:dyDescent="0.25">
      <c r="A2208" s="1090"/>
      <c r="B2208" s="1448">
        <v>1958</v>
      </c>
      <c r="C2208" s="1094">
        <v>0.99460184219962289</v>
      </c>
      <c r="D2208" s="1094">
        <v>0.97960980447531787</v>
      </c>
      <c r="E2208" s="1094">
        <v>1.0088460053758168</v>
      </c>
      <c r="F2208" s="1094">
        <v>0.99075187307170953</v>
      </c>
      <c r="G2208" s="1094">
        <v>1.0107880535589857</v>
      </c>
      <c r="H2208" s="1094">
        <v>1.0053018957573321</v>
      </c>
      <c r="I2208" s="1094">
        <v>0.99697331781452225</v>
      </c>
      <c r="K2208">
        <v>4.4496920398087898</v>
      </c>
      <c r="L2208">
        <v>0</v>
      </c>
      <c r="M2208">
        <v>1.4498539413737698E-3</v>
      </c>
      <c r="N2208">
        <v>0.12880169989544321</v>
      </c>
      <c r="O2208">
        <v>3.8498346229375369E-2</v>
      </c>
      <c r="P2208">
        <v>1.9097318284406011E-2</v>
      </c>
      <c r="Q2208">
        <v>1.3315343495735774E-3</v>
      </c>
      <c r="R2208">
        <v>1.4438832742846078E-3</v>
      </c>
      <c r="S2208">
        <v>0.23228808817806734</v>
      </c>
      <c r="T2208">
        <v>3.9289958407655634</v>
      </c>
      <c r="U2208">
        <v>0</v>
      </c>
      <c r="V2208">
        <v>9.4523053561131869E-3</v>
      </c>
      <c r="W2208">
        <v>7.6265810540442291E-2</v>
      </c>
      <c r="X2208">
        <v>1.0886542508493047E-2</v>
      </c>
      <c r="Y2208">
        <v>4.0805243684014832E-3</v>
      </c>
    </row>
    <row r="2209" spans="1:25" x14ac:dyDescent="0.25">
      <c r="A2209" s="1090"/>
      <c r="B2209" s="1448">
        <v>1959</v>
      </c>
      <c r="C2209" s="1094">
        <v>1.0295513550195903</v>
      </c>
      <c r="D2209" s="1094">
        <v>0.99384768721601968</v>
      </c>
      <c r="E2209" s="1094">
        <v>1.0000527424074437</v>
      </c>
      <c r="F2209" s="1094">
        <v>1.041380015590013</v>
      </c>
      <c r="G2209" s="1094">
        <v>1.0016552993558041</v>
      </c>
      <c r="H2209" s="1094">
        <v>1.0199429312492485</v>
      </c>
      <c r="I2209" s="1094">
        <v>1.0073042275626911</v>
      </c>
      <c r="K2209">
        <v>4.6584439785185143</v>
      </c>
      <c r="L2209">
        <v>0</v>
      </c>
      <c r="M2209">
        <v>1.5125261461687578E-3</v>
      </c>
      <c r="N2209">
        <v>0.1309484263894086</v>
      </c>
      <c r="O2209">
        <v>3.892825835115906E-2</v>
      </c>
      <c r="P2209">
        <v>1.9898650725289832E-2</v>
      </c>
      <c r="Q2209">
        <v>1.2693555700362561E-3</v>
      </c>
      <c r="R2209">
        <v>1.5066840970396603E-3</v>
      </c>
      <c r="S2209">
        <v>0.23462916964714545</v>
      </c>
      <c r="T2209">
        <v>4.1301183419902872</v>
      </c>
      <c r="U2209">
        <v>0</v>
      </c>
      <c r="V2209">
        <v>9.4523053561131783E-3</v>
      </c>
      <c r="W2209">
        <v>7.7997715237878032E-2</v>
      </c>
      <c r="X2209">
        <v>1.0949593012208424E-2</v>
      </c>
      <c r="Y2209">
        <v>4.2580042881232632E-3</v>
      </c>
    </row>
    <row r="2210" spans="1:25" x14ac:dyDescent="0.25">
      <c r="A2210" s="1090"/>
      <c r="B2210" s="1448">
        <v>1960</v>
      </c>
      <c r="C2210" s="1094">
        <v>1.0040236584175593</v>
      </c>
      <c r="D2210" s="1094">
        <v>1.0175177598239604</v>
      </c>
      <c r="E2210" s="1094">
        <v>0.99746803917118987</v>
      </c>
      <c r="F2210" s="1094">
        <v>0.98067350594988301</v>
      </c>
      <c r="G2210" s="1094">
        <v>1.0356208756941547</v>
      </c>
      <c r="H2210" s="1094">
        <v>1.010163937377947</v>
      </c>
      <c r="I2210" s="1094">
        <v>0.99612049582104745</v>
      </c>
      <c r="K2210">
        <v>4.3942982463554268</v>
      </c>
      <c r="L2210">
        <v>0</v>
      </c>
      <c r="M2210">
        <v>1.4411815085306288E-3</v>
      </c>
      <c r="N2210">
        <v>0.12378517880893805</v>
      </c>
      <c r="O2210">
        <v>3.7255985312516213E-2</v>
      </c>
      <c r="P2210">
        <v>1.8728692087757893E-2</v>
      </c>
      <c r="Q2210">
        <v>1.2865767488162783E-3</v>
      </c>
      <c r="R2210">
        <v>1.4352146751878206E-3</v>
      </c>
      <c r="S2210">
        <v>0.2260560032992591</v>
      </c>
      <c r="T2210">
        <v>3.8894526055881204</v>
      </c>
      <c r="U2210">
        <v>0</v>
      </c>
      <c r="V2210">
        <v>9.4523053561132008E-3</v>
      </c>
      <c r="W2210">
        <v>7.3860045062279708E-2</v>
      </c>
      <c r="X2210">
        <v>1.0370794679426486E-2</v>
      </c>
      <c r="Y2210">
        <v>4.0560262455377298E-3</v>
      </c>
    </row>
    <row r="2211" spans="1:25" x14ac:dyDescent="0.25">
      <c r="A2211" s="1090"/>
      <c r="B2211" s="1448">
        <v>1961</v>
      </c>
      <c r="C2211" s="1094">
        <v>0.99925873211844563</v>
      </c>
      <c r="D2211" s="1094">
        <v>1.008686178298271</v>
      </c>
      <c r="E2211" s="1094">
        <v>1.0212382650577063</v>
      </c>
      <c r="F2211" s="1094">
        <v>1.0021563647586169</v>
      </c>
      <c r="G2211" s="1094">
        <v>1.0050625276468592</v>
      </c>
      <c r="H2211" s="1094">
        <v>1.0098589788910259</v>
      </c>
      <c r="I2211" s="1094">
        <v>1.0312136749431076</v>
      </c>
      <c r="K2211">
        <v>4.5032240615283392</v>
      </c>
      <c r="L2211">
        <v>0</v>
      </c>
      <c r="M2211">
        <v>1.4117855562137955E-3</v>
      </c>
      <c r="N2211">
        <v>0.1301137020824113</v>
      </c>
      <c r="O2211">
        <v>3.8223945068412694E-2</v>
      </c>
      <c r="P2211">
        <v>1.9510959176764011E-2</v>
      </c>
      <c r="Q2211">
        <v>1.323765607044102E-3</v>
      </c>
      <c r="R2211">
        <v>1.4060634886442823E-3</v>
      </c>
      <c r="S2211">
        <v>0.23921730605280153</v>
      </c>
      <c r="T2211">
        <v>3.9737528642931808</v>
      </c>
      <c r="U2211">
        <v>0</v>
      </c>
      <c r="V2211">
        <v>9.4523053561131904E-3</v>
      </c>
      <c r="W2211">
        <v>7.6406569555786272E-2</v>
      </c>
      <c r="X2211">
        <v>1.1254723636615324E-2</v>
      </c>
      <c r="Y2211">
        <v>3.973642766777882E-3</v>
      </c>
    </row>
    <row r="2212" spans="1:25" x14ac:dyDescent="0.25">
      <c r="A2212" s="1090"/>
      <c r="B2212" s="1448">
        <v>1962</v>
      </c>
      <c r="C2212" s="1094">
        <v>1.0200287955645417</v>
      </c>
      <c r="D2212" s="1094">
        <v>0.96221373297903201</v>
      </c>
      <c r="E2212" s="1094">
        <v>0.96317973294328452</v>
      </c>
      <c r="F2212" s="1094">
        <v>1.0038844242254474</v>
      </c>
      <c r="G2212" s="1094">
        <v>1.0016627258880022</v>
      </c>
      <c r="H2212" s="1094">
        <v>1.036680132431409</v>
      </c>
      <c r="I2212" s="1094">
        <v>1.0036334606761479</v>
      </c>
      <c r="K2212">
        <v>4.5035124658078978</v>
      </c>
      <c r="L2212">
        <v>0</v>
      </c>
      <c r="M2212">
        <v>1.6375382017592341E-3</v>
      </c>
      <c r="N2212">
        <v>0.12706956079415094</v>
      </c>
      <c r="O2212">
        <v>3.8622470497442621E-2</v>
      </c>
      <c r="P2212">
        <v>1.8694687394322416E-2</v>
      </c>
      <c r="Q2212">
        <v>1.2570475387477251E-3</v>
      </c>
      <c r="R2212">
        <v>1.6310839414586955E-3</v>
      </c>
      <c r="S2212">
        <v>0.23369624169607411</v>
      </c>
      <c r="T2212">
        <v>3.982832885608961</v>
      </c>
      <c r="U2212">
        <v>0</v>
      </c>
      <c r="V2212">
        <v>9.4523053561131869E-3</v>
      </c>
      <c r="W2212">
        <v>7.7621666341496712E-2</v>
      </c>
      <c r="X2212">
        <v>9.6624870949605819E-3</v>
      </c>
      <c r="Y2212">
        <v>4.6095677459302891E-3</v>
      </c>
    </row>
    <row r="2213" spans="1:25" x14ac:dyDescent="0.25">
      <c r="A2213" s="1090"/>
      <c r="B2213" s="1448">
        <v>1963</v>
      </c>
      <c r="C2213" s="1094">
        <v>1.0157621148721867</v>
      </c>
      <c r="D2213" s="1094">
        <v>1.0055294545148683</v>
      </c>
      <c r="E2213" s="1094">
        <v>0.98571464389819641</v>
      </c>
      <c r="F2213" s="1094">
        <v>1.007931862934812</v>
      </c>
      <c r="G2213" s="1094">
        <v>0.99475748090275162</v>
      </c>
      <c r="H2213" s="1094">
        <v>0.97616495945563364</v>
      </c>
      <c r="I2213" s="1094">
        <v>1.0055708614239431</v>
      </c>
      <c r="K2213">
        <v>4.5020149233709459</v>
      </c>
      <c r="L2213">
        <v>0</v>
      </c>
      <c r="M2213">
        <v>1.4569812893901535E-3</v>
      </c>
      <c r="N2213">
        <v>0.1208530740423723</v>
      </c>
      <c r="O2213">
        <v>3.8108679355922118E-2</v>
      </c>
      <c r="P2213">
        <v>1.9061688673249807E-2</v>
      </c>
      <c r="Q2213">
        <v>1.2648771643396074E-3</v>
      </c>
      <c r="R2213">
        <v>1.4509070732757275E-3</v>
      </c>
      <c r="S2213">
        <v>0.22805142297085335</v>
      </c>
      <c r="T2213">
        <v>3.998015053384826</v>
      </c>
      <c r="U2213">
        <v>0</v>
      </c>
      <c r="V2213">
        <v>9.452305356113206E-3</v>
      </c>
      <c r="W2213">
        <v>7.2688942519178151E-2</v>
      </c>
      <c r="X2213">
        <v>1.0424579959608132E-2</v>
      </c>
      <c r="Y2213">
        <v>4.100374160592073E-3</v>
      </c>
    </row>
    <row r="2214" spans="1:25" x14ac:dyDescent="0.25">
      <c r="A2214" s="1090"/>
      <c r="B2214" s="1448">
        <v>1964</v>
      </c>
      <c r="C2214" s="1094">
        <v>1.0096708999871375</v>
      </c>
      <c r="D2214" s="1094">
        <v>1.0074298477867334</v>
      </c>
      <c r="E2214" s="1094">
        <v>0.96883464919721918</v>
      </c>
      <c r="F2214" s="1094">
        <v>1.0020319372302766</v>
      </c>
      <c r="G2214" s="1094">
        <v>1.0015802638825739</v>
      </c>
      <c r="H2214" s="1094">
        <v>0.9875934268217158</v>
      </c>
      <c r="I2214" s="1094">
        <v>0.98707502843354</v>
      </c>
      <c r="K2214">
        <v>4.4758147565572832</v>
      </c>
      <c r="L2214">
        <v>0</v>
      </c>
      <c r="M2214">
        <v>1.5262902450173931E-3</v>
      </c>
      <c r="N2214">
        <v>0.12041860091615089</v>
      </c>
      <c r="O2214">
        <v>3.8199635039449384E-2</v>
      </c>
      <c r="P2214">
        <v>1.8704001155830517E-2</v>
      </c>
      <c r="Q2214">
        <v>1.2530198564656733E-3</v>
      </c>
      <c r="R2214">
        <v>1.519963830836666E-3</v>
      </c>
      <c r="S2214">
        <v>0.22503476290627922</v>
      </c>
      <c r="T2214">
        <v>3.9752639353830337</v>
      </c>
      <c r="U2214">
        <v>0</v>
      </c>
      <c r="V2214">
        <v>9.4523053561131991E-3</v>
      </c>
      <c r="W2214">
        <v>7.3271694405363574E-2</v>
      </c>
      <c r="X2214">
        <v>9.9275941230793172E-3</v>
      </c>
      <c r="Y2214">
        <v>4.2955338296933156E-3</v>
      </c>
    </row>
    <row r="2215" spans="1:25" x14ac:dyDescent="0.25">
      <c r="A2215" s="1090"/>
      <c r="B2215" s="1448">
        <v>1965</v>
      </c>
      <c r="C2215" s="1094">
        <v>0.97153207701327404</v>
      </c>
      <c r="D2215" s="1094">
        <v>0.98034611486084255</v>
      </c>
      <c r="E2215" s="1094">
        <v>1.0240191397800882</v>
      </c>
      <c r="F2215" s="1094">
        <v>0.99951153361901601</v>
      </c>
      <c r="G2215" s="1094">
        <v>1.0210358733728853</v>
      </c>
      <c r="H2215" s="1094">
        <v>0.99302945376680829</v>
      </c>
      <c r="I2215" s="1094">
        <v>1.0118937282200353</v>
      </c>
      <c r="K2215">
        <v>4.5015171025105092</v>
      </c>
      <c r="L2215">
        <v>0</v>
      </c>
      <c r="M2215">
        <v>1.4320113909032694E-3</v>
      </c>
      <c r="N2215">
        <v>0.13305724234705277</v>
      </c>
      <c r="O2215">
        <v>3.9640735892266507E-2</v>
      </c>
      <c r="P2215">
        <v>1.95133760859133E-2</v>
      </c>
      <c r="Q2215">
        <v>1.380393308784437E-3</v>
      </c>
      <c r="R2215">
        <v>1.4260934272061641E-3</v>
      </c>
      <c r="S2215">
        <v>0.24176375111856085</v>
      </c>
      <c r="T2215">
        <v>3.9631609025465764</v>
      </c>
      <c r="U2215">
        <v>0</v>
      </c>
      <c r="V2215">
        <v>9.452305356113206E-3</v>
      </c>
      <c r="W2215">
        <v>7.7990610879776504E-2</v>
      </c>
      <c r="X2215">
        <v>1.1533454036791459E-2</v>
      </c>
      <c r="Y2215">
        <v>4.030248902367228E-3</v>
      </c>
    </row>
    <row r="2216" spans="1:25" x14ac:dyDescent="0.25">
      <c r="A2216" s="1090"/>
      <c r="B2216" s="1448">
        <v>1966</v>
      </c>
      <c r="C2216" s="1094">
        <v>0.99624018681621862</v>
      </c>
      <c r="D2216" s="1094">
        <v>0.96243748986129674</v>
      </c>
      <c r="E2216" s="1094">
        <v>1.0146515482076974</v>
      </c>
      <c r="F2216" s="1094">
        <v>0.99537376064160454</v>
      </c>
      <c r="G2216" s="1094">
        <v>1.0003056064944171</v>
      </c>
      <c r="H2216" s="1094">
        <v>1.0151836996539458</v>
      </c>
      <c r="I2216" s="1094">
        <v>0.9844696539954978</v>
      </c>
      <c r="K2216">
        <v>4.4728402347348233</v>
      </c>
      <c r="L2216">
        <v>0</v>
      </c>
      <c r="M2216">
        <v>1.4609100212153194E-3</v>
      </c>
      <c r="N2216">
        <v>0.1320415401246032</v>
      </c>
      <c r="O2216">
        <v>3.8847951550333493E-2</v>
      </c>
      <c r="P2216">
        <v>1.9259920891010793E-2</v>
      </c>
      <c r="Q2216">
        <v>1.3454097955982497E-3</v>
      </c>
      <c r="R2216">
        <v>1.4549799351068285E-3</v>
      </c>
      <c r="S2216">
        <v>0.23172016023120331</v>
      </c>
      <c r="T2216">
        <v>3.9471059356455709</v>
      </c>
      <c r="U2216">
        <v>0</v>
      </c>
      <c r="V2216">
        <v>9.4523053561131973E-3</v>
      </c>
      <c r="W2216">
        <v>7.7880421631502342E-2</v>
      </c>
      <c r="X2216">
        <v>1.1080635215916082E-2</v>
      </c>
      <c r="Y2216">
        <v>4.1118843790750557E-3</v>
      </c>
    </row>
    <row r="2217" spans="1:25" x14ac:dyDescent="0.25">
      <c r="A2217" s="1090"/>
      <c r="B2217" s="1448">
        <v>1967</v>
      </c>
      <c r="C2217" s="1094">
        <v>1.0096024319023751</v>
      </c>
      <c r="D2217" s="1094">
        <v>1.0179514143366961</v>
      </c>
      <c r="E2217" s="1094">
        <v>0.97294236967883463</v>
      </c>
      <c r="F2217" s="1094">
        <v>0.96592234313008951</v>
      </c>
      <c r="G2217" s="1094">
        <v>0.96480850971981325</v>
      </c>
      <c r="H2217" s="1094">
        <v>0.98266232832376976</v>
      </c>
      <c r="I2217" s="1094">
        <v>0.99912240252512241</v>
      </c>
      <c r="K2217">
        <v>4.3177372262559022</v>
      </c>
      <c r="L2217">
        <v>0</v>
      </c>
      <c r="M2217">
        <v>1.4456902560560164E-3</v>
      </c>
      <c r="N2217">
        <v>0.11543891335354166</v>
      </c>
      <c r="O2217">
        <v>3.66461717020218E-2</v>
      </c>
      <c r="P2217">
        <v>1.8106563203863682E-2</v>
      </c>
      <c r="Q2217">
        <v>1.2523914384694095E-3</v>
      </c>
      <c r="R2217">
        <v>1.4394436728901972E-3</v>
      </c>
      <c r="S2217">
        <v>0.22118645778376908</v>
      </c>
      <c r="T2217">
        <v>3.8318566132729539</v>
      </c>
      <c r="U2217">
        <v>0</v>
      </c>
      <c r="V2217">
        <v>9.4523053561131852E-3</v>
      </c>
      <c r="W2217">
        <v>7.0043044206712257E-2</v>
      </c>
      <c r="X2217">
        <v>9.6930348057082394E-3</v>
      </c>
      <c r="Y2217">
        <v>4.0679777159133464E-3</v>
      </c>
    </row>
    <row r="2218" spans="1:25" x14ac:dyDescent="0.25">
      <c r="A2218" s="1090"/>
      <c r="B2218" s="1448">
        <v>1968</v>
      </c>
      <c r="C2218" s="1094">
        <v>1.0097312212185112</v>
      </c>
      <c r="D2218" s="1094">
        <v>1.0083042187603639</v>
      </c>
      <c r="E2218" s="1094">
        <v>1.0255386207782557</v>
      </c>
      <c r="F2218" s="1094">
        <v>0.99126767985021746</v>
      </c>
      <c r="G2218" s="1094">
        <v>0.99999729284796968</v>
      </c>
      <c r="H2218" s="1094">
        <v>0.992574351334093</v>
      </c>
      <c r="I2218" s="1094">
        <v>0.99468116708882071</v>
      </c>
      <c r="K2218">
        <v>4.4375392997211529</v>
      </c>
      <c r="L2218">
        <v>0</v>
      </c>
      <c r="M2218">
        <v>1.3462846545586973E-3</v>
      </c>
      <c r="N2218">
        <v>0.12565068637065949</v>
      </c>
      <c r="O2218">
        <v>3.7393177806678592E-2</v>
      </c>
      <c r="P2218">
        <v>1.9307442048273196E-2</v>
      </c>
      <c r="Q2218">
        <v>1.3150009761631325E-3</v>
      </c>
      <c r="R2218">
        <v>1.3406723162404793E-3</v>
      </c>
      <c r="S2218">
        <v>0.22541658540763088</v>
      </c>
      <c r="T2218">
        <v>3.9304165566144085</v>
      </c>
      <c r="U2218">
        <v>0</v>
      </c>
      <c r="V2218">
        <v>9.4523053561131991E-3</v>
      </c>
      <c r="W2218">
        <v>7.3574966192405888E-2</v>
      </c>
      <c r="X2218">
        <v>1.1229348965951276E-2</v>
      </c>
      <c r="Y2218">
        <v>3.7888423211848922E-3</v>
      </c>
    </row>
    <row r="2219" spans="1:25" x14ac:dyDescent="0.25">
      <c r="A2219" s="1090"/>
      <c r="B2219" s="1448">
        <v>1969</v>
      </c>
      <c r="C2219" s="1094">
        <v>1.0094087269904817</v>
      </c>
      <c r="D2219" s="1094">
        <v>1.0198852574477126</v>
      </c>
      <c r="E2219" s="1094">
        <v>0.98384589883597706</v>
      </c>
      <c r="F2219" s="1094">
        <v>0.99869086840178811</v>
      </c>
      <c r="G2219" s="1094">
        <v>0.97111336999615128</v>
      </c>
      <c r="H2219" s="1094">
        <v>0.98805745730969152</v>
      </c>
      <c r="I2219" s="1094">
        <v>0.9856746593068243</v>
      </c>
      <c r="K2219">
        <v>4.4606470814441783</v>
      </c>
      <c r="L2219">
        <v>0</v>
      </c>
      <c r="M2219">
        <v>1.4679005956972789E-3</v>
      </c>
      <c r="N2219">
        <v>0.12108721551436824</v>
      </c>
      <c r="O2219">
        <v>3.7794668750879903E-2</v>
      </c>
      <c r="P2219">
        <v>1.8849812552772165E-2</v>
      </c>
      <c r="Q2219">
        <v>1.2635963628539544E-3</v>
      </c>
      <c r="R2219">
        <v>1.4617987999330502E-3</v>
      </c>
      <c r="S2219">
        <v>0.22347360665968952</v>
      </c>
      <c r="T2219">
        <v>3.961431758170999</v>
      </c>
      <c r="U2219">
        <v>0</v>
      </c>
      <c r="V2219">
        <v>9.4523053561131939E-3</v>
      </c>
      <c r="W2219">
        <v>7.2922773203702287E-2</v>
      </c>
      <c r="X2219">
        <v>1.024629165689166E-2</v>
      </c>
      <c r="Y2219">
        <v>4.1311550116696592E-3</v>
      </c>
    </row>
    <row r="2220" spans="1:25" x14ac:dyDescent="0.25">
      <c r="A2220" s="1090"/>
      <c r="B2220" s="1448">
        <v>1970</v>
      </c>
      <c r="C2220" s="1094">
        <v>1.015913878680027</v>
      </c>
      <c r="D2220" s="1094">
        <v>1.0228739462461975</v>
      </c>
      <c r="E2220" s="1094">
        <v>0.9887935087831311</v>
      </c>
      <c r="F2220" s="1094">
        <v>0.97905331286442243</v>
      </c>
      <c r="G2220" s="1094">
        <v>0.9986491390595772</v>
      </c>
      <c r="H2220" s="1094">
        <v>0.98789449003539564</v>
      </c>
      <c r="I2220" s="1094">
        <v>0.99668750486829361</v>
      </c>
      <c r="K2220">
        <v>4.3741004634794152</v>
      </c>
      <c r="L2220">
        <v>0</v>
      </c>
      <c r="M2220">
        <v>1.4132613987953642E-3</v>
      </c>
      <c r="N2220">
        <v>0.11829344032996908</v>
      </c>
      <c r="O2220">
        <v>3.6738815940058317E-2</v>
      </c>
      <c r="P2220">
        <v>1.8558405756618074E-2</v>
      </c>
      <c r="Q2220">
        <v>1.2594120705125983E-3</v>
      </c>
      <c r="R2220">
        <v>1.4072684010238673E-3</v>
      </c>
      <c r="S2220">
        <v>0.22132580246898939</v>
      </c>
      <c r="T2220">
        <v>3.8833512522672451</v>
      </c>
      <c r="U2220">
        <v>0</v>
      </c>
      <c r="V2220">
        <v>9.4523053561131904E-3</v>
      </c>
      <c r="W2220">
        <v>7.1000223317998046E-2</v>
      </c>
      <c r="X2220">
        <v>1.0149751028529191E-2</v>
      </c>
      <c r="Y2220">
        <v>3.9770479411532977E-3</v>
      </c>
    </row>
    <row r="2221" spans="1:25" x14ac:dyDescent="0.25">
      <c r="A2221" s="1090"/>
      <c r="B2221" s="1448">
        <v>1971</v>
      </c>
      <c r="C2221" s="1094">
        <v>1.0036423783789943</v>
      </c>
      <c r="D2221" s="1094">
        <v>1.0295849223755469</v>
      </c>
      <c r="E2221" s="1094">
        <v>1.0271756778753951</v>
      </c>
      <c r="F2221" s="1094">
        <v>1.0065763387671156</v>
      </c>
      <c r="G2221" s="1094">
        <v>0.99978497962405777</v>
      </c>
      <c r="H2221" s="1094">
        <v>1.0019793195379116</v>
      </c>
      <c r="I2221" s="1094">
        <v>1.0375573352307057</v>
      </c>
      <c r="K2221">
        <v>4.5168630695269316</v>
      </c>
      <c r="L2221">
        <v>0</v>
      </c>
      <c r="M2221">
        <v>1.3720070946664543E-3</v>
      </c>
      <c r="N2221">
        <v>0.12868594796853283</v>
      </c>
      <c r="O2221">
        <v>3.787201978475857E-2</v>
      </c>
      <c r="P2221">
        <v>1.9671521327869746E-2</v>
      </c>
      <c r="Q2221">
        <v>1.3137836272670643E-3</v>
      </c>
      <c r="R2221">
        <v>1.3664270309858314E-3</v>
      </c>
      <c r="S2221">
        <v>0.23826839012090237</v>
      </c>
      <c r="T2221">
        <v>3.9910540716981768</v>
      </c>
      <c r="U2221">
        <v>0</v>
      </c>
      <c r="V2221">
        <v>9.4523053561131973E-3</v>
      </c>
      <c r="W2221">
        <v>7.5270412907422535E-2</v>
      </c>
      <c r="X2221">
        <v>1.1418569688228514E-2</v>
      </c>
      <c r="Y2221">
        <v>3.8616271113347113E-3</v>
      </c>
    </row>
    <row r="2222" spans="1:25" x14ac:dyDescent="0.25">
      <c r="A2222" s="1090"/>
      <c r="B2222" s="1448">
        <v>1972</v>
      </c>
      <c r="C2222" s="1094">
        <v>0.99047154474034282</v>
      </c>
      <c r="D2222" s="1094">
        <v>0.99138065239257345</v>
      </c>
      <c r="E2222" s="1094">
        <v>1.0220323431345164</v>
      </c>
      <c r="F2222" s="1094">
        <v>1.0193949291468543</v>
      </c>
      <c r="G2222" s="1094">
        <v>0.99718004013175732</v>
      </c>
      <c r="H2222" s="1094">
        <v>1.0032898781884152</v>
      </c>
      <c r="I2222" s="1094">
        <v>1.0154977654890556</v>
      </c>
      <c r="K2222">
        <v>4.5811146357902883</v>
      </c>
      <c r="L2222">
        <v>0</v>
      </c>
      <c r="M2222">
        <v>1.44685462606236E-3</v>
      </c>
      <c r="N2222">
        <v>0.13366502069139236</v>
      </c>
      <c r="O2222">
        <v>3.9493223006784033E-2</v>
      </c>
      <c r="P2222">
        <v>1.9847202538399198E-2</v>
      </c>
      <c r="Q2222">
        <v>1.3456893683167115E-3</v>
      </c>
      <c r="R2222">
        <v>1.4410514395849518E-3</v>
      </c>
      <c r="S2222">
        <v>0.2411684614926087</v>
      </c>
      <c r="T2222">
        <v>4.0420767635093986</v>
      </c>
      <c r="U2222">
        <v>0</v>
      </c>
      <c r="V2222">
        <v>9.4523053561131869E-3</v>
      </c>
      <c r="W2222">
        <v>7.8450504460431378E-2</v>
      </c>
      <c r="X2222">
        <v>1.1548747165982502E-2</v>
      </c>
      <c r="Y2222">
        <v>4.0725213873399032E-3</v>
      </c>
    </row>
    <row r="2223" spans="1:25" x14ac:dyDescent="0.25">
      <c r="A2223" s="1090"/>
      <c r="B2223" s="1448">
        <v>1973</v>
      </c>
      <c r="C2223" s="1094">
        <v>0.98769429998559766</v>
      </c>
      <c r="D2223" s="1094">
        <v>1.0267062372890681</v>
      </c>
      <c r="E2223" s="1094">
        <v>0.98113424170386332</v>
      </c>
      <c r="F2223" s="1094">
        <v>0.98590443478182443</v>
      </c>
      <c r="G2223" s="1094">
        <v>1.0009389751433908</v>
      </c>
      <c r="H2223" s="1094">
        <v>0.98773180227473845</v>
      </c>
      <c r="I2223" s="1094">
        <v>0.99021254262553526</v>
      </c>
      <c r="K2223">
        <v>4.4143055274341272</v>
      </c>
      <c r="L2223">
        <v>0</v>
      </c>
      <c r="M2223">
        <v>1.4850469390031065E-3</v>
      </c>
      <c r="N2223">
        <v>0.12151332914402865</v>
      </c>
      <c r="O2223">
        <v>3.8047855946508467E-2</v>
      </c>
      <c r="P2223">
        <v>1.8599822505550302E-2</v>
      </c>
      <c r="Q2223">
        <v>1.2849147142661114E-3</v>
      </c>
      <c r="R2223">
        <v>1.4787920804885883E-3</v>
      </c>
      <c r="S2223">
        <v>0.22696829740483476</v>
      </c>
      <c r="T2223">
        <v>3.9108154530090649</v>
      </c>
      <c r="U2223">
        <v>0</v>
      </c>
      <c r="V2223">
        <v>9.4523053561131869E-3</v>
      </c>
      <c r="W2223">
        <v>7.3315244269575988E-2</v>
      </c>
      <c r="X2223">
        <v>1.0135380622805251E-2</v>
      </c>
      <c r="Y2223">
        <v>4.1791793198952074E-3</v>
      </c>
    </row>
    <row r="2224" spans="1:25" x14ac:dyDescent="0.25">
      <c r="A2224" s="1090"/>
      <c r="B2224" s="1448">
        <v>1974</v>
      </c>
      <c r="C2224" s="1094">
        <v>0.9712704156383799</v>
      </c>
      <c r="D2224" s="1094">
        <v>1.0281832254234136</v>
      </c>
      <c r="E2224" s="1094">
        <v>1.0239726322064868</v>
      </c>
      <c r="F2224" s="1094">
        <v>0.97389253607118598</v>
      </c>
      <c r="G2224" s="1094">
        <v>1.0261083758396388</v>
      </c>
      <c r="H2224" s="1094">
        <v>0.96296762283820825</v>
      </c>
      <c r="I2224" s="1094">
        <v>1.0194565947139644</v>
      </c>
      <c r="K2224">
        <v>4.3736050866741154</v>
      </c>
      <c r="L2224">
        <v>0</v>
      </c>
      <c r="M2224">
        <v>1.3281568870108426E-3</v>
      </c>
      <c r="N2224">
        <v>0.12336067223443778</v>
      </c>
      <c r="O2224">
        <v>3.790610200122476E-2</v>
      </c>
      <c r="P2224">
        <v>1.9004907482226451E-2</v>
      </c>
      <c r="Q2224">
        <v>1.3546476491586559E-3</v>
      </c>
      <c r="R2224">
        <v>1.3223485000927982E-3</v>
      </c>
      <c r="S2224">
        <v>0.23366739597833505</v>
      </c>
      <c r="T2224">
        <v>3.8615807782890781</v>
      </c>
      <c r="U2224">
        <v>0</v>
      </c>
      <c r="V2224">
        <v>9.4523053561131887E-3</v>
      </c>
      <c r="W2224">
        <v>7.2309267577399153E-2</v>
      </c>
      <c r="X2224">
        <v>1.1237760675263683E-2</v>
      </c>
      <c r="Y2224">
        <v>3.7370578177943615E-3</v>
      </c>
    </row>
    <row r="2225" spans="1:25" x14ac:dyDescent="0.25">
      <c r="A2225" s="1090"/>
      <c r="B2225" s="1448">
        <v>1975</v>
      </c>
      <c r="C2225" s="1094">
        <v>0.98122778456770998</v>
      </c>
      <c r="D2225" s="1094">
        <v>1.0390141573445073</v>
      </c>
      <c r="E2225" s="1094">
        <v>0.97193709520965177</v>
      </c>
      <c r="F2225" s="1094">
        <v>0.98789365535566964</v>
      </c>
      <c r="G2225" s="1094">
        <v>1.0214156800280239</v>
      </c>
      <c r="H2225" s="1094">
        <v>1.0196007708562271</v>
      </c>
      <c r="I2225" s="1094">
        <v>1.0245738493754224</v>
      </c>
      <c r="K2225">
        <v>4.4399488134800089</v>
      </c>
      <c r="L2225">
        <v>0</v>
      </c>
      <c r="M2225">
        <v>1.5687953180355768E-3</v>
      </c>
      <c r="N2225">
        <v>0.12492677326753086</v>
      </c>
      <c r="O2225">
        <v>3.8255749223962278E-2</v>
      </c>
      <c r="P2225">
        <v>1.8557342731966131E-2</v>
      </c>
      <c r="Q2225">
        <v>1.276974043466066E-3</v>
      </c>
      <c r="R2225">
        <v>1.5624070851822951E-3</v>
      </c>
      <c r="S2225">
        <v>0.23832473018180331</v>
      </c>
      <c r="T2225">
        <v>3.919056105923636</v>
      </c>
      <c r="U2225">
        <v>0</v>
      </c>
      <c r="V2225">
        <v>9.4523053561131939E-3</v>
      </c>
      <c r="W2225">
        <v>7.5852338009289449E-2</v>
      </c>
      <c r="X2225">
        <v>9.8374012682329037E-3</v>
      </c>
      <c r="Y2225">
        <v>4.4154817068632422E-3</v>
      </c>
    </row>
    <row r="2226" spans="1:25" x14ac:dyDescent="0.25">
      <c r="A2226" s="1090"/>
      <c r="B2226" s="1448">
        <v>1976</v>
      </c>
      <c r="C2226" s="1094">
        <v>1.0055676748842166</v>
      </c>
      <c r="D2226" s="1094">
        <v>0.98535610397370033</v>
      </c>
      <c r="E2226" s="1094">
        <v>0.95806133710443853</v>
      </c>
      <c r="F2226" s="1094">
        <v>0.95678952461681166</v>
      </c>
      <c r="G2226" s="1094">
        <v>0.97976397132699344</v>
      </c>
      <c r="H2226" s="1094">
        <v>1.0401450964344632</v>
      </c>
      <c r="I2226" s="1094">
        <v>1.0026166732654767</v>
      </c>
      <c r="K2226">
        <v>4.2991879267779991</v>
      </c>
      <c r="L2226">
        <v>0</v>
      </c>
      <c r="M2226">
        <v>1.5906882767433969E-3</v>
      </c>
      <c r="N2226">
        <v>0.12154898275329362</v>
      </c>
      <c r="O2226">
        <v>3.7020068056386302E-2</v>
      </c>
      <c r="P2226">
        <v>1.7772750398064408E-2</v>
      </c>
      <c r="Q2226">
        <v>1.2573915756120182E-3</v>
      </c>
      <c r="R2226">
        <v>1.584133303348614E-3</v>
      </c>
      <c r="S2226">
        <v>0.22785972794228657</v>
      </c>
      <c r="T2226">
        <v>3.7961776204459268</v>
      </c>
      <c r="U2226">
        <v>0</v>
      </c>
      <c r="V2226">
        <v>9.4523053561131921E-3</v>
      </c>
      <c r="W2226">
        <v>7.4513685301832652E-2</v>
      </c>
      <c r="X2226">
        <v>9.1150682637578355E-3</v>
      </c>
      <c r="Y2226">
        <v>4.4768816581195478E-3</v>
      </c>
    </row>
    <row r="2227" spans="1:25" x14ac:dyDescent="0.25">
      <c r="A2227" s="1090"/>
      <c r="B2227" s="1448">
        <v>1977</v>
      </c>
      <c r="C2227" s="1094">
        <v>0.99907307256158606</v>
      </c>
      <c r="D2227" s="1094">
        <v>0.99541662071847725</v>
      </c>
      <c r="E2227" s="1094">
        <v>0.9790093743606233</v>
      </c>
      <c r="F2227" s="1094">
        <v>0.97442819915316281</v>
      </c>
      <c r="G2227" s="1094">
        <v>0.96404825801671856</v>
      </c>
      <c r="H2227" s="1094">
        <v>1.0107091157139558</v>
      </c>
      <c r="I2227" s="1094">
        <v>0.99614955342379952</v>
      </c>
      <c r="K2227">
        <v>4.3710359601220681</v>
      </c>
      <c r="L2227">
        <v>0</v>
      </c>
      <c r="M2227">
        <v>1.5100897790029132E-3</v>
      </c>
      <c r="N2227">
        <v>0.1227916669331493</v>
      </c>
      <c r="O2227">
        <v>3.7653984357156688E-2</v>
      </c>
      <c r="P2227">
        <v>1.8369981656070813E-2</v>
      </c>
      <c r="Q2227">
        <v>1.2837342369562551E-3</v>
      </c>
      <c r="R2227">
        <v>1.5038011405053456E-3</v>
      </c>
      <c r="S2227">
        <v>0.22777253965917391</v>
      </c>
      <c r="T2227">
        <v>3.8653719536848223</v>
      </c>
      <c r="U2227">
        <v>0</v>
      </c>
      <c r="V2227">
        <v>9.4523053561131991E-3</v>
      </c>
      <c r="W2227">
        <v>7.4194460734809217E-2</v>
      </c>
      <c r="X2227">
        <v>9.9017653094570432E-3</v>
      </c>
      <c r="Y2227">
        <v>4.2498568328539722E-3</v>
      </c>
    </row>
    <row r="2228" spans="1:25" x14ac:dyDescent="0.25">
      <c r="A2228" s="1090"/>
      <c r="B2228" s="1448">
        <v>1978</v>
      </c>
      <c r="C2228" s="1094">
        <v>1.0122050905729565</v>
      </c>
      <c r="D2228" s="1094">
        <v>0.97861642653792136</v>
      </c>
      <c r="E2228" s="1094">
        <v>0.99794729199384991</v>
      </c>
      <c r="F2228" s="1094">
        <v>0.97513227869953512</v>
      </c>
      <c r="G2228" s="1094">
        <v>0.9825590081096216</v>
      </c>
      <c r="H2228" s="1094">
        <v>1.0157532004415795</v>
      </c>
      <c r="I2228" s="1094">
        <v>0.98109095749880293</v>
      </c>
      <c r="K2228">
        <v>4.3707821194141099</v>
      </c>
      <c r="L2228">
        <v>0</v>
      </c>
      <c r="M2228">
        <v>1.4503522519053456E-3</v>
      </c>
      <c r="N2228">
        <v>0.12474985277858708</v>
      </c>
      <c r="O2228">
        <v>3.7320304297172611E-2</v>
      </c>
      <c r="P2228">
        <v>1.8621886700763521E-2</v>
      </c>
      <c r="Q2228">
        <v>1.2967658554868106E-3</v>
      </c>
      <c r="R2228">
        <v>1.444346699380754E-3</v>
      </c>
      <c r="S2228">
        <v>0.22305978242575195</v>
      </c>
      <c r="T2228">
        <v>3.8674577084347965</v>
      </c>
      <c r="U2228">
        <v>0</v>
      </c>
      <c r="V2228">
        <v>9.452305356113206E-3</v>
      </c>
      <c r="W2228">
        <v>7.4411501562218943E-2</v>
      </c>
      <c r="X2228">
        <v>1.0336183512634413E-2</v>
      </c>
      <c r="Y2228">
        <v>4.081834043104025E-3</v>
      </c>
    </row>
    <row r="2229" spans="1:25" x14ac:dyDescent="0.25">
      <c r="A2229" s="1090"/>
      <c r="B2229" s="1448">
        <v>1979</v>
      </c>
      <c r="C2229" s="1094">
        <v>0.9850828298856753</v>
      </c>
      <c r="D2229" s="1094">
        <v>0.97484120127007068</v>
      </c>
      <c r="E2229" s="1094">
        <v>0.98604105850400703</v>
      </c>
      <c r="F2229" s="1094">
        <v>0.98684390752799866</v>
      </c>
      <c r="G2229" s="1094">
        <v>1.0072450823112005</v>
      </c>
      <c r="H2229" s="1094">
        <v>1.0398811315578138</v>
      </c>
      <c r="I2229" s="1094">
        <v>1.0177666764057891</v>
      </c>
      <c r="K2229">
        <v>4.4501834582286621</v>
      </c>
      <c r="L2229">
        <v>0</v>
      </c>
      <c r="M2229">
        <v>1.5855329299611868E-3</v>
      </c>
      <c r="N2229">
        <v>0.13166627231250186</v>
      </c>
      <c r="O2229">
        <v>3.8951087503667256E-2</v>
      </c>
      <c r="P2229">
        <v>1.8751913758076555E-2</v>
      </c>
      <c r="Q2229">
        <v>1.3209140900180762E-3</v>
      </c>
      <c r="R2229">
        <v>1.5791957507234353E-3</v>
      </c>
      <c r="S2229">
        <v>0.2418500567236832</v>
      </c>
      <c r="T2229">
        <v>3.914356211501826</v>
      </c>
      <c r="U2229">
        <v>0</v>
      </c>
      <c r="V2229">
        <v>9.4523053561131887E-3</v>
      </c>
      <c r="W2229">
        <v>7.9175069475724891E-2</v>
      </c>
      <c r="X2229">
        <v>1.0203036928852249E-2</v>
      </c>
      <c r="Y2229">
        <v>4.4629277574364835E-3</v>
      </c>
    </row>
    <row r="2230" spans="1:25" x14ac:dyDescent="0.25">
      <c r="A2230" s="1090"/>
      <c r="B2230" s="1448">
        <v>1980</v>
      </c>
      <c r="C2230" s="1094">
        <v>1.0021013182271243</v>
      </c>
      <c r="D2230" s="1094">
        <v>0.96100913624920514</v>
      </c>
      <c r="E2230" s="1094">
        <v>1.0097424719277448</v>
      </c>
      <c r="F2230" s="1094">
        <v>1.0129990551689303</v>
      </c>
      <c r="G2230" s="1094">
        <v>1.0260059921764622</v>
      </c>
      <c r="H2230" s="1094">
        <v>1.0017336610662977</v>
      </c>
      <c r="I2230" s="1094">
        <v>0.97385019297777786</v>
      </c>
      <c r="K2230">
        <v>4.5408670451957347</v>
      </c>
      <c r="L2230">
        <v>0</v>
      </c>
      <c r="M2230">
        <v>1.4744547969310975E-3</v>
      </c>
      <c r="N2230">
        <v>0.13134532046106157</v>
      </c>
      <c r="O2230">
        <v>3.9362641609708232E-2</v>
      </c>
      <c r="P2230">
        <v>1.9502073118810456E-2</v>
      </c>
      <c r="Q2230">
        <v>1.3327599868181333E-3</v>
      </c>
      <c r="R2230">
        <v>1.4684944759344488E-3</v>
      </c>
      <c r="S2230">
        <v>0.22967325953652992</v>
      </c>
      <c r="T2230">
        <v>4.0171864182242647</v>
      </c>
      <c r="U2230">
        <v>0</v>
      </c>
      <c r="V2230">
        <v>9.4523053561131956E-3</v>
      </c>
      <c r="W2230">
        <v>7.7725122244358291E-2</v>
      </c>
      <c r="X2230">
        <v>1.1143027475825681E-2</v>
      </c>
      <c r="Y2230">
        <v>4.1500775032402943E-3</v>
      </c>
    </row>
    <row r="2231" spans="1:25" x14ac:dyDescent="0.25">
      <c r="A2231" s="1090"/>
      <c r="B2231" s="1448">
        <v>1981</v>
      </c>
      <c r="C2231" s="1094">
        <v>1.0235184468264906</v>
      </c>
      <c r="D2231" s="1094">
        <v>0.99640183602783661</v>
      </c>
      <c r="E2231" s="1094">
        <v>0.97489996525905209</v>
      </c>
      <c r="F2231" s="1094">
        <v>0.99815294366096985</v>
      </c>
      <c r="G2231" s="1094">
        <v>0.99327964096095245</v>
      </c>
      <c r="H2231" s="1094">
        <v>1.0089921306099496</v>
      </c>
      <c r="I2231" s="1094">
        <v>0.99439710811708504</v>
      </c>
      <c r="K2231">
        <v>4.4623603446797215</v>
      </c>
      <c r="L2231">
        <v>0</v>
      </c>
      <c r="M2231">
        <v>1.5196470364723647E-3</v>
      </c>
      <c r="N2231">
        <v>0.12208204667547792</v>
      </c>
      <c r="O2231">
        <v>3.7662101412998958E-2</v>
      </c>
      <c r="P2231">
        <v>1.872269626572411E-2</v>
      </c>
      <c r="Q2231">
        <v>1.2481094314796685E-3</v>
      </c>
      <c r="R2231">
        <v>1.5134578838151907E-3</v>
      </c>
      <c r="S2231">
        <v>0.2253712396074686</v>
      </c>
      <c r="T2231">
        <v>3.9596414743903723</v>
      </c>
      <c r="U2231">
        <v>0</v>
      </c>
      <c r="V2231">
        <v>9.4523053561131765E-3</v>
      </c>
      <c r="W2231">
        <v>7.3974098754609474E-2</v>
      </c>
      <c r="X2231">
        <v>9.9353144114332787E-3</v>
      </c>
      <c r="Y2231">
        <v>4.2771475267050678E-3</v>
      </c>
    </row>
    <row r="2232" spans="1:25" x14ac:dyDescent="0.25">
      <c r="A2232" s="1090"/>
      <c r="B2232" s="1448">
        <v>1982</v>
      </c>
      <c r="C2232" s="1094">
        <v>1.014113135914819</v>
      </c>
      <c r="D2232" s="1094">
        <v>0.97134621214057881</v>
      </c>
      <c r="E2232" s="1094">
        <v>1.0054122910737966</v>
      </c>
      <c r="F2232" s="1094">
        <v>0.97558323774877631</v>
      </c>
      <c r="G2232" s="1094">
        <v>0.96448366783085593</v>
      </c>
      <c r="H2232" s="1094">
        <v>0.97813978053046879</v>
      </c>
      <c r="I2232" s="1094">
        <v>1.0339115546191284</v>
      </c>
      <c r="K2232">
        <v>4.375657758416474</v>
      </c>
      <c r="L2232">
        <v>0</v>
      </c>
      <c r="M2232">
        <v>1.3770015858614688E-3</v>
      </c>
      <c r="N2232">
        <v>0.12107017249040386</v>
      </c>
      <c r="O2232">
        <v>3.7328738757432575E-2</v>
      </c>
      <c r="P2232">
        <v>1.8775066851766494E-2</v>
      </c>
      <c r="Q2232">
        <v>1.3065155796780934E-3</v>
      </c>
      <c r="R2232">
        <v>1.3710832277350257E-3</v>
      </c>
      <c r="S2232">
        <v>0.2323755136244966</v>
      </c>
      <c r="T2232">
        <v>3.8689691461139435</v>
      </c>
      <c r="U2232">
        <v>0</v>
      </c>
      <c r="V2232">
        <v>9.4523053561131921E-3</v>
      </c>
      <c r="W2232">
        <v>7.1853593120987103E-2</v>
      </c>
      <c r="X2232">
        <v>1.0657839000946773E-2</v>
      </c>
      <c r="Y2232">
        <v>3.8747858788317391E-3</v>
      </c>
    </row>
    <row r="2233" spans="1:25" x14ac:dyDescent="0.25">
      <c r="A2233" s="1090"/>
      <c r="B2233" s="1448">
        <v>1983</v>
      </c>
      <c r="C2233" s="1094">
        <v>0.97548448759709483</v>
      </c>
      <c r="D2233" s="1094">
        <v>1.0059094757626836</v>
      </c>
      <c r="E2233" s="1094">
        <v>1.0234504770160047</v>
      </c>
      <c r="F2233" s="1094">
        <v>1.007505713781329</v>
      </c>
      <c r="G2233" s="1094">
        <v>0.96845834208081205</v>
      </c>
      <c r="H2233" s="1094">
        <v>0.9709389537063623</v>
      </c>
      <c r="I2233" s="1094">
        <v>1.0004955684850279</v>
      </c>
      <c r="K2233">
        <v>4.5209244475504811</v>
      </c>
      <c r="L2233">
        <v>0</v>
      </c>
      <c r="M2233">
        <v>1.3928642774327393E-3</v>
      </c>
      <c r="N2233">
        <v>0.12919447374017762</v>
      </c>
      <c r="O2233">
        <v>3.9392261574381478E-2</v>
      </c>
      <c r="P2233">
        <v>1.9624326312368941E-2</v>
      </c>
      <c r="Q2233">
        <v>1.360063989418666E-3</v>
      </c>
      <c r="R2233">
        <v>1.3870236532368986E-3</v>
      </c>
      <c r="S2233">
        <v>0.23576642893456193</v>
      </c>
      <c r="T2233">
        <v>3.99488017160103</v>
      </c>
      <c r="U2233">
        <v>0</v>
      </c>
      <c r="V2233">
        <v>9.4523053561131869E-3</v>
      </c>
      <c r="W2233">
        <v>7.5755121827106683E-2</v>
      </c>
      <c r="X2233">
        <v>1.1585300101224619E-2</v>
      </c>
      <c r="Y2233">
        <v>3.9198347382939473E-3</v>
      </c>
    </row>
    <row r="2234" spans="1:25" x14ac:dyDescent="0.25">
      <c r="A2234" s="1090"/>
      <c r="B2234" s="1448">
        <v>1984</v>
      </c>
      <c r="C2234" s="1094">
        <v>0.99980626155747787</v>
      </c>
      <c r="D2234" s="1094">
        <v>0.99125599508225481</v>
      </c>
      <c r="E2234" s="1094">
        <v>0.99417360728801119</v>
      </c>
      <c r="F2234" s="1094">
        <v>0.9791340940971115</v>
      </c>
      <c r="G2234" s="1094">
        <v>1.0134688364317888</v>
      </c>
      <c r="H2234" s="1094">
        <v>1.0146506563866728</v>
      </c>
      <c r="I2234" s="1094">
        <v>0.96251031926947062</v>
      </c>
      <c r="K2234">
        <v>4.3870275016604259</v>
      </c>
      <c r="L2234">
        <v>0</v>
      </c>
      <c r="M2234">
        <v>1.4768814177339637E-3</v>
      </c>
      <c r="N2234">
        <v>0.12562040244702957</v>
      </c>
      <c r="O2234">
        <v>3.7769381319198478E-2</v>
      </c>
      <c r="P2234">
        <v>1.8633500204161824E-2</v>
      </c>
      <c r="Q2234">
        <v>1.3018975028814351E-3</v>
      </c>
      <c r="R2234">
        <v>1.4707842858930154E-3</v>
      </c>
      <c r="S2234">
        <v>0.22119882761018492</v>
      </c>
      <c r="T2234">
        <v>3.883470226986748</v>
      </c>
      <c r="U2234">
        <v>0</v>
      </c>
      <c r="V2234">
        <v>9.4523053561131956E-3</v>
      </c>
      <c r="W2234">
        <v>7.5122642736370149E-2</v>
      </c>
      <c r="X2234">
        <v>1.0307865948574614E-2</v>
      </c>
      <c r="Y2234">
        <v>4.156548681001921E-3</v>
      </c>
    </row>
    <row r="2235" spans="1:25" x14ac:dyDescent="0.25">
      <c r="A2235" s="1090"/>
      <c r="B2235" s="1448">
        <v>1985</v>
      </c>
      <c r="C2235" s="1094">
        <v>0.97651429841170501</v>
      </c>
      <c r="D2235" s="1094">
        <v>1.0014864349625532</v>
      </c>
      <c r="E2235" s="1094">
        <v>1.0198956849291767</v>
      </c>
      <c r="F2235" s="1094">
        <v>1.0096800745503953</v>
      </c>
      <c r="G2235" s="1094">
        <v>0.98816582105992001</v>
      </c>
      <c r="H2235" s="1094">
        <v>0.99225843263285651</v>
      </c>
      <c r="I2235" s="1094">
        <v>0.99523903323505658</v>
      </c>
      <c r="K2235">
        <v>4.5353134617253374</v>
      </c>
      <c r="L2235">
        <v>0</v>
      </c>
      <c r="M2235">
        <v>1.4382797617185084E-3</v>
      </c>
      <c r="N2235">
        <v>0.13202454086081475</v>
      </c>
      <c r="O2235">
        <v>3.9530520210005284E-2</v>
      </c>
      <c r="P2235">
        <v>1.9617644618879968E-2</v>
      </c>
      <c r="Q2235">
        <v>1.3569430110928846E-3</v>
      </c>
      <c r="R2235">
        <v>1.4323909387442078E-3</v>
      </c>
      <c r="S2235">
        <v>0.23659430105044046</v>
      </c>
      <c r="T2235">
        <v>4.0036369973010704</v>
      </c>
      <c r="U2235">
        <v>0</v>
      </c>
      <c r="V2235">
        <v>9.4523053561131835E-3</v>
      </c>
      <c r="W2235">
        <v>7.759807927226299E-2</v>
      </c>
      <c r="X2235">
        <v>1.1459972716867373E-2</v>
      </c>
      <c r="Y2235">
        <v>4.048046150766E-3</v>
      </c>
    </row>
    <row r="2236" spans="1:25" x14ac:dyDescent="0.25">
      <c r="A2236" s="1090"/>
      <c r="B2236" s="1448">
        <v>1986</v>
      </c>
      <c r="C2236" s="1094">
        <v>1.0195419565035937</v>
      </c>
      <c r="D2236" s="1094">
        <v>0.97491450383372569</v>
      </c>
      <c r="E2236" s="1094">
        <v>0.98009546590845753</v>
      </c>
      <c r="F2236" s="1094">
        <v>1.0219453243725136</v>
      </c>
      <c r="G2236" s="1094">
        <v>1.0175071116701226</v>
      </c>
      <c r="H2236" s="1094">
        <v>0.99339670727627616</v>
      </c>
      <c r="I2236" s="1094">
        <v>0.97739284309787833</v>
      </c>
      <c r="K2236">
        <v>4.5645273635260546</v>
      </c>
      <c r="L2236">
        <v>0</v>
      </c>
      <c r="M2236">
        <v>1.5342970932260105E-3</v>
      </c>
      <c r="N2236">
        <v>0.12517834565519764</v>
      </c>
      <c r="O2236">
        <v>3.9013281918892681E-2</v>
      </c>
      <c r="P2236">
        <v>1.9222988501721938E-2</v>
      </c>
      <c r="Q2236">
        <v>1.2696738360230024E-3</v>
      </c>
      <c r="R2236">
        <v>1.5280973461081059E-3</v>
      </c>
      <c r="S2236">
        <v>0.22629024713779911</v>
      </c>
      <c r="T2236">
        <v>4.0538206934521464</v>
      </c>
      <c r="U2236">
        <v>0</v>
      </c>
      <c r="V2236">
        <v>9.4523053561131973E-3</v>
      </c>
      <c r="W2236">
        <v>7.5580286023361434E-2</v>
      </c>
      <c r="X2236">
        <v>1.0387221627097504E-2</v>
      </c>
      <c r="Y2236">
        <v>4.3185197648149204E-3</v>
      </c>
    </row>
    <row r="2237" spans="1:25" x14ac:dyDescent="0.25">
      <c r="A2237" s="1090"/>
      <c r="B2237" s="1448">
        <v>1987</v>
      </c>
      <c r="C2237" s="1094">
        <v>1.0402782762224632</v>
      </c>
      <c r="D2237" s="1094">
        <v>1.0441510753262593</v>
      </c>
      <c r="E2237" s="1094">
        <v>1.0208747426081062</v>
      </c>
      <c r="F2237" s="1094">
        <v>0.98613505328272599</v>
      </c>
      <c r="G2237" s="1094">
        <v>1.0339813404496585</v>
      </c>
      <c r="H2237" s="1094">
        <v>1.0194952004015689</v>
      </c>
      <c r="I2237" s="1094">
        <v>1.0015137014681446</v>
      </c>
      <c r="K2237">
        <v>4.4036956099131208</v>
      </c>
      <c r="L2237">
        <v>0</v>
      </c>
      <c r="M2237">
        <v>1.3297868489405118E-3</v>
      </c>
      <c r="N2237">
        <v>0.12242149036276855</v>
      </c>
      <c r="O2237">
        <v>3.563611563791174E-2</v>
      </c>
      <c r="P2237">
        <v>1.9119606007600116E-2</v>
      </c>
      <c r="Q2237">
        <v>1.2537273515192716E-3</v>
      </c>
      <c r="R2237">
        <v>1.3243616953149497E-3</v>
      </c>
      <c r="S2237">
        <v>0.2191392501373314</v>
      </c>
      <c r="T2237">
        <v>3.9102386311744675</v>
      </c>
      <c r="U2237">
        <v>0</v>
      </c>
      <c r="V2237">
        <v>9.4523053561131869E-3</v>
      </c>
      <c r="W2237">
        <v>7.1906893087591212E-2</v>
      </c>
      <c r="X2237">
        <v>1.0790268690249521E-2</v>
      </c>
      <c r="Y2237">
        <v>3.7427472611923458E-3</v>
      </c>
    </row>
    <row r="2238" spans="1:25" x14ac:dyDescent="0.25">
      <c r="A2238" s="1090"/>
      <c r="B2238" s="1448">
        <v>1988</v>
      </c>
      <c r="C2238" s="1094">
        <v>0.96648391439022752</v>
      </c>
      <c r="D2238" s="1094">
        <v>0.96180032116153313</v>
      </c>
      <c r="E2238" s="1094">
        <v>0.99450384161009442</v>
      </c>
      <c r="F2238" s="1094">
        <v>1.0326824031352475</v>
      </c>
      <c r="G2238" s="1094">
        <v>0.99211914290445513</v>
      </c>
      <c r="H2238" s="1094">
        <v>1.0001134795685576</v>
      </c>
      <c r="I2238" s="1094">
        <v>0.98781703893188788</v>
      </c>
      <c r="K2238">
        <v>4.6467512882933848</v>
      </c>
      <c r="L2238">
        <v>0</v>
      </c>
      <c r="M2238">
        <v>1.6060847117990518E-3</v>
      </c>
      <c r="N2238">
        <v>0.13676541486656116</v>
      </c>
      <c r="O2238">
        <v>4.1706184419944753E-2</v>
      </c>
      <c r="P2238">
        <v>1.9705865816897386E-2</v>
      </c>
      <c r="Q2238">
        <v>1.363520708050791E-3</v>
      </c>
      <c r="R2238">
        <v>1.5997052299397581E-3</v>
      </c>
      <c r="S2238">
        <v>0.2445193830518736</v>
      </c>
      <c r="T2238">
        <v>4.0958420709259471</v>
      </c>
      <c r="U2238">
        <v>0</v>
      </c>
      <c r="V2238">
        <v>9.4523053561131973E-3</v>
      </c>
      <c r="W2238">
        <v>8.1769182878405663E-2</v>
      </c>
      <c r="X2238">
        <v>1.1112850639919842E-2</v>
      </c>
      <c r="Y2238">
        <v>4.5208891115264757E-3</v>
      </c>
    </row>
    <row r="2239" spans="1:25" x14ac:dyDescent="0.25">
      <c r="A2239" s="1090"/>
      <c r="B2239" s="1448">
        <v>1989</v>
      </c>
      <c r="C2239" s="1094">
        <v>1.0078973437496535</v>
      </c>
      <c r="D2239" s="1094">
        <v>0.99529892098255379</v>
      </c>
      <c r="E2239" s="1094">
        <v>1.0354248439727083</v>
      </c>
      <c r="F2239" s="1094">
        <v>1.0000611123886733</v>
      </c>
      <c r="G2239" s="1094">
        <v>0.99936258766525843</v>
      </c>
      <c r="H2239" s="1094">
        <v>0.97536467618718026</v>
      </c>
      <c r="I2239" s="1094">
        <v>1.022241707635186</v>
      </c>
      <c r="K2239">
        <v>4.4817544020973248</v>
      </c>
      <c r="L2239">
        <v>0</v>
      </c>
      <c r="M2239">
        <v>1.3161993764319608E-3</v>
      </c>
      <c r="N2239">
        <v>0.12648140786058454</v>
      </c>
      <c r="O2239">
        <v>3.7922527509108579E-2</v>
      </c>
      <c r="P2239">
        <v>1.9643153997907656E-2</v>
      </c>
      <c r="Q2239">
        <v>1.335303574211267E-3</v>
      </c>
      <c r="R2239">
        <v>1.3106645391044473E-3</v>
      </c>
      <c r="S2239">
        <v>0.23306603296668874</v>
      </c>
      <c r="T2239">
        <v>3.9649120119833063</v>
      </c>
      <c r="U2239">
        <v>0</v>
      </c>
      <c r="V2239">
        <v>9.4523053561131939E-3</v>
      </c>
      <c r="W2239">
        <v>7.3578203214061041E-2</v>
      </c>
      <c r="X2239">
        <v>1.1664952420655274E-2</v>
      </c>
      <c r="Y2239">
        <v>3.7040380520130586E-3</v>
      </c>
    </row>
    <row r="2240" spans="1:25" x14ac:dyDescent="0.25">
      <c r="A2240" s="1090"/>
      <c r="B2240" s="1448">
        <v>1990</v>
      </c>
      <c r="C2240" s="1094">
        <v>0.98059569499898924</v>
      </c>
      <c r="D2240" s="1094">
        <v>0.9682145886544048</v>
      </c>
      <c r="E2240" s="1094">
        <v>0.98933856303172996</v>
      </c>
      <c r="F2240" s="1094">
        <v>1.011608295467004</v>
      </c>
      <c r="G2240" s="1094">
        <v>1.0336957336610759</v>
      </c>
      <c r="H2240" s="1094">
        <v>0.98696245814301298</v>
      </c>
      <c r="I2240" s="1094">
        <v>1.0123419552289659</v>
      </c>
      <c r="K2240">
        <v>4.5467804469913347</v>
      </c>
      <c r="L2240">
        <v>0</v>
      </c>
      <c r="M2240">
        <v>1.5430127314772727E-3</v>
      </c>
      <c r="N2240">
        <v>0.12938001642137822</v>
      </c>
      <c r="O2240">
        <v>4.0197230048756659E-2</v>
      </c>
      <c r="P2240">
        <v>1.9242029826221065E-2</v>
      </c>
      <c r="Q2240">
        <v>1.3343791568504238E-3</v>
      </c>
      <c r="R2240">
        <v>1.5366732524274309E-3</v>
      </c>
      <c r="S2240">
        <v>0.24201867904079291</v>
      </c>
      <c r="T2240">
        <v>4.0124573629487585</v>
      </c>
      <c r="U2240">
        <v>0</v>
      </c>
      <c r="V2240">
        <v>9.4523053561131887E-3</v>
      </c>
      <c r="W2240">
        <v>7.7625618250976441E-2</v>
      </c>
      <c r="X2240">
        <v>1.0736409489723965E-2</v>
      </c>
      <c r="Y2240">
        <v>4.3427559308128073E-3</v>
      </c>
    </row>
    <row r="2241" spans="1:25" x14ac:dyDescent="0.25">
      <c r="A2241" s="1090"/>
      <c r="B2241" s="1448">
        <v>1991</v>
      </c>
      <c r="C2241" s="1094">
        <v>1.0013711441330682</v>
      </c>
      <c r="D2241" s="1094">
        <v>1.0378354804695507</v>
      </c>
      <c r="E2241" s="1094">
        <v>1.0157698368954378</v>
      </c>
      <c r="F2241" s="1094">
        <v>1.0226982534773539</v>
      </c>
      <c r="G2241" s="1094">
        <v>1.0468843659674032</v>
      </c>
      <c r="H2241" s="1094">
        <v>0.97074017328553441</v>
      </c>
      <c r="I2241" s="1094">
        <v>0.96012014840377147</v>
      </c>
      <c r="K2241">
        <v>4.559410105115103</v>
      </c>
      <c r="L2241">
        <v>0</v>
      </c>
      <c r="M2241">
        <v>1.3820914170458672E-3</v>
      </c>
      <c r="N2241">
        <v>0.12532262845219899</v>
      </c>
      <c r="O2241">
        <v>3.8521992948237188E-2</v>
      </c>
      <c r="P2241">
        <v>1.9722992160400091E-2</v>
      </c>
      <c r="Q2241">
        <v>1.2999702239685402E-3</v>
      </c>
      <c r="R2241">
        <v>1.37638054504293E-3</v>
      </c>
      <c r="S2241">
        <v>0.22058611207480869</v>
      </c>
      <c r="T2241">
        <v>4.0554166475956155</v>
      </c>
      <c r="U2241">
        <v>0</v>
      </c>
      <c r="V2241">
        <v>9.452305356113206E-3</v>
      </c>
      <c r="W2241">
        <v>7.3862214135002588E-2</v>
      </c>
      <c r="X2241">
        <v>1.1341196538781297E-2</v>
      </c>
      <c r="Y2241">
        <v>3.8897565019749203E-3</v>
      </c>
    </row>
    <row r="2242" spans="1:25" x14ac:dyDescent="0.25">
      <c r="A2242" s="1090"/>
      <c r="B2242" s="1448">
        <v>1992</v>
      </c>
      <c r="C2242" s="1094">
        <v>1.0186436195595303</v>
      </c>
      <c r="D2242" s="1094">
        <v>0.99628219721625444</v>
      </c>
      <c r="E2242" s="1094">
        <v>0.97161047209054685</v>
      </c>
      <c r="F2242" s="1094">
        <v>1.0057304624596779</v>
      </c>
      <c r="G2242" s="1094">
        <v>1.0000290634226217</v>
      </c>
      <c r="H2242" s="1094">
        <v>0.95906912859956983</v>
      </c>
      <c r="I2242" s="1094">
        <v>0.98810084396814901</v>
      </c>
      <c r="K2242">
        <v>4.4824729456404757</v>
      </c>
      <c r="L2242">
        <v>0</v>
      </c>
      <c r="M2242">
        <v>1.472536519730581E-3</v>
      </c>
      <c r="N2242">
        <v>0.11712656223937573</v>
      </c>
      <c r="O2242">
        <v>3.8153681129639454E-2</v>
      </c>
      <c r="P2242">
        <v>1.8797275651624711E-2</v>
      </c>
      <c r="Q2242">
        <v>1.2505512533706887E-3</v>
      </c>
      <c r="R2242">
        <v>1.466274400347644E-3</v>
      </c>
      <c r="S2242">
        <v>0.22248196509911797</v>
      </c>
      <c r="T2242">
        <v>3.9898288812441538</v>
      </c>
      <c r="U2242">
        <v>0</v>
      </c>
      <c r="V2242">
        <v>9.4523053561131991E-3</v>
      </c>
      <c r="W2242">
        <v>7.1132255393972485E-2</v>
      </c>
      <c r="X2242">
        <v>1.0111926992349371E-2</v>
      </c>
      <c r="Y2242">
        <v>4.1438034001372286E-3</v>
      </c>
    </row>
    <row r="2243" spans="1:25" x14ac:dyDescent="0.25">
      <c r="A2243" s="1090"/>
      <c r="B2243" s="1448">
        <v>1993</v>
      </c>
      <c r="C2243" s="1094">
        <v>0.99367677013413158</v>
      </c>
      <c r="D2243" s="1094">
        <v>1.0192063154733249</v>
      </c>
      <c r="E2243" s="1094">
        <v>1.0166447773561413</v>
      </c>
      <c r="F2243" s="1094">
        <v>0.95051758534812292</v>
      </c>
      <c r="G2243" s="1094">
        <v>0.96494924133898674</v>
      </c>
      <c r="H2243" s="1094">
        <v>1.0001602909198266</v>
      </c>
      <c r="I2243" s="1094">
        <v>1.0243668619832234</v>
      </c>
      <c r="K2243">
        <v>4.272006569480717</v>
      </c>
      <c r="L2243">
        <v>0</v>
      </c>
      <c r="M2243">
        <v>1.3413514384406802E-3</v>
      </c>
      <c r="N2243">
        <v>0.12192158062601481</v>
      </c>
      <c r="O2243">
        <v>3.633704176785723E-2</v>
      </c>
      <c r="P2243">
        <v>1.8456850653053868E-2</v>
      </c>
      <c r="Q2243">
        <v>1.320542015471737E-3</v>
      </c>
      <c r="R2243">
        <v>1.3355651947093907E-3</v>
      </c>
      <c r="S2243">
        <v>0.22915484878203818</v>
      </c>
      <c r="T2243">
        <v>3.7691593733799498</v>
      </c>
      <c r="U2243">
        <v>0</v>
      </c>
      <c r="V2243">
        <v>9.4523053561131956E-3</v>
      </c>
      <c r="W2243">
        <v>7.1815699460163279E-2</v>
      </c>
      <c r="X2243">
        <v>1.0619704477957629E-2</v>
      </c>
      <c r="Y2243">
        <v>3.7744092058277518E-3</v>
      </c>
    </row>
    <row r="2244" spans="1:25" x14ac:dyDescent="0.25">
      <c r="A2244" s="1090"/>
      <c r="B2244" s="1448">
        <v>1994</v>
      </c>
      <c r="C2244" s="1094">
        <v>0.98637383457152572</v>
      </c>
      <c r="D2244" s="1094">
        <v>0.98494423197549819</v>
      </c>
      <c r="E2244" s="1094">
        <v>1.0370680180884124</v>
      </c>
      <c r="F2244" s="1094">
        <v>0.97283759303629402</v>
      </c>
      <c r="G2244" s="1094">
        <v>1.0026877974384176</v>
      </c>
      <c r="H2244" s="1094">
        <v>0.98569919266605688</v>
      </c>
      <c r="I2244" s="1094">
        <v>0.97434826051808054</v>
      </c>
      <c r="K2244">
        <v>4.3662527647809863</v>
      </c>
      <c r="L2244">
        <v>0</v>
      </c>
      <c r="M2244">
        <v>1.3232538050634525E-3</v>
      </c>
      <c r="N2244">
        <v>0.12776902819861061</v>
      </c>
      <c r="O2244">
        <v>3.7841948623506982E-2</v>
      </c>
      <c r="P2244">
        <v>1.9120772733869154E-2</v>
      </c>
      <c r="Q2244">
        <v>1.3720477562729561E-3</v>
      </c>
      <c r="R2244">
        <v>1.3175942106971085E-3</v>
      </c>
      <c r="S2244">
        <v>0.22431390212573613</v>
      </c>
      <c r="T2244">
        <v>3.8569199597937591</v>
      </c>
      <c r="U2244">
        <v>0</v>
      </c>
      <c r="V2244">
        <v>9.4523053561131835E-3</v>
      </c>
      <c r="W2244">
        <v>7.4246746021837201E-2</v>
      </c>
      <c r="X2244">
        <v>1.1498091932661735E-2</v>
      </c>
      <c r="Y2244">
        <v>3.7236218329893176E-3</v>
      </c>
    </row>
    <row r="2245" spans="1:25" x14ac:dyDescent="0.25">
      <c r="A2245" s="1090"/>
      <c r="B2245" s="1448">
        <v>1995</v>
      </c>
      <c r="C2245" s="1094">
        <v>1.0004125532556625</v>
      </c>
      <c r="D2245" s="1094">
        <v>0.9865062084704278</v>
      </c>
      <c r="E2245" s="1094">
        <v>0.96232895767960336</v>
      </c>
      <c r="F2245" s="1094">
        <v>0.96888670724217407</v>
      </c>
      <c r="G2245" s="1094">
        <v>1.0225893565709405</v>
      </c>
      <c r="H2245" s="1094">
        <v>0.96785079004063879</v>
      </c>
      <c r="I2245" s="1094">
        <v>1.0072246273511745</v>
      </c>
      <c r="K2245">
        <v>4.3368124552262124</v>
      </c>
      <c r="L2245">
        <v>0</v>
      </c>
      <c r="M2245">
        <v>1.4923956018933835E-3</v>
      </c>
      <c r="N2245">
        <v>0.11546431425964246</v>
      </c>
      <c r="O2245">
        <v>3.7635399764693211E-2</v>
      </c>
      <c r="P2245">
        <v>1.8037236049004254E-2</v>
      </c>
      <c r="Q2245">
        <v>1.2680296479221039E-3</v>
      </c>
      <c r="R2245">
        <v>1.4858684760273653E-3</v>
      </c>
      <c r="S2245">
        <v>0.2265713499204457</v>
      </c>
      <c r="T2245">
        <v>3.8440141417219449</v>
      </c>
      <c r="U2245">
        <v>0</v>
      </c>
      <c r="V2245">
        <v>9.4523053561131887E-3</v>
      </c>
      <c r="W2245">
        <v>7.0574102141596262E-2</v>
      </c>
      <c r="X2245">
        <v>9.6029257367713124E-3</v>
      </c>
      <c r="Y2245">
        <v>4.1991777539450324E-3</v>
      </c>
    </row>
    <row r="2246" spans="1:25" x14ac:dyDescent="0.25">
      <c r="A2246" s="1090"/>
      <c r="B2246" s="1448">
        <v>1996</v>
      </c>
      <c r="C2246" s="1094">
        <v>0.98363266328180921</v>
      </c>
      <c r="D2246" s="1094">
        <v>0.99085245059159088</v>
      </c>
      <c r="E2246" s="1094">
        <v>0.969819799181458</v>
      </c>
      <c r="F2246" s="1094">
        <v>1.0259254492422825</v>
      </c>
      <c r="G2246" s="1094">
        <v>1.0046019490571072</v>
      </c>
      <c r="H2246" s="1094">
        <v>1.0339022014699264</v>
      </c>
      <c r="I2246" s="1094">
        <v>1.0318977767602344</v>
      </c>
      <c r="K2246">
        <v>4.6203930976538903</v>
      </c>
      <c r="L2246">
        <v>0</v>
      </c>
      <c r="M2246">
        <v>1.6868008396191323E-3</v>
      </c>
      <c r="N2246">
        <v>0.13350939665378911</v>
      </c>
      <c r="O2246">
        <v>4.0406104715393604E-2</v>
      </c>
      <c r="P2246">
        <v>1.9252157616576664E-2</v>
      </c>
      <c r="Q2246">
        <v>1.2958690197175983E-3</v>
      </c>
      <c r="R2246">
        <v>1.6802771964360363E-3</v>
      </c>
      <c r="S2246">
        <v>0.25038675858799592</v>
      </c>
      <c r="T2246">
        <v>4.0700152807388754</v>
      </c>
      <c r="U2246">
        <v>0</v>
      </c>
      <c r="V2246">
        <v>9.4523053561132026E-3</v>
      </c>
      <c r="W2246">
        <v>8.1181900979460486E-2</v>
      </c>
      <c r="X2246">
        <v>1.0151255988920797E-2</v>
      </c>
      <c r="Y2246">
        <v>4.7485916402236024E-3</v>
      </c>
    </row>
    <row r="2247" spans="1:25" x14ac:dyDescent="0.25">
      <c r="A2247" s="1090"/>
      <c r="B2247" s="1448">
        <v>1997</v>
      </c>
      <c r="C2247" s="1094">
        <v>0.98941595039542518</v>
      </c>
      <c r="D2247" s="1094">
        <v>0.98578540531349901</v>
      </c>
      <c r="E2247" s="1094">
        <v>0.98422302765951597</v>
      </c>
      <c r="F2247" s="1094">
        <v>1.0285905667833379</v>
      </c>
      <c r="G2247" s="1094">
        <v>1.0125088921661329</v>
      </c>
      <c r="H2247" s="1094">
        <v>1.0353168952740448</v>
      </c>
      <c r="I2247" s="1094">
        <v>1.0315567369476033</v>
      </c>
      <c r="K2247">
        <v>4.6320904088422861</v>
      </c>
      <c r="L2247">
        <v>0</v>
      </c>
      <c r="M2247">
        <v>1.6368128025734535E-3</v>
      </c>
      <c r="N2247">
        <v>0.13521327826774709</v>
      </c>
      <c r="O2247">
        <v>4.0253958039797574E-2</v>
      </c>
      <c r="P2247">
        <v>1.9506562162462521E-2</v>
      </c>
      <c r="Q2247">
        <v>1.3072115949782337E-3</v>
      </c>
      <c r="R2247">
        <v>1.6305074506951377E-3</v>
      </c>
      <c r="S2247">
        <v>0.24978489325212916</v>
      </c>
      <c r="T2247">
        <v>4.0800177499154726</v>
      </c>
      <c r="U2247">
        <v>0</v>
      </c>
      <c r="V2247">
        <v>9.4523053561131869E-3</v>
      </c>
      <c r="W2247">
        <v>8.1408981267245148E-2</v>
      </c>
      <c r="X2247">
        <v>1.0543835799201054E-2</v>
      </c>
      <c r="Y2247">
        <v>4.6079385390194877E-3</v>
      </c>
    </row>
    <row r="2248" spans="1:25" x14ac:dyDescent="0.25">
      <c r="A2248" s="1090"/>
      <c r="B2248" s="1448">
        <v>1998</v>
      </c>
      <c r="C2248" s="1094">
        <v>1.0019823289902063</v>
      </c>
      <c r="D2248" s="1094">
        <v>1.022906207099231</v>
      </c>
      <c r="E2248" s="1094">
        <v>1.0114916711845285</v>
      </c>
      <c r="F2248" s="1094">
        <v>1.0112238186204479</v>
      </c>
      <c r="G2248" s="1094">
        <v>1.018353314202046</v>
      </c>
      <c r="H2248" s="1094">
        <v>0.98944379998746901</v>
      </c>
      <c r="I2248" s="1094">
        <v>1.0050315635086193</v>
      </c>
      <c r="K2248">
        <v>4.5264151015643659</v>
      </c>
      <c r="L2248">
        <v>0</v>
      </c>
      <c r="M2248">
        <v>1.4129197569692333E-3</v>
      </c>
      <c r="N2248">
        <v>0.12650996111139437</v>
      </c>
      <c r="O2248">
        <v>3.8317255760189767E-2</v>
      </c>
      <c r="P2248">
        <v>1.9502605354972204E-2</v>
      </c>
      <c r="Q2248">
        <v>1.3019876877424195E-3</v>
      </c>
      <c r="R2248">
        <v>1.4071271310491251E-3</v>
      </c>
      <c r="S2248">
        <v>0.23140375020691872</v>
      </c>
      <c r="T2248">
        <v>4.0100794665325061</v>
      </c>
      <c r="U2248">
        <v>0</v>
      </c>
      <c r="V2248">
        <v>9.4523053561131956E-3</v>
      </c>
      <c r="W2248">
        <v>7.4775921256676536E-2</v>
      </c>
      <c r="X2248">
        <v>1.1100992222349747E-2</v>
      </c>
      <c r="Y2248">
        <v>3.9766487014192232E-3</v>
      </c>
    </row>
    <row r="2249" spans="1:25" x14ac:dyDescent="0.25">
      <c r="A2249" s="1090"/>
      <c r="B2249" s="1448">
        <v>1999</v>
      </c>
      <c r="C2249" s="1094">
        <v>0.97786035726216647</v>
      </c>
      <c r="D2249" s="1094">
        <v>0.99899620833200742</v>
      </c>
      <c r="E2249" s="1094">
        <v>1.0196684811811485</v>
      </c>
      <c r="F2249" s="1094">
        <v>0.96054396017776866</v>
      </c>
      <c r="G2249" s="1094">
        <v>0.95798213738090143</v>
      </c>
      <c r="H2249" s="1094">
        <v>1.0349413680281803</v>
      </c>
      <c r="I2249" s="1094">
        <v>0.97779111236437244</v>
      </c>
      <c r="K2249">
        <v>4.326390162134107</v>
      </c>
      <c r="L2249">
        <v>0</v>
      </c>
      <c r="M2249">
        <v>1.4275808411687606E-3</v>
      </c>
      <c r="N2249">
        <v>0.13095030416113415</v>
      </c>
      <c r="O2249">
        <v>3.7593954353471418E-2</v>
      </c>
      <c r="P2249">
        <v>1.8674356137030591E-2</v>
      </c>
      <c r="Q2249">
        <v>1.3561644550062781E-3</v>
      </c>
      <c r="R2249">
        <v>1.4216914393582174E-3</v>
      </c>
      <c r="S2249">
        <v>0.2277555637564572</v>
      </c>
      <c r="T2249">
        <v>3.8088080998900806</v>
      </c>
      <c r="U2249">
        <v>0</v>
      </c>
      <c r="V2249">
        <v>9.4523053561131991E-3</v>
      </c>
      <c r="W2249">
        <v>7.6978354103772254E-2</v>
      </c>
      <c r="X2249">
        <v>1.0809140774214394E-2</v>
      </c>
      <c r="Y2249">
        <v>4.0178085486330568E-3</v>
      </c>
    </row>
    <row r="2250" spans="1:25" x14ac:dyDescent="0.25">
      <c r="A2250" s="1090"/>
      <c r="B2250" s="1448">
        <v>2000</v>
      </c>
      <c r="C2250" s="1094">
        <v>0.98442287165804043</v>
      </c>
      <c r="D2250" s="1094">
        <v>0.99380413513871901</v>
      </c>
      <c r="E2250" s="1094">
        <v>0.99459624944775782</v>
      </c>
      <c r="F2250" s="1094">
        <v>0.9768451820410865</v>
      </c>
      <c r="G2250" s="1094">
        <v>0.97669333975352646</v>
      </c>
      <c r="H2250" s="1094">
        <v>1.0035172809750035</v>
      </c>
      <c r="I2250" s="1094">
        <v>1.0394157811586755</v>
      </c>
      <c r="K2250">
        <v>4.3988042337507842</v>
      </c>
      <c r="L2250">
        <v>0</v>
      </c>
      <c r="M2250">
        <v>1.4772150655340938E-3</v>
      </c>
      <c r="N2250">
        <v>0.12579927608808952</v>
      </c>
      <c r="O2250">
        <v>3.8227758995779765E-2</v>
      </c>
      <c r="P2250">
        <v>1.8688644418889198E-2</v>
      </c>
      <c r="Q2250">
        <v>1.3213651072117654E-3</v>
      </c>
      <c r="R2250">
        <v>1.4710345095472407E-3</v>
      </c>
      <c r="S2250">
        <v>0.24116058595638568</v>
      </c>
      <c r="T2250">
        <v>3.87437611209831</v>
      </c>
      <c r="U2250">
        <v>0</v>
      </c>
      <c r="V2250">
        <v>9.4523053561132008E-3</v>
      </c>
      <c r="W2250">
        <v>7.5208042955993287E-2</v>
      </c>
      <c r="X2250">
        <v>1.0419067497843966E-2</v>
      </c>
      <c r="Y2250">
        <v>4.157255832152435E-3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F43"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87" t="s">
        <v>493</v>
      </c>
      <c r="B2" s="581"/>
      <c r="C2" s="582"/>
      <c r="D2" s="41"/>
    </row>
    <row r="3" spans="1:23" ht="15" customHeight="1" x14ac:dyDescent="0.25">
      <c r="A3" s="588" t="s">
        <v>494</v>
      </c>
      <c r="B3" s="583"/>
      <c r="C3" s="584"/>
      <c r="E3" s="148"/>
      <c r="F3" s="40"/>
      <c r="G3" s="41"/>
    </row>
    <row r="4" spans="1:23" ht="30.75" customHeight="1" x14ac:dyDescent="0.25">
      <c r="A4" s="588" t="s">
        <v>495</v>
      </c>
      <c r="B4" s="583"/>
      <c r="C4" s="584"/>
      <c r="T4" s="151"/>
      <c r="U4" s="134"/>
      <c r="V4" s="134"/>
      <c r="W4" s="134"/>
    </row>
    <row r="5" spans="1:23" ht="26.25" customHeight="1" x14ac:dyDescent="0.25">
      <c r="A5" s="588" t="s">
        <v>79</v>
      </c>
      <c r="B5" s="583"/>
      <c r="C5" s="584"/>
      <c r="T5" s="151"/>
      <c r="U5" s="134"/>
      <c r="V5" s="134"/>
      <c r="W5" s="134"/>
    </row>
    <row r="6" spans="1:23" ht="15" customHeight="1" thickBot="1" x14ac:dyDescent="0.3">
      <c r="A6" s="589" t="s">
        <v>496</v>
      </c>
      <c r="B6" s="585"/>
      <c r="C6" s="586"/>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92" t="s">
        <v>65</v>
      </c>
      <c r="E15" s="1693"/>
    </row>
    <row r="16" spans="1:23" ht="39.5" thickTop="1" x14ac:dyDescent="0.3">
      <c r="A16" s="156" t="s">
        <v>90</v>
      </c>
      <c r="B16" s="157"/>
      <c r="D16" s="317" t="str">
        <f>"Hydrogen Cost (Year "&amp;TEXT(ref_year,"0")&amp;" Real $/kg)"</f>
        <v>Hydrogen Cost (Year 2016 Real $/kg)</v>
      </c>
      <c r="E16" s="1208">
        <f ca="1">H2_price_nominal/INFLATION_FACTOR</f>
        <v>4.4824477404691638</v>
      </c>
    </row>
    <row r="17" spans="1:10" ht="37.5" x14ac:dyDescent="0.25">
      <c r="A17" s="158" t="s">
        <v>91</v>
      </c>
      <c r="B17" s="159">
        <f ca="1">output_kgyear</f>
        <v>17702500</v>
      </c>
      <c r="D17" s="138" t="s">
        <v>934</v>
      </c>
      <c r="E17" s="1079">
        <f ca="1">+SUM(X57:AB57)/AC57*(1+inflation_rate)^construct</f>
        <v>7.0419940065738409</v>
      </c>
    </row>
    <row r="18" spans="1:10" ht="25" x14ac:dyDescent="0.25">
      <c r="A18" s="158" t="s">
        <v>92</v>
      </c>
      <c r="B18" s="159">
        <f ca="1">B17*H2_LHV_MJ_p_kg/1000/mmBTU_to_GJ</f>
        <v>2017105.7127204614</v>
      </c>
      <c r="D18" s="139" t="s">
        <v>982</v>
      </c>
      <c r="E18" s="140">
        <f ca="1">((E20+1)/(1+B30))-1</f>
        <v>8.0000000000002514E-2</v>
      </c>
    </row>
    <row r="19" spans="1:10" ht="28.5" customHeight="1" x14ac:dyDescent="0.3">
      <c r="A19" s="158" t="s">
        <v>93</v>
      </c>
      <c r="B19" s="159">
        <f ca="1">B17*H2_LHV_MJ_p_kg</f>
        <v>2128046526.9200866</v>
      </c>
      <c r="C19" s="136"/>
      <c r="D19" s="139" t="s">
        <v>990</v>
      </c>
      <c r="E19" s="140">
        <f ca="1">((E21+1)/(1+B30))-1</f>
        <v>8.9863937483314338E-2</v>
      </c>
    </row>
    <row r="20" spans="1:10" ht="15" customHeight="1" x14ac:dyDescent="0.25">
      <c r="A20" s="160" t="s">
        <v>94</v>
      </c>
      <c r="B20" s="159">
        <f ca="1">design_cap</f>
        <v>50000</v>
      </c>
      <c r="D20" s="141" t="s">
        <v>981</v>
      </c>
      <c r="E20" s="142">
        <f ca="1">IRR(AA65:AA113)</f>
        <v>0.10052000000000239</v>
      </c>
    </row>
    <row r="21" spans="1:10" ht="15" customHeight="1" x14ac:dyDescent="0.25">
      <c r="A21" s="160" t="s">
        <v>95</v>
      </c>
      <c r="B21" s="159">
        <f ca="1">B20*365</f>
        <v>18250000</v>
      </c>
      <c r="D21" s="141" t="s">
        <v>989</v>
      </c>
      <c r="E21" s="142">
        <f ca="1">IRR(AC65:AC113)</f>
        <v>0.11057135229549719</v>
      </c>
    </row>
    <row r="22" spans="1:10" ht="15" customHeight="1" x14ac:dyDescent="0.25">
      <c r="A22" s="161" t="s">
        <v>96</v>
      </c>
      <c r="B22" s="162">
        <f ca="1">cap_factor</f>
        <v>0.97</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78">
        <f ca="1">NPV(nominal_irr,AA65:AA113)</f>
        <v>7.7019950407254059E-7</v>
      </c>
    </row>
    <row r="27" spans="1:10" ht="15" customHeight="1" thickTop="1" x14ac:dyDescent="0.25">
      <c r="A27" s="139" t="s">
        <v>987</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77"/>
      <c r="G30" s="1076"/>
      <c r="H30" s="1076"/>
      <c r="I30" s="1076"/>
      <c r="J30" s="1076"/>
    </row>
    <row r="31" spans="1:10" ht="15" customHeight="1" x14ac:dyDescent="0.25">
      <c r="A31" s="160" t="s">
        <v>103</v>
      </c>
      <c r="B31" s="167">
        <f>100%-equity</f>
        <v>0.6</v>
      </c>
    </row>
    <row r="32" spans="1:10" ht="15" customHeight="1" x14ac:dyDescent="0.25">
      <c r="A32" s="139" t="s">
        <v>104</v>
      </c>
      <c r="B32" s="168">
        <f>equity</f>
        <v>0.4</v>
      </c>
    </row>
    <row r="33" spans="1:18" ht="15" customHeight="1" x14ac:dyDescent="0.25">
      <c r="A33" s="139" t="s">
        <v>105</v>
      </c>
      <c r="B33" s="154">
        <f>total_tax_rate</f>
        <v>0.25739999999999996</v>
      </c>
    </row>
    <row r="34" spans="1:18" ht="15" customHeight="1" x14ac:dyDescent="0.25">
      <c r="A34" s="139"/>
      <c r="B34" s="169"/>
    </row>
    <row r="35" spans="1:18" ht="28.5" customHeight="1" x14ac:dyDescent="0.3">
      <c r="A35" s="170" t="s">
        <v>106</v>
      </c>
      <c r="B35" s="171"/>
    </row>
    <row r="36" spans="1:18" ht="15" customHeight="1" x14ac:dyDescent="0.25">
      <c r="A36" s="160" t="s">
        <v>107</v>
      </c>
      <c r="B36" s="164">
        <f>debt_period</f>
        <v>0</v>
      </c>
    </row>
    <row r="37" spans="1:18" ht="15" customHeight="1" x14ac:dyDescent="0.25">
      <c r="A37" s="160" t="s">
        <v>108</v>
      </c>
      <c r="B37" s="172">
        <f>debt_interest</f>
        <v>3.6999999999999998E-2</v>
      </c>
      <c r="K37" s="1076"/>
    </row>
    <row r="38" spans="1:18" ht="15" customHeight="1" x14ac:dyDescent="0.25">
      <c r="A38" s="139"/>
      <c r="B38" s="157"/>
      <c r="K38" s="1076"/>
    </row>
    <row r="39" spans="1:18" ht="28.5" customHeight="1" x14ac:dyDescent="0.3">
      <c r="A39" s="170" t="s">
        <v>109</v>
      </c>
      <c r="B39" s="157"/>
      <c r="F39" s="1076"/>
      <c r="G39" s="1076"/>
      <c r="H39" s="1076"/>
      <c r="I39" s="1076"/>
      <c r="J39" s="1076"/>
      <c r="K39" s="1076"/>
      <c r="L39" s="1076"/>
    </row>
    <row r="40" spans="1:18" ht="15" customHeight="1" x14ac:dyDescent="0.25">
      <c r="A40" s="139" t="s">
        <v>110</v>
      </c>
      <c r="B40" s="164">
        <f>construct</f>
        <v>1</v>
      </c>
      <c r="G40" s="1076"/>
      <c r="H40" s="1076"/>
    </row>
    <row r="41" spans="1:18" ht="15" customHeight="1" x14ac:dyDescent="0.25">
      <c r="A41" s="139" t="s">
        <v>111</v>
      </c>
      <c r="B41" s="162">
        <f>start_time</f>
        <v>0</v>
      </c>
    </row>
    <row r="42" spans="1:18" ht="15" customHeight="1" x14ac:dyDescent="0.25">
      <c r="A42" s="158" t="s">
        <v>112</v>
      </c>
      <c r="B42" s="167">
        <f>percnt_revs</f>
        <v>0.5</v>
      </c>
    </row>
    <row r="43" spans="1:18" ht="15" customHeight="1" x14ac:dyDescent="0.25">
      <c r="A43" s="158" t="s">
        <v>113</v>
      </c>
      <c r="B43" s="167">
        <f>percnt_var</f>
        <v>0.75</v>
      </c>
    </row>
    <row r="44" spans="1:18" ht="15" customHeight="1" x14ac:dyDescent="0.25">
      <c r="A44" s="158" t="s">
        <v>114</v>
      </c>
      <c r="B44" s="167">
        <f>percnt_fixed</f>
        <v>1</v>
      </c>
    </row>
    <row r="45" spans="1:18" ht="15" customHeight="1" x14ac:dyDescent="0.25">
      <c r="A45" s="139"/>
      <c r="B45" s="157"/>
    </row>
    <row r="46" spans="1:18" ht="28.5" customHeight="1" x14ac:dyDescent="0.3">
      <c r="A46" s="170" t="s">
        <v>115</v>
      </c>
      <c r="B46" s="157"/>
      <c r="F46" s="173"/>
    </row>
    <row r="47" spans="1:18" ht="15" customHeight="1" x14ac:dyDescent="0.25">
      <c r="A47" s="139" t="s">
        <v>389</v>
      </c>
      <c r="B47" s="174" t="str">
        <f>depr_type</f>
        <v>MACRS</v>
      </c>
      <c r="F47" s="173"/>
    </row>
    <row r="48" spans="1:18" ht="15" customHeight="1" x14ac:dyDescent="0.25">
      <c r="A48" s="139" t="s">
        <v>53</v>
      </c>
      <c r="B48" s="164">
        <f>depr_length</f>
        <v>20</v>
      </c>
      <c r="F48" s="173"/>
      <c r="R48" s="53">
        <f ca="1">inflated_othervar</f>
        <v>0</v>
      </c>
    </row>
    <row r="49" spans="1:32" ht="15" customHeight="1" x14ac:dyDescent="0.25">
      <c r="A49" s="139"/>
      <c r="B49" s="157"/>
      <c r="F49" s="173"/>
    </row>
    <row r="50" spans="1:32" ht="28.5" customHeight="1" x14ac:dyDescent="0.3">
      <c r="A50" s="170" t="s">
        <v>116</v>
      </c>
      <c r="B50" s="157"/>
      <c r="R50" s="1466">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-262877.10434299544</v>
      </c>
    </row>
    <row r="51" spans="1:32" ht="30.75" customHeight="1" x14ac:dyDescent="0.25">
      <c r="A51" s="138" t="s">
        <v>978</v>
      </c>
      <c r="B51" s="175">
        <f ca="1">(total_cap-non_dep_cap)*INFLATION_FACTOR</f>
        <v>104963242.45022142</v>
      </c>
      <c r="F51" s="173"/>
    </row>
    <row r="52" spans="1:32" ht="30" customHeight="1" thickBot="1" x14ac:dyDescent="0.3">
      <c r="A52" s="138" t="s">
        <v>980</v>
      </c>
      <c r="B52" s="175">
        <f ca="1">non_dep_cap*INFLATION_FACTOR</f>
        <v>432313.63610154518</v>
      </c>
      <c r="F52" s="173"/>
    </row>
    <row r="53" spans="1:32" ht="15" customHeight="1" thickBot="1" x14ac:dyDescent="0.4">
      <c r="A53" s="138" t="s">
        <v>117</v>
      </c>
      <c r="B53" s="175">
        <f ca="1">SUM(B51:B52)</f>
        <v>105395556.08632296</v>
      </c>
      <c r="F53" s="173"/>
      <c r="W53" s="1694" t="s">
        <v>1172</v>
      </c>
      <c r="X53" s="1695"/>
      <c r="Y53" s="1127"/>
      <c r="Z53" s="1127"/>
      <c r="AA53" s="1127"/>
      <c r="AB53" s="1127"/>
      <c r="AC53" s="1128"/>
    </row>
    <row r="54" spans="1:32" ht="15" customHeight="1" thickTop="1" x14ac:dyDescent="0.3">
      <c r="A54" s="138" t="s">
        <v>983</v>
      </c>
      <c r="B54" s="175">
        <f ca="1">decom_percent*depr_cap_infl</f>
        <v>10496324.245022142</v>
      </c>
      <c r="F54" s="173"/>
      <c r="W54" s="1129"/>
      <c r="X54" s="1122" t="s">
        <v>83</v>
      </c>
      <c r="Y54" s="1123" t="s">
        <v>1122</v>
      </c>
      <c r="Z54" s="1123" t="s">
        <v>1123</v>
      </c>
      <c r="AA54" s="1122" t="s">
        <v>1124</v>
      </c>
      <c r="AB54" s="1123" t="s">
        <v>1129</v>
      </c>
      <c r="AC54" s="1130" t="s">
        <v>1125</v>
      </c>
    </row>
    <row r="55" spans="1:32" ht="15" customHeight="1" x14ac:dyDescent="0.25">
      <c r="A55" s="138" t="s">
        <v>992</v>
      </c>
      <c r="B55" s="175">
        <f ca="1">salvage_perct*B53</f>
        <v>10539555.608632296</v>
      </c>
      <c r="F55" s="173"/>
      <c r="W55" s="1131" t="s">
        <v>1120</v>
      </c>
      <c r="X55" s="1124">
        <f ca="1">-SUM(H116:K116)</f>
        <v>60349188.150584713</v>
      </c>
      <c r="Y55" s="1124">
        <f ca="1">-U116</f>
        <v>51635473.910789654</v>
      </c>
      <c r="Z55" s="1124">
        <f ca="1">-Z116</f>
        <v>1339975.0895342038</v>
      </c>
      <c r="AA55" s="1124">
        <f ca="1">-SUM(L116:S116)</f>
        <v>1393641549.439198</v>
      </c>
      <c r="AB55" s="1124">
        <f ca="1">+AF116</f>
        <v>0</v>
      </c>
      <c r="AC55" s="1132">
        <f ca="1">+AE116</f>
        <v>211095467.54064411</v>
      </c>
    </row>
    <row r="56" spans="1:32" ht="15" customHeight="1" x14ac:dyDescent="0.25">
      <c r="A56" s="160" t="s">
        <v>984</v>
      </c>
      <c r="B56" s="60">
        <f ca="1">fixed*INFLATION_FACTOR</f>
        <v>6433377.2877511624</v>
      </c>
      <c r="F56" s="173"/>
      <c r="W56" s="1131" t="s">
        <v>1130</v>
      </c>
      <c r="X56" s="1125">
        <v>1</v>
      </c>
      <c r="Y56" s="1125">
        <f>-total_tax_rate</f>
        <v>-0.25739999999999996</v>
      </c>
      <c r="Z56" s="1125">
        <v>1</v>
      </c>
      <c r="AA56" s="1125">
        <f>1-total_tax_rate</f>
        <v>0.74260000000000004</v>
      </c>
      <c r="AB56" s="1125">
        <v>-1</v>
      </c>
      <c r="AC56" s="1133">
        <f>1-total_tax_rate</f>
        <v>0.74260000000000004</v>
      </c>
    </row>
    <row r="57" spans="1:32" ht="15" customHeight="1" x14ac:dyDescent="0.25">
      <c r="A57" s="160" t="s">
        <v>985</v>
      </c>
      <c r="B57" s="60">
        <f ca="1">total_other_raw*INFLATION_FACTOR</f>
        <v>0</v>
      </c>
      <c r="E57" s="53">
        <f>CO2_OandMcost</f>
        <v>0</v>
      </c>
      <c r="F57" s="173"/>
      <c r="W57" s="1131" t="s">
        <v>1121</v>
      </c>
      <c r="X57" s="1126">
        <f t="shared" ref="X57:Z57" ca="1" si="0">+X55*X56</f>
        <v>60349188.150584713</v>
      </c>
      <c r="Y57" s="1126">
        <f t="shared" ca="1" si="0"/>
        <v>-13290970.984637255</v>
      </c>
      <c r="Z57" s="1126">
        <f t="shared" ca="1" si="0"/>
        <v>1339975.0895342038</v>
      </c>
      <c r="AA57" s="1126">
        <f ca="1">+AA55*AA56</f>
        <v>1034918214.6135485</v>
      </c>
      <c r="AB57" s="1126">
        <f ca="1">+AB55*AB56</f>
        <v>0</v>
      </c>
      <c r="AC57" s="1134">
        <f ca="1">+AC55*AC56</f>
        <v>156759494.19568232</v>
      </c>
    </row>
    <row r="58" spans="1:32" ht="45.75" customHeight="1" thickBot="1" x14ac:dyDescent="0.3">
      <c r="A58" s="176" t="s">
        <v>986</v>
      </c>
      <c r="B58" s="62">
        <f ca="1">(var_misc+royalties+operator_profit+CO2_OandMcost+waste_treat+solidwaste_treat)*INFLATION_FACTOR</f>
        <v>0</v>
      </c>
      <c r="D58" s="1465">
        <f ca="1">(var_misc+royalties+operator_profit+CO2_OandMcost+waste_treat+solidwaste_treat)*INFLATION_FACTOR</f>
        <v>0</v>
      </c>
      <c r="F58" s="173"/>
      <c r="W58" s="1135"/>
      <c r="X58" s="1136"/>
      <c r="Y58" s="1136"/>
      <c r="Z58" s="1136"/>
      <c r="AA58" s="1136"/>
      <c r="AB58" s="1136"/>
      <c r="AC58" s="1137"/>
    </row>
    <row r="59" spans="1:32" ht="15" customHeight="1" thickTop="1" x14ac:dyDescent="0.25">
      <c r="F59" s="173"/>
      <c r="W59" s="1138" t="s">
        <v>1119</v>
      </c>
      <c r="X59" s="1079">
        <f ca="1">+(1+real_irr)*(1+inflation_rate)-1</f>
        <v>0.10051999999999994</v>
      </c>
      <c r="Y59" s="1136"/>
      <c r="Z59" s="1136"/>
      <c r="AA59" s="1136"/>
      <c r="AB59" s="1136"/>
      <c r="AC59" s="1137"/>
    </row>
    <row r="60" spans="1:32" ht="15" customHeight="1" thickBot="1" x14ac:dyDescent="0.3">
      <c r="F60" s="173"/>
      <c r="W60" s="1139" t="str">
        <f>+D16</f>
        <v>Hydrogen Cost (Year 2016 Real $/kg)</v>
      </c>
      <c r="X60" s="1140">
        <f ca="1">+SUM(X57:AB57)/AC57*(1+inflation_rate)^construct/INFLATION_FACTOR</f>
        <v>4.4824477404691638</v>
      </c>
      <c r="Y60" s="1141"/>
      <c r="Z60" s="1141"/>
      <c r="AA60" s="1141"/>
      <c r="AB60" s="1141"/>
      <c r="AC60" s="1142"/>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66"/>
      <c r="I63" s="1166"/>
      <c r="J63" s="1166"/>
      <c r="K63" s="1166"/>
      <c r="L63" s="1166"/>
      <c r="M63" s="1166"/>
      <c r="N63" s="1166"/>
      <c r="O63" s="1166"/>
      <c r="P63" s="1166"/>
      <c r="Q63" s="1166"/>
      <c r="R63" s="1166"/>
      <c r="S63" s="1166"/>
      <c r="T63" s="1166"/>
      <c r="U63" s="1166"/>
      <c r="V63" s="1166"/>
      <c r="W63" s="1166"/>
      <c r="X63" s="1166"/>
      <c r="Y63" s="1166"/>
      <c r="Z63" s="1166"/>
      <c r="AA63" s="1166"/>
      <c r="AB63" s="1166"/>
      <c r="AC63" s="1167"/>
    </row>
    <row r="64" spans="1:32" ht="66" thickTop="1" thickBot="1" x14ac:dyDescent="0.35">
      <c r="A64" s="1143" t="s">
        <v>1127</v>
      </c>
      <c r="B64" s="1144" t="s">
        <v>40</v>
      </c>
      <c r="C64" s="1144" t="s">
        <v>56</v>
      </c>
      <c r="D64" s="1144" t="s">
        <v>119</v>
      </c>
      <c r="E64" s="1145" t="s">
        <v>120</v>
      </c>
      <c r="F64" s="1145" t="s">
        <v>1132</v>
      </c>
      <c r="G64" s="1146" t="s">
        <v>121</v>
      </c>
      <c r="H64" s="1168" t="s">
        <v>122</v>
      </c>
      <c r="I64" s="1169" t="s">
        <v>123</v>
      </c>
      <c r="J64" s="1169" t="s">
        <v>1126</v>
      </c>
      <c r="K64" s="1169" t="s">
        <v>135</v>
      </c>
      <c r="L64" s="1169" t="s">
        <v>992</v>
      </c>
      <c r="M64" s="1169" t="s">
        <v>84</v>
      </c>
      <c r="N64" s="1169" t="s">
        <v>136</v>
      </c>
      <c r="O64" s="1169" t="s">
        <v>1131</v>
      </c>
      <c r="P64" s="1169" t="s">
        <v>137</v>
      </c>
      <c r="Q64" s="1169" t="s">
        <v>1133</v>
      </c>
      <c r="R64" s="1169" t="s">
        <v>138</v>
      </c>
      <c r="S64" s="1169" t="s">
        <v>139</v>
      </c>
      <c r="T64" s="1169" t="s">
        <v>140</v>
      </c>
      <c r="U64" s="1169" t="s">
        <v>60</v>
      </c>
      <c r="V64" s="1169" t="s">
        <v>141</v>
      </c>
      <c r="W64" s="1169" t="s">
        <v>142</v>
      </c>
      <c r="X64" s="1169" t="s">
        <v>144</v>
      </c>
      <c r="Y64" s="1169" t="s">
        <v>145</v>
      </c>
      <c r="Z64" s="1169" t="s">
        <v>45</v>
      </c>
      <c r="AA64" s="1170" t="s">
        <v>146</v>
      </c>
      <c r="AB64" s="1170" t="s">
        <v>147</v>
      </c>
      <c r="AC64" s="1148" t="s">
        <v>148</v>
      </c>
      <c r="AD64" s="178"/>
      <c r="AE64" s="1147" t="s">
        <v>1118</v>
      </c>
      <c r="AF64" s="1148" t="s">
        <v>1128</v>
      </c>
    </row>
    <row r="65" spans="1:32" ht="13" thickTop="1" x14ac:dyDescent="0.25">
      <c r="A65" s="179">
        <f>startup_year-construct</f>
        <v>2039</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2">
        <f ca="1">-$B$31*depr_cap_infl*E65</f>
        <v>-61803675.633103885</v>
      </c>
      <c r="H65" s="1171">
        <f ca="1">IF(C65&lt;0,-E65*equity*depr_cap_infl*percent_cap1,IF(C65=1,-E65*equity*depr_cap_infl,0))</f>
        <v>-41202450.422069259</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-424252.83228807186</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-2286735.9984248434</v>
      </c>
      <c r="T65" s="183">
        <f t="shared" ref="T65:T96" ca="1" si="12">IF(C65="","",F65+SUM(L65:S65))</f>
        <v>-2286735.9984248434</v>
      </c>
      <c r="U65" s="183">
        <f>IF(C65="","",IF(C65&lt;-1,0,IF(C65=anal_period,-LOOKUP(C65,depr_yr,depr_cost)-Depreciation!$C$141-Depreciation!$B$166,-LOOKUP(C65,depr_yr,depr_cost))))</f>
        <v>0</v>
      </c>
      <c r="V65" s="183">
        <f t="shared" ref="V65:V96" ca="1" si="13">IF(C65="","",SUM(T65:U65))</f>
        <v>-2286735.9984248434</v>
      </c>
      <c r="W65" s="184">
        <f t="shared" ref="W65:W96" si="14">IF(C65="","",$B$33)</f>
        <v>0.25739999999999996</v>
      </c>
      <c r="X65" s="183">
        <f t="shared" ref="X65:X96" ca="1" si="15">IF(C65="","",tax_credit-(V65*W65 +Upstream_CO2_taxpYear + Proc_CO2_taxpYear))</f>
        <v>588605.84599455458</v>
      </c>
      <c r="Y65" s="183">
        <f t="shared" ref="Y65:Y96" ca="1" si="16">IF(C65="","",SUM(T65,X65))</f>
        <v>-1698130.152430289</v>
      </c>
      <c r="Z65" s="183">
        <f>IF(C65="","",IF($B$31=0,"",-'Debt Financing Calculations'!F14))</f>
        <v>0</v>
      </c>
      <c r="AA65" s="183">
        <f t="shared" ref="AA65:AA96" ca="1" si="17">IF(C65="","",SUM(H65,I65,J65,K65,T65,X65,Z65))</f>
        <v>-43324833.406787619</v>
      </c>
      <c r="AB65" s="183">
        <f ca="1">AA65</f>
        <v>-43324833.406787619</v>
      </c>
      <c r="AC65" s="1149">
        <f t="shared" ref="AC65:AC96" ca="1" si="18">IF(C65="","",SUM(H65,I65,J65,K65,T65,Z65))</f>
        <v>-43913439.252782173</v>
      </c>
      <c r="AD65" s="134"/>
      <c r="AE65" s="1153">
        <f t="shared" ref="AE65:AE96" si="19">IF(C65="","",IF(C65&lt;0,0,IF(AND(C65=1,start_time&lt;1),(output_kgyear*start_time*percnt_revs+output_kgyear*(1-start_time)),IF(C65&lt;=start_time,output_kgyear*percnt_revs,output_kgyear))))</f>
        <v>0</v>
      </c>
      <c r="AF65" s="1149">
        <f t="shared" ref="AF65:AF96" si="20">IF(C65="","",tax_credit)</f>
        <v>0</v>
      </c>
    </row>
    <row r="66" spans="1:32" ht="13" x14ac:dyDescent="0.3">
      <c r="A66" s="58">
        <f t="shared" ref="A66:A113" si="21">IF(B66&lt;&gt;"",A65+1,"")</f>
        <v>2040</v>
      </c>
      <c r="B66" s="185">
        <f>IF(MAX($B$65:B65)&lt;(construct+anal_period),B65+1,"")</f>
        <v>2</v>
      </c>
      <c r="C66" s="185">
        <f t="shared" ref="C66:C113" si="22">IF(B66="","",IF(C65=-1,1,C65+1))</f>
        <v>1</v>
      </c>
      <c r="D66" s="185">
        <f t="shared" si="1"/>
        <v>1</v>
      </c>
      <c r="E66" s="186">
        <f t="shared" si="2"/>
        <v>1</v>
      </c>
      <c r="F66" s="59">
        <f t="shared" ca="1" si="3"/>
        <v>124660898.90137342</v>
      </c>
      <c r="G66" s="1163"/>
      <c r="H66" s="1172">
        <f>IF(C66&lt;0,-E66*equity*depr_cap_infl*percent_cap2,0)</f>
        <v>0</v>
      </c>
      <c r="I66" s="187">
        <f ca="1">IF(OR(C66&lt;0,C66=""),"",-E66*INDEX('Replacement Costs'!$A$16:$H$57,MATCH(C66,'Replacement Costs'!$C$16:$C$57,0),MATCH("Total Yearly Replacement Costs",'Replacement Costs'!$A$16:$H$16,0)))</f>
        <v>-524816.21225110709</v>
      </c>
      <c r="J66" s="187">
        <f ca="1">IF(AND(C66&gt;=1,C66&lt;anal_period),WorkingCap*SUM(N66:R66)-WorkingCap*SUM(N65:R65),IF(C66&lt;0,0,IF(B66="","",-SUM(J$65:J65))))</f>
        <v>-5751497.189913366</v>
      </c>
      <c r="K66" s="187" t="str">
        <f t="shared" si="4"/>
        <v/>
      </c>
      <c r="L66" s="187" t="str">
        <f t="shared" si="5"/>
        <v/>
      </c>
      <c r="M66" s="187" t="str">
        <f t="shared" si="6"/>
        <v/>
      </c>
      <c r="N66" s="187">
        <f t="shared" ca="1" si="7"/>
        <v>-6433377.2877511624</v>
      </c>
      <c r="O66" s="187">
        <f t="shared" ca="1" si="8"/>
        <v>-108333689.40617315</v>
      </c>
      <c r="P66" s="187">
        <f t="shared" ca="1" si="9"/>
        <v>0</v>
      </c>
      <c r="Q66" s="187">
        <f t="shared" ca="1" si="10"/>
        <v>0</v>
      </c>
      <c r="R66" s="1464">
        <f t="shared" ca="1" si="11"/>
        <v>-262877.10434299544</v>
      </c>
      <c r="S66" s="187">
        <f ca="1">IF(B66="","",IF($B$31=0,"",-'Debt Financing Calculations'!E15))</f>
        <v>-2286735.9984248434</v>
      </c>
      <c r="T66" s="187">
        <f t="shared" ca="1" si="12"/>
        <v>7344219.1046812534</v>
      </c>
      <c r="U66" s="187">
        <f ca="1">IF(C66="","",IF(C66&lt;-1,0,IF(C66=anal_period,-LOOKUP(C66,depr_yr,depr_cost)-Depreciation!$C$141-Depreciation!$B$166,-LOOKUP(C66,depr_yr,depr_cost))))</f>
        <v>-3882410.3350284095</v>
      </c>
      <c r="V66" s="187">
        <f t="shared" ca="1" si="13"/>
        <v>3461808.7696528439</v>
      </c>
      <c r="W66" s="188">
        <f t="shared" si="14"/>
        <v>0.25739999999999996</v>
      </c>
      <c r="X66" s="187">
        <f t="shared" ca="1" si="15"/>
        <v>-891069.57730864186</v>
      </c>
      <c r="Y66" s="187">
        <f t="shared" ca="1" si="16"/>
        <v>6453149.5273726117</v>
      </c>
      <c r="Z66" s="187">
        <f>IF(C66="","",IF($B$31=0,"",-'Debt Financing Calculations'!F15))</f>
        <v>0</v>
      </c>
      <c r="AA66" s="187">
        <f t="shared" ca="1" si="17"/>
        <v>176836.12520813837</v>
      </c>
      <c r="AB66" s="187">
        <f t="shared" ref="AB66:AB113" ca="1" si="23">IF(C66="","",AB65+AA66)</f>
        <v>-43147997.28157948</v>
      </c>
      <c r="AC66" s="1150">
        <f t="shared" ca="1" si="18"/>
        <v>1067905.7025167802</v>
      </c>
      <c r="AD66" s="134"/>
      <c r="AE66" s="1154">
        <f t="shared" ca="1" si="19"/>
        <v>17702500</v>
      </c>
      <c r="AF66" s="1150">
        <f t="shared" si="20"/>
        <v>0</v>
      </c>
    </row>
    <row r="67" spans="1:32" x14ac:dyDescent="0.25">
      <c r="A67" s="58">
        <f t="shared" si="21"/>
        <v>2041</v>
      </c>
      <c r="B67" s="185">
        <f>IF(MAX($B$65:B66)&lt;(construct+anal_period),B66+1,"")</f>
        <v>3</v>
      </c>
      <c r="C67" s="185">
        <f t="shared" si="22"/>
        <v>2</v>
      </c>
      <c r="D67" s="185">
        <f t="shared" si="1"/>
        <v>2</v>
      </c>
      <c r="E67" s="186">
        <f t="shared" si="2"/>
        <v>1.0189999999999999</v>
      </c>
      <c r="F67" s="59">
        <f t="shared" ca="1" si="3"/>
        <v>127029455.98049951</v>
      </c>
      <c r="G67" s="1163"/>
      <c r="H67" s="1172">
        <f>IF(C67&lt;0,-E67*equity*depr_cap_infl*percent_cap3,0)</f>
        <v>0</v>
      </c>
      <c r="I67" s="187">
        <f ca="1">IF(OR(C67&lt;0,C67=""),"",-E67*INDEX('Replacement Costs'!$A$16:$H$57,MATCH(C67,'Replacement Costs'!$C$16:$C$57,0),MATCH("Total Yearly Replacement Costs",'Replacement Costs'!$A$16:$H$16,0)))</f>
        <v>-534787.72028387804</v>
      </c>
      <c r="J67" s="187">
        <f ca="1">IF(AND(C67&gt;=1,C67&lt;anal_period),WorkingCap*SUM(N67:R67)-WorkingCap*SUM(N66:R66),IF(C67&lt;0,0,IF(B67="","",-SUM(J$65:J66))))</f>
        <v>-93045.675239082426</v>
      </c>
      <c r="K67" s="187" t="str">
        <f t="shared" si="4"/>
        <v/>
      </c>
      <c r="L67" s="187" t="str">
        <f t="shared" si="5"/>
        <v/>
      </c>
      <c r="M67" s="187" t="str">
        <f t="shared" si="6"/>
        <v/>
      </c>
      <c r="N67" s="187">
        <f t="shared" ca="1" si="7"/>
        <v>-6555611.4562184336</v>
      </c>
      <c r="O67" s="187">
        <f t="shared" ca="1" si="8"/>
        <v>-110067374.07750502</v>
      </c>
      <c r="P67" s="187">
        <f t="shared" ca="1" si="9"/>
        <v>0</v>
      </c>
      <c r="Q67" s="187">
        <f t="shared" ca="1" si="10"/>
        <v>0</v>
      </c>
      <c r="R67" s="187">
        <f t="shared" ca="1" si="11"/>
        <v>-267871.76932551234</v>
      </c>
      <c r="S67" s="187">
        <f ca="1">IF(B67="","",IF($B$31=0,"",-'Debt Financing Calculations'!E16))</f>
        <v>-2286735.9984248434</v>
      </c>
      <c r="T67" s="187">
        <f t="shared" ca="1" si="12"/>
        <v>7851862.6790256947</v>
      </c>
      <c r="U67" s="187">
        <f ca="1">IF(C67="","",IF(C67&lt;-1,0,IF(C67=anal_period,-LOOKUP(C67,depr_yr,depr_cost)-Depreciation!$C$141-Depreciation!$B$166,-LOOKUP(C67,depr_yr,depr_cost))))</f>
        <v>-7493953.2617960023</v>
      </c>
      <c r="V67" s="187">
        <f t="shared" ca="1" si="13"/>
        <v>357909.41722969245</v>
      </c>
      <c r="W67" s="188">
        <f t="shared" si="14"/>
        <v>0.25739999999999996</v>
      </c>
      <c r="X67" s="187">
        <f t="shared" ca="1" si="15"/>
        <v>-92125.883994922828</v>
      </c>
      <c r="Y67" s="187">
        <f t="shared" ca="1" si="16"/>
        <v>7759736.7950307718</v>
      </c>
      <c r="Z67" s="187">
        <f>IF(C67="","",IF($B$31=0,"",-'Debt Financing Calculations'!F16))</f>
        <v>0</v>
      </c>
      <c r="AA67" s="187">
        <f t="shared" ca="1" si="17"/>
        <v>7131903.3995078113</v>
      </c>
      <c r="AB67" s="187">
        <f t="shared" ca="1" si="23"/>
        <v>-36016093.882071666</v>
      </c>
      <c r="AC67" s="1150">
        <f t="shared" ca="1" si="18"/>
        <v>7224029.2835027343</v>
      </c>
      <c r="AD67" s="134"/>
      <c r="AE67" s="1154">
        <f t="shared" ca="1" si="19"/>
        <v>17702500</v>
      </c>
      <c r="AF67" s="1150">
        <f t="shared" si="20"/>
        <v>0</v>
      </c>
    </row>
    <row r="68" spans="1:32" ht="13" x14ac:dyDescent="0.3">
      <c r="A68" s="1084">
        <f t="shared" si="21"/>
        <v>2042</v>
      </c>
      <c r="B68" s="1085">
        <f>IF(MAX($B$65:B67)&lt;(construct+anal_period),B67+1,"")</f>
        <v>4</v>
      </c>
      <c r="C68" s="1085">
        <f t="shared" si="22"/>
        <v>3</v>
      </c>
      <c r="D68" s="1085">
        <f t="shared" si="1"/>
        <v>3</v>
      </c>
      <c r="E68" s="1086">
        <f t="shared" si="2"/>
        <v>1.0383609999999999</v>
      </c>
      <c r="F68" s="1087">
        <f t="shared" ca="1" si="3"/>
        <v>129443015.64412898</v>
      </c>
      <c r="G68" s="1164"/>
      <c r="H68" s="1173">
        <f>IF(C68&lt;0,-E68*equity*depr_cap_infl*percent_cap4,0)</f>
        <v>0</v>
      </c>
      <c r="I68" s="1088">
        <f ca="1">IF(OR(C68&lt;0,C68=""),"",-E68*INDEX('Replacement Costs'!$A$16:$H$57,MATCH(C68,'Replacement Costs'!$C$16:$C$57,0),MATCH("Total Yearly Replacement Costs",'Replacement Costs'!$A$16:$H$16,0)))</f>
        <v>-544948.68696927174</v>
      </c>
      <c r="J68" s="1088">
        <f ca="1">IF(AND(C68&gt;=1,C68&lt;anal_period),WorkingCap*SUM(N68:R68)-WorkingCap*SUM(N67:R67),IF(C68&lt;0,0,IF(B68="","",-SUM(J$65:J67))))</f>
        <v>-117550.65590514522</v>
      </c>
      <c r="K68" s="1088" t="str">
        <f t="shared" si="4"/>
        <v/>
      </c>
      <c r="L68" s="1088" t="str">
        <f t="shared" si="5"/>
        <v/>
      </c>
      <c r="M68" s="1088" t="str">
        <f t="shared" si="6"/>
        <v/>
      </c>
      <c r="N68" s="1088">
        <f t="shared" ca="1" si="7"/>
        <v>-6680168.0738865836</v>
      </c>
      <c r="O68" s="1088">
        <f t="shared" ca="1" si="8"/>
        <v>-112288741.01432258</v>
      </c>
      <c r="P68" s="1088">
        <f t="shared" ca="1" si="9"/>
        <v>0</v>
      </c>
      <c r="Q68" s="1088">
        <f t="shared" ca="1" si="10"/>
        <v>0</v>
      </c>
      <c r="R68" s="1088">
        <f t="shared" ca="1" si="11"/>
        <v>-272961.33294269704</v>
      </c>
      <c r="S68" s="1088">
        <f ca="1">IF(B68="","",IF($B$31=0,"",-'Debt Financing Calculations'!E17))</f>
        <v>-2286735.9984248434</v>
      </c>
      <c r="T68" s="1088">
        <f t="shared" ca="1" si="12"/>
        <v>7914409.2245522738</v>
      </c>
      <c r="U68" s="1088">
        <f ca="1">IF(C68="","",IF(C68&lt;-1,0,IF(C68=anal_period,-LOOKUP(C68,depr_yr,depr_cost)-Depreciation!$C$141-Depreciation!$B$166,-LOOKUP(C68,depr_yr,depr_cost))))</f>
        <v>-6971802.916484559</v>
      </c>
      <c r="V68" s="1088">
        <f t="shared" ca="1" si="13"/>
        <v>942606.3080677148</v>
      </c>
      <c r="W68" s="1089">
        <f t="shared" si="14"/>
        <v>0.25739999999999996</v>
      </c>
      <c r="X68" s="1088">
        <f t="shared" ca="1" si="15"/>
        <v>-242626.86369662976</v>
      </c>
      <c r="Y68" s="1088">
        <f ca="1">IF(C68="","",SUM(T68,X68))</f>
        <v>7671782.3608556436</v>
      </c>
      <c r="Z68" s="1088">
        <f>IF(C68="","",IF($B$31=0,"",-'Debt Financing Calculations'!F17))</f>
        <v>0</v>
      </c>
      <c r="AA68" s="1088">
        <f t="shared" ca="1" si="17"/>
        <v>7009283.0179812266</v>
      </c>
      <c r="AB68" s="1088">
        <f t="shared" ca="1" si="23"/>
        <v>-29006810.864090439</v>
      </c>
      <c r="AC68" s="1151">
        <f t="shared" ca="1" si="18"/>
        <v>7251909.8816778567</v>
      </c>
      <c r="AD68" s="1080"/>
      <c r="AE68" s="1155">
        <f t="shared" ca="1" si="19"/>
        <v>17702500</v>
      </c>
      <c r="AF68" s="1151">
        <f t="shared" si="20"/>
        <v>0</v>
      </c>
    </row>
    <row r="69" spans="1:32" x14ac:dyDescent="0.25">
      <c r="A69" s="58">
        <f t="shared" si="21"/>
        <v>2043</v>
      </c>
      <c r="B69" s="185">
        <f>IF(MAX($B$65:B68)&lt;(construct+anal_period),B68+1,"")</f>
        <v>5</v>
      </c>
      <c r="C69" s="185">
        <f t="shared" si="22"/>
        <v>4</v>
      </c>
      <c r="D69" s="185">
        <f t="shared" si="1"/>
        <v>4</v>
      </c>
      <c r="E69" s="186">
        <f t="shared" si="2"/>
        <v>1.0580898589999999</v>
      </c>
      <c r="F69" s="59">
        <f t="shared" ca="1" si="3"/>
        <v>131902432.94136743</v>
      </c>
      <c r="G69" s="1163"/>
      <c r="H69" s="1172">
        <f t="shared" ref="H69:H113" si="24">IF(C69="","",0)</f>
        <v>0</v>
      </c>
      <c r="I69" s="187">
        <f ca="1">IF(OR(C69&lt;0,C69=""),"",-E69*INDEX('Replacement Costs'!$A$16:$H$57,MATCH(C69,'Replacement Costs'!$C$16:$C$57,0),MATCH("Total Yearly Replacement Costs",'Replacement Costs'!$A$16:$H$16,0)))</f>
        <v>-555302.71202168788</v>
      </c>
      <c r="J69" s="187">
        <f ca="1">IF(AND(C69&gt;=1,C69&lt;anal_period),WorkingCap*SUM(N69:R69)-WorkingCap*SUM(N68:R68),IF(C69&lt;0,0,IF(B69="","",-SUM(J$65:J68))))</f>
        <v>-130739.35010680184</v>
      </c>
      <c r="K69" s="187" t="str">
        <f t="shared" si="4"/>
        <v/>
      </c>
      <c r="L69" s="187" t="str">
        <f t="shared" si="5"/>
        <v/>
      </c>
      <c r="M69" s="187" t="str">
        <f t="shared" si="6"/>
        <v/>
      </c>
      <c r="N69" s="187">
        <f t="shared" ca="1" si="7"/>
        <v>-6807091.2672904292</v>
      </c>
      <c r="O69" s="187">
        <f t="shared" ca="1" si="8"/>
        <v>-114771418.55772886</v>
      </c>
      <c r="P69" s="187">
        <f t="shared" ca="1" si="9"/>
        <v>0</v>
      </c>
      <c r="Q69" s="187">
        <f t="shared" ca="1" si="10"/>
        <v>0</v>
      </c>
      <c r="R69" s="187">
        <f t="shared" ca="1" si="11"/>
        <v>-278147.59826860827</v>
      </c>
      <c r="S69" s="187">
        <f ca="1">IF(B69="","",IF($B$31=0,"",-'Debt Financing Calculations'!E18))</f>
        <v>-2286735.9984248434</v>
      </c>
      <c r="T69" s="187">
        <f t="shared" ca="1" si="12"/>
        <v>7759039.5196546912</v>
      </c>
      <c r="U69" s="187">
        <f ca="1">IF(C69="","",IF(C69&lt;-1,0,IF(C69=anal_period,-LOOKUP(C69,depr_yr,depr_cost)-Depreciation!$C$141-Depreciation!$B$166,-LOOKUP(C69,depr_yr,depr_cost))))</f>
        <v>-6490977.777355276</v>
      </c>
      <c r="V69" s="187">
        <f t="shared" ca="1" si="13"/>
        <v>1268061.7422994152</v>
      </c>
      <c r="W69" s="188">
        <f t="shared" si="14"/>
        <v>0.25739999999999996</v>
      </c>
      <c r="X69" s="187">
        <f t="shared" ca="1" si="15"/>
        <v>-326399.0924678694</v>
      </c>
      <c r="Y69" s="187">
        <f t="shared" ca="1" si="16"/>
        <v>7432640.4271868216</v>
      </c>
      <c r="Z69" s="187">
        <f>IF(C69="","",IF($B$31=0,"",-'Debt Financing Calculations'!F18))</f>
        <v>0</v>
      </c>
      <c r="AA69" s="187">
        <f t="shared" ca="1" si="17"/>
        <v>6746598.3650583318</v>
      </c>
      <c r="AB69" s="187">
        <f t="shared" ca="1" si="23"/>
        <v>-22260212.499032106</v>
      </c>
      <c r="AC69" s="1150">
        <f t="shared" ca="1" si="18"/>
        <v>7072997.4575262014</v>
      </c>
      <c r="AD69" s="134"/>
      <c r="AE69" s="1154">
        <f t="shared" ca="1" si="19"/>
        <v>17702500</v>
      </c>
      <c r="AF69" s="1150">
        <f t="shared" si="20"/>
        <v>0</v>
      </c>
    </row>
    <row r="70" spans="1:32" x14ac:dyDescent="0.25">
      <c r="A70" s="58">
        <f t="shared" si="21"/>
        <v>2044</v>
      </c>
      <c r="B70" s="185">
        <f>IF(MAX($B$65:B69)&lt;(construct+anal_period),B69+1,"")</f>
        <v>6</v>
      </c>
      <c r="C70" s="185">
        <f t="shared" si="22"/>
        <v>5</v>
      </c>
      <c r="D70" s="185">
        <f t="shared" si="1"/>
        <v>5</v>
      </c>
      <c r="E70" s="186">
        <f t="shared" si="2"/>
        <v>1.0781935663209998</v>
      </c>
      <c r="F70" s="59">
        <f t="shared" ca="1" si="3"/>
        <v>134408579.1672534</v>
      </c>
      <c r="G70" s="1163"/>
      <c r="H70" s="1172">
        <f t="shared" si="24"/>
        <v>0</v>
      </c>
      <c r="I70" s="187">
        <f ca="1">IF(OR(C70&lt;0,C70=""),"",-E70*INDEX('Replacement Costs'!$A$16:$H$57,MATCH(C70,'Replacement Costs'!$C$16:$C$57,0),MATCH("Total Yearly Replacement Costs",'Replacement Costs'!$A$16:$H$16,0)))</f>
        <v>-565853.46355009999</v>
      </c>
      <c r="J70" s="187">
        <f ca="1">IF(AND(C70&gt;=1,C70&lt;anal_period),WorkingCap*SUM(N70:R70)-WorkingCap*SUM(N69:R69),IF(C70&lt;0,0,IF(B70="","",-SUM(J$65:J69))))</f>
        <v>-137796.86564527918</v>
      </c>
      <c r="K70" s="187" t="str">
        <f t="shared" si="4"/>
        <v/>
      </c>
      <c r="L70" s="187" t="str">
        <f t="shared" si="5"/>
        <v/>
      </c>
      <c r="M70" s="187" t="str">
        <f t="shared" si="6"/>
        <v/>
      </c>
      <c r="N70" s="187">
        <f t="shared" ca="1" si="7"/>
        <v>-6936426.0013689473</v>
      </c>
      <c r="O70" s="187">
        <f t="shared" ca="1" si="8"/>
        <v>-117392736.33218883</v>
      </c>
      <c r="P70" s="187">
        <f t="shared" ca="1" si="9"/>
        <v>0</v>
      </c>
      <c r="Q70" s="187">
        <f t="shared" ca="1" si="10"/>
        <v>0</v>
      </c>
      <c r="R70" s="187">
        <f t="shared" ca="1" si="11"/>
        <v>-283432.40263571183</v>
      </c>
      <c r="S70" s="187">
        <f ca="1">IF(B70="","",IF($B$31=0,"",-'Debt Financing Calculations'!E19))</f>
        <v>-2286735.9984248434</v>
      </c>
      <c r="T70" s="187">
        <f t="shared" ca="1" si="12"/>
        <v>7509248.4326350689</v>
      </c>
      <c r="U70" s="187">
        <f ca="1">IF(C70="","",IF(C70&lt;-1,0,IF(C70=anal_period,-LOOKUP(C70,depr_yr,depr_cost)-Depreciation!$C$141-Depreciation!$B$166,-LOOKUP(C70,depr_yr,depr_cost))))</f>
        <v>-6045449.6007127957</v>
      </c>
      <c r="V70" s="187">
        <f t="shared" ca="1" si="13"/>
        <v>1463798.8319222732</v>
      </c>
      <c r="W70" s="188">
        <f t="shared" si="14"/>
        <v>0.25739999999999996</v>
      </c>
      <c r="X70" s="187">
        <f t="shared" ca="1" si="15"/>
        <v>-376781.81933679304</v>
      </c>
      <c r="Y70" s="187">
        <f t="shared" ca="1" si="16"/>
        <v>7132466.6132982755</v>
      </c>
      <c r="Z70" s="187">
        <f>IF(C70="","",IF($B$31=0,"",-'Debt Financing Calculations'!F19))</f>
        <v>0</v>
      </c>
      <c r="AA70" s="187">
        <f t="shared" ca="1" si="17"/>
        <v>6428816.2841028962</v>
      </c>
      <c r="AB70" s="187">
        <f t="shared" ca="1" si="23"/>
        <v>-15831396.21492921</v>
      </c>
      <c r="AC70" s="1150">
        <f t="shared" ca="1" si="18"/>
        <v>6805598.1034396896</v>
      </c>
      <c r="AD70" s="134"/>
      <c r="AE70" s="1154">
        <f t="shared" ca="1" si="19"/>
        <v>17702500</v>
      </c>
      <c r="AF70" s="1150">
        <f t="shared" si="20"/>
        <v>0</v>
      </c>
    </row>
    <row r="71" spans="1:32" x14ac:dyDescent="0.25">
      <c r="A71" s="58">
        <f t="shared" si="21"/>
        <v>2045</v>
      </c>
      <c r="B71" s="185">
        <f>IF(MAX($B$65:B70)&lt;(construct+anal_period),B70+1,"")</f>
        <v>7</v>
      </c>
      <c r="C71" s="185">
        <f t="shared" si="22"/>
        <v>6</v>
      </c>
      <c r="D71" s="185">
        <f t="shared" si="1"/>
        <v>6</v>
      </c>
      <c r="E71" s="186">
        <f t="shared" si="2"/>
        <v>1.0986792440810986</v>
      </c>
      <c r="F71" s="59">
        <f t="shared" ca="1" si="3"/>
        <v>136962342.17143121</v>
      </c>
      <c r="G71" s="1163"/>
      <c r="H71" s="1172">
        <f t="shared" si="24"/>
        <v>0</v>
      </c>
      <c r="I71" s="187">
        <f ca="1">IF(OR(C71&lt;0,C71=""),"",-E71*INDEX('Replacement Costs'!$A$16:$H$57,MATCH(C71,'Replacement Costs'!$C$16:$C$57,0),MATCH("Total Yearly Replacement Costs",'Replacement Costs'!$A$16:$H$16,0)))</f>
        <v>-576604.67935755174</v>
      </c>
      <c r="J71" s="187">
        <f ca="1">IF(AND(C71&gt;=1,C71&lt;anal_period),WorkingCap*SUM(N71:R71)-WorkingCap*SUM(N70:R70),IF(C71&lt;0,0,IF(B71="","",-SUM(J$65:J70))))</f>
        <v>-140230.96246568952</v>
      </c>
      <c r="K71" s="187" t="str">
        <f t="shared" si="4"/>
        <v/>
      </c>
      <c r="L71" s="187" t="str">
        <f t="shared" si="5"/>
        <v/>
      </c>
      <c r="M71" s="187" t="str">
        <f t="shared" si="6"/>
        <v/>
      </c>
      <c r="N71" s="187">
        <f t="shared" ca="1" si="7"/>
        <v>-7068218.0953949559</v>
      </c>
      <c r="O71" s="187">
        <f t="shared" ca="1" si="8"/>
        <v>-120060178.27182654</v>
      </c>
      <c r="P71" s="187">
        <f t="shared" ca="1" si="9"/>
        <v>0</v>
      </c>
      <c r="Q71" s="187">
        <f t="shared" ca="1" si="10"/>
        <v>0</v>
      </c>
      <c r="R71" s="187">
        <f t="shared" ca="1" si="11"/>
        <v>-288817.61828579032</v>
      </c>
      <c r="S71" s="187">
        <f ca="1">IF(B71="","",IF($B$31=0,"",-'Debt Financing Calculations'!E20))</f>
        <v>-2286735.9984248434</v>
      </c>
      <c r="T71" s="187">
        <f t="shared" ca="1" si="12"/>
        <v>7258392.187499091</v>
      </c>
      <c r="U71" s="187">
        <f ca="1">IF(C71="","",IF(C71&lt;-1,0,IF(C71=anal_period,-LOOKUP(C71,depr_yr,depr_cost)-Depreciation!$C$141-Depreciation!$B$166,-LOOKUP(C71,depr_yr,depr_cost))))</f>
        <v>-5635373.400778559</v>
      </c>
      <c r="V71" s="187">
        <f t="shared" ca="1" si="13"/>
        <v>1623018.786720532</v>
      </c>
      <c r="W71" s="188">
        <f t="shared" si="14"/>
        <v>0.25739999999999996</v>
      </c>
      <c r="X71" s="187">
        <f t="shared" ca="1" si="15"/>
        <v>-417765.03570186486</v>
      </c>
      <c r="Y71" s="187">
        <f t="shared" ca="1" si="16"/>
        <v>6840627.1517972257</v>
      </c>
      <c r="Z71" s="187">
        <f>IF(C71="","",IF($B$31=0,"",-'Debt Financing Calculations'!F20))</f>
        <v>0</v>
      </c>
      <c r="AA71" s="187">
        <f t="shared" ca="1" si="17"/>
        <v>6123791.5099739842</v>
      </c>
      <c r="AB71" s="187">
        <f t="shared" ca="1" si="23"/>
        <v>-9707604.7049552258</v>
      </c>
      <c r="AC71" s="1150">
        <f t="shared" ca="1" si="18"/>
        <v>6541556.5456758495</v>
      </c>
      <c r="AD71" s="134"/>
      <c r="AE71" s="1154">
        <f t="shared" ca="1" si="19"/>
        <v>17702500</v>
      </c>
      <c r="AF71" s="1150">
        <f t="shared" si="20"/>
        <v>0</v>
      </c>
    </row>
    <row r="72" spans="1:32" x14ac:dyDescent="0.25">
      <c r="A72" s="58">
        <f t="shared" si="21"/>
        <v>2046</v>
      </c>
      <c r="B72" s="185">
        <f>IF(MAX($B$65:B71)&lt;(construct+anal_period),B71+1,"")</f>
        <v>8</v>
      </c>
      <c r="C72" s="185">
        <f t="shared" si="22"/>
        <v>7</v>
      </c>
      <c r="D72" s="185">
        <f t="shared" si="1"/>
        <v>7</v>
      </c>
      <c r="E72" s="186">
        <f t="shared" si="2"/>
        <v>1.1195541497186396</v>
      </c>
      <c r="F72" s="59">
        <f t="shared" ca="1" si="3"/>
        <v>139564626.67268842</v>
      </c>
      <c r="G72" s="1163"/>
      <c r="H72" s="1172">
        <f t="shared" si="24"/>
        <v>0</v>
      </c>
      <c r="I72" s="187">
        <f ca="1">IF(OR(C72&lt;0,C72=""),"",-E72*INDEX('Replacement Costs'!$A$16:$H$57,MATCH(C72,'Replacement Costs'!$C$16:$C$57,0),MATCH("Total Yearly Replacement Costs",'Replacement Costs'!$A$16:$H$16,0)))</f>
        <v>-587560.16826534527</v>
      </c>
      <c r="J72" s="187">
        <f ca="1">IF(AND(C72&gt;=1,C72&lt;anal_period),WorkingCap*SUM(N72:R72)-WorkingCap*SUM(N71:R71),IF(C72&lt;0,0,IF(B72="","",-SUM(J$65:J71))))</f>
        <v>-143682.47493900079</v>
      </c>
      <c r="K72" s="187" t="str">
        <f t="shared" si="4"/>
        <v/>
      </c>
      <c r="L72" s="187" t="str">
        <f t="shared" si="5"/>
        <v/>
      </c>
      <c r="M72" s="187" t="str">
        <f t="shared" si="6"/>
        <v/>
      </c>
      <c r="N72" s="187">
        <f t="shared" ca="1" si="7"/>
        <v>-7202514.2392074605</v>
      </c>
      <c r="O72" s="187">
        <f t="shared" ca="1" si="8"/>
        <v>-122794044.0920466</v>
      </c>
      <c r="P72" s="187">
        <f t="shared" ca="1" si="9"/>
        <v>0</v>
      </c>
      <c r="Q72" s="187">
        <f t="shared" ca="1" si="10"/>
        <v>0</v>
      </c>
      <c r="R72" s="187">
        <f t="shared" ca="1" si="11"/>
        <v>-294305.15303322038</v>
      </c>
      <c r="S72" s="187">
        <f ca="1">IF(B72="","",IF($B$31=0,"",-'Debt Financing Calculations'!E21))</f>
        <v>-2286735.9984248434</v>
      </c>
      <c r="T72" s="187">
        <f t="shared" ca="1" si="12"/>
        <v>6987027.1899762899</v>
      </c>
      <c r="U72" s="187">
        <f ca="1">IF(C72="","",IF(C72&lt;-1,0,IF(C72=anal_period,-LOOKUP(C72,depr_yr,depr_cost)-Depreciation!$C$141-Depreciation!$B$166,-LOOKUP(C72,depr_yr,depr_cost))))</f>
        <v>-5255730.5899308454</v>
      </c>
      <c r="V72" s="187">
        <f t="shared" ca="1" si="13"/>
        <v>1731296.6000454444</v>
      </c>
      <c r="W72" s="188">
        <f t="shared" si="14"/>
        <v>0.25739999999999996</v>
      </c>
      <c r="X72" s="187">
        <f t="shared" ca="1" si="15"/>
        <v>-445635.74485169735</v>
      </c>
      <c r="Y72" s="187">
        <f t="shared" ca="1" si="16"/>
        <v>6541391.4451245926</v>
      </c>
      <c r="Z72" s="187">
        <f>IF(C72="","",IF($B$31=0,"",-'Debt Financing Calculations'!F21))</f>
        <v>0</v>
      </c>
      <c r="AA72" s="187">
        <f t="shared" ca="1" si="17"/>
        <v>5810148.8019202463</v>
      </c>
      <c r="AB72" s="187">
        <f t="shared" ca="1" si="23"/>
        <v>-3897455.9030349795</v>
      </c>
      <c r="AC72" s="1150">
        <f t="shared" ca="1" si="18"/>
        <v>6255784.5467719436</v>
      </c>
      <c r="AD72" s="134"/>
      <c r="AE72" s="1154">
        <f t="shared" ca="1" si="19"/>
        <v>17702500</v>
      </c>
      <c r="AF72" s="1150">
        <f t="shared" si="20"/>
        <v>0</v>
      </c>
    </row>
    <row r="73" spans="1:32" x14ac:dyDescent="0.25">
      <c r="A73" s="58">
        <f t="shared" si="21"/>
        <v>2047</v>
      </c>
      <c r="B73" s="185">
        <f>IF(MAX($B$65:B72)&lt;(construct+anal_period),B72+1,"")</f>
        <v>9</v>
      </c>
      <c r="C73" s="185">
        <f t="shared" si="22"/>
        <v>8</v>
      </c>
      <c r="D73" s="185">
        <f t="shared" si="1"/>
        <v>8</v>
      </c>
      <c r="E73" s="186">
        <f t="shared" si="2"/>
        <v>1.1408256785632938</v>
      </c>
      <c r="F73" s="59">
        <f t="shared" ca="1" si="3"/>
        <v>142216354.5794695</v>
      </c>
      <c r="G73" s="1163"/>
      <c r="H73" s="1172">
        <f t="shared" si="24"/>
        <v>0</v>
      </c>
      <c r="I73" s="187">
        <f ca="1">IF(OR(C73&lt;0,C73=""),"",-E73*INDEX('Replacement Costs'!$A$16:$H$57,MATCH(C73,'Replacement Costs'!$C$16:$C$57,0),MATCH("Total Yearly Replacement Costs",'Replacement Costs'!$A$16:$H$16,0)))</f>
        <v>-598723.81146238686</v>
      </c>
      <c r="J73" s="187">
        <f ca="1">IF(AND(C73&gt;=1,C73&lt;anal_period),WorkingCap*SUM(N73:R73)-WorkingCap*SUM(N72:R72),IF(C73&lt;0,0,IF(B73="","",-SUM(J$65:J72))))</f>
        <v>-144475.23052801844</v>
      </c>
      <c r="K73" s="187" t="str">
        <f t="shared" si="4"/>
        <v/>
      </c>
      <c r="L73" s="187" t="str">
        <f t="shared" si="5"/>
        <v/>
      </c>
      <c r="M73" s="187" t="str">
        <f t="shared" si="6"/>
        <v/>
      </c>
      <c r="N73" s="187">
        <f t="shared" ca="1" si="7"/>
        <v>-7339362.0097524021</v>
      </c>
      <c r="O73" s="187">
        <f t="shared" ca="1" si="8"/>
        <v>-125541109.13415441</v>
      </c>
      <c r="P73" s="187">
        <f t="shared" ca="1" si="9"/>
        <v>0</v>
      </c>
      <c r="Q73" s="187">
        <f t="shared" ca="1" si="10"/>
        <v>0</v>
      </c>
      <c r="R73" s="187">
        <f t="shared" ca="1" si="11"/>
        <v>-299896.95094085153</v>
      </c>
      <c r="S73" s="187">
        <f ca="1">IF(B73="","",IF($B$31=0,"",-'Debt Financing Calculations'!E22))</f>
        <v>-2286735.9984248434</v>
      </c>
      <c r="T73" s="187">
        <f t="shared" ca="1" si="12"/>
        <v>6749250.4861969948</v>
      </c>
      <c r="U73" s="187">
        <f ca="1">IF(C73="","",IF(C73&lt;-1,0,IF(C73=anal_period,-LOOKUP(C73,depr_yr,depr_cost)-Depreciation!$C$141-Depreciation!$B$166,-LOOKUP(C73,depr_yr,depr_cost))))</f>
        <v>-4906655.389505635</v>
      </c>
      <c r="V73" s="187">
        <f t="shared" ca="1" si="13"/>
        <v>1842595.0966913598</v>
      </c>
      <c r="W73" s="188">
        <f t="shared" si="14"/>
        <v>0.25739999999999996</v>
      </c>
      <c r="X73" s="187">
        <f t="shared" ca="1" si="15"/>
        <v>-474283.97788835596</v>
      </c>
      <c r="Y73" s="187">
        <f t="shared" ca="1" si="16"/>
        <v>6274966.5083086388</v>
      </c>
      <c r="Z73" s="187">
        <f>IF(C73="","",IF($B$31=0,"",-'Debt Financing Calculations'!F22))</f>
        <v>0</v>
      </c>
      <c r="AA73" s="187">
        <f t="shared" ca="1" si="17"/>
        <v>5531767.4663182339</v>
      </c>
      <c r="AB73" s="187">
        <f t="shared" ca="1" si="23"/>
        <v>1634311.5632832544</v>
      </c>
      <c r="AC73" s="1150">
        <f t="shared" ca="1" si="18"/>
        <v>6006051.4442065898</v>
      </c>
      <c r="AD73" s="134"/>
      <c r="AE73" s="1154">
        <f t="shared" ca="1" si="19"/>
        <v>17702500</v>
      </c>
      <c r="AF73" s="1150">
        <f t="shared" si="20"/>
        <v>0</v>
      </c>
    </row>
    <row r="74" spans="1:32" x14ac:dyDescent="0.25">
      <c r="A74" s="58">
        <f t="shared" si="21"/>
        <v>2048</v>
      </c>
      <c r="B74" s="185">
        <f>IF(MAX($B$65:B73)&lt;(construct+anal_period),B73+1,"")</f>
        <v>10</v>
      </c>
      <c r="C74" s="185">
        <f t="shared" si="22"/>
        <v>9</v>
      </c>
      <c r="D74" s="185">
        <f t="shared" si="1"/>
        <v>9</v>
      </c>
      <c r="E74" s="186">
        <f t="shared" si="2"/>
        <v>1.1625013664559962</v>
      </c>
      <c r="F74" s="59">
        <f t="shared" ca="1" si="3"/>
        <v>144918465.31647938</v>
      </c>
      <c r="G74" s="1163"/>
      <c r="H74" s="1172">
        <f t="shared" si="24"/>
        <v>0</v>
      </c>
      <c r="I74" s="187">
        <f ca="1">IF(OR(C74&lt;0,C74=""),"",-E74*INDEX('Replacement Costs'!$A$16:$H$57,MATCH(C74,'Replacement Costs'!$C$16:$C$57,0),MATCH("Total Yearly Replacement Costs",'Replacement Costs'!$A$16:$H$16,0)))</f>
        <v>-610099.56388017209</v>
      </c>
      <c r="J74" s="187">
        <f ca="1">IF(AND(C74&gt;=1,C74&lt;anal_period),WorkingCap*SUM(N74:R74)-WorkingCap*SUM(N73:R73),IF(C74&lt;0,0,IF(B74="","",-SUM(J$65:J73))))</f>
        <v>-150247.05169906747</v>
      </c>
      <c r="K74" s="187" t="str">
        <f t="shared" si="4"/>
        <v/>
      </c>
      <c r="L74" s="187" t="str">
        <f t="shared" si="5"/>
        <v/>
      </c>
      <c r="M74" s="187" t="str">
        <f t="shared" si="6"/>
        <v/>
      </c>
      <c r="N74" s="187">
        <f t="shared" ca="1" si="7"/>
        <v>-7478809.8879376976</v>
      </c>
      <c r="O74" s="187">
        <f t="shared" ca="1" si="8"/>
        <v>-128400904.24788256</v>
      </c>
      <c r="P74" s="187">
        <f t="shared" ca="1" si="9"/>
        <v>0</v>
      </c>
      <c r="Q74" s="187">
        <f t="shared" ca="1" si="10"/>
        <v>0</v>
      </c>
      <c r="R74" s="187">
        <f t="shared" ca="1" si="11"/>
        <v>-305594.99300872773</v>
      </c>
      <c r="S74" s="187">
        <f ca="1">IF(B74="","",IF($B$31=0,"",-'Debt Financing Calculations'!E23))</f>
        <v>-2286735.9984248434</v>
      </c>
      <c r="T74" s="187">
        <f t="shared" ca="1" si="12"/>
        <v>6446420.1892255247</v>
      </c>
      <c r="U74" s="187">
        <f ca="1">IF(C74="","",IF(C74&lt;-1,0,IF(C74=anal_period,-LOOKUP(C74,depr_yr,depr_cost)-Depreciation!$C$141-Depreciation!$B$166,-LOOKUP(C74,depr_yr,depr_cost))))</f>
        <v>-4872994.6622796971</v>
      </c>
      <c r="V74" s="187">
        <f t="shared" ca="1" si="13"/>
        <v>1573425.5269458275</v>
      </c>
      <c r="W74" s="188">
        <f t="shared" si="14"/>
        <v>0.25739999999999996</v>
      </c>
      <c r="X74" s="187">
        <f t="shared" ca="1" si="15"/>
        <v>-404999.73063585593</v>
      </c>
      <c r="Y74" s="187">
        <f t="shared" ca="1" si="16"/>
        <v>6041420.4585896684</v>
      </c>
      <c r="Z74" s="187">
        <f>IF(C74="","",IF($B$31=0,"",-'Debt Financing Calculations'!F23))</f>
        <v>0</v>
      </c>
      <c r="AA74" s="187">
        <f t="shared" ca="1" si="17"/>
        <v>5281073.8430104284</v>
      </c>
      <c r="AB74" s="187">
        <f t="shared" ca="1" si="23"/>
        <v>6915385.4062936828</v>
      </c>
      <c r="AC74" s="1150">
        <f t="shared" ca="1" si="18"/>
        <v>5686073.5736462846</v>
      </c>
      <c r="AD74" s="134"/>
      <c r="AE74" s="1154">
        <f t="shared" ca="1" si="19"/>
        <v>17702500</v>
      </c>
      <c r="AF74" s="1150">
        <f t="shared" si="20"/>
        <v>0</v>
      </c>
    </row>
    <row r="75" spans="1:32" x14ac:dyDescent="0.25">
      <c r="A75" s="58">
        <f t="shared" si="21"/>
        <v>2049</v>
      </c>
      <c r="B75" s="185">
        <f>IF(MAX($B$65:B74)&lt;(construct+anal_period),B74+1,"")</f>
        <v>11</v>
      </c>
      <c r="C75" s="185">
        <f t="shared" si="22"/>
        <v>10</v>
      </c>
      <c r="D75" s="185">
        <f t="shared" si="1"/>
        <v>10</v>
      </c>
      <c r="E75" s="186">
        <f t="shared" si="2"/>
        <v>1.1845888924186601</v>
      </c>
      <c r="F75" s="59">
        <f t="shared" ca="1" si="3"/>
        <v>147671916.15749249</v>
      </c>
      <c r="G75" s="1163"/>
      <c r="H75" s="1172">
        <f t="shared" si="24"/>
        <v>0</v>
      </c>
      <c r="I75" s="187">
        <f ca="1">IF(OR(C75&lt;0,C75=""),"",-E75*INDEX('Replacement Costs'!$A$16:$H$57,MATCH(C75,'Replacement Costs'!$C$16:$C$57,0),MATCH("Total Yearly Replacement Costs",'Replacement Costs'!$A$16:$H$16,0)))</f>
        <v>-621691.4555938954</v>
      </c>
      <c r="J75" s="187">
        <f ca="1">IF(AND(C75&gt;=1,C75&lt;anal_period),WorkingCap*SUM(N75:R75)-WorkingCap*SUM(N74:R74),IF(C75&lt;0,0,IF(B75="","",-SUM(J$65:J74))))</f>
        <v>-150322.45604302268</v>
      </c>
      <c r="K75" s="187" t="str">
        <f t="shared" si="4"/>
        <v/>
      </c>
      <c r="L75" s="187" t="str">
        <f t="shared" si="5"/>
        <v/>
      </c>
      <c r="M75" s="187" t="str">
        <f t="shared" si="6"/>
        <v/>
      </c>
      <c r="N75" s="187">
        <f t="shared" ca="1" si="7"/>
        <v>-7620907.2758085132</v>
      </c>
      <c r="O75" s="187">
        <f t="shared" ca="1" si="8"/>
        <v>-131259449.67600507</v>
      </c>
      <c r="P75" s="187">
        <f t="shared" ca="1" si="9"/>
        <v>0</v>
      </c>
      <c r="Q75" s="187">
        <f t="shared" ca="1" si="10"/>
        <v>0</v>
      </c>
      <c r="R75" s="187">
        <f t="shared" ca="1" si="11"/>
        <v>-311401.29787589348</v>
      </c>
      <c r="S75" s="187">
        <f ca="1">IF(B75="","",IF($B$31=0,"",-'Debt Financing Calculations'!E24))</f>
        <v>-2286735.9984248434</v>
      </c>
      <c r="T75" s="187">
        <f t="shared" ca="1" si="12"/>
        <v>6193421.909378171</v>
      </c>
      <c r="U75" s="187">
        <f ca="1">IF(C75="","",IF(C75&lt;-1,0,IF(C75=anal_period,-LOOKUP(C75,depr_yr,depr_cost)-Depreciation!$C$141-Depreciation!$B$166,-LOOKUP(C75,depr_yr,depr_cost))))</f>
        <v>-4900637.0172839286</v>
      </c>
      <c r="V75" s="187">
        <f t="shared" ca="1" si="13"/>
        <v>1292784.8920942424</v>
      </c>
      <c r="W75" s="188">
        <f t="shared" si="14"/>
        <v>0.25739999999999996</v>
      </c>
      <c r="X75" s="187">
        <f t="shared" ca="1" si="15"/>
        <v>-332762.83122505795</v>
      </c>
      <c r="Y75" s="187">
        <f t="shared" ca="1" si="16"/>
        <v>5860659.0781531129</v>
      </c>
      <c r="Z75" s="187">
        <f>IF(C75="","",IF($B$31=0,"",-'Debt Financing Calculations'!F24))</f>
        <v>0</v>
      </c>
      <c r="AA75" s="187">
        <f t="shared" ca="1" si="17"/>
        <v>5088645.1665161951</v>
      </c>
      <c r="AB75" s="187">
        <f t="shared" ca="1" si="23"/>
        <v>12004030.572809879</v>
      </c>
      <c r="AC75" s="1150">
        <f t="shared" ca="1" si="18"/>
        <v>5421407.9977412531</v>
      </c>
      <c r="AD75" s="134"/>
      <c r="AE75" s="1154">
        <f t="shared" ca="1" si="19"/>
        <v>17702500</v>
      </c>
      <c r="AF75" s="1150">
        <f t="shared" si="20"/>
        <v>0</v>
      </c>
    </row>
    <row r="76" spans="1:32" x14ac:dyDescent="0.25">
      <c r="A76" s="58">
        <f t="shared" si="21"/>
        <v>2050</v>
      </c>
      <c r="B76" s="185">
        <f>IF(MAX($B$65:B75)&lt;(construct+anal_period),B75+1,"")</f>
        <v>12</v>
      </c>
      <c r="C76" s="185">
        <f t="shared" si="22"/>
        <v>11</v>
      </c>
      <c r="D76" s="185">
        <f t="shared" si="1"/>
        <v>11</v>
      </c>
      <c r="E76" s="186">
        <f t="shared" si="2"/>
        <v>1.2070960813746145</v>
      </c>
      <c r="F76" s="59">
        <f t="shared" ca="1" si="3"/>
        <v>150477682.56448483</v>
      </c>
      <c r="G76" s="1163"/>
      <c r="H76" s="1172">
        <f t="shared" si="24"/>
        <v>0</v>
      </c>
      <c r="I76" s="187">
        <f ca="1">IF(OR(C76&lt;0,C76=""),"",-E76*INDEX('Replacement Costs'!$A$16:$H$57,MATCH(C76,'Replacement Costs'!$C$16:$C$57,0),MATCH("Total Yearly Replacement Costs",'Replacement Costs'!$A$16:$H$16,0)))</f>
        <v>-11493565.191824684</v>
      </c>
      <c r="J76" s="187">
        <f ca="1">IF(AND(C76&gt;=1,C76&lt;anal_period),WorkingCap*SUM(N76:R76)-WorkingCap*SUM(N75:R75),IF(C76&lt;0,0,IF(B76="","",-SUM(J$65:J75))))</f>
        <v>-152925.05995937902</v>
      </c>
      <c r="K76" s="187" t="str">
        <f t="shared" si="4"/>
        <v/>
      </c>
      <c r="L76" s="187" t="str">
        <f t="shared" si="5"/>
        <v/>
      </c>
      <c r="M76" s="187" t="str">
        <f t="shared" si="6"/>
        <v/>
      </c>
      <c r="N76" s="187">
        <f t="shared" ca="1" si="7"/>
        <v>-7765704.5140488744</v>
      </c>
      <c r="O76" s="187">
        <f t="shared" ca="1" si="8"/>
        <v>-134167237.01229264</v>
      </c>
      <c r="P76" s="187">
        <f t="shared" ca="1" si="9"/>
        <v>0</v>
      </c>
      <c r="Q76" s="187">
        <f t="shared" ca="1" si="10"/>
        <v>0</v>
      </c>
      <c r="R76" s="187">
        <f t="shared" ca="1" si="11"/>
        <v>-317317.92253553547</v>
      </c>
      <c r="S76" s="187">
        <f ca="1">IF(B76="","",IF($B$31=0,"",-'Debt Financing Calculations'!E25))</f>
        <v>-2286735.9984248434</v>
      </c>
      <c r="T76" s="187">
        <f t="shared" ca="1" si="12"/>
        <v>5940687.1171829402</v>
      </c>
      <c r="U76" s="187">
        <f ca="1">IF(C76="","",IF(C76&lt;-1,0,IF(C76=anal_period,-LOOKUP(C76,depr_yr,depr_cost)-Depreciation!$C$141-Depreciation!$B$166,-LOOKUP(C76,depr_yr,depr_cost))))</f>
        <v>-5338141.8288269583</v>
      </c>
      <c r="V76" s="187">
        <f t="shared" ca="1" si="13"/>
        <v>602545.28835598193</v>
      </c>
      <c r="W76" s="188">
        <f t="shared" si="14"/>
        <v>0.25739999999999996</v>
      </c>
      <c r="X76" s="187">
        <f t="shared" ca="1" si="15"/>
        <v>-155095.15722282973</v>
      </c>
      <c r="Y76" s="187">
        <f t="shared" ca="1" si="16"/>
        <v>5785591.9599601105</v>
      </c>
      <c r="Z76" s="187">
        <f>IF(C76="","",IF($B$31=0,"",-'Debt Financing Calculations'!F25))</f>
        <v>0</v>
      </c>
      <c r="AA76" s="187">
        <f t="shared" ca="1" si="17"/>
        <v>-5860898.2918239534</v>
      </c>
      <c r="AB76" s="187">
        <f t="shared" ca="1" si="23"/>
        <v>6143132.2809859253</v>
      </c>
      <c r="AC76" s="1150">
        <f t="shared" ca="1" si="18"/>
        <v>-5705803.1346011236</v>
      </c>
      <c r="AD76" s="134"/>
      <c r="AE76" s="1154">
        <f t="shared" ca="1" si="19"/>
        <v>17702500</v>
      </c>
      <c r="AF76" s="1150">
        <f t="shared" si="20"/>
        <v>0</v>
      </c>
    </row>
    <row r="77" spans="1:32" x14ac:dyDescent="0.25">
      <c r="A77" s="58">
        <f t="shared" si="21"/>
        <v>2051</v>
      </c>
      <c r="B77" s="185">
        <f>IF(MAX($B$65:B76)&lt;(construct+anal_period),B76+1,"")</f>
        <v>13</v>
      </c>
      <c r="C77" s="185">
        <f t="shared" si="22"/>
        <v>12</v>
      </c>
      <c r="D77" s="185">
        <f t="shared" si="1"/>
        <v>12</v>
      </c>
      <c r="E77" s="186">
        <f t="shared" si="2"/>
        <v>1.2300309069207322</v>
      </c>
      <c r="F77" s="59">
        <f t="shared" ca="1" si="3"/>
        <v>153336758.53321007</v>
      </c>
      <c r="G77" s="1163"/>
      <c r="H77" s="1172">
        <f t="shared" si="24"/>
        <v>0</v>
      </c>
      <c r="I77" s="187">
        <f ca="1">IF(OR(C77&lt;0,C77=""),"",-E77*INDEX('Replacement Costs'!$A$16:$H$57,MATCH(C77,'Replacement Costs'!$C$16:$C$57,0),MATCH("Total Yearly Replacement Costs",'Replacement Costs'!$A$16:$H$16,0)))</f>
        <v>-645540.16152193281</v>
      </c>
      <c r="J77" s="187">
        <f ca="1">IF(AND(C77&gt;=1,C77&lt;anal_period),WorkingCap*SUM(N77:R77)-WorkingCap*SUM(N76:R76),IF(C77&lt;0,0,IF(B77="","",-SUM(J$65:J76))))</f>
        <v>-141337.53103096317</v>
      </c>
      <c r="K77" s="187" t="str">
        <f t="shared" si="4"/>
        <v/>
      </c>
      <c r="L77" s="187" t="str">
        <f t="shared" si="5"/>
        <v/>
      </c>
      <c r="M77" s="187" t="str">
        <f t="shared" si="6"/>
        <v/>
      </c>
      <c r="N77" s="187">
        <f t="shared" ca="1" si="7"/>
        <v>-7913252.8998158034</v>
      </c>
      <c r="O77" s="187">
        <f t="shared" ca="1" si="8"/>
        <v>-136840410.20661679</v>
      </c>
      <c r="P77" s="187">
        <f t="shared" ca="1" si="9"/>
        <v>0</v>
      </c>
      <c r="Q77" s="187">
        <f t="shared" ca="1" si="10"/>
        <v>0</v>
      </c>
      <c r="R77" s="187">
        <f t="shared" ca="1" si="11"/>
        <v>-323346.96306371066</v>
      </c>
      <c r="S77" s="187">
        <f ca="1">IF(B77="","",IF($B$31=0,"",-'Debt Financing Calculations'!E26))</f>
        <v>-2286735.9984248434</v>
      </c>
      <c r="T77" s="187">
        <f t="shared" ca="1" si="12"/>
        <v>5973012.4652889073</v>
      </c>
      <c r="U77" s="187">
        <f ca="1">IF(C77="","",IF(C77&lt;-1,0,IF(C77=anal_period,-LOOKUP(C77,depr_yr,depr_cost)-Depreciation!$C$141-Depreciation!$B$166,-LOOKUP(C77,depr_yr,depr_cost))))</f>
        <v>-5743619.7229611501</v>
      </c>
      <c r="V77" s="187">
        <f t="shared" ca="1" si="13"/>
        <v>229392.74232775718</v>
      </c>
      <c r="W77" s="188">
        <f t="shared" si="14"/>
        <v>0.25739999999999996</v>
      </c>
      <c r="X77" s="187">
        <f t="shared" ca="1" si="15"/>
        <v>-59045.691875164688</v>
      </c>
      <c r="Y77" s="187">
        <f t="shared" ca="1" si="16"/>
        <v>5913966.7734137429</v>
      </c>
      <c r="Z77" s="187">
        <f>IF(C77="","",IF($B$31=0,"",-'Debt Financing Calculations'!F26))</f>
        <v>0</v>
      </c>
      <c r="AA77" s="187">
        <f t="shared" ca="1" si="17"/>
        <v>5127089.0808608467</v>
      </c>
      <c r="AB77" s="187">
        <f t="shared" ca="1" si="23"/>
        <v>11270221.361846771</v>
      </c>
      <c r="AC77" s="1150">
        <f t="shared" ca="1" si="18"/>
        <v>5186134.7727360111</v>
      </c>
      <c r="AD77" s="134"/>
      <c r="AE77" s="1154">
        <f t="shared" ca="1" si="19"/>
        <v>17702500</v>
      </c>
      <c r="AF77" s="1150">
        <f t="shared" si="20"/>
        <v>0</v>
      </c>
    </row>
    <row r="78" spans="1:32" x14ac:dyDescent="0.25">
      <c r="A78" s="58">
        <f t="shared" si="21"/>
        <v>2052</v>
      </c>
      <c r="B78" s="185">
        <f>IF(MAX($B$65:B77)&lt;(construct+anal_period),B77+1,"")</f>
        <v>14</v>
      </c>
      <c r="C78" s="185">
        <f t="shared" si="22"/>
        <v>13</v>
      </c>
      <c r="D78" s="185">
        <f t="shared" si="1"/>
        <v>13</v>
      </c>
      <c r="E78" s="186">
        <f t="shared" si="2"/>
        <v>1.253401494152226</v>
      </c>
      <c r="F78" s="59">
        <f t="shared" ca="1" si="3"/>
        <v>156250156.94534102</v>
      </c>
      <c r="G78" s="1163"/>
      <c r="H78" s="1172">
        <f t="shared" si="24"/>
        <v>0</v>
      </c>
      <c r="I78" s="187">
        <f ca="1">IF(OR(C78&lt;0,C78=""),"",-E78*INDEX('Replacement Costs'!$A$16:$H$57,MATCH(C78,'Replacement Costs'!$C$16:$C$57,0),MATCH("Total Yearly Replacement Costs",'Replacement Costs'!$A$16:$H$16,0)))</f>
        <v>-657805.42459084943</v>
      </c>
      <c r="J78" s="187">
        <f ca="1">IF(AND(C78&gt;=1,C78&lt;anal_period),WorkingCap*SUM(N78:R78)-WorkingCap*SUM(N77:R77),IF(C78&lt;0,0,IF(B78="","",-SUM(J$65:J77))))</f>
        <v>-144146.46979083214</v>
      </c>
      <c r="K78" s="187" t="str">
        <f t="shared" si="4"/>
        <v/>
      </c>
      <c r="L78" s="187" t="str">
        <f t="shared" si="5"/>
        <v/>
      </c>
      <c r="M78" s="187" t="str">
        <f t="shared" si="6"/>
        <v/>
      </c>
      <c r="N78" s="187">
        <f t="shared" ca="1" si="7"/>
        <v>-8063604.7049123021</v>
      </c>
      <c r="O78" s="187">
        <f t="shared" ca="1" si="8"/>
        <v>-139566844.20503873</v>
      </c>
      <c r="P78" s="187">
        <f t="shared" ca="1" si="9"/>
        <v>0</v>
      </c>
      <c r="Q78" s="187">
        <f t="shared" ca="1" si="10"/>
        <v>0</v>
      </c>
      <c r="R78" s="187">
        <f t="shared" ca="1" si="11"/>
        <v>-329490.55536192108</v>
      </c>
      <c r="S78" s="187">
        <f ca="1">IF(B78="","",IF($B$31=0,"",-'Debt Financing Calculations'!E27))</f>
        <v>-2286735.9984248434</v>
      </c>
      <c r="T78" s="187">
        <f t="shared" ca="1" si="12"/>
        <v>6003481.4816032052</v>
      </c>
      <c r="U78" s="187">
        <f ca="1">IF(C78="","",IF(C78&lt;-1,0,IF(C78=anal_period,-LOOKUP(C78,depr_yr,depr_cost)-Depreciation!$C$141-Depreciation!$B$166,-LOOKUP(C78,depr_yr,depr_cost))))</f>
        <v>-5716131.5930120116</v>
      </c>
      <c r="V78" s="187">
        <f t="shared" ca="1" si="13"/>
        <v>287349.88859119359</v>
      </c>
      <c r="W78" s="188">
        <f t="shared" si="14"/>
        <v>0.25739999999999996</v>
      </c>
      <c r="X78" s="187">
        <f t="shared" ca="1" si="15"/>
        <v>-73963.861323373218</v>
      </c>
      <c r="Y78" s="187">
        <f t="shared" ca="1" si="16"/>
        <v>5929517.6202798318</v>
      </c>
      <c r="Z78" s="187">
        <f>IF(C78="","",IF($B$31=0,"",-'Debt Financing Calculations'!F27))</f>
        <v>0</v>
      </c>
      <c r="AA78" s="187">
        <f t="shared" ca="1" si="17"/>
        <v>5127565.7258981504</v>
      </c>
      <c r="AB78" s="187">
        <f t="shared" ca="1" si="23"/>
        <v>16397787.087744921</v>
      </c>
      <c r="AC78" s="1150">
        <f t="shared" ca="1" si="18"/>
        <v>5201529.5872215237</v>
      </c>
      <c r="AD78" s="134"/>
      <c r="AE78" s="1154">
        <f t="shared" ca="1" si="19"/>
        <v>17702500</v>
      </c>
      <c r="AF78" s="1150">
        <f t="shared" si="20"/>
        <v>0</v>
      </c>
    </row>
    <row r="79" spans="1:32" x14ac:dyDescent="0.25">
      <c r="A79" s="58">
        <f t="shared" si="21"/>
        <v>2053</v>
      </c>
      <c r="B79" s="185">
        <f>IF(MAX($B$65:B78)&lt;(construct+anal_period),B78+1,"")</f>
        <v>15</v>
      </c>
      <c r="C79" s="185">
        <f t="shared" si="22"/>
        <v>14</v>
      </c>
      <c r="D79" s="185">
        <f t="shared" si="1"/>
        <v>14</v>
      </c>
      <c r="E79" s="186">
        <f t="shared" si="2"/>
        <v>1.277216122541118</v>
      </c>
      <c r="F79" s="59">
        <f t="shared" ca="1" si="3"/>
        <v>159218909.92730248</v>
      </c>
      <c r="G79" s="1163"/>
      <c r="H79" s="1172">
        <f t="shared" si="24"/>
        <v>0</v>
      </c>
      <c r="I79" s="187">
        <f ca="1">IF(OR(C79&lt;0,C79=""),"",-E79*INDEX('Replacement Costs'!$A$16:$H$57,MATCH(C79,'Replacement Costs'!$C$16:$C$57,0),MATCH("Total Yearly Replacement Costs",'Replacement Costs'!$A$16:$H$16,0)))</f>
        <v>-670303.7276580754</v>
      </c>
      <c r="J79" s="187">
        <f ca="1">IF(AND(C79&gt;=1,C79&lt;anal_period),WorkingCap*SUM(N79:R79)-WorkingCap*SUM(N78:R78),IF(C79&lt;0,0,IF(B79="","",-SUM(J$65:J78))))</f>
        <v>-147011.23953576107</v>
      </c>
      <c r="K79" s="187" t="str">
        <f t="shared" si="4"/>
        <v/>
      </c>
      <c r="L79" s="187" t="str">
        <f t="shared" si="5"/>
        <v/>
      </c>
      <c r="M79" s="187" t="str">
        <f t="shared" si="6"/>
        <v/>
      </c>
      <c r="N79" s="187">
        <f t="shared" ca="1" si="7"/>
        <v>-8216813.1943056341</v>
      </c>
      <c r="O79" s="187">
        <f t="shared" ca="1" si="8"/>
        <v>-142347600.18580875</v>
      </c>
      <c r="P79" s="187">
        <f t="shared" ca="1" si="9"/>
        <v>0</v>
      </c>
      <c r="Q79" s="187">
        <f t="shared" ca="1" si="10"/>
        <v>0</v>
      </c>
      <c r="R79" s="187">
        <f t="shared" ca="1" si="11"/>
        <v>-335750.87591379753</v>
      </c>
      <c r="S79" s="187">
        <f ca="1">IF(B79="","",IF($B$31=0,"",-'Debt Financing Calculations'!E28))</f>
        <v>-2286735.9984248434</v>
      </c>
      <c r="T79" s="187">
        <f t="shared" ca="1" si="12"/>
        <v>6032009.6728494465</v>
      </c>
      <c r="U79" s="187">
        <f ca="1">IF(C79="","",IF(C79&lt;-1,0,IF(C79=anal_period,-LOOKUP(C79,depr_yr,depr_cost)-Depreciation!$C$141-Depreciation!$B$166,-LOOKUP(C79,depr_yr,depr_cost))))</f>
        <v>-5691715.8417614819</v>
      </c>
      <c r="V79" s="187">
        <f t="shared" ca="1" si="13"/>
        <v>340293.83108796459</v>
      </c>
      <c r="W79" s="188">
        <f t="shared" si="14"/>
        <v>0.25739999999999996</v>
      </c>
      <c r="X79" s="187">
        <f t="shared" ca="1" si="15"/>
        <v>-87591.632122042065</v>
      </c>
      <c r="Y79" s="187">
        <f t="shared" ca="1" si="16"/>
        <v>5944418.0407274049</v>
      </c>
      <c r="Z79" s="187">
        <f>IF(C79="","",IF($B$31=0,"",-'Debt Financing Calculations'!F28))</f>
        <v>0</v>
      </c>
      <c r="AA79" s="187">
        <f t="shared" ca="1" si="17"/>
        <v>5127103.0735335685</v>
      </c>
      <c r="AB79" s="187">
        <f t="shared" ca="1" si="23"/>
        <v>21524890.16127849</v>
      </c>
      <c r="AC79" s="1150">
        <f t="shared" ca="1" si="18"/>
        <v>5214694.7056556102</v>
      </c>
      <c r="AD79" s="134"/>
      <c r="AE79" s="1154">
        <f t="shared" ca="1" si="19"/>
        <v>17702500</v>
      </c>
      <c r="AF79" s="1150">
        <f t="shared" si="20"/>
        <v>0</v>
      </c>
    </row>
    <row r="80" spans="1:32" x14ac:dyDescent="0.25">
      <c r="A80" s="58">
        <f t="shared" si="21"/>
        <v>2054</v>
      </c>
      <c r="B80" s="185">
        <f>IF(MAX($B$65:B79)&lt;(construct+anal_period),B79+1,"")</f>
        <v>16</v>
      </c>
      <c r="C80" s="185">
        <f t="shared" si="22"/>
        <v>15</v>
      </c>
      <c r="D80" s="185">
        <f t="shared" si="1"/>
        <v>15</v>
      </c>
      <c r="E80" s="186">
        <f t="shared" si="2"/>
        <v>1.3014832288693996</v>
      </c>
      <c r="F80" s="59">
        <f t="shared" ca="1" si="3"/>
        <v>162244069.21592125</v>
      </c>
      <c r="G80" s="1163"/>
      <c r="H80" s="1172">
        <f t="shared" si="24"/>
        <v>0</v>
      </c>
      <c r="I80" s="187">
        <f ca="1">IF(OR(C80&lt;0,C80=""),"",-E80*INDEX('Replacement Costs'!$A$16:$H$57,MATCH(C80,'Replacement Costs'!$C$16:$C$57,0),MATCH("Total Yearly Replacement Costs",'Replacement Costs'!$A$16:$H$16,0)))</f>
        <v>-683039.49848357902</v>
      </c>
      <c r="J80" s="187">
        <f ca="1">IF(AND(C80&gt;=1,C80&lt;anal_period),WorkingCap*SUM(N80:R80)-WorkingCap*SUM(N79:R79),IF(C80&lt;0,0,IF(B80="","",-SUM(J$65:J79))))</f>
        <v>-149932.95009085815</v>
      </c>
      <c r="K80" s="187" t="str">
        <f t="shared" si="4"/>
        <v/>
      </c>
      <c r="L80" s="187" t="str">
        <f t="shared" si="5"/>
        <v/>
      </c>
      <c r="M80" s="187" t="str">
        <f t="shared" si="6"/>
        <v/>
      </c>
      <c r="N80" s="187">
        <f t="shared" ca="1" si="7"/>
        <v>-8372932.6449974431</v>
      </c>
      <c r="O80" s="187">
        <f t="shared" ca="1" si="8"/>
        <v>-145183760.47029173</v>
      </c>
      <c r="P80" s="187">
        <f t="shared" ca="1" si="9"/>
        <v>0</v>
      </c>
      <c r="Q80" s="187">
        <f t="shared" ca="1" si="10"/>
        <v>0</v>
      </c>
      <c r="R80" s="187">
        <f t="shared" ca="1" si="11"/>
        <v>-342130.14255615976</v>
      </c>
      <c r="S80" s="187">
        <f ca="1">IF(B80="","",IF($B$31=0,"",-'Debt Financing Calculations'!E29))</f>
        <v>-2286735.9984248434</v>
      </c>
      <c r="T80" s="187">
        <f t="shared" ca="1" si="12"/>
        <v>6058509.959651053</v>
      </c>
      <c r="U80" s="187">
        <f ca="1">IF(C80="","",IF(C80&lt;-1,0,IF(C80=anal_period,-LOOKUP(C80,depr_yr,depr_cost)-Depreciation!$C$141-Depreciation!$B$166,-LOOKUP(C80,depr_yr,depr_cost))))</f>
        <v>-5673862.4611117234</v>
      </c>
      <c r="V80" s="187">
        <f t="shared" ca="1" si="13"/>
        <v>384647.49853932951</v>
      </c>
      <c r="W80" s="188">
        <f t="shared" si="14"/>
        <v>0.25739999999999996</v>
      </c>
      <c r="X80" s="187">
        <f t="shared" ca="1" si="15"/>
        <v>-99008.266124023401</v>
      </c>
      <c r="Y80" s="187">
        <f t="shared" ca="1" si="16"/>
        <v>5959501.6935270298</v>
      </c>
      <c r="Z80" s="187">
        <f>IF(C80="","",IF($B$31=0,"",-'Debt Financing Calculations'!F29))</f>
        <v>0</v>
      </c>
      <c r="AA80" s="187">
        <f t="shared" ca="1" si="17"/>
        <v>5126529.244952593</v>
      </c>
      <c r="AB80" s="187">
        <f t="shared" ca="1" si="23"/>
        <v>26651419.406231083</v>
      </c>
      <c r="AC80" s="1150">
        <f t="shared" ca="1" si="18"/>
        <v>5225537.5110766161</v>
      </c>
      <c r="AD80" s="134"/>
      <c r="AE80" s="1154">
        <f t="shared" ca="1" si="19"/>
        <v>17702500</v>
      </c>
      <c r="AF80" s="1150">
        <f t="shared" si="20"/>
        <v>0</v>
      </c>
    </row>
    <row r="81" spans="1:32" x14ac:dyDescent="0.25">
      <c r="A81" s="58">
        <f t="shared" si="21"/>
        <v>2055</v>
      </c>
      <c r="B81" s="185">
        <f>IF(MAX($B$65:B80)&lt;(construct+anal_period),B80+1,"")</f>
        <v>17</v>
      </c>
      <c r="C81" s="185">
        <f t="shared" si="22"/>
        <v>16</v>
      </c>
      <c r="D81" s="185">
        <f t="shared" si="1"/>
        <v>16</v>
      </c>
      <c r="E81" s="186">
        <f t="shared" si="2"/>
        <v>1.3262114102179181</v>
      </c>
      <c r="F81" s="59">
        <f t="shared" ca="1" si="3"/>
        <v>165326706.53102377</v>
      </c>
      <c r="G81" s="1163"/>
      <c r="H81" s="1172">
        <f t="shared" si="24"/>
        <v>0</v>
      </c>
      <c r="I81" s="187">
        <f ca="1">IF(OR(C81&lt;0,C81=""),"",-E81*INDEX('Replacement Costs'!$A$16:$H$57,MATCH(C81,'Replacement Costs'!$C$16:$C$57,0),MATCH("Total Yearly Replacement Costs",'Replacement Costs'!$A$16:$H$16,0)))</f>
        <v>-696017.24895476701</v>
      </c>
      <c r="J81" s="187">
        <f ca="1">IF(AND(C81&gt;=1,C81&lt;anal_period),WorkingCap*SUM(N81:R81)-WorkingCap*SUM(N80:R80),IF(C81&lt;0,0,IF(B81="","",-SUM(J$65:J80))))</f>
        <v>-152912.73334490415</v>
      </c>
      <c r="K81" s="187" t="str">
        <f t="shared" si="4"/>
        <v/>
      </c>
      <c r="L81" s="187" t="str">
        <f t="shared" si="5"/>
        <v/>
      </c>
      <c r="M81" s="187" t="str">
        <f t="shared" si="6"/>
        <v/>
      </c>
      <c r="N81" s="187">
        <f t="shared" ca="1" si="7"/>
        <v>-8532018.3652523942</v>
      </c>
      <c r="O81" s="187">
        <f t="shared" ca="1" si="8"/>
        <v>-148076428.94422629</v>
      </c>
      <c r="P81" s="187">
        <f t="shared" ca="1" si="9"/>
        <v>0</v>
      </c>
      <c r="Q81" s="187">
        <f t="shared" ca="1" si="10"/>
        <v>0</v>
      </c>
      <c r="R81" s="187">
        <f t="shared" ca="1" si="11"/>
        <v>-348630.6152647268</v>
      </c>
      <c r="S81" s="187">
        <f ca="1">IF(B81="","",IF($B$31=0,"",-'Debt Financing Calculations'!E30))</f>
        <v>-2286735.9984248434</v>
      </c>
      <c r="T81" s="187">
        <f t="shared" ca="1" si="12"/>
        <v>6082892.6078554988</v>
      </c>
      <c r="U81" s="187">
        <f ca="1">IF(C81="","",IF(C81&lt;-1,0,IF(C81=anal_period,-LOOKUP(C81,depr_yr,depr_cost)-Depreciation!$C$141-Depreciation!$B$166,-LOOKUP(C81,depr_yr,depr_cost))))</f>
        <v>-5658451.9695884557</v>
      </c>
      <c r="V81" s="187">
        <f t="shared" ca="1" si="13"/>
        <v>424440.63826704305</v>
      </c>
      <c r="W81" s="188">
        <f t="shared" si="14"/>
        <v>0.25739999999999996</v>
      </c>
      <c r="X81" s="187">
        <f t="shared" ca="1" si="15"/>
        <v>-109251.02028993686</v>
      </c>
      <c r="Y81" s="187">
        <f t="shared" ca="1" si="16"/>
        <v>5973641.5875655618</v>
      </c>
      <c r="Z81" s="187">
        <f>IF(C81="","",IF($B$31=0,"",-'Debt Financing Calculations'!F30))</f>
        <v>0</v>
      </c>
      <c r="AA81" s="187">
        <f t="shared" ca="1" si="17"/>
        <v>5124711.6052658902</v>
      </c>
      <c r="AB81" s="187">
        <f t="shared" ca="1" si="23"/>
        <v>31776131.011496972</v>
      </c>
      <c r="AC81" s="1150">
        <f t="shared" ca="1" si="18"/>
        <v>5233962.6255558273</v>
      </c>
      <c r="AD81" s="134"/>
      <c r="AE81" s="1154">
        <f t="shared" ca="1" si="19"/>
        <v>17702500</v>
      </c>
      <c r="AF81" s="1150">
        <f t="shared" si="20"/>
        <v>0</v>
      </c>
    </row>
    <row r="82" spans="1:32" x14ac:dyDescent="0.25">
      <c r="A82" s="58">
        <f t="shared" si="21"/>
        <v>2056</v>
      </c>
      <c r="B82" s="185">
        <f>IF(MAX($B$65:B81)&lt;(construct+anal_period),B81+1,"")</f>
        <v>18</v>
      </c>
      <c r="C82" s="185">
        <f t="shared" si="22"/>
        <v>17</v>
      </c>
      <c r="D82" s="185">
        <f t="shared" si="1"/>
        <v>17</v>
      </c>
      <c r="E82" s="186">
        <f t="shared" si="2"/>
        <v>1.3514094270120585</v>
      </c>
      <c r="F82" s="59">
        <f t="shared" ca="1" si="3"/>
        <v>168467913.9551132</v>
      </c>
      <c r="G82" s="1163"/>
      <c r="H82" s="1172">
        <f t="shared" si="24"/>
        <v>0</v>
      </c>
      <c r="I82" s="187">
        <f ca="1">IF(OR(C82&lt;0,C82=""),"",-E82*INDEX('Replacement Costs'!$A$16:$H$57,MATCH(C82,'Replacement Costs'!$C$16:$C$57,0),MATCH("Total Yearly Replacement Costs",'Replacement Costs'!$A$16:$H$16,0)))</f>
        <v>-709241.57668490754</v>
      </c>
      <c r="J82" s="187">
        <f ca="1">IF(AND(C82&gt;=1,C82&lt;anal_period),WorkingCap*SUM(N82:R82)-WorkingCap*SUM(N81:R81),IF(C82&lt;0,0,IF(B82="","",-SUM(J$65:J81))))</f>
        <v>-156621.33630250487</v>
      </c>
      <c r="K82" s="187" t="str">
        <f t="shared" si="4"/>
        <v/>
      </c>
      <c r="L82" s="187" t="str">
        <f t="shared" si="5"/>
        <v/>
      </c>
      <c r="M82" s="187" t="str">
        <f t="shared" si="6"/>
        <v/>
      </c>
      <c r="N82" s="187">
        <f t="shared" ca="1" si="7"/>
        <v>-8694126.7141921893</v>
      </c>
      <c r="O82" s="187">
        <f t="shared" ca="1" si="8"/>
        <v>-151040123.33964658</v>
      </c>
      <c r="P82" s="187">
        <f t="shared" ca="1" si="9"/>
        <v>0</v>
      </c>
      <c r="Q82" s="187">
        <f t="shared" ca="1" si="10"/>
        <v>0</v>
      </c>
      <c r="R82" s="187">
        <f t="shared" ca="1" si="11"/>
        <v>-355254.59695475659</v>
      </c>
      <c r="S82" s="187">
        <f ca="1">IF(B82="","",IF($B$31=0,"",-'Debt Financing Calculations'!E31))</f>
        <v>-2286735.9984248434</v>
      </c>
      <c r="T82" s="187">
        <f t="shared" ca="1" si="12"/>
        <v>6091673.3058948219</v>
      </c>
      <c r="U82" s="187">
        <f ca="1">IF(C82="","",IF(C82&lt;-1,0,IF(C82=anal_period,-LOOKUP(C82,depr_yr,depr_cost)-Depreciation!$C$141-Depreciation!$B$166,-LOOKUP(C82,depr_yr,depr_cost))))</f>
        <v>-5649083.3798781801</v>
      </c>
      <c r="V82" s="187">
        <f t="shared" ca="1" si="13"/>
        <v>442589.92601664178</v>
      </c>
      <c r="W82" s="188">
        <f t="shared" si="14"/>
        <v>0.25739999999999996</v>
      </c>
      <c r="X82" s="187">
        <f t="shared" ca="1" si="15"/>
        <v>-113922.64695668357</v>
      </c>
      <c r="Y82" s="187">
        <f t="shared" ca="1" si="16"/>
        <v>5977750.6589381387</v>
      </c>
      <c r="Z82" s="187">
        <f>IF(C82="","",IF($B$31=0,"",-'Debt Financing Calculations'!F31))</f>
        <v>0</v>
      </c>
      <c r="AA82" s="187">
        <f t="shared" ca="1" si="17"/>
        <v>5111887.7459507259</v>
      </c>
      <c r="AB82" s="187">
        <f t="shared" ca="1" si="23"/>
        <v>36888018.757447697</v>
      </c>
      <c r="AC82" s="1150">
        <f t="shared" ca="1" si="18"/>
        <v>5225810.392907409</v>
      </c>
      <c r="AD82" s="134"/>
      <c r="AE82" s="1154">
        <f t="shared" ca="1" si="19"/>
        <v>17702500</v>
      </c>
      <c r="AF82" s="1150">
        <f t="shared" si="20"/>
        <v>0</v>
      </c>
    </row>
    <row r="83" spans="1:32" x14ac:dyDescent="0.25">
      <c r="A83" s="58">
        <f t="shared" si="21"/>
        <v>2057</v>
      </c>
      <c r="B83" s="185">
        <f>IF(MAX($B$65:B82)&lt;(construct+anal_period),B82+1,"")</f>
        <v>19</v>
      </c>
      <c r="C83" s="185">
        <f t="shared" si="22"/>
        <v>18</v>
      </c>
      <c r="D83" s="185">
        <f t="shared" si="1"/>
        <v>18</v>
      </c>
      <c r="E83" s="186">
        <f t="shared" si="2"/>
        <v>1.3770862061252875</v>
      </c>
      <c r="F83" s="59">
        <f t="shared" ca="1" si="3"/>
        <v>171668804.32026035</v>
      </c>
      <c r="G83" s="1163"/>
      <c r="H83" s="1172">
        <f t="shared" si="24"/>
        <v>0</v>
      </c>
      <c r="I83" s="187">
        <f ca="1">IF(OR(C83&lt;0,C83=""),"",-E83*INDEX('Replacement Costs'!$A$16:$H$57,MATCH(C83,'Replacement Costs'!$C$16:$C$57,0),MATCH("Total Yearly Replacement Costs",'Replacement Costs'!$A$16:$H$16,0)))</f>
        <v>-722717.16664192069</v>
      </c>
      <c r="J83" s="187">
        <f ca="1">IF(AND(C83&gt;=1,C83&lt;anal_period),WorkingCap*SUM(N83:R83)-WorkingCap*SUM(N82:R82),IF(C83&lt;0,0,IF(B83="","",-SUM(J$65:J82))))</f>
        <v>-159747.49381246325</v>
      </c>
      <c r="K83" s="187" t="str">
        <f t="shared" si="4"/>
        <v/>
      </c>
      <c r="L83" s="187" t="str">
        <f t="shared" si="5"/>
        <v/>
      </c>
      <c r="M83" s="187" t="str">
        <f t="shared" si="6"/>
        <v/>
      </c>
      <c r="N83" s="187">
        <f t="shared" ca="1" si="7"/>
        <v>-8859315.1217618398</v>
      </c>
      <c r="O83" s="187">
        <f t="shared" ca="1" si="8"/>
        <v>-154063134.97098404</v>
      </c>
      <c r="P83" s="187">
        <f t="shared" ca="1" si="9"/>
        <v>0</v>
      </c>
      <c r="Q83" s="187">
        <f t="shared" ca="1" si="10"/>
        <v>0</v>
      </c>
      <c r="R83" s="187">
        <f t="shared" ca="1" si="11"/>
        <v>-362004.43429689697</v>
      </c>
      <c r="S83" s="187">
        <f ca="1">IF(B83="","",IF($B$31=0,"",-'Debt Financing Calculations'!E32))</f>
        <v>-2286735.9984248434</v>
      </c>
      <c r="T83" s="187">
        <f t="shared" ca="1" si="12"/>
        <v>6097613.7947927117</v>
      </c>
      <c r="U83" s="187">
        <f ca="1">IF(C83="","",IF(C83&lt;-1,0,IF(C83=anal_period,-LOOKUP(C83,depr_yr,depr_cost)-Depreciation!$C$141-Depreciation!$B$166,-LOOKUP(C83,depr_yr,depr_cost))))</f>
        <v>-5641637.6386581697</v>
      </c>
      <c r="V83" s="187">
        <f t="shared" ca="1" si="13"/>
        <v>455976.15613454208</v>
      </c>
      <c r="W83" s="188">
        <f t="shared" si="14"/>
        <v>0.25739999999999996</v>
      </c>
      <c r="X83" s="187">
        <f t="shared" ca="1" si="15"/>
        <v>-117368.26258903112</v>
      </c>
      <c r="Y83" s="187">
        <f t="shared" ca="1" si="16"/>
        <v>5980245.5322036808</v>
      </c>
      <c r="Z83" s="187">
        <f>IF(C83="","",IF($B$31=0,"",-'Debt Financing Calculations'!F32))</f>
        <v>0</v>
      </c>
      <c r="AA83" s="187">
        <f t="shared" ca="1" si="17"/>
        <v>5097780.8717492968</v>
      </c>
      <c r="AB83" s="187">
        <f t="shared" ca="1" si="23"/>
        <v>41985799.629196994</v>
      </c>
      <c r="AC83" s="1150">
        <f t="shared" ca="1" si="18"/>
        <v>5215149.1343383277</v>
      </c>
      <c r="AD83" s="134"/>
      <c r="AE83" s="1154">
        <f t="shared" ca="1" si="19"/>
        <v>17702500</v>
      </c>
      <c r="AF83" s="1150">
        <f t="shared" si="20"/>
        <v>0</v>
      </c>
    </row>
    <row r="84" spans="1:32" x14ac:dyDescent="0.25">
      <c r="A84" s="58">
        <f t="shared" si="21"/>
        <v>2058</v>
      </c>
      <c r="B84" s="185">
        <f>IF(MAX($B$65:B83)&lt;(construct+anal_period),B83+1,"")</f>
        <v>20</v>
      </c>
      <c r="C84" s="185">
        <f t="shared" si="22"/>
        <v>19</v>
      </c>
      <c r="D84" s="185">
        <f t="shared" si="1"/>
        <v>19</v>
      </c>
      <c r="E84" s="186">
        <f t="shared" si="2"/>
        <v>1.4032508440416678</v>
      </c>
      <c r="F84" s="59">
        <f t="shared" ca="1" si="3"/>
        <v>174930511.60234526</v>
      </c>
      <c r="G84" s="1163"/>
      <c r="H84" s="1172">
        <f t="shared" si="24"/>
        <v>0</v>
      </c>
      <c r="I84" s="187">
        <f ca="1">IF(OR(C84&lt;0,C84=""),"",-E84*INDEX('Replacement Costs'!$A$16:$H$57,MATCH(C84,'Replacement Costs'!$C$16:$C$57,0),MATCH("Total Yearly Replacement Costs",'Replacement Costs'!$A$16:$H$16,0)))</f>
        <v>-736448.79280811711</v>
      </c>
      <c r="J84" s="187">
        <f ca="1">IF(AND(C84&gt;=1,C84&lt;anal_period),WorkingCap*SUM(N84:R84)-WorkingCap*SUM(N83:R83),IF(C84&lt;0,0,IF(B84="","",-SUM(J$65:J83))))</f>
        <v>-162936.05755660683</v>
      </c>
      <c r="K84" s="187" t="str">
        <f t="shared" si="4"/>
        <v/>
      </c>
      <c r="L84" s="187" t="str">
        <f t="shared" si="5"/>
        <v/>
      </c>
      <c r="M84" s="187" t="str">
        <f t="shared" si="6"/>
        <v/>
      </c>
      <c r="N84" s="187">
        <f t="shared" ca="1" si="7"/>
        <v>-9027642.1090753134</v>
      </c>
      <c r="O84" s="187">
        <f t="shared" ca="1" si="8"/>
        <v>-157146651.05055106</v>
      </c>
      <c r="P84" s="187">
        <f t="shared" ca="1" si="9"/>
        <v>0</v>
      </c>
      <c r="Q84" s="187">
        <f t="shared" ca="1" si="10"/>
        <v>0</v>
      </c>
      <c r="R84" s="187">
        <f t="shared" ca="1" si="11"/>
        <v>-368882.51854853792</v>
      </c>
      <c r="S84" s="187">
        <f ca="1">IF(B84="","",IF($B$31=0,"",-'Debt Financing Calculations'!E33))</f>
        <v>-2286735.9984248434</v>
      </c>
      <c r="T84" s="187">
        <f t="shared" ca="1" si="12"/>
        <v>6100599.9257454872</v>
      </c>
      <c r="U84" s="187">
        <f ca="1">IF(C84="","",IF(C84&lt;-1,0,IF(C84=anal_period,-LOOKUP(C84,depr_yr,depr_cost)-Depreciation!$C$141-Depreciation!$B$166,-LOOKUP(C84,depr_yr,depr_cost))))</f>
        <v>-5670122.3673773576</v>
      </c>
      <c r="V84" s="187">
        <f t="shared" ca="1" si="13"/>
        <v>430477.55836812966</v>
      </c>
      <c r="W84" s="188">
        <f t="shared" si="14"/>
        <v>0.25739999999999996</v>
      </c>
      <c r="X84" s="187">
        <f t="shared" ca="1" si="15"/>
        <v>-110804.92352395656</v>
      </c>
      <c r="Y84" s="187">
        <f t="shared" ca="1" si="16"/>
        <v>5989795.0022215303</v>
      </c>
      <c r="Z84" s="187">
        <f>IF(C84="","",IF($B$31=0,"",-'Debt Financing Calculations'!F33))</f>
        <v>0</v>
      </c>
      <c r="AA84" s="187">
        <f t="shared" ca="1" si="17"/>
        <v>5090410.1518568061</v>
      </c>
      <c r="AB84" s="187">
        <f t="shared" ca="1" si="23"/>
        <v>47076209.781053796</v>
      </c>
      <c r="AC84" s="1150">
        <f t="shared" ca="1" si="18"/>
        <v>5201215.075380763</v>
      </c>
      <c r="AD84" s="134"/>
      <c r="AE84" s="1154">
        <f t="shared" ca="1" si="19"/>
        <v>17702500</v>
      </c>
      <c r="AF84" s="1150">
        <f t="shared" si="20"/>
        <v>0</v>
      </c>
    </row>
    <row r="85" spans="1:32" x14ac:dyDescent="0.25">
      <c r="A85" s="58">
        <f t="shared" si="21"/>
        <v>2059</v>
      </c>
      <c r="B85" s="185">
        <f>IF(MAX($B$65:B84)&lt;(construct+anal_period),B84+1,"")</f>
        <v>21</v>
      </c>
      <c r="C85" s="185">
        <f t="shared" si="22"/>
        <v>20</v>
      </c>
      <c r="D85" s="185">
        <f t="shared" si="1"/>
        <v>20</v>
      </c>
      <c r="E85" s="186">
        <f t="shared" si="2"/>
        <v>1.4299126100784596</v>
      </c>
      <c r="F85" s="59">
        <f t="shared" ca="1" si="3"/>
        <v>178254191.32278985</v>
      </c>
      <c r="G85" s="1163"/>
      <c r="H85" s="1172">
        <f t="shared" si="24"/>
        <v>0</v>
      </c>
      <c r="I85" s="187">
        <f ca="1">IF(OR(C85&lt;0,C85=""),"",-E85*INDEX('Replacement Costs'!$A$16:$H$57,MATCH(C85,'Replacement Costs'!$C$16:$C$57,0),MATCH("Total Yearly Replacement Costs",'Replacement Costs'!$A$16:$H$16,0)))</f>
        <v>-750441.31987147138</v>
      </c>
      <c r="J85" s="187">
        <f ca="1">IF(AND(C85&gt;=1,C85&lt;anal_period),WorkingCap*SUM(N85:R85)-WorkingCap*SUM(N84:R84),IF(C85&lt;0,0,IF(B85="","",-SUM(J$65:J84))))</f>
        <v>-166188.27348224726</v>
      </c>
      <c r="K85" s="187" t="str">
        <f t="shared" si="4"/>
        <v/>
      </c>
      <c r="L85" s="187" t="str">
        <f t="shared" si="5"/>
        <v/>
      </c>
      <c r="M85" s="187" t="str">
        <f t="shared" si="6"/>
        <v/>
      </c>
      <c r="N85" s="187">
        <f t="shared" ca="1" si="7"/>
        <v>-9199167.3091477454</v>
      </c>
      <c r="O85" s="187">
        <f t="shared" ca="1" si="8"/>
        <v>-160291882.55227113</v>
      </c>
      <c r="P85" s="187">
        <f t="shared" ca="1" si="9"/>
        <v>0</v>
      </c>
      <c r="Q85" s="187">
        <f t="shared" ca="1" si="10"/>
        <v>0</v>
      </c>
      <c r="R85" s="187">
        <f t="shared" ca="1" si="11"/>
        <v>-375891.28640096018</v>
      </c>
      <c r="S85" s="187">
        <f ca="1">IF(B85="","",IF($B$31=0,"",-'Debt Financing Calculations'!E34))</f>
        <v>-2286735.9984248434</v>
      </c>
      <c r="T85" s="187">
        <f t="shared" ca="1" si="12"/>
        <v>6100514.1765451431</v>
      </c>
      <c r="U85" s="187">
        <f ca="1">IF(C85="","",IF(C85&lt;-1,0,IF(C85=anal_period,-LOOKUP(C85,depr_yr,depr_cost)-Depreciation!$C$141-Depreciation!$B$166,-LOOKUP(C85,depr_yr,depr_cost))))</f>
        <v>-5703594.6051404169</v>
      </c>
      <c r="V85" s="187">
        <f t="shared" ca="1" si="13"/>
        <v>396919.57140472624</v>
      </c>
      <c r="W85" s="188">
        <f t="shared" si="14"/>
        <v>0.25739999999999996</v>
      </c>
      <c r="X85" s="187">
        <f t="shared" ca="1" si="15"/>
        <v>-102167.09767957652</v>
      </c>
      <c r="Y85" s="187">
        <f t="shared" ca="1" si="16"/>
        <v>5998347.0788655663</v>
      </c>
      <c r="Z85" s="187">
        <f>IF(C85="","",IF($B$31=0,"",-'Debt Financing Calculations'!F34))</f>
        <v>0</v>
      </c>
      <c r="AA85" s="187">
        <f t="shared" ca="1" si="17"/>
        <v>5081717.4855118478</v>
      </c>
      <c r="AB85" s="187">
        <f t="shared" ca="1" si="23"/>
        <v>52157927.266565643</v>
      </c>
      <c r="AC85" s="1150">
        <f t="shared" ca="1" si="18"/>
        <v>5183884.5831914246</v>
      </c>
      <c r="AD85" s="134"/>
      <c r="AE85" s="1154">
        <f t="shared" ca="1" si="19"/>
        <v>17702500</v>
      </c>
      <c r="AF85" s="1150">
        <f t="shared" si="20"/>
        <v>0</v>
      </c>
    </row>
    <row r="86" spans="1:32" x14ac:dyDescent="0.25">
      <c r="A86" s="58">
        <f t="shared" si="21"/>
        <v>2060</v>
      </c>
      <c r="B86" s="185">
        <f>IF(MAX($B$65:B85)&lt;(construct+anal_period),B85+1,"")</f>
        <v>22</v>
      </c>
      <c r="C86" s="185">
        <f t="shared" si="22"/>
        <v>21</v>
      </c>
      <c r="D86" s="185">
        <f t="shared" si="1"/>
        <v>21</v>
      </c>
      <c r="E86" s="186">
        <f t="shared" si="2"/>
        <v>1.4570809496699502</v>
      </c>
      <c r="F86" s="59">
        <f t="shared" ca="1" si="3"/>
        <v>181641020.95792282</v>
      </c>
      <c r="G86" s="1163"/>
      <c r="H86" s="1172">
        <f t="shared" si="24"/>
        <v>0</v>
      </c>
      <c r="I86" s="187">
        <f ca="1">IF(OR(C86&lt;0,C86=""),"",-E86*INDEX('Replacement Costs'!$A$16:$H$57,MATCH(C86,'Replacement Costs'!$C$16:$C$57,0),MATCH("Total Yearly Replacement Costs",'Replacement Costs'!$A$16:$H$16,0)))</f>
        <v>-13873837.504075246</v>
      </c>
      <c r="J86" s="187">
        <f ca="1">IF(AND(C86&gt;=1,C86&lt;anal_period),WorkingCap*SUM(N86:R86)-WorkingCap*SUM(N85:R85),IF(C86&lt;0,0,IF(B86="","",-SUM(J$65:J85))))</f>
        <v>-169505.41241511889</v>
      </c>
      <c r="K86" s="187" t="str">
        <f t="shared" si="4"/>
        <v/>
      </c>
      <c r="L86" s="187" t="str">
        <f t="shared" si="5"/>
        <v/>
      </c>
      <c r="M86" s="187" t="str">
        <f t="shared" si="6"/>
        <v/>
      </c>
      <c r="N86" s="187">
        <f t="shared" ca="1" si="7"/>
        <v>-9373951.4880215526</v>
      </c>
      <c r="O86" s="187">
        <f t="shared" ca="1" si="8"/>
        <v>-163500064.68725812</v>
      </c>
      <c r="P86" s="187">
        <f t="shared" ca="1" si="9"/>
        <v>0</v>
      </c>
      <c r="Q86" s="187">
        <f t="shared" ca="1" si="10"/>
        <v>0</v>
      </c>
      <c r="R86" s="187">
        <f t="shared" ca="1" si="11"/>
        <v>-383033.22084257839</v>
      </c>
      <c r="S86" s="187">
        <f ca="1">IF(B86="","",IF($B$31=0,"",-'Debt Financing Calculations'!E35))</f>
        <v>-2286735.9984248434</v>
      </c>
      <c r="T86" s="187">
        <f t="shared" ca="1" si="12"/>
        <v>6097235.5633757114</v>
      </c>
      <c r="U86" s="187">
        <f ca="1">IF(C86="","",IF(C86&lt;-1,0,IF(C86=anal_period,-LOOKUP(C86,depr_yr,depr_cost)-Depreciation!$C$141-Depreciation!$B$166,-LOOKUP(C86,depr_yr,depr_cost))))</f>
        <v>-3921824.3673928259</v>
      </c>
      <c r="V86" s="187">
        <f t="shared" ca="1" si="13"/>
        <v>2175411.1959828855</v>
      </c>
      <c r="W86" s="188">
        <f t="shared" si="14"/>
        <v>0.25739999999999996</v>
      </c>
      <c r="X86" s="187">
        <f t="shared" ca="1" si="15"/>
        <v>-559950.8418459947</v>
      </c>
      <c r="Y86" s="187">
        <f t="shared" ca="1" si="16"/>
        <v>5537284.7215297166</v>
      </c>
      <c r="Z86" s="187">
        <f>IF(C86="","",IF($B$31=0,"",-'Debt Financing Calculations'!F35))</f>
        <v>0</v>
      </c>
      <c r="AA86" s="187">
        <f t="shared" ca="1" si="17"/>
        <v>-8506058.1949606482</v>
      </c>
      <c r="AB86" s="187">
        <f t="shared" ca="1" si="23"/>
        <v>43651869.071604997</v>
      </c>
      <c r="AC86" s="1150">
        <f t="shared" ca="1" si="18"/>
        <v>-7946107.3531146534</v>
      </c>
      <c r="AD86" s="134"/>
      <c r="AE86" s="1154">
        <f t="shared" ca="1" si="19"/>
        <v>17702500</v>
      </c>
      <c r="AF86" s="1150">
        <f t="shared" si="20"/>
        <v>0</v>
      </c>
    </row>
    <row r="87" spans="1:32" x14ac:dyDescent="0.25">
      <c r="A87" s="58">
        <f t="shared" si="21"/>
        <v>2061</v>
      </c>
      <c r="B87" s="185">
        <f>IF(MAX($B$65:B86)&lt;(construct+anal_period),B86+1,"")</f>
        <v>23</v>
      </c>
      <c r="C87" s="185">
        <f t="shared" si="22"/>
        <v>22</v>
      </c>
      <c r="D87" s="185">
        <f t="shared" si="1"/>
        <v>22</v>
      </c>
      <c r="E87" s="186">
        <f t="shared" si="2"/>
        <v>1.4847654877136791</v>
      </c>
      <c r="F87" s="59">
        <f t="shared" ca="1" si="3"/>
        <v>185092200.35612336</v>
      </c>
      <c r="G87" s="1163"/>
      <c r="H87" s="1172">
        <f t="shared" si="24"/>
        <v>0</v>
      </c>
      <c r="I87" s="187">
        <f ca="1">IF(OR(C87&lt;0,C87=""),"",-E87*INDEX('Replacement Costs'!$A$16:$H$57,MATCH(C87,'Replacement Costs'!$C$16:$C$57,0),MATCH("Total Yearly Replacement Costs",'Replacement Costs'!$A$16:$H$16,0)))</f>
        <v>-779228.99934306077</v>
      </c>
      <c r="J87" s="187">
        <f ca="1">IF(AND(C87&gt;=1,C87&lt;anal_period),WorkingCap*SUM(N87:R87)-WorkingCap*SUM(N86:R86),IF(C87&lt;0,0,IF(B87="","",-SUM(J$65:J86))))</f>
        <v>-168592.4464293085</v>
      </c>
      <c r="K87" s="187" t="str">
        <f t="shared" si="4"/>
        <v/>
      </c>
      <c r="L87" s="187" t="str">
        <f t="shared" si="5"/>
        <v/>
      </c>
      <c r="M87" s="187" t="str">
        <f t="shared" si="6"/>
        <v/>
      </c>
      <c r="N87" s="187">
        <f t="shared" ca="1" si="7"/>
        <v>-9552056.5662939604</v>
      </c>
      <c r="O87" s="187">
        <f t="shared" ca="1" si="8"/>
        <v>-166686530.90637586</v>
      </c>
      <c r="P87" s="187">
        <f t="shared" ca="1" si="9"/>
        <v>0</v>
      </c>
      <c r="Q87" s="187">
        <f t="shared" ca="1" si="10"/>
        <v>0</v>
      </c>
      <c r="R87" s="187">
        <f t="shared" ca="1" si="11"/>
        <v>-390310.85203858733</v>
      </c>
      <c r="S87" s="187">
        <f ca="1">IF(B87="","",IF($B$31=0,"",-'Debt Financing Calculations'!E36))</f>
        <v>-2286735.9984248434</v>
      </c>
      <c r="T87" s="187">
        <f t="shared" ca="1" si="12"/>
        <v>6176566.032990098</v>
      </c>
      <c r="U87" s="187">
        <f ca="1">IF(C87="","",IF(C87&lt;-1,0,IF(C87=anal_period,-LOOKUP(C87,depr_yr,depr_cost)-Depreciation!$C$141-Depreciation!$B$166,-LOOKUP(C87,depr_yr,depr_cost))))</f>
        <v>-2090709.2772406351</v>
      </c>
      <c r="V87" s="187">
        <f t="shared" ca="1" si="13"/>
        <v>4085856.7557494631</v>
      </c>
      <c r="W87" s="188">
        <f t="shared" si="14"/>
        <v>0.25739999999999996</v>
      </c>
      <c r="X87" s="187">
        <f t="shared" ca="1" si="15"/>
        <v>-1051699.5289299116</v>
      </c>
      <c r="Y87" s="187">
        <f t="shared" ca="1" si="16"/>
        <v>5124866.5040601864</v>
      </c>
      <c r="Z87" s="187">
        <f>IF(C87="","",IF($B$31=0,"",-'Debt Financing Calculations'!F36))</f>
        <v>0</v>
      </c>
      <c r="AA87" s="187">
        <f t="shared" ca="1" si="17"/>
        <v>4177045.0582878171</v>
      </c>
      <c r="AB87" s="187">
        <f t="shared" ca="1" si="23"/>
        <v>47828914.129892811</v>
      </c>
      <c r="AC87" s="1150">
        <f t="shared" ca="1" si="18"/>
        <v>5228744.5872177286</v>
      </c>
      <c r="AD87" s="134"/>
      <c r="AE87" s="1154">
        <f t="shared" ca="1" si="19"/>
        <v>17702500</v>
      </c>
      <c r="AF87" s="1150">
        <f t="shared" si="20"/>
        <v>0</v>
      </c>
    </row>
    <row r="88" spans="1:32" x14ac:dyDescent="0.25">
      <c r="A88" s="58">
        <f t="shared" si="21"/>
        <v>2062</v>
      </c>
      <c r="B88" s="185">
        <f>IF(MAX($B$65:B87)&lt;(construct+anal_period),B87+1,"")</f>
        <v>24</v>
      </c>
      <c r="C88" s="185">
        <f t="shared" si="22"/>
        <v>23</v>
      </c>
      <c r="D88" s="185">
        <f t="shared" si="1"/>
        <v>23</v>
      </c>
      <c r="E88" s="186">
        <f t="shared" si="2"/>
        <v>1.5129760319802392</v>
      </c>
      <c r="F88" s="59">
        <f t="shared" ca="1" si="3"/>
        <v>188608952.16288972</v>
      </c>
      <c r="G88" s="1163"/>
      <c r="H88" s="1172">
        <f t="shared" si="24"/>
        <v>0</v>
      </c>
      <c r="I88" s="187">
        <f ca="1">IF(OR(C88&lt;0,C88=""),"",-E88*INDEX('Replacement Costs'!$A$16:$H$57,MATCH(C88,'Replacement Costs'!$C$16:$C$57,0),MATCH("Total Yearly Replacement Costs",'Replacement Costs'!$A$16:$H$16,0)))</f>
        <v>-794034.35033057898</v>
      </c>
      <c r="J88" s="187">
        <f ca="1">IF(AND(C88&gt;=1,C88&lt;anal_period),WorkingCap*SUM(N88:R88)-WorkingCap*SUM(N87:R87),IF(C88&lt;0,0,IF(B88="","",-SUM(J$65:J87))))</f>
        <v>-171873.62512514554</v>
      </c>
      <c r="K88" s="187" t="str">
        <f t="shared" si="4"/>
        <v/>
      </c>
      <c r="L88" s="187" t="str">
        <f t="shared" si="5"/>
        <v/>
      </c>
      <c r="M88" s="187" t="str">
        <f t="shared" si="6"/>
        <v/>
      </c>
      <c r="N88" s="187">
        <f t="shared" ca="1" si="7"/>
        <v>-9733545.6410535481</v>
      </c>
      <c r="O88" s="187">
        <f t="shared" ca="1" si="8"/>
        <v>-169935098.42793044</v>
      </c>
      <c r="P88" s="187">
        <f t="shared" ca="1" si="9"/>
        <v>0</v>
      </c>
      <c r="Q88" s="187">
        <f t="shared" ca="1" si="10"/>
        <v>0</v>
      </c>
      <c r="R88" s="187">
        <f t="shared" ca="1" si="11"/>
        <v>-397726.75822732056</v>
      </c>
      <c r="S88" s="187">
        <f ca="1">IF(B88="","",IF($B$31=0,"",-'Debt Financing Calculations'!E37))</f>
        <v>-2286735.9984248434</v>
      </c>
      <c r="T88" s="187">
        <f t="shared" ca="1" si="12"/>
        <v>6255845.3372535408</v>
      </c>
      <c r="U88" s="187">
        <f ca="1">IF(C88="","",IF(C88&lt;-1,0,IF(C88=anal_period,-LOOKUP(C88,depr_yr,depr_cost)-Depreciation!$C$141-Depreciation!$B$166,-LOOKUP(C88,depr_yr,depr_cost))))</f>
        <v>-2032304.3231459334</v>
      </c>
      <c r="V88" s="187">
        <f t="shared" ca="1" si="13"/>
        <v>4223541.0141076073</v>
      </c>
      <c r="W88" s="188">
        <f t="shared" si="14"/>
        <v>0.25739999999999996</v>
      </c>
      <c r="X88" s="187">
        <f t="shared" ca="1" si="15"/>
        <v>-1087139.457031298</v>
      </c>
      <c r="Y88" s="187">
        <f t="shared" ca="1" si="16"/>
        <v>5168705.8802222423</v>
      </c>
      <c r="Z88" s="187">
        <f>IF(C88="","",IF($B$31=0,"",-'Debt Financing Calculations'!F37))</f>
        <v>0</v>
      </c>
      <c r="AA88" s="187">
        <f t="shared" ca="1" si="17"/>
        <v>4202797.9047665186</v>
      </c>
      <c r="AB88" s="187">
        <f t="shared" ca="1" si="23"/>
        <v>52031712.034659326</v>
      </c>
      <c r="AC88" s="1150">
        <f t="shared" ca="1" si="18"/>
        <v>5289937.3617978161</v>
      </c>
      <c r="AD88" s="134"/>
      <c r="AE88" s="1154">
        <f t="shared" ca="1" si="19"/>
        <v>17702500</v>
      </c>
      <c r="AF88" s="1150">
        <f t="shared" si="20"/>
        <v>0</v>
      </c>
    </row>
    <row r="89" spans="1:32" x14ac:dyDescent="0.25">
      <c r="A89" s="58">
        <f t="shared" si="21"/>
        <v>2063</v>
      </c>
      <c r="B89" s="185">
        <f>IF(MAX($B$65:B88)&lt;(construct+anal_period),B88+1,"")</f>
        <v>25</v>
      </c>
      <c r="C89" s="185">
        <f t="shared" si="22"/>
        <v>24</v>
      </c>
      <c r="D89" s="185">
        <f t="shared" si="1"/>
        <v>24</v>
      </c>
      <c r="E89" s="186">
        <f t="shared" si="2"/>
        <v>1.5417225765878635</v>
      </c>
      <c r="F89" s="59">
        <f t="shared" ca="1" si="3"/>
        <v>192192522.25398457</v>
      </c>
      <c r="G89" s="1163"/>
      <c r="H89" s="1172">
        <f t="shared" si="24"/>
        <v>0</v>
      </c>
      <c r="I89" s="187">
        <f ca="1">IF(OR(C89&lt;0,C89=""),"",-E89*INDEX('Replacement Costs'!$A$16:$H$57,MATCH(C89,'Replacement Costs'!$C$16:$C$57,0),MATCH("Total Yearly Replacement Costs",'Replacement Costs'!$A$16:$H$16,0)))</f>
        <v>-809121.00298685988</v>
      </c>
      <c r="J89" s="187">
        <f ca="1">IF(AND(C89&gt;=1,C89&lt;anal_period),WorkingCap*SUM(N89:R89)-WorkingCap*SUM(N88:R88),IF(C89&lt;0,0,IF(B89="","",-SUM(J$65:J88))))</f>
        <v>-175218.66484863125</v>
      </c>
      <c r="K89" s="187" t="str">
        <f t="shared" si="4"/>
        <v/>
      </c>
      <c r="L89" s="187" t="str">
        <f t="shared" si="5"/>
        <v/>
      </c>
      <c r="M89" s="187" t="str">
        <f t="shared" si="6"/>
        <v/>
      </c>
      <c r="N89" s="187">
        <f t="shared" ca="1" si="7"/>
        <v>-9918483.0082335621</v>
      </c>
      <c r="O89" s="187">
        <f t="shared" ca="1" si="8"/>
        <v>-173246977.54931676</v>
      </c>
      <c r="P89" s="187">
        <f t="shared" ca="1" si="9"/>
        <v>0</v>
      </c>
      <c r="Q89" s="187">
        <f t="shared" ca="1" si="10"/>
        <v>0</v>
      </c>
      <c r="R89" s="187">
        <f t="shared" ca="1" si="11"/>
        <v>-405283.56663363957</v>
      </c>
      <c r="S89" s="187">
        <f ca="1">IF(B89="","",IF($B$31=0,"",-'Debt Financing Calculations'!E38))</f>
        <v>-2286735.9984248434</v>
      </c>
      <c r="T89" s="187">
        <f t="shared" ca="1" si="12"/>
        <v>6335042.1313757598</v>
      </c>
      <c r="U89" s="187">
        <f ca="1">IF(C89="","",IF(C89&lt;-1,0,IF(C89=anal_period,-LOOKUP(C89,depr_yr,depr_cost)-Depreciation!$C$141-Depreciation!$B$166,-LOOKUP(C89,depr_yr,depr_cost))))</f>
        <v>-1979426.2271659444</v>
      </c>
      <c r="V89" s="187">
        <f t="shared" ca="1" si="13"/>
        <v>4355615.904209815</v>
      </c>
      <c r="W89" s="188">
        <f t="shared" si="14"/>
        <v>0.25739999999999996</v>
      </c>
      <c r="X89" s="187">
        <f t="shared" ca="1" si="15"/>
        <v>-1121135.5337436062</v>
      </c>
      <c r="Y89" s="187">
        <f t="shared" ca="1" si="16"/>
        <v>5213906.5976321539</v>
      </c>
      <c r="Z89" s="187">
        <f>IF(C89="","",IF($B$31=0,"",-'Debt Financing Calculations'!F38))</f>
        <v>0</v>
      </c>
      <c r="AA89" s="187">
        <f t="shared" ca="1" si="17"/>
        <v>4229566.9297966631</v>
      </c>
      <c r="AB89" s="187">
        <f t="shared" ca="1" si="23"/>
        <v>56261278.964455992</v>
      </c>
      <c r="AC89" s="1150">
        <f t="shared" ca="1" si="18"/>
        <v>5350702.4635402691</v>
      </c>
      <c r="AD89" s="134"/>
      <c r="AE89" s="1154">
        <f t="shared" ca="1" si="19"/>
        <v>17702500</v>
      </c>
      <c r="AF89" s="1150">
        <f t="shared" si="20"/>
        <v>0</v>
      </c>
    </row>
    <row r="90" spans="1:32" x14ac:dyDescent="0.25">
      <c r="A90" s="58">
        <f t="shared" si="21"/>
        <v>2064</v>
      </c>
      <c r="B90" s="185">
        <f>IF(MAX($B$65:B89)&lt;(construct+anal_period),B89+1,"")</f>
        <v>26</v>
      </c>
      <c r="C90" s="185">
        <f t="shared" si="22"/>
        <v>25</v>
      </c>
      <c r="D90" s="185">
        <f t="shared" si="1"/>
        <v>25</v>
      </c>
      <c r="E90" s="186">
        <f t="shared" si="2"/>
        <v>1.5710153055430329</v>
      </c>
      <c r="F90" s="59">
        <f t="shared" ca="1" si="3"/>
        <v>195844180.17681029</v>
      </c>
      <c r="G90" s="1163"/>
      <c r="H90" s="1172">
        <f t="shared" si="24"/>
        <v>0</v>
      </c>
      <c r="I90" s="187">
        <f ca="1">IF(OR(C90&lt;0,C90=""),"",-E90*INDEX('Replacement Costs'!$A$16:$H$57,MATCH(C90,'Replacement Costs'!$C$16:$C$57,0),MATCH("Total Yearly Replacement Costs",'Replacement Costs'!$A$16:$H$16,0)))</f>
        <v>-824494.30204361025</v>
      </c>
      <c r="J90" s="187">
        <f ca="1">IF(AND(C90&gt;=1,C90&lt;anal_period),WorkingCap*SUM(N90:R90)-WorkingCap*SUM(N89:R89),IF(C90&lt;0,0,IF(B90="","",-SUM(J$65:J89))))</f>
        <v>-178628.8085560631</v>
      </c>
      <c r="K90" s="187" t="str">
        <f t="shared" si="4"/>
        <v/>
      </c>
      <c r="L90" s="187" t="str">
        <f t="shared" si="5"/>
        <v/>
      </c>
      <c r="M90" s="187" t="str">
        <f t="shared" si="6"/>
        <v/>
      </c>
      <c r="N90" s="187">
        <f t="shared" ca="1" si="7"/>
        <v>-10106934.185390001</v>
      </c>
      <c r="O90" s="187">
        <f t="shared" ca="1" si="8"/>
        <v>-176623402.15551555</v>
      </c>
      <c r="P90" s="187">
        <f t="shared" ca="1" si="9"/>
        <v>0</v>
      </c>
      <c r="Q90" s="187">
        <f t="shared" ca="1" si="10"/>
        <v>0</v>
      </c>
      <c r="R90" s="187">
        <f t="shared" ca="1" si="11"/>
        <v>-412983.95439967874</v>
      </c>
      <c r="S90" s="187">
        <f ca="1">IF(B90="","",IF($B$31=0,"",-'Debt Financing Calculations'!E39))</f>
        <v>-2286735.9984248434</v>
      </c>
      <c r="T90" s="187">
        <f t="shared" ca="1" si="12"/>
        <v>6414123.8830802143</v>
      </c>
      <c r="U90" s="187">
        <f ca="1">IF(C90="","",IF(C90&lt;-1,0,IF(C90=anal_period,-LOOKUP(C90,depr_yr,depr_cost)-Depreciation!$C$141-Depreciation!$B$166,-LOOKUP(C90,depr_yr,depr_cost))))</f>
        <v>-1931727.3697046132</v>
      </c>
      <c r="V90" s="187">
        <f t="shared" ca="1" si="13"/>
        <v>4482396.5133756008</v>
      </c>
      <c r="W90" s="188">
        <f t="shared" si="14"/>
        <v>0.25739999999999996</v>
      </c>
      <c r="X90" s="187">
        <f t="shared" ca="1" si="15"/>
        <v>-1153768.8625428795</v>
      </c>
      <c r="Y90" s="187">
        <f t="shared" ca="1" si="16"/>
        <v>5260355.0205373345</v>
      </c>
      <c r="Z90" s="187">
        <f>IF(C90="","",IF($B$31=0,"",-'Debt Financing Calculations'!F39))</f>
        <v>0</v>
      </c>
      <c r="AA90" s="187">
        <f t="shared" ca="1" si="17"/>
        <v>4257231.9099376611</v>
      </c>
      <c r="AB90" s="187">
        <f t="shared" ca="1" si="23"/>
        <v>60518510.874393657</v>
      </c>
      <c r="AC90" s="1150">
        <f t="shared" ca="1" si="18"/>
        <v>5411000.7724805409</v>
      </c>
      <c r="AD90" s="134"/>
      <c r="AE90" s="1154">
        <f t="shared" ca="1" si="19"/>
        <v>17702500</v>
      </c>
      <c r="AF90" s="1150">
        <f t="shared" si="20"/>
        <v>0</v>
      </c>
    </row>
    <row r="91" spans="1:32" x14ac:dyDescent="0.25">
      <c r="A91" s="58">
        <f t="shared" si="21"/>
        <v>2065</v>
      </c>
      <c r="B91" s="185">
        <f>IF(MAX($B$65:B90)&lt;(construct+anal_period),B90+1,"")</f>
        <v>27</v>
      </c>
      <c r="C91" s="185">
        <f t="shared" si="22"/>
        <v>26</v>
      </c>
      <c r="D91" s="185">
        <f t="shared" si="1"/>
        <v>26</v>
      </c>
      <c r="E91" s="186">
        <f t="shared" si="2"/>
        <v>1.6008645963483503</v>
      </c>
      <c r="F91" s="59">
        <f t="shared" ca="1" si="3"/>
        <v>199565219.60016966</v>
      </c>
      <c r="G91" s="1163"/>
      <c r="H91" s="1172">
        <f t="shared" si="24"/>
        <v>0</v>
      </c>
      <c r="I91" s="187">
        <f ca="1">IF(OR(C91&lt;0,C91=""),"",-E91*INDEX('Replacement Costs'!$A$16:$H$57,MATCH(C91,'Replacement Costs'!$C$16:$C$57,0),MATCH("Total Yearly Replacement Costs",'Replacement Costs'!$A$16:$H$16,0)))</f>
        <v>-840159.69378243876</v>
      </c>
      <c r="J91" s="187">
        <f ca="1">IF(AND(C91&gt;=1,C91&lt;anal_period),WorkingCap*SUM(N91:R91)-WorkingCap*SUM(N90:R90),IF(C91&lt;0,0,IF(B91="","",-SUM(J$65:J90))))</f>
        <v>-182105.3233966846</v>
      </c>
      <c r="K91" s="187" t="str">
        <f t="shared" si="4"/>
        <v/>
      </c>
      <c r="L91" s="187" t="str">
        <f t="shared" si="5"/>
        <v/>
      </c>
      <c r="M91" s="187" t="str">
        <f t="shared" si="6"/>
        <v/>
      </c>
      <c r="N91" s="187">
        <f t="shared" ca="1" si="7"/>
        <v>-10298965.93491241</v>
      </c>
      <c r="O91" s="187">
        <f t="shared" ca="1" si="8"/>
        <v>-180065630.17879322</v>
      </c>
      <c r="P91" s="187">
        <f t="shared" ca="1" si="9"/>
        <v>0</v>
      </c>
      <c r="Q91" s="187">
        <f t="shared" ca="1" si="10"/>
        <v>0</v>
      </c>
      <c r="R91" s="187">
        <f t="shared" ca="1" si="11"/>
        <v>-420830.64953327255</v>
      </c>
      <c r="S91" s="187">
        <f ca="1">IF(B91="","",IF($B$31=0,"",-'Debt Financing Calculations'!E40))</f>
        <v>-2286735.9984248434</v>
      </c>
      <c r="T91" s="187">
        <f t="shared" ca="1" si="12"/>
        <v>6493056.8385058939</v>
      </c>
      <c r="U91" s="187">
        <f ca="1">IF(C91="","",IF(C91&lt;-1,0,IF(C91=anal_period,-LOOKUP(C91,depr_yr,depr_cost)-Depreciation!$C$141-Depreciation!$B$166,-LOOKUP(C91,depr_yr,depr_cost))))</f>
        <v>-1888777.9605038976</v>
      </c>
      <c r="V91" s="187">
        <f t="shared" ca="1" si="13"/>
        <v>4604278.8780019963</v>
      </c>
      <c r="W91" s="188">
        <f t="shared" si="14"/>
        <v>0.25739999999999996</v>
      </c>
      <c r="X91" s="187">
        <f t="shared" ca="1" si="15"/>
        <v>-1185141.3831977136</v>
      </c>
      <c r="Y91" s="187">
        <f t="shared" ca="1" si="16"/>
        <v>5307915.4553081803</v>
      </c>
      <c r="Z91" s="187">
        <f>IF(C91="","",IF($B$31=0,"",-'Debt Financing Calculations'!F40))</f>
        <v>0</v>
      </c>
      <c r="AA91" s="187">
        <f t="shared" ca="1" si="17"/>
        <v>4285650.4381290572</v>
      </c>
      <c r="AB91" s="187">
        <f t="shared" ca="1" si="23"/>
        <v>64804161.312522717</v>
      </c>
      <c r="AC91" s="1150">
        <f t="shared" ca="1" si="18"/>
        <v>5470791.8213267708</v>
      </c>
      <c r="AD91" s="134"/>
      <c r="AE91" s="1154">
        <f t="shared" ca="1" si="19"/>
        <v>17702500</v>
      </c>
      <c r="AF91" s="1150">
        <f t="shared" si="20"/>
        <v>0</v>
      </c>
    </row>
    <row r="92" spans="1:32" x14ac:dyDescent="0.25">
      <c r="A92" s="58">
        <f t="shared" si="21"/>
        <v>2066</v>
      </c>
      <c r="B92" s="185">
        <f>IF(MAX($B$65:B91)&lt;(construct+anal_period),B91+1,"")</f>
        <v>28</v>
      </c>
      <c r="C92" s="185">
        <f t="shared" si="22"/>
        <v>27</v>
      </c>
      <c r="D92" s="185">
        <f t="shared" si="1"/>
        <v>27</v>
      </c>
      <c r="E92" s="186">
        <f t="shared" si="2"/>
        <v>1.631281023678969</v>
      </c>
      <c r="F92" s="59">
        <f t="shared" ca="1" si="3"/>
        <v>203356958.77257288</v>
      </c>
      <c r="G92" s="1163"/>
      <c r="H92" s="1172">
        <f t="shared" si="24"/>
        <v>0</v>
      </c>
      <c r="I92" s="187">
        <f ca="1">IF(OR(C92&lt;0,C92=""),"",-E92*INDEX('Replacement Costs'!$A$16:$H$57,MATCH(C92,'Replacement Costs'!$C$16:$C$57,0),MATCH("Total Yearly Replacement Costs",'Replacement Costs'!$A$16:$H$16,0)))</f>
        <v>-856122.72796430509</v>
      </c>
      <c r="J92" s="187">
        <f ca="1">IF(AND(C92&gt;=1,C92&lt;anal_period),WorkingCap*SUM(N92:R92)-WorkingCap*SUM(N91:R91),IF(C92&lt;0,0,IF(B92="","",-SUM(J$65:J91))))</f>
        <v>-185494.32095434703</v>
      </c>
      <c r="K92" s="187" t="str">
        <f t="shared" si="4"/>
        <v/>
      </c>
      <c r="L92" s="187" t="str">
        <f t="shared" si="5"/>
        <v/>
      </c>
      <c r="M92" s="187" t="str">
        <f t="shared" si="6"/>
        <v/>
      </c>
      <c r="N92" s="187">
        <f t="shared" ca="1" si="7"/>
        <v>-10494646.287675746</v>
      </c>
      <c r="O92" s="187">
        <f t="shared" ca="1" si="8"/>
        <v>-183571840.46277571</v>
      </c>
      <c r="P92" s="187">
        <f t="shared" ca="1" si="9"/>
        <v>0</v>
      </c>
      <c r="Q92" s="187">
        <f t="shared" ca="1" si="10"/>
        <v>0</v>
      </c>
      <c r="R92" s="187">
        <f t="shared" ca="1" si="11"/>
        <v>-428826.43187440478</v>
      </c>
      <c r="S92" s="187">
        <f ca="1">IF(B92="","",IF($B$31=0,"",-'Debt Financing Calculations'!E41))</f>
        <v>-2286735.9984248434</v>
      </c>
      <c r="T92" s="187">
        <f t="shared" ca="1" si="12"/>
        <v>6574909.5918221772</v>
      </c>
      <c r="U92" s="187">
        <f ca="1">IF(C92="","",IF(C92&lt;-1,0,IF(C92=anal_period,-LOOKUP(C92,depr_yr,depr_cost)-Depreciation!$C$141-Depreciation!$B$166,-LOOKUP(C92,depr_yr,depr_cost))))</f>
        <v>-1850361.6449755977</v>
      </c>
      <c r="V92" s="187">
        <f t="shared" ca="1" si="13"/>
        <v>4724547.9468465792</v>
      </c>
      <c r="W92" s="188">
        <f t="shared" si="14"/>
        <v>0.25739999999999996</v>
      </c>
      <c r="X92" s="187">
        <f t="shared" ca="1" si="15"/>
        <v>-1216098.6415183092</v>
      </c>
      <c r="Y92" s="187">
        <f t="shared" ca="1" si="16"/>
        <v>5358810.9503038675</v>
      </c>
      <c r="Z92" s="187">
        <f>IF(C92="","",IF($B$31=0,"",-'Debt Financing Calculations'!F41))</f>
        <v>0</v>
      </c>
      <c r="AA92" s="187">
        <f t="shared" ca="1" si="17"/>
        <v>4317193.901385216</v>
      </c>
      <c r="AB92" s="187">
        <f t="shared" ca="1" si="23"/>
        <v>69121355.213907927</v>
      </c>
      <c r="AC92" s="1150">
        <f t="shared" ca="1" si="18"/>
        <v>5533292.5429035248</v>
      </c>
      <c r="AD92" s="134"/>
      <c r="AE92" s="1154">
        <f t="shared" ca="1" si="19"/>
        <v>17702500</v>
      </c>
      <c r="AF92" s="1150">
        <f t="shared" si="20"/>
        <v>0</v>
      </c>
    </row>
    <row r="93" spans="1:32" x14ac:dyDescent="0.25">
      <c r="A93" s="58">
        <f t="shared" si="21"/>
        <v>2067</v>
      </c>
      <c r="B93" s="185">
        <f>IF(MAX($B$65:B92)&lt;(construct+anal_period),B92+1,"")</f>
        <v>29</v>
      </c>
      <c r="C93" s="185">
        <f t="shared" si="22"/>
        <v>28</v>
      </c>
      <c r="D93" s="185">
        <f t="shared" si="1"/>
        <v>28</v>
      </c>
      <c r="E93" s="186">
        <f t="shared" si="2"/>
        <v>1.6622753631288694</v>
      </c>
      <c r="F93" s="59">
        <f t="shared" ca="1" si="3"/>
        <v>207220740.98925176</v>
      </c>
      <c r="G93" s="1163"/>
      <c r="H93" s="1172">
        <f t="shared" si="24"/>
        <v>0</v>
      </c>
      <c r="I93" s="187">
        <f ca="1">IF(OR(C93&lt;0,C93=""),"",-E93*INDEX('Replacement Costs'!$A$16:$H$57,MATCH(C93,'Replacement Costs'!$C$16:$C$57,0),MATCH("Total Yearly Replacement Costs",'Replacement Costs'!$A$16:$H$16,0)))</f>
        <v>-872389.05979562679</v>
      </c>
      <c r="J93" s="187">
        <f ca="1">IF(AND(C93&gt;=1,C93&lt;anal_period),WorkingCap*SUM(N93:R93)-WorkingCap*SUM(N92:R92),IF(C93&lt;0,0,IF(B93="","",-SUM(J$65:J92))))</f>
        <v>-189101.43267893977</v>
      </c>
      <c r="K93" s="187" t="str">
        <f t="shared" si="4"/>
        <v/>
      </c>
      <c r="L93" s="187" t="str">
        <f t="shared" si="5"/>
        <v/>
      </c>
      <c r="M93" s="187" t="str">
        <f t="shared" si="6"/>
        <v/>
      </c>
      <c r="N93" s="187">
        <f t="shared" ca="1" si="7"/>
        <v>-10694044.567141585</v>
      </c>
      <c r="O93" s="187">
        <f t="shared" ca="1" si="8"/>
        <v>-187146323.13468301</v>
      </c>
      <c r="P93" s="187">
        <f t="shared" ca="1" si="9"/>
        <v>0</v>
      </c>
      <c r="Q93" s="187">
        <f t="shared" ca="1" si="10"/>
        <v>0</v>
      </c>
      <c r="R93" s="187">
        <f t="shared" ca="1" si="11"/>
        <v>-436974.13408001844</v>
      </c>
      <c r="S93" s="187">
        <f ca="1">IF(B93="","",IF($B$31=0,"",-'Debt Financing Calculations'!E42))</f>
        <v>-2286735.9984248434</v>
      </c>
      <c r="T93" s="187">
        <f t="shared" ca="1" si="12"/>
        <v>6656663.1549222767</v>
      </c>
      <c r="U93" s="187">
        <f ca="1">IF(C93="","",IF(C93&lt;-1,0,IF(C93=anal_period,-LOOKUP(C93,depr_yr,depr_cost)-Depreciation!$C$141-Depreciation!$B$166,-LOOKUP(C93,depr_yr,depr_cost))))</f>
        <v>-1816048.809790503</v>
      </c>
      <c r="V93" s="187">
        <f t="shared" ca="1" si="13"/>
        <v>4840614.3451317735</v>
      </c>
      <c r="W93" s="188">
        <f t="shared" si="14"/>
        <v>0.25739999999999996</v>
      </c>
      <c r="X93" s="187">
        <f t="shared" ca="1" si="15"/>
        <v>-1245974.1324369183</v>
      </c>
      <c r="Y93" s="187">
        <f t="shared" ca="1" si="16"/>
        <v>5410689.0224853586</v>
      </c>
      <c r="Z93" s="187">
        <f>IF(C93="","",IF($B$31=0,"",-'Debt Financing Calculations'!F42))</f>
        <v>0</v>
      </c>
      <c r="AA93" s="187">
        <f t="shared" ca="1" si="17"/>
        <v>4349198.5300107915</v>
      </c>
      <c r="AB93" s="187">
        <f t="shared" ca="1" si="23"/>
        <v>73470553.743918717</v>
      </c>
      <c r="AC93" s="1150">
        <f t="shared" ca="1" si="18"/>
        <v>5595172.6624477096</v>
      </c>
      <c r="AD93" s="134"/>
      <c r="AE93" s="1154">
        <f t="shared" ca="1" si="19"/>
        <v>17702500</v>
      </c>
      <c r="AF93" s="1150">
        <f t="shared" si="20"/>
        <v>0</v>
      </c>
    </row>
    <row r="94" spans="1:32" x14ac:dyDescent="0.25">
      <c r="A94" s="58">
        <f t="shared" si="21"/>
        <v>2068</v>
      </c>
      <c r="B94" s="185">
        <f>IF(MAX($B$65:B93)&lt;(construct+anal_period),B93+1,"")</f>
        <v>30</v>
      </c>
      <c r="C94" s="185">
        <f t="shared" si="22"/>
        <v>29</v>
      </c>
      <c r="D94" s="185">
        <f t="shared" si="1"/>
        <v>29</v>
      </c>
      <c r="E94" s="186">
        <f t="shared" si="2"/>
        <v>1.6938585950283176</v>
      </c>
      <c r="F94" s="59">
        <f t="shared" ca="1" si="3"/>
        <v>211157935.06804752</v>
      </c>
      <c r="G94" s="1163"/>
      <c r="H94" s="1172">
        <f t="shared" si="24"/>
        <v>0</v>
      </c>
      <c r="I94" s="187">
        <f ca="1">IF(OR(C94&lt;0,C94=""),"",-E94*INDEX('Replacement Costs'!$A$16:$H$57,MATCH(C94,'Replacement Costs'!$C$16:$C$57,0),MATCH("Total Yearly Replacement Costs",'Replacement Costs'!$A$16:$H$16,0)))</f>
        <v>-888964.45193174353</v>
      </c>
      <c r="J94" s="187">
        <f ca="1">IF(AND(C94&gt;=1,C94&lt;anal_period),WorkingCap*SUM(N94:R94)-WorkingCap*SUM(N93:R93),IF(C94&lt;0,0,IF(B94="","",-SUM(J$65:J93))))</f>
        <v>-192778.6902301535</v>
      </c>
      <c r="K94" s="187" t="str">
        <f t="shared" si="4"/>
        <v/>
      </c>
      <c r="L94" s="187" t="str">
        <f t="shared" si="5"/>
        <v/>
      </c>
      <c r="M94" s="187" t="str">
        <f t="shared" si="6"/>
        <v/>
      </c>
      <c r="N94" s="187">
        <f t="shared" ca="1" si="7"/>
        <v>-10897231.413917273</v>
      </c>
      <c r="O94" s="187">
        <f t="shared" ca="1" si="8"/>
        <v>-190790407.58396289</v>
      </c>
      <c r="P94" s="187">
        <f t="shared" ca="1" si="9"/>
        <v>0</v>
      </c>
      <c r="Q94" s="187">
        <f t="shared" ca="1" si="10"/>
        <v>0</v>
      </c>
      <c r="R94" s="187">
        <f t="shared" ca="1" si="11"/>
        <v>-445276.64262753871</v>
      </c>
      <c r="S94" s="187">
        <f ca="1">IF(B94="","",IF($B$31=0,"",-'Debt Financing Calculations'!E43))</f>
        <v>-2286735.9984248434</v>
      </c>
      <c r="T94" s="187">
        <f t="shared" ca="1" si="12"/>
        <v>6738283.4291149676</v>
      </c>
      <c r="U94" s="187">
        <f ca="1">IF(C94="","",IF(C94&lt;-1,0,IF(C94=anal_period,-LOOKUP(C94,depr_yr,depr_cost)-Depreciation!$C$141-Depreciation!$B$166,-LOOKUP(C94,depr_yr,depr_cost))))</f>
        <v>-1822328.866488443</v>
      </c>
      <c r="V94" s="187">
        <f t="shared" ca="1" si="13"/>
        <v>4915954.5626265248</v>
      </c>
      <c r="W94" s="188">
        <f t="shared" si="14"/>
        <v>0.25739999999999996</v>
      </c>
      <c r="X94" s="187">
        <f t="shared" ca="1" si="15"/>
        <v>-1265366.7044200674</v>
      </c>
      <c r="Y94" s="187">
        <f t="shared" ca="1" si="16"/>
        <v>5472916.7246949002</v>
      </c>
      <c r="Z94" s="187">
        <f>IF(C94="","",IF($B$31=0,"",-'Debt Financing Calculations'!F43))</f>
        <v>0</v>
      </c>
      <c r="AA94" s="187">
        <f t="shared" ca="1" si="17"/>
        <v>4391173.5825330038</v>
      </c>
      <c r="AB94" s="187">
        <f t="shared" ca="1" si="23"/>
        <v>77861727.326451719</v>
      </c>
      <c r="AC94" s="1150">
        <f t="shared" ca="1" si="18"/>
        <v>5656540.2869530711</v>
      </c>
      <c r="AD94" s="134"/>
      <c r="AE94" s="1154">
        <f t="shared" ca="1" si="19"/>
        <v>17702500</v>
      </c>
      <c r="AF94" s="1150">
        <f t="shared" si="20"/>
        <v>0</v>
      </c>
    </row>
    <row r="95" spans="1:32" x14ac:dyDescent="0.25">
      <c r="A95" s="58">
        <f t="shared" si="21"/>
        <v>2069</v>
      </c>
      <c r="B95" s="185">
        <f>IF(MAX($B$65:B94)&lt;(construct+anal_period),B94+1,"")</f>
        <v>31</v>
      </c>
      <c r="C95" s="185">
        <f t="shared" si="22"/>
        <v>30</v>
      </c>
      <c r="D95" s="185">
        <f t="shared" si="1"/>
        <v>30</v>
      </c>
      <c r="E95" s="186">
        <f t="shared" si="2"/>
        <v>1.7260419083338554</v>
      </c>
      <c r="F95" s="59">
        <f t="shared" ca="1" si="3"/>
        <v>215169935.83434039</v>
      </c>
      <c r="G95" s="1163"/>
      <c r="H95" s="1172">
        <f t="shared" si="24"/>
        <v>0</v>
      </c>
      <c r="I95" s="187">
        <f ca="1">IF(OR(C95&lt;0,C95=""),"",-E95*INDEX('Replacement Costs'!$A$16:$H$57,MATCH(C95,'Replacement Costs'!$C$16:$C$57,0),MATCH("Total Yearly Replacement Costs",'Replacement Costs'!$A$16:$H$16,0)))</f>
        <v>-905854.77651844663</v>
      </c>
      <c r="J95" s="187">
        <f ca="1">IF(AND(C95&gt;=1,C95&lt;anal_period),WorkingCap*SUM(N95:R95)-WorkingCap*SUM(N94:R94),IF(C95&lt;0,0,IF(B95="","",-SUM(J$65:J94))))</f>
        <v>-196527.45774207637</v>
      </c>
      <c r="K95" s="187" t="str">
        <f t="shared" si="4"/>
        <v/>
      </c>
      <c r="L95" s="187" t="str">
        <f t="shared" si="5"/>
        <v/>
      </c>
      <c r="M95" s="187" t="str">
        <f t="shared" si="6"/>
        <v/>
      </c>
      <c r="N95" s="187">
        <f t="shared" ca="1" si="7"/>
        <v>-11104278.810781699</v>
      </c>
      <c r="O95" s="187">
        <f t="shared" ca="1" si="8"/>
        <v>-194505449.08573008</v>
      </c>
      <c r="P95" s="187">
        <f t="shared" ca="1" si="9"/>
        <v>0</v>
      </c>
      <c r="Q95" s="187">
        <f t="shared" ca="1" si="10"/>
        <v>0</v>
      </c>
      <c r="R95" s="187">
        <f t="shared" ca="1" si="11"/>
        <v>-453736.89883746189</v>
      </c>
      <c r="S95" s="187">
        <f ca="1">IF(B95="","",IF($B$31=0,"",-'Debt Financing Calculations'!E44))</f>
        <v>-2286735.9984248434</v>
      </c>
      <c r="T95" s="187">
        <f t="shared" ca="1" si="12"/>
        <v>6819735.0405663252</v>
      </c>
      <c r="U95" s="187">
        <f ca="1">IF(C95="","",IF(C95&lt;-1,0,IF(C95=anal_period,-LOOKUP(C95,depr_yr,depr_cost)-Depreciation!$C$141-Depreciation!$B$166,-LOOKUP(C95,depr_yr,depr_cost))))</f>
        <v>-1836392.8150923636</v>
      </c>
      <c r="V95" s="187">
        <f t="shared" ca="1" si="13"/>
        <v>4983342.2254739618</v>
      </c>
      <c r="W95" s="188">
        <f t="shared" si="14"/>
        <v>0.25739999999999996</v>
      </c>
      <c r="X95" s="187">
        <f t="shared" ca="1" si="15"/>
        <v>-1282712.2888369975</v>
      </c>
      <c r="Y95" s="187">
        <f t="shared" ca="1" si="16"/>
        <v>5537022.7517293282</v>
      </c>
      <c r="Z95" s="187">
        <f>IF(C95="","",IF($B$31=0,"",-'Debt Financing Calculations'!F44))</f>
        <v>0</v>
      </c>
      <c r="AA95" s="187">
        <f t="shared" ca="1" si="17"/>
        <v>4434640.5174688045</v>
      </c>
      <c r="AB95" s="187">
        <f t="shared" ca="1" si="23"/>
        <v>82296367.843920529</v>
      </c>
      <c r="AC95" s="1150">
        <f t="shared" ca="1" si="18"/>
        <v>5717352.8063058024</v>
      </c>
      <c r="AD95" s="134"/>
      <c r="AE95" s="1154">
        <f t="shared" ca="1" si="19"/>
        <v>17702500</v>
      </c>
      <c r="AF95" s="1150">
        <f t="shared" si="20"/>
        <v>0</v>
      </c>
    </row>
    <row r="96" spans="1:32" x14ac:dyDescent="0.25">
      <c r="A96" s="58">
        <f t="shared" si="21"/>
        <v>2070</v>
      </c>
      <c r="B96" s="185">
        <f>IF(MAX($B$65:B95)&lt;(construct+anal_period),B95+1,"")</f>
        <v>32</v>
      </c>
      <c r="C96" s="185">
        <f t="shared" si="22"/>
        <v>31</v>
      </c>
      <c r="D96" s="185">
        <f t="shared" si="1"/>
        <v>31</v>
      </c>
      <c r="E96" s="186">
        <f t="shared" si="2"/>
        <v>1.7588367045921991</v>
      </c>
      <c r="F96" s="59">
        <f t="shared" ca="1" si="3"/>
        <v>219258164.61519292</v>
      </c>
      <c r="G96" s="1163"/>
      <c r="H96" s="1172">
        <f t="shared" si="24"/>
        <v>0</v>
      </c>
      <c r="I96" s="187">
        <f ca="1">IF(OR(C96&lt;0,C96=""),"",-E96*INDEX('Replacement Costs'!$A$16:$H$57,MATCH(C96,'Replacement Costs'!$C$16:$C$57,0),MATCH("Total Yearly Replacement Costs",'Replacement Costs'!$A$16:$H$16,0)))</f>
        <v>-16747054.884797394</v>
      </c>
      <c r="J96" s="187">
        <f ca="1">IF(AND(C96&gt;=1,C96&lt;anal_period),WorkingCap*SUM(N96:R96)-WorkingCap*SUM(N95:R95),IF(C96&lt;0,0,IF(B96="","",-SUM(J$65:J95))))</f>
        <v>-200349.12587805092</v>
      </c>
      <c r="K96" s="187" t="str">
        <f t="shared" si="4"/>
        <v/>
      </c>
      <c r="L96" s="187" t="str">
        <f t="shared" si="5"/>
        <v/>
      </c>
      <c r="M96" s="187" t="str">
        <f t="shared" si="6"/>
        <v/>
      </c>
      <c r="N96" s="187">
        <f t="shared" ca="1" si="7"/>
        <v>-11315260.108186554</v>
      </c>
      <c r="O96" s="187">
        <f t="shared" ca="1" si="8"/>
        <v>-198292829.30480835</v>
      </c>
      <c r="P96" s="187">
        <f t="shared" ca="1" si="9"/>
        <v>0</v>
      </c>
      <c r="Q96" s="187">
        <f t="shared" ca="1" si="10"/>
        <v>0</v>
      </c>
      <c r="R96" s="187">
        <f t="shared" ca="1" si="11"/>
        <v>-462357.89991537377</v>
      </c>
      <c r="S96" s="187">
        <f ca="1">IF(B96="","",IF($B$31=0,"",-'Debt Financing Calculations'!E45))</f>
        <v>-2286735.9984248434</v>
      </c>
      <c r="T96" s="187">
        <f t="shared" ca="1" si="12"/>
        <v>6900981.3038578033</v>
      </c>
      <c r="U96" s="187">
        <f ca="1">IF(C96="","",IF(C96&lt;-1,0,IF(C96=anal_period,-LOOKUP(C96,depr_yr,depr_cost)-Depreciation!$C$141-Depreciation!$B$166,-LOOKUP(C96,depr_yr,depr_cost))))</f>
        <v>-2202319.5251235925</v>
      </c>
      <c r="V96" s="187">
        <f t="shared" ca="1" si="13"/>
        <v>4698661.7787342109</v>
      </c>
      <c r="W96" s="188">
        <f t="shared" si="14"/>
        <v>0.25739999999999996</v>
      </c>
      <c r="X96" s="187">
        <f t="shared" ca="1" si="15"/>
        <v>-1209435.5418461857</v>
      </c>
      <c r="Y96" s="187">
        <f t="shared" ca="1" si="16"/>
        <v>5691545.7620116174</v>
      </c>
      <c r="Z96" s="187">
        <f>IF(C96="","",IF($B$31=0,"",-'Debt Financing Calculations'!F45))</f>
        <v>0</v>
      </c>
      <c r="AA96" s="187">
        <f t="shared" ca="1" si="17"/>
        <v>-11255858.248663828</v>
      </c>
      <c r="AB96" s="187">
        <f t="shared" ca="1" si="23"/>
        <v>71040509.595256701</v>
      </c>
      <c r="AC96" s="1150">
        <f t="shared" ca="1" si="18"/>
        <v>-10046422.706817642</v>
      </c>
      <c r="AD96" s="134"/>
      <c r="AE96" s="1154">
        <f t="shared" ca="1" si="19"/>
        <v>17702500</v>
      </c>
      <c r="AF96" s="1150">
        <f t="shared" si="20"/>
        <v>0</v>
      </c>
    </row>
    <row r="97" spans="1:32" x14ac:dyDescent="0.25">
      <c r="A97" s="58">
        <f t="shared" si="21"/>
        <v>2071</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223424069.74288157</v>
      </c>
      <c r="G97" s="1163"/>
      <c r="H97" s="1172">
        <f t="shared" si="24"/>
        <v>0</v>
      </c>
      <c r="I97" s="187">
        <f ca="1">IF(OR(C97&lt;0,C97=""),"",-E97*INDEX('Replacement Costs'!$A$16:$H$57,MATCH(C97,'Replacement Costs'!$C$16:$C$57,0),MATCH("Total Yearly Replacement Costs",'Replacement Costs'!$A$16:$H$16,0)))</f>
        <v>-940604.27160047088</v>
      </c>
      <c r="J97" s="187">
        <f ca="1">IF(AND(C97&gt;=1,C97&lt;anal_period),WorkingCap*SUM(N97:R97)-WorkingCap*SUM(N96:R96),IF(C97&lt;0,0,IF(B97="","",-SUM(J$65:J96))))</f>
        <v>-202619.64985565655</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-11530250.050242098</v>
      </c>
      <c r="O97" s="187">
        <f t="shared" ref="O97:O109" ca="1" si="32">IF(C97="","",IF(C97&lt;0,0,IF(AND(C97=1,start_time&lt;1),-(SUM(B171:E171)*output_kgyear*E97*percnt_var*start_time+SUM(B171:E171)*output_kgyear*E97*(1-start_time)),IF(C97&lt;=start_time,-SUM(B171:E171)*output_kgyear*E97*percnt_var,-SUM(B171:E171)*output_kgyear*E97))))</f>
        <v>-202121447.55976751</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-471142.70001376583</v>
      </c>
      <c r="S97" s="187">
        <f ca="1">IF(B97="","",IF($B$31=0,"",-'Debt Financing Calculations'!E46))</f>
        <v>-2286735.9984248434</v>
      </c>
      <c r="T97" s="187">
        <f t="shared" ref="T97:T113" ca="1" si="35">IF(C97="","",F97+SUM(L97:S97))</f>
        <v>7014493.434433341</v>
      </c>
      <c r="U97" s="187">
        <f ca="1">IF(C97="","",IF(C97&lt;-1,0,IF(C97=anal_period,-LOOKUP(C97,depr_yr,depr_cost)-Depreciation!$C$141-Depreciation!$B$166,-LOOKUP(C97,depr_yr,depr_cost))))</f>
        <v>-2523686.9758507228</v>
      </c>
      <c r="V97" s="187">
        <f t="shared" ref="V97:V113" ca="1" si="36">IF(C97="","",SUM(T97:U97))</f>
        <v>4490806.4585826183</v>
      </c>
      <c r="W97" s="188">
        <f t="shared" ref="W97:W113" si="37">IF(C97="","",$B$33)</f>
        <v>0.25739999999999996</v>
      </c>
      <c r="X97" s="187">
        <f t="shared" ref="X97:X113" ca="1" si="38">IF(C97="","",tax_credit-(V97*W97 +Upstream_CO2_taxpYear + Proc_CO2_taxpYear))</f>
        <v>-1155933.5824391658</v>
      </c>
      <c r="Y97" s="187">
        <f t="shared" ref="Y97:Y113" ca="1" si="39">IF(C97="","",SUM(T97,X97))</f>
        <v>5858559.8519941755</v>
      </c>
      <c r="Z97" s="187">
        <f>IF(C97="","",IF($B$31=0,"",-'Debt Financing Calculations'!F46))</f>
        <v>0</v>
      </c>
      <c r="AA97" s="187">
        <f t="shared" ref="AA97:AA113" ca="1" si="40">IF(C97="","",SUM(H97,I97,J97,K97,T97,X97,Z97))</f>
        <v>4715335.930538048</v>
      </c>
      <c r="AB97" s="187">
        <f t="shared" ca="1" si="23"/>
        <v>75755845.525794744</v>
      </c>
      <c r="AC97" s="1150">
        <f t="shared" ref="AC97:AC113" ca="1" si="41">IF(C97="","",SUM(H97,I97,J97,K97,T97,Z97))</f>
        <v>5871269.5129772136</v>
      </c>
      <c r="AD97" s="134"/>
      <c r="AE97" s="1154">
        <f t="shared" ref="AE97:AE113" ca="1" si="42">IF(C97="","",IF(C97&lt;0,0,IF(AND(C97=1,start_time&lt;1),(output_kgyear*start_time*percnt_revs+output_kgyear*(1-start_time)),IF(C97&lt;=start_time,output_kgyear*percnt_revs,output_kgyear))))</f>
        <v>17702500</v>
      </c>
      <c r="AF97" s="1150">
        <f t="shared" ref="AF97:AF113" si="43">IF(C97="","",tax_credit)</f>
        <v>0</v>
      </c>
    </row>
    <row r="98" spans="1:32" x14ac:dyDescent="0.25">
      <c r="A98" s="58">
        <f t="shared" si="21"/>
        <v>2072</v>
      </c>
      <c r="B98" s="185">
        <f>IF(MAX($B$65:B97)&lt;(construct+anal_period),B97+1,"")</f>
        <v>34</v>
      </c>
      <c r="C98" s="185">
        <f t="shared" si="22"/>
        <v>33</v>
      </c>
      <c r="D98" s="185">
        <f t="shared" si="25"/>
        <v>33</v>
      </c>
      <c r="E98" s="186">
        <f t="shared" si="26"/>
        <v>1.8263074394170602</v>
      </c>
      <c r="F98" s="59">
        <f t="shared" ca="1" si="27"/>
        <v>227669127.06799629</v>
      </c>
      <c r="G98" s="1163"/>
      <c r="H98" s="1172">
        <f t="shared" si="24"/>
        <v>0</v>
      </c>
      <c r="I98" s="187">
        <f ca="1">IF(OR(C98&lt;0,C98=""),"",-E98*INDEX('Replacement Costs'!$A$16:$H$57,MATCH(C98,'Replacement Costs'!$C$16:$C$57,0),MATCH("Total Yearly Replacement Costs",'Replacement Costs'!$A$16:$H$16,0)))</f>
        <v>-958475.75276087981</v>
      </c>
      <c r="J98" s="187">
        <f ca="1">IF(AND(C98&gt;=1,C98&lt;anal_period),WorkingCap*SUM(N98:R98)-WorkingCap*SUM(N97:R97),IF(C98&lt;0,0,IF(B98="","",-SUM(J$65:J97))))</f>
        <v>-206528.36491226591</v>
      </c>
      <c r="K98" s="187" t="str">
        <f t="shared" si="28"/>
        <v/>
      </c>
      <c r="L98" s="187" t="str">
        <f t="shared" si="29"/>
        <v/>
      </c>
      <c r="M98" s="187" t="str">
        <f t="shared" si="30"/>
        <v/>
      </c>
      <c r="N98" s="187">
        <f t="shared" ca="1" si="31"/>
        <v>-11749324.801196696</v>
      </c>
      <c r="O98" s="187">
        <f t="shared" ca="1" si="32"/>
        <v>-206023988.39575797</v>
      </c>
      <c r="P98" s="187">
        <f t="shared" ca="1" si="33"/>
        <v>0</v>
      </c>
      <c r="Q98" s="187">
        <f t="shared" ca="1" si="10"/>
        <v>0</v>
      </c>
      <c r="R98" s="187">
        <f t="shared" ca="1" si="34"/>
        <v>-480094.41131402738</v>
      </c>
      <c r="S98" s="187">
        <f ca="1">IF(B98="","",IF($B$31=0,"",-'Debt Financing Calculations'!E47))</f>
        <v>-2286735.9984248434</v>
      </c>
      <c r="T98" s="187">
        <f t="shared" ca="1" si="35"/>
        <v>7128983.4613027275</v>
      </c>
      <c r="U98" s="187">
        <f ca="1">IF(C98="","",IF(C98&lt;-1,0,IF(C98=anal_period,-LOOKUP(C98,depr_yr,depr_cost)-Depreciation!$C$141-Depreciation!$B$166,-LOOKUP(C98,depr_yr,depr_cost))))</f>
        <v>-2453186.5846301443</v>
      </c>
      <c r="V98" s="187">
        <f t="shared" ca="1" si="36"/>
        <v>4675796.8766725827</v>
      </c>
      <c r="W98" s="188">
        <f t="shared" si="37"/>
        <v>0.25739999999999996</v>
      </c>
      <c r="X98" s="187">
        <f t="shared" ca="1" si="38"/>
        <v>-1203550.1160555226</v>
      </c>
      <c r="Y98" s="187">
        <f t="shared" ca="1" si="39"/>
        <v>5925433.3452472053</v>
      </c>
      <c r="Z98" s="187">
        <f>IF(C98="","",IF($B$31=0,"",-'Debt Financing Calculations'!F47))</f>
        <v>0</v>
      </c>
      <c r="AA98" s="187">
        <f t="shared" ca="1" si="40"/>
        <v>4760429.2275740597</v>
      </c>
      <c r="AB98" s="187">
        <f t="shared" ca="1" si="23"/>
        <v>80516274.75336881</v>
      </c>
      <c r="AC98" s="1150">
        <f t="shared" ca="1" si="41"/>
        <v>5963979.3436295819</v>
      </c>
      <c r="AD98" s="134"/>
      <c r="AE98" s="1154">
        <f t="shared" ca="1" si="42"/>
        <v>17702500</v>
      </c>
      <c r="AF98" s="1150">
        <f t="shared" si="43"/>
        <v>0</v>
      </c>
    </row>
    <row r="99" spans="1:32" x14ac:dyDescent="0.25">
      <c r="A99" s="58">
        <f t="shared" si="21"/>
        <v>2073</v>
      </c>
      <c r="B99" s="185">
        <f>IF(MAX($B$65:B98)&lt;(construct+anal_period),B98+1,"")</f>
        <v>35</v>
      </c>
      <c r="C99" s="185">
        <f t="shared" si="22"/>
        <v>34</v>
      </c>
      <c r="D99" s="185">
        <f t="shared" si="25"/>
        <v>34</v>
      </c>
      <c r="E99" s="186">
        <f t="shared" si="26"/>
        <v>1.8610072807659841</v>
      </c>
      <c r="F99" s="59">
        <f t="shared" ca="1" si="27"/>
        <v>231994840.48228818</v>
      </c>
      <c r="G99" s="1163"/>
      <c r="H99" s="1172">
        <f t="shared" si="24"/>
        <v>0</v>
      </c>
      <c r="I99" s="187">
        <f ca="1">IF(OR(C99&lt;0,C99=""),"",-E99*INDEX('Replacement Costs'!$A$16:$H$57,MATCH(C99,'Replacement Costs'!$C$16:$C$57,0),MATCH("Total Yearly Replacement Costs",'Replacement Costs'!$A$16:$H$16,0)))</f>
        <v>-976686.79206333635</v>
      </c>
      <c r="J99" s="187">
        <f ca="1">IF(AND(C99&gt;=1,C99&lt;anal_period),WorkingCap*SUM(N99:R99)-WorkingCap*SUM(N98:R98),IF(C99&lt;0,0,IF(B99="","",-SUM(J$65:J98))))</f>
        <v>-210512.4835956227</v>
      </c>
      <c r="K99" s="187" t="str">
        <f t="shared" si="28"/>
        <v/>
      </c>
      <c r="L99" s="187" t="str">
        <f t="shared" si="29"/>
        <v/>
      </c>
      <c r="M99" s="187" t="str">
        <f t="shared" si="30"/>
        <v/>
      </c>
      <c r="N99" s="187">
        <f t="shared" ca="1" si="31"/>
        <v>-11972561.972419433</v>
      </c>
      <c r="O99" s="187">
        <f t="shared" ca="1" si="32"/>
        <v>-210001879.1026327</v>
      </c>
      <c r="P99" s="187">
        <f t="shared" ca="1" si="33"/>
        <v>0</v>
      </c>
      <c r="Q99" s="187">
        <f t="shared" ca="1" si="10"/>
        <v>0</v>
      </c>
      <c r="R99" s="187">
        <f t="shared" ca="1" si="34"/>
        <v>-489216.20512899384</v>
      </c>
      <c r="S99" s="187">
        <f ca="1">IF(B99="","",IF($B$31=0,"",-'Debt Financing Calculations'!E48))</f>
        <v>-2286735.9984248434</v>
      </c>
      <c r="T99" s="187">
        <f t="shared" ca="1" si="35"/>
        <v>7244447.2036821842</v>
      </c>
      <c r="U99" s="187">
        <f ca="1">IF(C99="","",IF(C99&lt;-1,0,IF(C99=anal_period,-LOOKUP(C99,depr_yr,depr_cost)-Depreciation!$C$141-Depreciation!$B$166,-LOOKUP(C99,depr_yr,depr_cost))))</f>
        <v>-2389357.6421821495</v>
      </c>
      <c r="V99" s="187">
        <f t="shared" ca="1" si="36"/>
        <v>4855089.5615000352</v>
      </c>
      <c r="W99" s="188">
        <f t="shared" si="37"/>
        <v>0.25739999999999996</v>
      </c>
      <c r="X99" s="187">
        <f t="shared" ca="1" si="38"/>
        <v>-1249700.0531301089</v>
      </c>
      <c r="Y99" s="187">
        <f t="shared" ca="1" si="39"/>
        <v>5994747.1505520754</v>
      </c>
      <c r="Z99" s="187">
        <f>IF(C99="","",IF($B$31=0,"",-'Debt Financing Calculations'!F48))</f>
        <v>0</v>
      </c>
      <c r="AA99" s="187">
        <f t="shared" ca="1" si="40"/>
        <v>4807547.8748931158</v>
      </c>
      <c r="AB99" s="187">
        <f t="shared" ca="1" si="23"/>
        <v>85323822.628261924</v>
      </c>
      <c r="AC99" s="1150">
        <f t="shared" ca="1" si="41"/>
        <v>6057247.9280232247</v>
      </c>
      <c r="AD99" s="134"/>
      <c r="AE99" s="1154">
        <f t="shared" ca="1" si="42"/>
        <v>17702500</v>
      </c>
      <c r="AF99" s="1150">
        <f t="shared" si="43"/>
        <v>0</v>
      </c>
    </row>
    <row r="100" spans="1:32" x14ac:dyDescent="0.25">
      <c r="A100" s="58">
        <f t="shared" si="21"/>
        <v>2074</v>
      </c>
      <c r="B100" s="185">
        <f>IF(MAX($B$65:B99)&lt;(construct+anal_period),B99+1,"")</f>
        <v>36</v>
      </c>
      <c r="C100" s="185">
        <f t="shared" si="22"/>
        <v>35</v>
      </c>
      <c r="D100" s="185">
        <f t="shared" si="25"/>
        <v>35</v>
      </c>
      <c r="E100" s="186">
        <f t="shared" si="26"/>
        <v>1.8963664191005378</v>
      </c>
      <c r="F100" s="59">
        <f t="shared" ca="1" si="27"/>
        <v>236402742.45145169</v>
      </c>
      <c r="G100" s="1163"/>
      <c r="H100" s="1172">
        <f t="shared" si="24"/>
        <v>0</v>
      </c>
      <c r="I100" s="187">
        <f ca="1">IF(OR(C100&lt;0,C100=""),"",-E100*INDEX('Replacement Costs'!$A$16:$H$57,MATCH(C100,'Replacement Costs'!$C$16:$C$57,0),MATCH("Total Yearly Replacement Costs",'Replacement Costs'!$A$16:$H$16,0)))</f>
        <v>-995243.84111253975</v>
      </c>
      <c r="J100" s="187">
        <f ca="1">IF(AND(C100&gt;=1,C100&lt;anal_period),WorkingCap*SUM(N100:R100)-WorkingCap*SUM(N99:R99),IF(C100&lt;0,0,IF(B100="","",-SUM(J$65:J99))))</f>
        <v>-214573.46054780856</v>
      </c>
      <c r="K100" s="187" t="str">
        <f t="shared" si="28"/>
        <v/>
      </c>
      <c r="L100" s="187" t="str">
        <f t="shared" si="29"/>
        <v/>
      </c>
      <c r="M100" s="187" t="str">
        <f t="shared" si="30"/>
        <v/>
      </c>
      <c r="N100" s="187">
        <f t="shared" ca="1" si="31"/>
        <v>-12200040.649895402</v>
      </c>
      <c r="O100" s="187">
        <f t="shared" ca="1" si="32"/>
        <v>-214056574.52821547</v>
      </c>
      <c r="P100" s="187">
        <f t="shared" ca="1" si="33"/>
        <v>0</v>
      </c>
      <c r="Q100" s="187">
        <f t="shared" ca="1" si="10"/>
        <v>0</v>
      </c>
      <c r="R100" s="187">
        <f t="shared" ca="1" si="34"/>
        <v>-498511.3130264447</v>
      </c>
      <c r="S100" s="187">
        <f ca="1">IF(B100="","",IF($B$31=0,"",-'Debt Financing Calculations'!E49))</f>
        <v>-2286735.9984248434</v>
      </c>
      <c r="T100" s="187">
        <f t="shared" ca="1" si="35"/>
        <v>7360879.9618895054</v>
      </c>
      <c r="U100" s="187">
        <f ca="1">IF(C100="","",IF(C100&lt;-1,0,IF(C100=anal_period,-LOOKUP(C100,depr_yr,depr_cost)-Depreciation!$C$141-Depreciation!$B$166,-LOOKUP(C100,depr_yr,depr_cost))))</f>
        <v>-2331780.5382545297</v>
      </c>
      <c r="V100" s="187">
        <f t="shared" ca="1" si="36"/>
        <v>5029099.4236349761</v>
      </c>
      <c r="W100" s="188">
        <f t="shared" si="37"/>
        <v>0.25739999999999996</v>
      </c>
      <c r="X100" s="187">
        <f t="shared" ca="1" si="38"/>
        <v>-1294490.1916436427</v>
      </c>
      <c r="Y100" s="187">
        <f t="shared" ca="1" si="39"/>
        <v>6066389.7702458631</v>
      </c>
      <c r="Z100" s="187">
        <f>IF(C100="","",IF($B$31=0,"",-'Debt Financing Calculations'!F49))</f>
        <v>0</v>
      </c>
      <c r="AA100" s="187">
        <f t="shared" ca="1" si="40"/>
        <v>4856572.4685855154</v>
      </c>
      <c r="AB100" s="187">
        <f t="shared" ca="1" si="23"/>
        <v>90180395.096847445</v>
      </c>
      <c r="AC100" s="1150">
        <f t="shared" ca="1" si="41"/>
        <v>6151062.6602291577</v>
      </c>
      <c r="AD100" s="134"/>
      <c r="AE100" s="1154">
        <f t="shared" ca="1" si="42"/>
        <v>17702500</v>
      </c>
      <c r="AF100" s="1150">
        <f t="shared" si="43"/>
        <v>0</v>
      </c>
    </row>
    <row r="101" spans="1:32" x14ac:dyDescent="0.25">
      <c r="A101" s="58">
        <f t="shared" si="21"/>
        <v>2075</v>
      </c>
      <c r="B101" s="185">
        <f>IF(MAX($B$65:B100)&lt;(construct+anal_period),B100+1,"")</f>
        <v>37</v>
      </c>
      <c r="C101" s="185">
        <f t="shared" si="22"/>
        <v>36</v>
      </c>
      <c r="D101" s="185">
        <f t="shared" si="25"/>
        <v>36</v>
      </c>
      <c r="E101" s="186">
        <f t="shared" si="26"/>
        <v>1.932397381063448</v>
      </c>
      <c r="F101" s="59">
        <f t="shared" ca="1" si="27"/>
        <v>240894394.55802926</v>
      </c>
      <c r="G101" s="1163"/>
      <c r="H101" s="1172">
        <f t="shared" si="24"/>
        <v>0</v>
      </c>
      <c r="I101" s="187">
        <f ca="1">IF(OR(C101&lt;0,C101=""),"",-E101*INDEX('Replacement Costs'!$A$16:$H$57,MATCH(C101,'Replacement Costs'!$C$16:$C$57,0),MATCH("Total Yearly Replacement Costs",'Replacement Costs'!$A$16:$H$16,0)))</f>
        <v>-1014153.4740936781</v>
      </c>
      <c r="J101" s="187">
        <f ca="1">IF(AND(C101&gt;=1,C101&lt;anal_period),WorkingCap*SUM(N101:R101)-WorkingCap*SUM(N100:R100),IF(C101&lt;0,0,IF(B101="","",-SUM(J$65:J100))))</f>
        <v>-218712.77847336605</v>
      </c>
      <c r="K101" s="187" t="str">
        <f t="shared" si="28"/>
        <v/>
      </c>
      <c r="L101" s="187" t="str">
        <f t="shared" si="29"/>
        <v/>
      </c>
      <c r="M101" s="187" t="str">
        <f t="shared" si="30"/>
        <v/>
      </c>
      <c r="N101" s="187">
        <f t="shared" ca="1" si="31"/>
        <v>-12431841.422243414</v>
      </c>
      <c r="O101" s="187">
        <f t="shared" ca="1" si="32"/>
        <v>-218189557.61038727</v>
      </c>
      <c r="P101" s="187">
        <f t="shared" ca="1" si="33"/>
        <v>0</v>
      </c>
      <c r="Q101" s="187">
        <f t="shared" ca="1" si="10"/>
        <v>0</v>
      </c>
      <c r="R101" s="187">
        <f t="shared" ca="1" si="34"/>
        <v>-507983.02797394717</v>
      </c>
      <c r="S101" s="187">
        <f ca="1">IF(B101="","",IF($B$31=0,"",-'Debt Financing Calculations'!E50))</f>
        <v>-2286735.9984248434</v>
      </c>
      <c r="T101" s="187">
        <f t="shared" ca="1" si="35"/>
        <v>7478276.4989997745</v>
      </c>
      <c r="U101" s="187">
        <f ca="1">IF(C101="","",IF(C101&lt;-1,0,IF(C101=anal_period,-LOOKUP(C101,depr_yr,depr_cost)-Depreciation!$C$141-Depreciation!$B$166,-LOOKUP(C101,depr_yr,depr_cost))))</f>
        <v>-2279936.4747109916</v>
      </c>
      <c r="V101" s="187">
        <f t="shared" ca="1" si="36"/>
        <v>5198340.0242887828</v>
      </c>
      <c r="W101" s="188">
        <f t="shared" si="37"/>
        <v>0.25739999999999996</v>
      </c>
      <c r="X101" s="187">
        <f t="shared" ca="1" si="38"/>
        <v>-1338052.7222519326</v>
      </c>
      <c r="Y101" s="187">
        <f t="shared" ca="1" si="39"/>
        <v>6140223.7767478414</v>
      </c>
      <c r="Z101" s="187">
        <f>IF(C101="","",IF($B$31=0,"",-'Debt Financing Calculations'!F50))</f>
        <v>0</v>
      </c>
      <c r="AA101" s="187">
        <f t="shared" ca="1" si="40"/>
        <v>4907357.5241807979</v>
      </c>
      <c r="AB101" s="187">
        <f t="shared" ca="1" si="23"/>
        <v>95087752.621028244</v>
      </c>
      <c r="AC101" s="1150">
        <f t="shared" ca="1" si="41"/>
        <v>6245410.2464327309</v>
      </c>
      <c r="AD101" s="134"/>
      <c r="AE101" s="1154">
        <f t="shared" ca="1" si="42"/>
        <v>17702500</v>
      </c>
      <c r="AF101" s="1150">
        <f t="shared" si="43"/>
        <v>0</v>
      </c>
    </row>
    <row r="102" spans="1:32" x14ac:dyDescent="0.25">
      <c r="A102" s="58">
        <f t="shared" si="21"/>
        <v>2076</v>
      </c>
      <c r="B102" s="185">
        <f>IF(MAX($B$65:B101)&lt;(construct+anal_period),B101+1,"")</f>
        <v>38</v>
      </c>
      <c r="C102" s="185">
        <f t="shared" si="22"/>
        <v>37</v>
      </c>
      <c r="D102" s="185">
        <f t="shared" si="25"/>
        <v>37</v>
      </c>
      <c r="E102" s="186">
        <f t="shared" si="26"/>
        <v>1.9691129313036535</v>
      </c>
      <c r="F102" s="59">
        <f t="shared" ca="1" si="27"/>
        <v>245471388.0546318</v>
      </c>
      <c r="G102" s="1163"/>
      <c r="H102" s="1172">
        <f t="shared" si="24"/>
        <v>0</v>
      </c>
      <c r="I102" s="187">
        <f ca="1">IF(OR(C102&lt;0,C102=""),"",-E102*INDEX('Replacement Costs'!$A$16:$H$57,MATCH(C102,'Replacement Costs'!$C$16:$C$57,0),MATCH("Total Yearly Replacement Costs",'Replacement Costs'!$A$16:$H$16,0)))</f>
        <v>-1033422.3901014578</v>
      </c>
      <c r="J102" s="187">
        <f ca="1">IF(AND(C102&gt;=1,C102&lt;anal_period),WorkingCap*SUM(N102:R102)-WorkingCap*SUM(N101:R101),IF(C102&lt;0,0,IF(B102="","",-SUM(J$65:J101))))</f>
        <v>-218315.69305956736</v>
      </c>
      <c r="K102" s="187" t="str">
        <f t="shared" si="28"/>
        <v/>
      </c>
      <c r="L102" s="187" t="str">
        <f t="shared" si="29"/>
        <v/>
      </c>
      <c r="M102" s="187" t="str">
        <f t="shared" si="30"/>
        <v/>
      </c>
      <c r="N102" s="187">
        <f t="shared" ca="1" si="31"/>
        <v>-12668046.40926604</v>
      </c>
      <c r="O102" s="187">
        <f t="shared" ca="1" si="32"/>
        <v>-222310014.80702448</v>
      </c>
      <c r="P102" s="187">
        <f t="shared" ca="1" si="33"/>
        <v>0</v>
      </c>
      <c r="Q102" s="187">
        <f t="shared" ca="1" si="10"/>
        <v>0</v>
      </c>
      <c r="R102" s="187">
        <f t="shared" ca="1" si="34"/>
        <v>-517634.70550545212</v>
      </c>
      <c r="S102" s="187">
        <f ca="1">IF(B102="","",IF($B$31=0,"",-'Debt Financing Calculations'!E51))</f>
        <v>-2286735.9984248434</v>
      </c>
      <c r="T102" s="187">
        <f t="shared" ca="1" si="35"/>
        <v>7688956.1344109476</v>
      </c>
      <c r="U102" s="187">
        <f ca="1">IF(C102="","",IF(C102&lt;-1,0,IF(C102=anal_period,-LOOKUP(C102,depr_yr,depr_cost)-Depreciation!$C$141-Depreciation!$B$166,-LOOKUP(C102,depr_yr,depr_cost))))</f>
        <v>-2233564.2907759305</v>
      </c>
      <c r="V102" s="187">
        <f t="shared" ca="1" si="36"/>
        <v>5455391.8436350171</v>
      </c>
      <c r="W102" s="188">
        <f t="shared" si="37"/>
        <v>0.25739999999999996</v>
      </c>
      <c r="X102" s="187">
        <f t="shared" ca="1" si="38"/>
        <v>-1404217.8605516532</v>
      </c>
      <c r="Y102" s="187">
        <f t="shared" ca="1" si="39"/>
        <v>6284738.2738592941</v>
      </c>
      <c r="Z102" s="187">
        <f>IF(C102="","",IF($B$31=0,"",-'Debt Financing Calculations'!F51))</f>
        <v>0</v>
      </c>
      <c r="AA102" s="187">
        <f t="shared" ca="1" si="40"/>
        <v>5033000.1906982688</v>
      </c>
      <c r="AB102" s="187">
        <f t="shared" ca="1" si="23"/>
        <v>100120752.81172651</v>
      </c>
      <c r="AC102" s="1150">
        <f t="shared" ca="1" si="41"/>
        <v>6437218.0512499223</v>
      </c>
      <c r="AD102" s="134"/>
      <c r="AE102" s="1154">
        <f t="shared" ca="1" si="42"/>
        <v>17702500</v>
      </c>
      <c r="AF102" s="1150">
        <f t="shared" si="43"/>
        <v>0</v>
      </c>
    </row>
    <row r="103" spans="1:32" x14ac:dyDescent="0.25">
      <c r="A103" s="58">
        <f t="shared" si="21"/>
        <v>2077</v>
      </c>
      <c r="B103" s="185">
        <f>IF(MAX($B$65:B102)&lt;(construct+anal_period),B102+1,"")</f>
        <v>39</v>
      </c>
      <c r="C103" s="185">
        <f t="shared" si="22"/>
        <v>38</v>
      </c>
      <c r="D103" s="185">
        <f t="shared" si="25"/>
        <v>38</v>
      </c>
      <c r="E103" s="186">
        <f t="shared" si="26"/>
        <v>2.0065260769984223</v>
      </c>
      <c r="F103" s="59">
        <f t="shared" ca="1" si="27"/>
        <v>250135344.42766973</v>
      </c>
      <c r="G103" s="1163"/>
      <c r="H103" s="1172">
        <f t="shared" si="24"/>
        <v>0</v>
      </c>
      <c r="I103" s="187">
        <f ca="1">IF(OR(C103&lt;0,C103=""),"",-E103*INDEX('Replacement Costs'!$A$16:$H$57,MATCH(C103,'Replacement Costs'!$C$16:$C$57,0),MATCH("Total Yearly Replacement Costs",'Replacement Costs'!$A$16:$H$16,0)))</f>
        <v>-1053057.4155133853</v>
      </c>
      <c r="J103" s="187">
        <f ca="1">IF(AND(C103&gt;=1,C103&lt;anal_period),WorkingCap*SUM(N103:R103)-WorkingCap*SUM(N102:R102),IF(C103&lt;0,0,IF(B103="","",-SUM(J$65:J102))))</f>
        <v>-222439.94893299602</v>
      </c>
      <c r="K103" s="187" t="str">
        <f t="shared" si="28"/>
        <v/>
      </c>
      <c r="L103" s="187" t="str">
        <f t="shared" si="29"/>
        <v/>
      </c>
      <c r="M103" s="187" t="str">
        <f t="shared" si="30"/>
        <v/>
      </c>
      <c r="N103" s="187">
        <f t="shared" ca="1" si="31"/>
        <v>-12908739.291042089</v>
      </c>
      <c r="O103" s="187">
        <f t="shared" ca="1" si="32"/>
        <v>-226508285.84450379</v>
      </c>
      <c r="P103" s="187">
        <f t="shared" ca="1" si="33"/>
        <v>0</v>
      </c>
      <c r="Q103" s="187">
        <f t="shared" ca="1" si="10"/>
        <v>0</v>
      </c>
      <c r="R103" s="187">
        <f t="shared" ca="1" si="34"/>
        <v>-527469.76491005556</v>
      </c>
      <c r="S103" s="187">
        <f ca="1">IF(B103="","",IF($B$31=0,"",-'Debt Financing Calculations'!E52))</f>
        <v>-2286735.9984248434</v>
      </c>
      <c r="T103" s="187">
        <f t="shared" ca="1" si="35"/>
        <v>7904113.528788954</v>
      </c>
      <c r="U103" s="187">
        <f ca="1">IF(C103="","",IF(C103&lt;-1,0,IF(C103=anal_period,-LOOKUP(C103,depr_yr,depr_cost)-Depreciation!$C$141-Depreciation!$B$166,-LOOKUP(C103,depr_yr,depr_cost))))</f>
        <v>-2192145.4018831491</v>
      </c>
      <c r="V103" s="187">
        <f t="shared" ca="1" si="36"/>
        <v>5711968.1269058045</v>
      </c>
      <c r="W103" s="188">
        <f t="shared" si="37"/>
        <v>0.25739999999999996</v>
      </c>
      <c r="X103" s="187">
        <f t="shared" ca="1" si="38"/>
        <v>-1470260.5958655539</v>
      </c>
      <c r="Y103" s="187">
        <f t="shared" ca="1" si="39"/>
        <v>6433852.9329233998</v>
      </c>
      <c r="Z103" s="187">
        <f>IF(C103="","",IF($B$31=0,"",-'Debt Financing Calculations'!F52))</f>
        <v>0</v>
      </c>
      <c r="AA103" s="187">
        <f t="shared" ca="1" si="40"/>
        <v>5158355.5684770187</v>
      </c>
      <c r="AB103" s="187">
        <f t="shared" ca="1" si="23"/>
        <v>105279108.38020353</v>
      </c>
      <c r="AC103" s="1150">
        <f t="shared" ca="1" si="41"/>
        <v>6628616.1643425729</v>
      </c>
      <c r="AD103" s="134"/>
      <c r="AE103" s="1154">
        <f t="shared" ca="1" si="42"/>
        <v>17702500</v>
      </c>
      <c r="AF103" s="1150">
        <f t="shared" si="43"/>
        <v>0</v>
      </c>
    </row>
    <row r="104" spans="1:32" x14ac:dyDescent="0.25">
      <c r="A104" s="58">
        <f t="shared" si="21"/>
        <v>2078</v>
      </c>
      <c r="B104" s="185">
        <f>IF(MAX($B$65:B103)&lt;(construct+anal_period),B103+1,"")</f>
        <v>40</v>
      </c>
      <c r="C104" s="185">
        <f t="shared" si="22"/>
        <v>39</v>
      </c>
      <c r="D104" s="185">
        <f t="shared" si="25"/>
        <v>39</v>
      </c>
      <c r="E104" s="186">
        <f t="shared" si="26"/>
        <v>2.0446500724613927</v>
      </c>
      <c r="F104" s="59">
        <f t="shared" ca="1" si="27"/>
        <v>254887915.9717955</v>
      </c>
      <c r="G104" s="1163"/>
      <c r="H104" s="1172">
        <f t="shared" si="24"/>
        <v>0</v>
      </c>
      <c r="I104" s="187">
        <f ca="1">IF(OR(C104&lt;0,C104=""),"",-E104*INDEX('Replacement Costs'!$A$16:$H$57,MATCH(C104,'Replacement Costs'!$C$16:$C$57,0),MATCH("Total Yearly Replacement Costs",'Replacement Costs'!$A$16:$H$16,0)))</f>
        <v>-1073065.5064081398</v>
      </c>
      <c r="J104" s="187">
        <f ca="1">IF(AND(C104&gt;=1,C104&lt;anal_period),WorkingCap*SUM(N104:R104)-WorkingCap*SUM(N103:R103),IF(C104&lt;0,0,IF(B104="","",-SUM(J$65:J103))))</f>
        <v>-226642.11730052531</v>
      </c>
      <c r="K104" s="187" t="str">
        <f t="shared" si="28"/>
        <v/>
      </c>
      <c r="L104" s="187" t="str">
        <f t="shared" si="29"/>
        <v/>
      </c>
      <c r="M104" s="187" t="str">
        <f t="shared" si="30"/>
        <v/>
      </c>
      <c r="N104" s="187">
        <f t="shared" ca="1" si="31"/>
        <v>-13154005.337571893</v>
      </c>
      <c r="O104" s="187">
        <f t="shared" ca="1" si="32"/>
        <v>-230785840.21845117</v>
      </c>
      <c r="P104" s="187">
        <f t="shared" ca="1" si="33"/>
        <v>0</v>
      </c>
      <c r="Q104" s="187">
        <f t="shared" ca="1" si="10"/>
        <v>0</v>
      </c>
      <c r="R104" s="187">
        <f t="shared" ca="1" si="34"/>
        <v>-537491.69044334674</v>
      </c>
      <c r="S104" s="187">
        <f ca="1">IF(B104="","",IF($B$31=0,"",-'Debt Financing Calculations'!E53))</f>
        <v>-2286735.9984248434</v>
      </c>
      <c r="T104" s="187">
        <f t="shared" ca="1" si="35"/>
        <v>8123842.7269042432</v>
      </c>
      <c r="U104" s="187">
        <f ca="1">IF(C104="","",IF(C104&lt;-1,0,IF(C104=anal_period,-LOOKUP(C104,depr_yr,depr_cost)-Depreciation!$C$141-Depreciation!$B$166,-LOOKUP(C104,depr_yr,depr_cost))))</f>
        <v>-2199726.033714043</v>
      </c>
      <c r="V104" s="187">
        <f t="shared" ca="1" si="36"/>
        <v>5924116.6931902003</v>
      </c>
      <c r="W104" s="188">
        <f t="shared" si="37"/>
        <v>0.25739999999999996</v>
      </c>
      <c r="X104" s="187">
        <f t="shared" ca="1" si="38"/>
        <v>-1524867.6368271573</v>
      </c>
      <c r="Y104" s="187">
        <f t="shared" ca="1" si="39"/>
        <v>6598975.0900770854</v>
      </c>
      <c r="Z104" s="187">
        <f>IF(C104="","",IF($B$31=0,"",-'Debt Financing Calculations'!F53))</f>
        <v>0</v>
      </c>
      <c r="AA104" s="187">
        <f t="shared" ca="1" si="40"/>
        <v>5299267.46636842</v>
      </c>
      <c r="AB104" s="187">
        <f t="shared" ca="1" si="23"/>
        <v>110578375.84657195</v>
      </c>
      <c r="AC104" s="1150">
        <f t="shared" ca="1" si="41"/>
        <v>6824135.1031955779</v>
      </c>
      <c r="AD104" s="134"/>
      <c r="AE104" s="1154">
        <f t="shared" ca="1" si="42"/>
        <v>17702500</v>
      </c>
      <c r="AF104" s="1150">
        <f t="shared" si="43"/>
        <v>0</v>
      </c>
    </row>
    <row r="105" spans="1:32" x14ac:dyDescent="0.25">
      <c r="A105" s="58">
        <f t="shared" si="21"/>
        <v>2079</v>
      </c>
      <c r="B105" s="185">
        <f>IF(MAX($B$65:B104)&lt;(construct+anal_period),B104+1,"")</f>
        <v>41</v>
      </c>
      <c r="C105" s="185">
        <f t="shared" si="22"/>
        <v>40</v>
      </c>
      <c r="D105" s="185">
        <f t="shared" si="25"/>
        <v>40</v>
      </c>
      <c r="E105" s="186">
        <f t="shared" si="26"/>
        <v>2.0834984238381593</v>
      </c>
      <c r="F105" s="59">
        <f t="shared" ca="1" si="27"/>
        <v>259730786.37525964</v>
      </c>
      <c r="G105" s="1163"/>
      <c r="H105" s="1172">
        <f t="shared" si="24"/>
        <v>0</v>
      </c>
      <c r="I105" s="187">
        <f ca="1">IF(OR(C105&lt;0,C105=""),"",-E105*INDEX('Replacement Costs'!$A$16:$H$57,MATCH(C105,'Replacement Costs'!$C$16:$C$57,0),MATCH("Total Yearly Replacement Costs",'Replacement Costs'!$A$16:$H$16,0)))</f>
        <v>-1093453.7510298945</v>
      </c>
      <c r="J105" s="187">
        <f ca="1">IF(AND(C105&gt;=1,C105&lt;anal_period),WorkingCap*SUM(N105:R105)-WorkingCap*SUM(N104:R104),IF(C105&lt;0,0,IF(B105="","",-SUM(J$65:J104))))</f>
        <v>12223866.862323321</v>
      </c>
      <c r="K105" s="187" t="str">
        <f t="shared" si="28"/>
        <v/>
      </c>
      <c r="L105" s="187">
        <f t="shared" ca="1" si="29"/>
        <v>21959147.498540021</v>
      </c>
      <c r="M105" s="187">
        <f t="shared" ca="1" si="30"/>
        <v>-21869075.02059789</v>
      </c>
      <c r="N105" s="187">
        <f t="shared" ca="1" si="31"/>
        <v>-13403931.438985759</v>
      </c>
      <c r="O105" s="187">
        <f t="shared" ca="1" si="32"/>
        <v>-235144175.17556289</v>
      </c>
      <c r="P105" s="187">
        <f t="shared" ca="1" si="33"/>
        <v>0</v>
      </c>
      <c r="Q105" s="187">
        <f t="shared" ca="1" si="10"/>
        <v>0</v>
      </c>
      <c r="R105" s="187">
        <f t="shared" ca="1" si="34"/>
        <v>-547704.03256177041</v>
      </c>
      <c r="S105" s="187">
        <f ca="1">IF(B105="","",IF($B$31=0,"",-'Debt Financing Calculations'!E54))</f>
        <v>-2286735.9984248434</v>
      </c>
      <c r="T105" s="187">
        <f t="shared" ca="1" si="35"/>
        <v>8438312.2076664865</v>
      </c>
      <c r="U105" s="187">
        <f ca="1">IF(C105="","",IF(C105&lt;-1,0,IF(C105=anal_period,-LOOKUP(C105,depr_yr,depr_cost)-Depreciation!$C$141-Depreciation!$B$166,-LOOKUP(C105,depr_yr,depr_cost))))</f>
        <v>-18903108.098004319</v>
      </c>
      <c r="V105" s="187">
        <f t="shared" ca="1" si="36"/>
        <v>-10464795.890337832</v>
      </c>
      <c r="W105" s="188">
        <f t="shared" si="37"/>
        <v>0.25739999999999996</v>
      </c>
      <c r="X105" s="187">
        <f t="shared" ca="1" si="38"/>
        <v>2693638.4621729576</v>
      </c>
      <c r="Y105" s="187">
        <f t="shared" ca="1" si="39"/>
        <v>11131950.669839444</v>
      </c>
      <c r="Z105" s="187">
        <f ca="1">IF(C105="","",IF($B$31=0,"",-'Debt Financing Calculations'!F54))</f>
        <v>-61803675.633103885</v>
      </c>
      <c r="AA105" s="187">
        <f t="shared" ca="1" si="40"/>
        <v>-39541311.851971015</v>
      </c>
      <c r="AB105" s="187">
        <f t="shared" ca="1" si="23"/>
        <v>71037063.994600937</v>
      </c>
      <c r="AC105" s="1150">
        <f t="shared" ca="1" si="41"/>
        <v>-42234950.314143971</v>
      </c>
      <c r="AD105" s="134"/>
      <c r="AE105" s="1154">
        <f t="shared" ca="1" si="42"/>
        <v>17702500</v>
      </c>
      <c r="AF105" s="1150">
        <f t="shared" si="43"/>
        <v>0</v>
      </c>
    </row>
    <row r="106" spans="1:32" x14ac:dyDescent="0.25">
      <c r="A106" s="58" t="str">
        <f t="shared" si="21"/>
        <v/>
      </c>
      <c r="B106" s="185" t="str">
        <f>IF(MAX($B$65:B105)&lt;(construct+anal_period),B105+1,"")</f>
        <v/>
      </c>
      <c r="C106" s="185" t="str">
        <f t="shared" si="22"/>
        <v/>
      </c>
      <c r="D106" s="185" t="str">
        <f t="shared" si="25"/>
        <v/>
      </c>
      <c r="E106" s="186" t="str">
        <f t="shared" si="26"/>
        <v/>
      </c>
      <c r="F106" s="59" t="str">
        <f t="shared" si="27"/>
        <v/>
      </c>
      <c r="G106" s="1163"/>
      <c r="H106" s="1172"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0" t="str">
        <f>IF(C106="","",SUM(H106,I106,J106,K106,T106,Z106))</f>
        <v/>
      </c>
      <c r="AD106" s="134"/>
      <c r="AE106" s="1154" t="str">
        <f t="shared" si="42"/>
        <v/>
      </c>
      <c r="AF106" s="1150" t="str">
        <f t="shared" si="43"/>
        <v/>
      </c>
    </row>
    <row r="107" spans="1:32" x14ac:dyDescent="0.25">
      <c r="A107" s="58" t="str">
        <f t="shared" si="21"/>
        <v/>
      </c>
      <c r="B107" s="185" t="str">
        <f>IF(MAX($B$65:B106)&lt;(construct+anal_period),B106+1,"")</f>
        <v/>
      </c>
      <c r="C107" s="185" t="str">
        <f t="shared" si="22"/>
        <v/>
      </c>
      <c r="D107" s="185" t="str">
        <f t="shared" si="25"/>
        <v/>
      </c>
      <c r="E107" s="186" t="str">
        <f t="shared" si="26"/>
        <v/>
      </c>
      <c r="F107" s="59" t="str">
        <f t="shared" si="27"/>
        <v/>
      </c>
      <c r="G107" s="1163"/>
      <c r="H107" s="1172"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0" t="str">
        <f t="shared" si="41"/>
        <v/>
      </c>
      <c r="AD107" s="134"/>
      <c r="AE107" s="1154" t="str">
        <f t="shared" si="42"/>
        <v/>
      </c>
      <c r="AF107" s="1150" t="str">
        <f t="shared" si="43"/>
        <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3"/>
      <c r="H108" s="1172"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0" t="str">
        <f t="shared" si="41"/>
        <v/>
      </c>
      <c r="AD108" s="134"/>
      <c r="AE108" s="1154" t="str">
        <f t="shared" si="42"/>
        <v/>
      </c>
      <c r="AF108" s="1150"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3"/>
      <c r="H109" s="1172"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0" t="str">
        <f t="shared" si="41"/>
        <v/>
      </c>
      <c r="AD109" s="134"/>
      <c r="AE109" s="1154" t="str">
        <f t="shared" si="42"/>
        <v/>
      </c>
      <c r="AF109" s="1150"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3"/>
      <c r="H110" s="1172"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0" t="str">
        <f t="shared" si="41"/>
        <v/>
      </c>
      <c r="AD110" s="134"/>
      <c r="AE110" s="1154" t="str">
        <f t="shared" si="42"/>
        <v/>
      </c>
      <c r="AF110" s="1150"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3"/>
      <c r="H111" s="1172"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0" t="str">
        <f t="shared" si="41"/>
        <v/>
      </c>
      <c r="AD111" s="134"/>
      <c r="AE111" s="1154" t="str">
        <f t="shared" si="42"/>
        <v/>
      </c>
      <c r="AF111" s="1150"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3"/>
      <c r="H112" s="1172"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0" t="str">
        <f t="shared" si="41"/>
        <v/>
      </c>
      <c r="AD112" s="134"/>
      <c r="AE112" s="1154" t="str">
        <f t="shared" si="42"/>
        <v/>
      </c>
      <c r="AF112" s="1150" t="str">
        <f t="shared" si="43"/>
        <v/>
      </c>
    </row>
    <row r="113" spans="1:33" ht="13" thickBot="1" x14ac:dyDescent="0.3">
      <c r="A113" s="61" t="str">
        <f t="shared" si="21"/>
        <v/>
      </c>
      <c r="B113" s="189" t="str">
        <f>IF(MAX($B$65:B112)&lt;(construct+anal_period),B112+1,"")</f>
        <v/>
      </c>
      <c r="C113" s="189" t="str">
        <f t="shared" si="22"/>
        <v/>
      </c>
      <c r="D113" s="189" t="str">
        <f t="shared" si="25"/>
        <v/>
      </c>
      <c r="E113" s="1157" t="str">
        <f t="shared" si="26"/>
        <v/>
      </c>
      <c r="F113" s="1158" t="str">
        <f t="shared" si="27"/>
        <v/>
      </c>
      <c r="G113" s="1165"/>
      <c r="H113" s="1174" t="str">
        <f t="shared" si="24"/>
        <v/>
      </c>
      <c r="I113" s="1159" t="str">
        <f>IF(OR(C113&lt;0,C113=""),"",-E113*INDEX('Replacement Costs'!$A$16:$H$57,MATCH(C113,'Replacement Costs'!$C$16:$C$57,0),MATCH("Total Yearly Replacement Costs",'Replacement Costs'!$A$16:$H$16,0)))</f>
        <v/>
      </c>
      <c r="J113" s="1159" t="str">
        <f>IF(AND(C113&gt;=1,C113&lt;anal_period),WorkingCap*SUM(N113:R113)-WorkingCap*SUM(N112:R112),IF(C113&lt;0,0,IF(B113="","",-SUM(J$65:J112))))</f>
        <v/>
      </c>
      <c r="K113" s="1159" t="str">
        <f t="shared" si="28"/>
        <v/>
      </c>
      <c r="L113" s="1159" t="str">
        <f t="shared" si="29"/>
        <v/>
      </c>
      <c r="M113" s="1159" t="str">
        <f t="shared" si="30"/>
        <v/>
      </c>
      <c r="N113" s="1159" t="str">
        <f t="shared" si="31"/>
        <v/>
      </c>
      <c r="O113" s="1159" t="str">
        <f>IF(C113="","",IF(C113&lt;0,0,IF(AND(C113=1,start_time&lt;1),-(SUM(B280:E280)*output_kgyear*E113*percnt_var*start_time+SUM(B280:E280)*output_kgyear*E113*(1-start_time)),IF(C113&lt;=start_time,-SUM(B280:E280)*output_kgyear*E113*percnt_var,-SUM(B280:E280)*output_kgyear*E113))))</f>
        <v/>
      </c>
      <c r="P113" s="1159" t="str">
        <f t="shared" si="33"/>
        <v/>
      </c>
      <c r="Q113" s="1159" t="str">
        <f>IF(C113="","",IF(C113&lt;0,0,IF(AND(C113=1,start_time&lt;1),SUM(K280:N280,T280:V280)*output_kgyear*E113*percnt_revs*start_time+SUM(K280:N280,T280:V280)*output_kgyear*E113*(1-start_time),IF(C113&lt;=start_time,SUM(K280:N280,T280:V280)*output_kgyear*E113*percnt_revs,SUM(K280:N280,T280:V280)*output_kgyear*E113))))</f>
        <v/>
      </c>
      <c r="R113" s="1159"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59" t="str">
        <f>IF(B113="","",IF($B$31=0,"",-'Debt Financing Calculations'!E62))</f>
        <v/>
      </c>
      <c r="T113" s="1159" t="str">
        <f t="shared" si="35"/>
        <v/>
      </c>
      <c r="U113" s="1159" t="str">
        <f>IF(C113="","",IF(C113&lt;-1,0,IF(C113=anal_period,-LOOKUP(C113,depr_yr,depr_cost)-Depreciation!$C$141-Depreciation!$B$166,-LOOKUP(C113,depr_yr,depr_cost))))</f>
        <v/>
      </c>
      <c r="V113" s="1159" t="str">
        <f t="shared" si="36"/>
        <v/>
      </c>
      <c r="W113" s="1160" t="str">
        <f t="shared" si="37"/>
        <v/>
      </c>
      <c r="X113" s="1159" t="str">
        <f t="shared" si="38"/>
        <v/>
      </c>
      <c r="Y113" s="1159" t="str">
        <f t="shared" si="39"/>
        <v/>
      </c>
      <c r="Z113" s="1159" t="str">
        <f>IF(C113="","",IF($B$31=0,"",-'Debt Financing Calculations'!F62))</f>
        <v/>
      </c>
      <c r="AA113" s="1159" t="str">
        <f t="shared" si="40"/>
        <v/>
      </c>
      <c r="AB113" s="1159" t="str">
        <f t="shared" si="23"/>
        <v/>
      </c>
      <c r="AC113" s="1161" t="str">
        <f t="shared" si="41"/>
        <v/>
      </c>
      <c r="AD113" s="134"/>
      <c r="AE113" s="1156" t="str">
        <f t="shared" si="42"/>
        <v/>
      </c>
      <c r="AF113" s="1152" t="str">
        <f t="shared" si="43"/>
        <v/>
      </c>
    </row>
    <row r="114" spans="1:33" ht="13" thickTop="1" x14ac:dyDescent="0.25">
      <c r="A114" s="134"/>
      <c r="B114" s="134"/>
      <c r="C114" s="134"/>
      <c r="D114" s="134"/>
      <c r="E114" s="1175" t="s">
        <v>149</v>
      </c>
      <c r="F114" s="1176">
        <f t="shared" ref="F114:AC114" ca="1" si="44">SUM(F65:F113)</f>
        <v>7368672232.3692856</v>
      </c>
      <c r="G114" s="1176">
        <f t="shared" ca="1" si="44"/>
        <v>-61803675.633103885</v>
      </c>
      <c r="H114" s="1176">
        <f t="shared" ca="1" si="44"/>
        <v>-41202450.422069259</v>
      </c>
      <c r="I114" s="1176">
        <f t="shared" ca="1" si="44"/>
        <v>-70814933.530928776</v>
      </c>
      <c r="J114" s="1176">
        <f t="shared" ca="1" si="44"/>
        <v>0</v>
      </c>
      <c r="K114" s="1176">
        <f t="shared" ca="1" si="44"/>
        <v>-424252.83228807186</v>
      </c>
      <c r="L114" s="1176">
        <f t="shared" ca="1" si="44"/>
        <v>21959147.498540021</v>
      </c>
      <c r="M114" s="1176">
        <f t="shared" ca="1" si="44"/>
        <v>-21869075.02059789</v>
      </c>
      <c r="N114" s="1176">
        <f t="shared" ca="1" si="44"/>
        <v>-380275202.55659688</v>
      </c>
      <c r="O114" s="1176">
        <f t="shared" ca="1" si="44"/>
        <v>-6609140034.4670143</v>
      </c>
      <c r="P114" s="1176">
        <f t="shared" ca="1" si="44"/>
        <v>0</v>
      </c>
      <c r="Q114" s="1176">
        <f t="shared" ca="1" si="44"/>
        <v>0</v>
      </c>
      <c r="R114" s="1176">
        <f t="shared" ca="1" si="44"/>
        <v>-15538594.99144469</v>
      </c>
      <c r="S114" s="1176">
        <f t="shared" ca="1" si="44"/>
        <v>-93756175.935418576</v>
      </c>
      <c r="T114" s="1176">
        <f t="shared" ca="1" si="44"/>
        <v>270052296.89675236</v>
      </c>
      <c r="U114" s="1176">
        <f t="shared" ca="1" si="44"/>
        <v>-173821059.58610192</v>
      </c>
      <c r="V114" s="1176">
        <f t="shared" ca="1" si="44"/>
        <v>96231237.310650438</v>
      </c>
      <c r="W114" s="1176">
        <f t="shared" si="44"/>
        <v>10.5534</v>
      </c>
      <c r="X114" s="1176">
        <f t="shared" ca="1" si="44"/>
        <v>-24769920.483761411</v>
      </c>
      <c r="Y114" s="1176">
        <f t="shared" ca="1" si="44"/>
        <v>245282376.4129909</v>
      </c>
      <c r="Z114" s="1176">
        <f t="shared" ca="1" si="44"/>
        <v>-61803675.633103885</v>
      </c>
      <c r="AA114" s="1176">
        <f t="shared" ca="1" si="44"/>
        <v>71037063.994600937</v>
      </c>
      <c r="AB114" s="1176">
        <f t="shared" ca="1" si="44"/>
        <v>1621999211.2991438</v>
      </c>
      <c r="AC114" s="1177">
        <f t="shared" ca="1" si="44"/>
        <v>95806984.478362367</v>
      </c>
      <c r="AD114" s="134"/>
    </row>
    <row r="115" spans="1:33" ht="13" thickBot="1" x14ac:dyDescent="0.3">
      <c r="E115" s="1178" t="s">
        <v>150</v>
      </c>
      <c r="F115" s="1159">
        <f t="shared" ref="F115:AC115" ca="1" si="45">NPV(nominal_irr,F65:F113)</f>
        <v>1325569296.6163161</v>
      </c>
      <c r="G115" s="1159">
        <f t="shared" ca="1" si="45"/>
        <v>-56158611.958986558</v>
      </c>
      <c r="H115" s="1159">
        <f t="shared" ca="1" si="45"/>
        <v>-37439074.639324374</v>
      </c>
      <c r="I115" s="1159">
        <f t="shared" ca="1" si="45"/>
        <v>-11353322.634751691</v>
      </c>
      <c r="J115" s="1159">
        <f t="shared" ca="1" si="45"/>
        <v>-5659075.9552124869</v>
      </c>
      <c r="K115" s="1159">
        <f t="shared" ca="1" si="45"/>
        <v>-385502.15560650593</v>
      </c>
      <c r="L115" s="1159">
        <f t="shared" ca="1" si="45"/>
        <v>432613.38928805309</v>
      </c>
      <c r="M115" s="1159">
        <f t="shared" ca="1" si="45"/>
        <v>-430838.8868868688</v>
      </c>
      <c r="N115" s="1159">
        <f t="shared" ca="1" si="45"/>
        <v>-68408678.914938748</v>
      </c>
      <c r="O115" s="1159">
        <f t="shared" ca="1" si="45"/>
        <v>-1172845154.3389752</v>
      </c>
      <c r="P115" s="1159">
        <f t="shared" ca="1" si="45"/>
        <v>0</v>
      </c>
      <c r="Q115" s="1159">
        <f t="shared" ca="1" si="45"/>
        <v>0</v>
      </c>
      <c r="R115" s="1159">
        <f t="shared" ca="1" si="45"/>
        <v>-2795277.6000449597</v>
      </c>
      <c r="S115" s="1159">
        <f t="shared" ca="1" si="45"/>
        <v>-22300889.43188858</v>
      </c>
      <c r="T115" s="1159">
        <f t="shared" ca="1" si="45"/>
        <v>59221070.832870066</v>
      </c>
      <c r="U115" s="1159">
        <f t="shared" ca="1" si="45"/>
        <v>-46919159.952376761</v>
      </c>
      <c r="V115" s="1159">
        <f t="shared" ca="1" si="45"/>
        <v>12301910.880493339</v>
      </c>
      <c r="W115" s="1159">
        <f t="shared" ca="1" si="45"/>
        <v>2.5102368370122896</v>
      </c>
      <c r="X115" s="1159">
        <f t="shared" ca="1" si="45"/>
        <v>-3166511.8606389854</v>
      </c>
      <c r="Y115" s="1159">
        <f t="shared" ca="1" si="45"/>
        <v>56054558.972231083</v>
      </c>
      <c r="Z115" s="1159">
        <f t="shared" ca="1" si="45"/>
        <v>-1217583.5873352634</v>
      </c>
      <c r="AA115" s="1159">
        <f t="shared" ca="1" si="45"/>
        <v>7.7019950407254059E-7</v>
      </c>
      <c r="AB115" s="1159">
        <f t="shared" ca="1" si="45"/>
        <v>-13922492.875915809</v>
      </c>
      <c r="AC115" s="1161">
        <f t="shared" ca="1" si="45"/>
        <v>3166511.8606397626</v>
      </c>
      <c r="AD115" s="134"/>
    </row>
    <row r="116" spans="1:33" ht="13" thickBot="1" x14ac:dyDescent="0.3">
      <c r="D116" s="191"/>
      <c r="E116" s="1179" t="s">
        <v>1117</v>
      </c>
      <c r="F116" s="1180">
        <f t="shared" ref="F116:AC116" ca="1" si="46">+F65+NPV($X$59,F66:F113)</f>
        <v>1458815522.3121884</v>
      </c>
      <c r="G116" s="1180">
        <f t="shared" ca="1" si="46"/>
        <v>-61803675.633103885</v>
      </c>
      <c r="H116" s="1180">
        <f ca="1">+H65+NPV($X$59,H66:H113)</f>
        <v>-41202450.422069259</v>
      </c>
      <c r="I116" s="1180">
        <f t="shared" ca="1" si="46"/>
        <v>-12494558.625996934</v>
      </c>
      <c r="J116" s="1180">
        <f t="shared" ca="1" si="46"/>
        <v>-6227926.2702304488</v>
      </c>
      <c r="K116" s="1180">
        <f t="shared" ca="1" si="46"/>
        <v>-424252.83228807186</v>
      </c>
      <c r="L116" s="1180">
        <f t="shared" ca="1" si="46"/>
        <v>476099.68717928819</v>
      </c>
      <c r="M116" s="1180">
        <f t="shared" ca="1" si="46"/>
        <v>-474146.81179673685</v>
      </c>
      <c r="N116" s="1180">
        <f t="shared" ca="1" si="46"/>
        <v>-75285119.319468364</v>
      </c>
      <c r="O116" s="1180">
        <f t="shared" ca="1" si="46"/>
        <v>-1290739549.2531285</v>
      </c>
      <c r="P116" s="1180">
        <f t="shared" ca="1" si="46"/>
        <v>0</v>
      </c>
      <c r="Q116" s="1180">
        <f t="shared" ca="1" si="46"/>
        <v>0</v>
      </c>
      <c r="R116" s="1180">
        <f t="shared" ca="1" si="46"/>
        <v>-3076258.9044014802</v>
      </c>
      <c r="S116" s="1180">
        <f t="shared" ca="1" si="46"/>
        <v>-24542574.837582018</v>
      </c>
      <c r="T116" s="1180">
        <f t="shared" ca="1" si="46"/>
        <v>65173972.872990176</v>
      </c>
      <c r="U116" s="1180">
        <f t="shared" ca="1" si="46"/>
        <v>-51635473.910789654</v>
      </c>
      <c r="V116" s="1180">
        <f t="shared" ca="1" si="46"/>
        <v>13538498.962200532</v>
      </c>
      <c r="W116" s="1180">
        <f t="shared" ca="1" si="46"/>
        <v>2.762565843868765</v>
      </c>
      <c r="X116" s="1180">
        <f t="shared" ca="1" si="46"/>
        <v>-3484809.6328704176</v>
      </c>
      <c r="Y116" s="1180">
        <f t="shared" ca="1" si="46"/>
        <v>61689163.240119748</v>
      </c>
      <c r="Z116" s="1180">
        <f t="shared" ca="1" si="46"/>
        <v>-1339975.0895342038</v>
      </c>
      <c r="AA116" s="1180">
        <f t="shared" ca="1" si="46"/>
        <v>8.4936618804931641E-7</v>
      </c>
      <c r="AB116" s="1180">
        <f t="shared" ca="1" si="46"/>
        <v>-15321981.859802842</v>
      </c>
      <c r="AC116" s="1181">
        <f t="shared" ca="1" si="46"/>
        <v>3484809.6328712627</v>
      </c>
      <c r="AD116" s="1182"/>
      <c r="AE116" s="1183">
        <f ca="1">+AE65+NPV(real_irr,AE66:AE113)</f>
        <v>211095467.54064411</v>
      </c>
      <c r="AF116" s="1184">
        <f ca="1">+AF65+NPV($X$59,AF66:AF113)</f>
        <v>0</v>
      </c>
      <c r="AG116" s="1185"/>
    </row>
    <row r="117" spans="1:33" ht="16.5" thickTop="1" thickBot="1" x14ac:dyDescent="0.4">
      <c r="A117" s="49" t="s">
        <v>79</v>
      </c>
      <c r="B117" s="149"/>
      <c r="C117" s="149"/>
      <c r="D117" s="149"/>
      <c r="E117" s="1186" t="s">
        <v>1173</v>
      </c>
      <c r="F117" s="1200"/>
      <c r="G117" s="1200"/>
      <c r="H117" s="1200">
        <f ca="1">-H116/$AE$116*(1+inflation_rate)^construct/INFLATION_FACTOR</f>
        <v>0.12660122405571292</v>
      </c>
      <c r="I117" s="1200">
        <f ca="1">-I116/$AE$116*(1+inflation_rate)^construct/INFLATION_FACTOR</f>
        <v>3.8391561664007375E-2</v>
      </c>
      <c r="J117" s="1200">
        <f ca="1">-J116/$AE$116*(1+inflation_rate)^construct/INFLATION_FACTOR</f>
        <v>1.9136315463353638E-2</v>
      </c>
      <c r="K117" s="1200">
        <f ca="1">-K116/$AE$116*(1+inflation_rate)^construct/INFLATION_FACTOR</f>
        <v>1.3035857655690258E-3</v>
      </c>
      <c r="L117" s="1200"/>
      <c r="M117" s="1200">
        <f ca="1">-M116/$AE$116*(1+inflation_rate)^construct/INFLATION_FACTOR</f>
        <v>1.45689312506103E-3</v>
      </c>
      <c r="N117" s="1200">
        <f ca="1">-N116/$AE$116*(1+inflation_rate)^construct/INFLATION_FACTOR</f>
        <v>0.23132576245804806</v>
      </c>
      <c r="O117" s="1200">
        <f ca="1">-O116/$AE$116*(1+inflation_rate)^construct/INFLATION_FACTOR</f>
        <v>3.9660070019776885</v>
      </c>
      <c r="P117" s="1200">
        <f ca="1">-P116/$AE$116*(1+inflation_rate)^construct/INFLATION_FACTOR</f>
        <v>0</v>
      </c>
      <c r="Q117" s="1200"/>
      <c r="R117" s="1200">
        <f ca="1">-R116/$AE$116*(1+inflation_rate)^construct/INFLATION_FACTOR</f>
        <v>9.4523053561131991E-3</v>
      </c>
      <c r="S117" s="1200">
        <f ca="1">-S116/$AE$116*(1+inflation_rate)^construct/INFLATION_FACTOR</f>
        <v>7.5411049199456293E-2</v>
      </c>
      <c r="T117" s="1200"/>
      <c r="U117" s="1200"/>
      <c r="V117" s="1200"/>
      <c r="W117" s="1200"/>
      <c r="X117" s="1200">
        <f ca="1">-X116/$AE$116*(1+inflation_rate)^construct/INFLATION_FACTOR</f>
        <v>1.0707643856206782E-2</v>
      </c>
      <c r="Y117" s="1200"/>
      <c r="Z117" s="1200">
        <f ca="1">-Z116/$AE$116*(1+inflation_rate)^construct/INFLATION_FACTOR</f>
        <v>4.1172911999507716E-3</v>
      </c>
      <c r="AA117" s="1200"/>
      <c r="AB117" s="1200"/>
      <c r="AC117" s="1201"/>
      <c r="AD117" s="1202"/>
      <c r="AE117" s="1203"/>
      <c r="AF117" s="1203"/>
      <c r="AG117" s="1201">
        <f ca="1">+SUM(F117:AC117)</f>
        <v>4.4839106341211679</v>
      </c>
    </row>
    <row r="118" spans="1:33" ht="15" customHeight="1" thickTop="1" thickBot="1" x14ac:dyDescent="0.35">
      <c r="A118" s="54" t="s">
        <v>80</v>
      </c>
      <c r="B118" s="56" t="s">
        <v>151</v>
      </c>
      <c r="C118" s="56" t="s">
        <v>152</v>
      </c>
      <c r="D118" s="1083" t="s">
        <v>153</v>
      </c>
      <c r="E118" s="1187" t="s">
        <v>1174</v>
      </c>
      <c r="F118" s="1204">
        <f ca="1">F116/$AE$116*(1+inflation_rate)^construct/INFLATION_FACTOR</f>
        <v>4.4824477404691674</v>
      </c>
      <c r="G118" s="1204"/>
      <c r="H118" s="1204"/>
      <c r="I118" s="1204"/>
      <c r="J118" s="1204"/>
      <c r="K118" s="1204"/>
      <c r="L118" s="1204">
        <f ca="1">L116/$AE$116*(1+inflation_rate)^construct/INFLATION_FACTOR</f>
        <v>1.4628936520036421E-3</v>
      </c>
      <c r="M118" s="1204"/>
      <c r="N118" s="1204"/>
      <c r="O118" s="1204"/>
      <c r="P118" s="1204"/>
      <c r="Q118" s="1204">
        <f ca="1">Q116/$AE$116*(1+inflation_rate)^construct/INFLATION_FACTOR</f>
        <v>0</v>
      </c>
      <c r="R118" s="1204"/>
      <c r="S118" s="1204"/>
      <c r="T118" s="1204"/>
      <c r="U118" s="1204"/>
      <c r="V118" s="1204"/>
      <c r="W118" s="1204"/>
      <c r="X118" s="1204"/>
      <c r="Y118" s="1204"/>
      <c r="Z118" s="1204"/>
      <c r="AA118" s="1204"/>
      <c r="AB118" s="1204"/>
      <c r="AC118" s="1205"/>
      <c r="AD118" s="1206"/>
      <c r="AE118" s="1207"/>
      <c r="AF118" s="1207"/>
      <c r="AG118" s="1205">
        <f ca="1">+SUM(F118:AC118)</f>
        <v>4.4839106341211714</v>
      </c>
    </row>
    <row r="119" spans="1:33" ht="15" customHeight="1" x14ac:dyDescent="0.25">
      <c r="A119" s="194" t="s">
        <v>154</v>
      </c>
      <c r="B119" s="187">
        <f ca="1">(SUM(H115:K115)+L115*(1-total_tax_rate)+S115*(1-total_tax_rate)+U115*(-total_tax_rate)+Z115)/(1-total_tax_rate)</f>
        <v>-81089346.875469565</v>
      </c>
      <c r="C119" s="195">
        <f t="shared" ref="C119:C125" ca="1" si="47">B119/SUM($B$118:$B$125)</f>
        <v>6.1173223521743043E-2</v>
      </c>
      <c r="D119" s="196">
        <f t="shared" ref="D119:D125" ca="1" si="48">H2_price_real*C119</f>
        <v>0.27420577755225223</v>
      </c>
      <c r="E119" s="192"/>
    </row>
    <row r="120" spans="1:33" ht="15" customHeight="1" x14ac:dyDescent="0.25">
      <c r="A120" s="194" t="s">
        <v>84</v>
      </c>
      <c r="B120" s="187">
        <f ca="1">M115</f>
        <v>-430838.8868868688</v>
      </c>
      <c r="C120" s="195">
        <f t="shared" ca="1" si="47"/>
        <v>3.2502177591668728E-4</v>
      </c>
      <c r="D120" s="196">
        <f t="shared" ca="1" si="48"/>
        <v>1.4568931250610298E-3</v>
      </c>
      <c r="E120" s="192"/>
      <c r="V120" s="151"/>
      <c r="W120" s="134"/>
      <c r="X120" s="134"/>
      <c r="Y120" s="134"/>
    </row>
    <row r="121" spans="1:33" ht="15" customHeight="1" x14ac:dyDescent="0.25">
      <c r="A121" s="194" t="s">
        <v>85</v>
      </c>
      <c r="B121" s="187">
        <f ca="1">N115</f>
        <v>-68408678.914938748</v>
      </c>
      <c r="C121" s="195">
        <f t="shared" ca="1" si="47"/>
        <v>5.1607018274759851E-2</v>
      </c>
      <c r="D121" s="196">
        <f t="shared" ca="1" si="48"/>
        <v>0.23132576245804815</v>
      </c>
      <c r="E121" s="192"/>
      <c r="V121" s="151"/>
      <c r="W121" s="134"/>
      <c r="X121" s="134"/>
      <c r="Y121" s="134"/>
    </row>
    <row r="122" spans="1:33" ht="15" customHeight="1" x14ac:dyDescent="0.25">
      <c r="A122" s="194" t="s">
        <v>1003</v>
      </c>
      <c r="B122" s="187">
        <f ca="1">O115</f>
        <v>-1172845154.3389752</v>
      </c>
      <c r="C122" s="195">
        <f t="shared" ca="1" si="47"/>
        <v>0.88478599899138577</v>
      </c>
      <c r="D122" s="196">
        <f t="shared" ca="1" si="48"/>
        <v>3.966007001977689</v>
      </c>
      <c r="E122" s="192"/>
      <c r="V122" s="151"/>
      <c r="W122" s="134"/>
      <c r="X122" s="134"/>
      <c r="Y122" s="134"/>
    </row>
    <row r="123" spans="1:33" ht="15" customHeight="1" x14ac:dyDescent="0.25">
      <c r="A123" s="194" t="s">
        <v>86</v>
      </c>
      <c r="B123" s="187">
        <f ca="1">P115</f>
        <v>0</v>
      </c>
      <c r="C123" s="195">
        <f t="shared" ca="1" si="47"/>
        <v>0</v>
      </c>
      <c r="D123" s="196">
        <f t="shared" ca="1" si="48"/>
        <v>0</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-2795277.6000449597</v>
      </c>
      <c r="C125" s="198">
        <f t="shared" ca="1" si="47"/>
        <v>2.1087374361945938E-3</v>
      </c>
      <c r="D125" s="199">
        <f t="shared" ca="1" si="48"/>
        <v>9.4523053561131939E-3</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4">
        <f>(1+inflation_rate)^(startup_year-ref_year)</f>
        <v>1.5710153055430329</v>
      </c>
      <c r="P128" s="838"/>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37"/>
      <c r="Q129" s="201"/>
      <c r="R129" s="201"/>
      <c r="S129" s="201"/>
      <c r="T129" s="201"/>
      <c r="U129" s="201"/>
      <c r="V129" s="236"/>
    </row>
    <row r="130" spans="1:22" ht="31.9" customHeight="1" thickTop="1" thickBot="1" x14ac:dyDescent="0.4">
      <c r="A130" s="371"/>
      <c r="B130" s="202" t="s">
        <v>67</v>
      </c>
      <c r="C130" s="230"/>
      <c r="D130" s="230"/>
      <c r="E130" s="149"/>
      <c r="F130" s="203" t="s">
        <v>68</v>
      </c>
      <c r="G130" s="230"/>
      <c r="H130" s="230"/>
      <c r="I130" s="231"/>
      <c r="J130" s="592" t="s">
        <v>1001</v>
      </c>
      <c r="K130" s="233" t="s">
        <v>69</v>
      </c>
      <c r="L130" s="149"/>
      <c r="M130" s="149"/>
      <c r="N130" s="193"/>
      <c r="O130" s="392" t="s">
        <v>70</v>
      </c>
      <c r="P130" s="397"/>
      <c r="Q130" s="397"/>
      <c r="R130" s="398"/>
      <c r="S130" s="202" t="s">
        <v>73</v>
      </c>
      <c r="T130" s="408"/>
      <c r="U130" s="408"/>
      <c r="V130" s="409"/>
    </row>
    <row r="131" spans="1:22" ht="30.75" customHeight="1" thickTop="1" thickBot="1" x14ac:dyDescent="0.4">
      <c r="A131" s="372" t="s">
        <v>263</v>
      </c>
      <c r="B131" s="374" t="str">
        <f>Input_Sheet_Template!$B$75</f>
        <v>Industrial Electricity</v>
      </c>
      <c r="C131" s="375"/>
      <c r="D131" s="375"/>
      <c r="E131" s="375"/>
      <c r="F131" s="376"/>
      <c r="G131" s="375"/>
      <c r="H131" s="375"/>
      <c r="I131" s="377"/>
      <c r="J131" s="600" t="str">
        <f ca="1">IF(CO2_CashFlow_eUse&gt;0,'HyARC Physical Property Data'!A77,"")</f>
        <v/>
      </c>
      <c r="K131" s="594"/>
      <c r="L131" s="378"/>
      <c r="M131" s="378"/>
      <c r="N131" s="379"/>
      <c r="O131" s="393" t="s">
        <v>71</v>
      </c>
      <c r="P131" s="399" t="str">
        <f>Input_Sheet_Template!$B$136</f>
        <v>Process Water</v>
      </c>
      <c r="Q131" s="399"/>
      <c r="R131" s="400"/>
      <c r="S131" s="393" t="s">
        <v>71</v>
      </c>
      <c r="T131" s="399"/>
      <c r="U131" s="399"/>
      <c r="V131" s="400"/>
    </row>
    <row r="132" spans="1:22" ht="31.5" customHeight="1" thickBot="1" x14ac:dyDescent="0.4">
      <c r="A132" s="373" t="s">
        <v>932</v>
      </c>
      <c r="B132" s="380">
        <f>Input_Sheet_Template!$C$75</f>
        <v>3.5999999999999995E-3</v>
      </c>
      <c r="C132" s="381"/>
      <c r="D132" s="381"/>
      <c r="E132" s="381"/>
      <c r="F132" s="382"/>
      <c r="G132" s="381"/>
      <c r="H132" s="381"/>
      <c r="I132" s="383"/>
      <c r="J132" s="601">
        <f ca="1">IF(J131="",0,VLOOKUP(J131,MASTER_PROPERTY_TABLE,9,FALSE))</f>
        <v>0</v>
      </c>
      <c r="K132" s="595"/>
      <c r="L132" s="384"/>
      <c r="M132" s="384"/>
      <c r="N132" s="385"/>
      <c r="O132" s="394" t="s">
        <v>264</v>
      </c>
      <c r="P132" s="839">
        <f>Input_Sheet_Template!$D$136</f>
        <v>3.98</v>
      </c>
      <c r="Q132" s="839"/>
      <c r="R132" s="840"/>
      <c r="S132" s="394" t="s">
        <v>264</v>
      </c>
      <c r="T132" s="401"/>
      <c r="U132" s="401"/>
      <c r="V132" s="402"/>
    </row>
    <row r="133" spans="1:22" ht="16.5" customHeight="1" thickBot="1" x14ac:dyDescent="0.4">
      <c r="A133" s="373" t="s">
        <v>264</v>
      </c>
      <c r="B133" s="380">
        <f ca="1">feedstockIndustrial_Electricity_Usage</f>
        <v>50.2</v>
      </c>
      <c r="C133" s="381"/>
      <c r="D133" s="381"/>
      <c r="E133" s="381"/>
      <c r="F133" s="382"/>
      <c r="G133" s="381"/>
      <c r="H133" s="381"/>
      <c r="I133" s="383"/>
      <c r="J133" s="601">
        <f ca="1" xml:space="preserve"> CO2_eUse_kWhpkg</f>
        <v>0</v>
      </c>
      <c r="K133" s="595"/>
      <c r="L133" s="384"/>
      <c r="M133" s="384"/>
      <c r="N133" s="385"/>
      <c r="O133" s="394" t="s">
        <v>72</v>
      </c>
      <c r="P133" s="401">
        <f>Input_Sheet_Template!$C$136</f>
        <v>2.374951094500801E-3</v>
      </c>
      <c r="Q133" s="401"/>
      <c r="R133" s="402"/>
      <c r="S133" s="394" t="s">
        <v>74</v>
      </c>
      <c r="T133" s="401"/>
      <c r="U133" s="401"/>
      <c r="V133" s="402"/>
    </row>
    <row r="134" spans="1:22" ht="16.5" customHeight="1" thickBot="1" x14ac:dyDescent="0.4">
      <c r="A134" s="373" t="s">
        <v>265</v>
      </c>
      <c r="B134" s="380">
        <f>feedstockIndustrial_Electricity_Price</f>
        <v>7.7596976084681746E-2</v>
      </c>
      <c r="C134" s="381"/>
      <c r="D134" s="381"/>
      <c r="E134" s="381"/>
      <c r="F134" s="382"/>
      <c r="G134" s="381"/>
      <c r="H134" s="381"/>
      <c r="I134" s="383"/>
      <c r="J134" s="601">
        <f ca="1">IF(J131="",0,CO2_eCost)</f>
        <v>0</v>
      </c>
      <c r="K134" s="595"/>
      <c r="L134" s="384"/>
      <c r="M134" s="384"/>
      <c r="N134" s="385"/>
      <c r="O134" s="395" t="s">
        <v>266</v>
      </c>
      <c r="P134" s="403" t="str">
        <f>Input_Sheet_Template!$F$136</f>
        <v>Yes</v>
      </c>
      <c r="Q134" s="403"/>
      <c r="R134" s="404"/>
      <c r="S134" s="395" t="s">
        <v>266</v>
      </c>
      <c r="T134" s="410"/>
      <c r="U134" s="410"/>
      <c r="V134" s="411"/>
    </row>
    <row r="135" spans="1:22" ht="16.5" customHeight="1" thickBot="1" x14ac:dyDescent="0.4">
      <c r="A135" s="415" t="s">
        <v>266</v>
      </c>
      <c r="B135" s="386" t="str">
        <f>Input_Sheet_Template!$G$75</f>
        <v>yes</v>
      </c>
      <c r="C135" s="387"/>
      <c r="D135" s="387"/>
      <c r="E135" s="387"/>
      <c r="F135" s="388"/>
      <c r="G135" s="387"/>
      <c r="H135" s="387"/>
      <c r="I135" s="389"/>
      <c r="J135" s="602" t="str">
        <f ca="1">IF(J131="","","yes")</f>
        <v/>
      </c>
      <c r="K135" s="596"/>
      <c r="L135" s="390"/>
      <c r="M135" s="390"/>
      <c r="N135" s="391"/>
      <c r="O135" s="396"/>
      <c r="P135" s="405"/>
      <c r="Q135" s="405"/>
      <c r="R135" s="406"/>
      <c r="S135" s="407"/>
      <c r="T135" s="412"/>
      <c r="U135" s="412"/>
      <c r="V135" s="413"/>
    </row>
    <row r="136" spans="1:22" ht="30" customHeight="1" thickBot="1" x14ac:dyDescent="0.4">
      <c r="A136" s="373" t="s">
        <v>530</v>
      </c>
      <c r="B136" s="531">
        <f ca="1">IF(B131="",0,VLOOKUP(B131,MASTER_PROPERTY_TABLE,11,FALSE)*B132*B133)</f>
        <v>0</v>
      </c>
      <c r="C136" s="532">
        <f>IF(C131="",0,VLOOKUP(C131,MASTER_PROPERTY_TABLE,11,FALSE)*C132*C133)</f>
        <v>0</v>
      </c>
      <c r="D136" s="532">
        <f>IF(D131="",0,VLOOKUP(D131,MASTER_PROPERTY_TABLE,11,FALSE)*D132*D133)</f>
        <v>0</v>
      </c>
      <c r="E136" s="533">
        <f>IF(E131="",0,VLOOKUP(E131,MASTER_PROPERTY_TABLE,11,FALSE)*E132*E133)</f>
        <v>0</v>
      </c>
      <c r="F136" s="531">
        <f>IF(F131="",,VLOOKUP(F131,MASTER_PROPERTY_TABLE,11,FALSE)*F132*F133)</f>
        <v>0</v>
      </c>
      <c r="G136" s="532">
        <f>IF(G131="",,VLOOKUP(G131,MASTER_PROPERTY_TABLE,11,FALSE)*G132*G133)</f>
        <v>0</v>
      </c>
      <c r="H136" s="532">
        <f>IF(H131="",,VLOOKUP(H131,MASTER_PROPERTY_TABLE,11,FALSE)*H132*H133)</f>
        <v>0</v>
      </c>
      <c r="I136" s="532">
        <f>IF(I131="",,VLOOKUP(I131,MASTER_PROPERTY_TABLE,11,FALSE)*I132*I133)</f>
        <v>0</v>
      </c>
      <c r="J136" s="533">
        <f ca="1">IF($J$131="",0,VLOOKUP($J$131,MASTER_PROPERTY_TABLE,12,FALSE)*$J$132*$J$133)</f>
        <v>0</v>
      </c>
      <c r="K136" s="381"/>
      <c r="L136" s="384"/>
      <c r="M136" s="384"/>
      <c r="N136" s="385"/>
      <c r="O136" s="418"/>
      <c r="P136" s="416"/>
      <c r="Q136" s="416"/>
      <c r="R136" s="417"/>
      <c r="S136" s="419"/>
      <c r="T136" s="420"/>
      <c r="U136" s="420"/>
      <c r="V136" s="421"/>
    </row>
    <row r="137" spans="1:22" ht="30" customHeight="1" thickBot="1" x14ac:dyDescent="0.4">
      <c r="A137" s="530" t="s">
        <v>933</v>
      </c>
      <c r="B137" s="422">
        <f ca="1">IF(B131="",0,IF(VLOOKUP(B131,MASTER_PROPERTY_TABLE,12,FALSE)="English",mmBTU_to_GJ,1))</f>
        <v>1</v>
      </c>
      <c r="C137" s="423">
        <f>IF(C131="",0,IF(VLOOKUP(C131,MASTER_PROPERTY_TABLE,12,FALSE)="English",mmBTU_to_GJ,1))</f>
        <v>0</v>
      </c>
      <c r="D137" s="423">
        <f>IF(D131="",0,IF(VLOOKUP(D131,MASTER_PROPERTY_TABLE,12,FALSE)="English",mmBTU_to_GJ,1))</f>
        <v>0</v>
      </c>
      <c r="E137" s="424">
        <f>IF(E131="",,IF(VLOOKUP(E131,MASTER_PROPERTY_TABLE,12,FALSE)="English",mmBTU_to_GJ,1))</f>
        <v>0</v>
      </c>
      <c r="F137" s="422">
        <f>IF(F131="",,IF(VLOOKUP(F131,MASTER_PROPERTY_TABLE,12,FALSE)="English",mmBTU_to_GJ,1))</f>
        <v>0</v>
      </c>
      <c r="G137" s="423">
        <f>IF(G131="",,IF(VLOOKUP(G131,MASTER_PROPERTY_TABLE,12,FALSE)="English",mmBTU_to_GJ,1))</f>
        <v>0</v>
      </c>
      <c r="H137" s="423">
        <f>IF(H131="",,IF(VLOOKUP(H131,MASTER_PROPERTY_TABLE,12,FALSE)="English",mmBTU_to_GJ,1))</f>
        <v>0</v>
      </c>
      <c r="I137" s="423">
        <f>IF(I131="",,IF(VLOOKUP(I131,MASTER_PROPERTY_TABLE,12,FALSE)="English",mmBTU_to_GJ,1))</f>
        <v>0</v>
      </c>
      <c r="J137" s="424">
        <f ca="1">IF($J$131="",0,IF(VLOOKUP($J$131,MASTER_PROPERTY_TABLE,12,FALSE)="English",mmBTU_to_GJ,1))</f>
        <v>0</v>
      </c>
      <c r="K137" s="423">
        <f>IF(K131="",,IF(VLOOKUP(K131,MASTER_PROPERTY_TABLE,12,FALSE)="English",mmBTU_to_GJ,1))</f>
        <v>0</v>
      </c>
      <c r="L137" s="423">
        <f>IF(L131="",,IF(VLOOKUP(L131,MASTER_PROPERTY_TABLE,12,FALSE)="English",mmBTU_to_GJ,1))</f>
        <v>0</v>
      </c>
      <c r="M137" s="423">
        <f>IF(M131="",,IF(VLOOKUP(M131,MASTER_PROPERTY_TABLE,12,FALSE)="English",mmBTU_to_GJ,1))</f>
        <v>0</v>
      </c>
      <c r="N137" s="423">
        <f>IF(N131="",,IF(VLOOKUP(N131,MASTER_PROPERTY_TABLE,12,FALSE)="English",mmBTU_to_GJ,1))</f>
        <v>0</v>
      </c>
      <c r="O137" s="529"/>
      <c r="P137" s="527"/>
      <c r="Q137" s="527"/>
      <c r="R137" s="528"/>
      <c r="S137" s="407"/>
      <c r="T137" s="412"/>
      <c r="U137" s="412"/>
      <c r="V137" s="413"/>
    </row>
    <row r="138" spans="1:22" ht="38.25" customHeight="1" thickTop="1" x14ac:dyDescent="0.3">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3" t="str">
        <f t="shared" si="49"/>
        <v/>
      </c>
      <c r="J138" s="599"/>
      <c r="K138" s="597"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2039</v>
      </c>
      <c r="B139" s="207">
        <f ca="1">IF($A139="","",IF($B$131="","",IF($B$135="no",INFLATION_FACTOR*$B$133*$B$134,INFLATION_FACTOR*$B$133*$B$132*INDEX(FEEDPRICETABLE,MATCH($B$131,List_Energy_Feedstocks,0),MATCH($A139,Feedstock_Year,0)))))</f>
        <v>6.1340658335747005</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598"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1.4849716387120206E-2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2040</v>
      </c>
      <c r="B140" s="207">
        <f t="shared" ref="B140:B182" ca="1" si="66">IF($A140="","",IF($B$131="","",IF($B$135="no",INFLATION_FACTOR*$B$133*$B$134,INFLATION_FACTOR*$B$133*$B$132*INDEX(FEEDPRICETABLE,MATCH($B$131,List_Energy_Feedstocks,0),MATCH($A140,Feedstock_Year,0)))))</f>
        <v>6.1196830620631637</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598"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1.4849716387120206E-2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5">
      <c r="A141" s="205">
        <f t="shared" si="50"/>
        <v>2041</v>
      </c>
      <c r="B141" s="207">
        <f t="shared" ca="1" si="66"/>
        <v>6.1016854916870402</v>
      </c>
      <c r="C141" s="207" t="str">
        <f t="shared" si="51"/>
        <v/>
      </c>
      <c r="D141" s="207" t="str">
        <f t="shared" si="52"/>
        <v/>
      </c>
      <c r="E141" s="234" t="str">
        <f t="shared" si="53"/>
        <v/>
      </c>
      <c r="F141" s="206" t="str">
        <f t="shared" si="67"/>
        <v/>
      </c>
      <c r="G141" s="207" t="str">
        <f t="shared" si="54"/>
        <v/>
      </c>
      <c r="H141" s="207" t="str">
        <f t="shared" si="55"/>
        <v/>
      </c>
      <c r="I141" s="234" t="str">
        <f t="shared" si="56"/>
        <v/>
      </c>
      <c r="J141" s="598" t="str">
        <f t="shared" ca="1" si="57"/>
        <v/>
      </c>
      <c r="K141" s="232" t="str">
        <f t="shared" si="58"/>
        <v/>
      </c>
      <c r="L141" s="232" t="str">
        <f t="shared" si="59"/>
        <v/>
      </c>
      <c r="M141" s="207" t="str">
        <f t="shared" si="60"/>
        <v/>
      </c>
      <c r="N141" s="235" t="str">
        <f t="shared" si="61"/>
        <v/>
      </c>
      <c r="O141" s="240"/>
      <c r="P141" s="229">
        <f t="shared" ca="1" si="68"/>
        <v>1.4849716387120206E-2</v>
      </c>
      <c r="Q141" s="229" t="str">
        <f t="shared" si="69"/>
        <v/>
      </c>
      <c r="R141" s="229" t="str">
        <f t="shared" si="62"/>
        <v/>
      </c>
      <c r="S141" s="239"/>
      <c r="T141" s="229" t="str">
        <f t="shared" si="63"/>
        <v/>
      </c>
      <c r="U141" s="229" t="str">
        <f t="shared" si="64"/>
        <v/>
      </c>
      <c r="V141" s="229" t="str">
        <f t="shared" si="65"/>
        <v/>
      </c>
    </row>
    <row r="142" spans="1:22" ht="15" customHeight="1" x14ac:dyDescent="0.25">
      <c r="A142" s="205">
        <f t="shared" si="50"/>
        <v>2042</v>
      </c>
      <c r="B142" s="207">
        <f t="shared" ca="1" si="66"/>
        <v>6.1087625106209931</v>
      </c>
      <c r="C142" s="207" t="str">
        <f t="shared" si="51"/>
        <v/>
      </c>
      <c r="D142" s="207" t="str">
        <f t="shared" si="52"/>
        <v/>
      </c>
      <c r="E142" s="234" t="str">
        <f t="shared" si="53"/>
        <v/>
      </c>
      <c r="F142" s="206" t="str">
        <f t="shared" si="67"/>
        <v/>
      </c>
      <c r="G142" s="207" t="str">
        <f t="shared" si="54"/>
        <v/>
      </c>
      <c r="H142" s="207" t="str">
        <f t="shared" si="55"/>
        <v/>
      </c>
      <c r="I142" s="234" t="str">
        <f t="shared" si="56"/>
        <v/>
      </c>
      <c r="J142" s="598" t="str">
        <f t="shared" ca="1" si="57"/>
        <v/>
      </c>
      <c r="K142" s="232" t="str">
        <f t="shared" si="58"/>
        <v/>
      </c>
      <c r="L142" s="232" t="str">
        <f t="shared" si="59"/>
        <v/>
      </c>
      <c r="M142" s="207" t="str">
        <f t="shared" si="60"/>
        <v/>
      </c>
      <c r="N142" s="235" t="str">
        <f t="shared" si="61"/>
        <v/>
      </c>
      <c r="O142" s="240"/>
      <c r="P142" s="229">
        <f t="shared" ca="1" si="68"/>
        <v>1.4849716387120206E-2</v>
      </c>
      <c r="Q142" s="229" t="str">
        <f t="shared" si="69"/>
        <v/>
      </c>
      <c r="R142" s="229" t="str">
        <f t="shared" si="62"/>
        <v/>
      </c>
      <c r="S142" s="239"/>
      <c r="T142" s="229" t="str">
        <f t="shared" si="63"/>
        <v/>
      </c>
      <c r="U142" s="229" t="str">
        <f t="shared" si="64"/>
        <v/>
      </c>
      <c r="V142" s="229" t="str">
        <f t="shared" si="65"/>
        <v/>
      </c>
    </row>
    <row r="143" spans="1:22" ht="15" customHeight="1" x14ac:dyDescent="0.25">
      <c r="A143" s="205">
        <f t="shared" si="50"/>
        <v>2043</v>
      </c>
      <c r="B143" s="207">
        <f t="shared" ca="1" si="66"/>
        <v>6.1274051098721571</v>
      </c>
      <c r="C143" s="207" t="str">
        <f t="shared" si="51"/>
        <v/>
      </c>
      <c r="D143" s="207" t="str">
        <f t="shared" si="52"/>
        <v/>
      </c>
      <c r="E143" s="234" t="str">
        <f t="shared" si="53"/>
        <v/>
      </c>
      <c r="F143" s="206" t="str">
        <f t="shared" si="67"/>
        <v/>
      </c>
      <c r="G143" s="207" t="str">
        <f t="shared" si="54"/>
        <v/>
      </c>
      <c r="H143" s="207" t="str">
        <f t="shared" si="55"/>
        <v/>
      </c>
      <c r="I143" s="234" t="str">
        <f t="shared" si="56"/>
        <v/>
      </c>
      <c r="J143" s="598" t="str">
        <f t="shared" ca="1" si="57"/>
        <v/>
      </c>
      <c r="K143" s="232" t="str">
        <f t="shared" si="58"/>
        <v/>
      </c>
      <c r="L143" s="232" t="str">
        <f t="shared" si="59"/>
        <v/>
      </c>
      <c r="M143" s="207" t="str">
        <f t="shared" si="60"/>
        <v/>
      </c>
      <c r="N143" s="235" t="str">
        <f t="shared" si="61"/>
        <v/>
      </c>
      <c r="O143" s="240"/>
      <c r="P143" s="229">
        <f t="shared" ca="1" si="68"/>
        <v>1.4849716387120206E-2</v>
      </c>
      <c r="Q143" s="229" t="str">
        <f t="shared" si="69"/>
        <v/>
      </c>
      <c r="R143" s="229" t="str">
        <f t="shared" si="62"/>
        <v/>
      </c>
      <c r="S143" s="239"/>
      <c r="T143" s="229" t="str">
        <f t="shared" si="63"/>
        <v/>
      </c>
      <c r="U143" s="229" t="str">
        <f t="shared" si="64"/>
        <v/>
      </c>
      <c r="V143" s="229" t="str">
        <f t="shared" si="65"/>
        <v/>
      </c>
    </row>
    <row r="144" spans="1:22" ht="15" customHeight="1" x14ac:dyDescent="0.25">
      <c r="A144" s="205">
        <f t="shared" si="50"/>
        <v>2044</v>
      </c>
      <c r="B144" s="207">
        <f t="shared" ca="1" si="66"/>
        <v>6.1504924074666851</v>
      </c>
      <c r="C144" s="207" t="str">
        <f t="shared" si="51"/>
        <v/>
      </c>
      <c r="D144" s="207" t="str">
        <f t="shared" si="52"/>
        <v/>
      </c>
      <c r="E144" s="234" t="str">
        <f t="shared" si="53"/>
        <v/>
      </c>
      <c r="F144" s="206" t="str">
        <f t="shared" si="67"/>
        <v/>
      </c>
      <c r="G144" s="207" t="str">
        <f t="shared" si="54"/>
        <v/>
      </c>
      <c r="H144" s="207" t="str">
        <f t="shared" si="55"/>
        <v/>
      </c>
      <c r="I144" s="234" t="str">
        <f t="shared" si="56"/>
        <v/>
      </c>
      <c r="J144" s="598" t="str">
        <f t="shared" ca="1" si="57"/>
        <v/>
      </c>
      <c r="K144" s="232" t="str">
        <f t="shared" si="58"/>
        <v/>
      </c>
      <c r="L144" s="232" t="str">
        <f t="shared" si="59"/>
        <v/>
      </c>
      <c r="M144" s="207" t="str">
        <f t="shared" si="60"/>
        <v/>
      </c>
      <c r="N144" s="235" t="str">
        <f t="shared" si="61"/>
        <v/>
      </c>
      <c r="O144" s="240"/>
      <c r="P144" s="229">
        <f t="shared" ca="1" si="68"/>
        <v>1.4849716387120206E-2</v>
      </c>
      <c r="Q144" s="229" t="str">
        <f t="shared" si="69"/>
        <v/>
      </c>
      <c r="R144" s="229" t="str">
        <f t="shared" si="62"/>
        <v/>
      </c>
      <c r="S144" s="239"/>
      <c r="T144" s="229" t="str">
        <f t="shared" si="63"/>
        <v/>
      </c>
      <c r="U144" s="229" t="str">
        <f t="shared" si="64"/>
        <v/>
      </c>
      <c r="V144" s="229" t="str">
        <f t="shared" si="65"/>
        <v/>
      </c>
    </row>
    <row r="145" spans="1:22" ht="15" customHeight="1" x14ac:dyDescent="0.25">
      <c r="A145" s="205">
        <f t="shared" si="50"/>
        <v>2045</v>
      </c>
      <c r="B145" s="207">
        <f t="shared" ca="1" si="66"/>
        <v>6.1729599714361738</v>
      </c>
      <c r="C145" s="207" t="str">
        <f t="shared" si="51"/>
        <v/>
      </c>
      <c r="D145" s="207" t="str">
        <f t="shared" si="52"/>
        <v/>
      </c>
      <c r="E145" s="234" t="str">
        <f t="shared" si="53"/>
        <v/>
      </c>
      <c r="F145" s="206" t="str">
        <f t="shared" si="67"/>
        <v/>
      </c>
      <c r="G145" s="207" t="str">
        <f t="shared" si="54"/>
        <v/>
      </c>
      <c r="H145" s="207" t="str">
        <f t="shared" si="55"/>
        <v/>
      </c>
      <c r="I145" s="234" t="str">
        <f t="shared" si="56"/>
        <v/>
      </c>
      <c r="J145" s="598" t="str">
        <f t="shared" ca="1" si="57"/>
        <v/>
      </c>
      <c r="K145" s="232" t="str">
        <f t="shared" si="58"/>
        <v/>
      </c>
      <c r="L145" s="232" t="str">
        <f t="shared" si="59"/>
        <v/>
      </c>
      <c r="M145" s="207" t="str">
        <f t="shared" si="60"/>
        <v/>
      </c>
      <c r="N145" s="235" t="str">
        <f t="shared" si="61"/>
        <v/>
      </c>
      <c r="O145" s="240"/>
      <c r="P145" s="229">
        <f t="shared" ca="1" si="68"/>
        <v>1.4849716387120206E-2</v>
      </c>
      <c r="Q145" s="229" t="str">
        <f t="shared" si="69"/>
        <v/>
      </c>
      <c r="R145" s="229" t="str">
        <f t="shared" si="62"/>
        <v/>
      </c>
      <c r="S145" s="239"/>
      <c r="T145" s="229" t="str">
        <f t="shared" si="63"/>
        <v/>
      </c>
      <c r="U145" s="229" t="str">
        <f t="shared" si="64"/>
        <v/>
      </c>
      <c r="V145" s="229" t="str">
        <f t="shared" si="65"/>
        <v/>
      </c>
    </row>
    <row r="146" spans="1:22" ht="15" customHeight="1" x14ac:dyDescent="0.25">
      <c r="A146" s="205">
        <f t="shared" si="50"/>
        <v>2046</v>
      </c>
      <c r="B146" s="207">
        <f t="shared" ca="1" si="66"/>
        <v>6.1958029276796207</v>
      </c>
      <c r="C146" s="207" t="str">
        <f t="shared" si="51"/>
        <v/>
      </c>
      <c r="D146" s="207" t="str">
        <f t="shared" si="52"/>
        <v/>
      </c>
      <c r="E146" s="234" t="str">
        <f t="shared" si="53"/>
        <v/>
      </c>
      <c r="F146" s="206" t="str">
        <f t="shared" si="67"/>
        <v/>
      </c>
      <c r="G146" s="207" t="str">
        <f t="shared" si="54"/>
        <v/>
      </c>
      <c r="H146" s="207" t="str">
        <f t="shared" si="55"/>
        <v/>
      </c>
      <c r="I146" s="234" t="str">
        <f t="shared" si="56"/>
        <v/>
      </c>
      <c r="J146" s="598" t="str">
        <f t="shared" ca="1" si="57"/>
        <v/>
      </c>
      <c r="K146" s="232" t="str">
        <f t="shared" si="58"/>
        <v/>
      </c>
      <c r="L146" s="232" t="str">
        <f t="shared" si="59"/>
        <v/>
      </c>
      <c r="M146" s="207" t="str">
        <f t="shared" si="60"/>
        <v/>
      </c>
      <c r="N146" s="235" t="str">
        <f t="shared" si="61"/>
        <v/>
      </c>
      <c r="O146" s="240"/>
      <c r="P146" s="229">
        <f t="shared" ca="1" si="68"/>
        <v>1.4849716387120206E-2</v>
      </c>
      <c r="Q146" s="229" t="str">
        <f t="shared" si="69"/>
        <v/>
      </c>
      <c r="R146" s="229" t="str">
        <f t="shared" si="62"/>
        <v/>
      </c>
      <c r="S146" s="239"/>
      <c r="T146" s="229" t="str">
        <f t="shared" si="63"/>
        <v/>
      </c>
      <c r="U146" s="229" t="str">
        <f t="shared" si="64"/>
        <v/>
      </c>
      <c r="V146" s="229" t="str">
        <f t="shared" si="65"/>
        <v/>
      </c>
    </row>
    <row r="147" spans="1:22" ht="15" customHeight="1" x14ac:dyDescent="0.25">
      <c r="A147" s="205">
        <f t="shared" si="50"/>
        <v>2047</v>
      </c>
      <c r="B147" s="207">
        <f t="shared" ca="1" si="66"/>
        <v>6.2163014986250511</v>
      </c>
      <c r="C147" s="207" t="str">
        <f t="shared" si="51"/>
        <v/>
      </c>
      <c r="D147" s="207" t="str">
        <f t="shared" si="52"/>
        <v/>
      </c>
      <c r="E147" s="234" t="str">
        <f t="shared" si="53"/>
        <v/>
      </c>
      <c r="F147" s="206" t="str">
        <f t="shared" si="67"/>
        <v/>
      </c>
      <c r="G147" s="207" t="str">
        <f t="shared" si="54"/>
        <v/>
      </c>
      <c r="H147" s="207" t="str">
        <f t="shared" si="55"/>
        <v/>
      </c>
      <c r="I147" s="234" t="str">
        <f t="shared" si="56"/>
        <v/>
      </c>
      <c r="J147" s="598" t="str">
        <f t="shared" ca="1" si="57"/>
        <v/>
      </c>
      <c r="K147" s="232" t="str">
        <f t="shared" si="58"/>
        <v/>
      </c>
      <c r="L147" s="232" t="str">
        <f t="shared" si="59"/>
        <v/>
      </c>
      <c r="M147" s="207" t="str">
        <f t="shared" si="60"/>
        <v/>
      </c>
      <c r="N147" s="235" t="str">
        <f t="shared" si="61"/>
        <v/>
      </c>
      <c r="O147" s="240"/>
      <c r="P147" s="229">
        <f t="shared" ca="1" si="68"/>
        <v>1.4849716387120206E-2</v>
      </c>
      <c r="Q147" s="229" t="str">
        <f t="shared" si="69"/>
        <v/>
      </c>
      <c r="R147" s="229" t="str">
        <f t="shared" si="62"/>
        <v/>
      </c>
      <c r="S147" s="239"/>
      <c r="T147" s="229" t="str">
        <f t="shared" si="63"/>
        <v/>
      </c>
      <c r="U147" s="229" t="str">
        <f t="shared" si="64"/>
        <v/>
      </c>
      <c r="V147" s="229" t="str">
        <f t="shared" si="65"/>
        <v/>
      </c>
    </row>
    <row r="148" spans="1:22" ht="15" customHeight="1" x14ac:dyDescent="0.25">
      <c r="A148" s="205">
        <f t="shared" si="50"/>
        <v>2048</v>
      </c>
      <c r="B148" s="207">
        <f t="shared" ca="1" si="66"/>
        <v>6.2393594644935133</v>
      </c>
      <c r="C148" s="207" t="str">
        <f t="shared" si="51"/>
        <v/>
      </c>
      <c r="D148" s="207" t="str">
        <f t="shared" si="52"/>
        <v/>
      </c>
      <c r="E148" s="234" t="str">
        <f t="shared" si="53"/>
        <v/>
      </c>
      <c r="F148" s="206" t="str">
        <f t="shared" si="67"/>
        <v/>
      </c>
      <c r="G148" s="207" t="str">
        <f t="shared" si="54"/>
        <v/>
      </c>
      <c r="H148" s="207" t="str">
        <f t="shared" si="55"/>
        <v/>
      </c>
      <c r="I148" s="234" t="str">
        <f t="shared" si="56"/>
        <v/>
      </c>
      <c r="J148" s="598" t="str">
        <f t="shared" ca="1" si="57"/>
        <v/>
      </c>
      <c r="K148" s="232" t="str">
        <f t="shared" si="58"/>
        <v/>
      </c>
      <c r="L148" s="232" t="str">
        <f t="shared" si="59"/>
        <v/>
      </c>
      <c r="M148" s="207" t="str">
        <f t="shared" si="60"/>
        <v/>
      </c>
      <c r="N148" s="235" t="str">
        <f t="shared" si="61"/>
        <v/>
      </c>
      <c r="O148" s="240"/>
      <c r="P148" s="229">
        <f t="shared" ca="1" si="68"/>
        <v>1.4849716387120206E-2</v>
      </c>
      <c r="Q148" s="229" t="str">
        <f t="shared" si="69"/>
        <v/>
      </c>
      <c r="R148" s="229" t="str">
        <f t="shared" si="62"/>
        <v/>
      </c>
      <c r="S148" s="239"/>
      <c r="T148" s="229" t="str">
        <f t="shared" si="63"/>
        <v/>
      </c>
      <c r="U148" s="229" t="str">
        <f t="shared" si="64"/>
        <v/>
      </c>
      <c r="V148" s="229" t="str">
        <f t="shared" si="65"/>
        <v/>
      </c>
    </row>
    <row r="149" spans="1:22" ht="15" customHeight="1" x14ac:dyDescent="0.25">
      <c r="A149" s="205">
        <f t="shared" si="50"/>
        <v>2049</v>
      </c>
      <c r="B149" s="207">
        <f t="shared" ca="1" si="66"/>
        <v>6.2593367918298686</v>
      </c>
      <c r="C149" s="207" t="str">
        <f t="shared" si="51"/>
        <v/>
      </c>
      <c r="D149" s="207" t="str">
        <f t="shared" si="52"/>
        <v/>
      </c>
      <c r="E149" s="234" t="str">
        <f t="shared" si="53"/>
        <v/>
      </c>
      <c r="F149" s="206" t="str">
        <f t="shared" si="67"/>
        <v/>
      </c>
      <c r="G149" s="207" t="str">
        <f t="shared" si="54"/>
        <v/>
      </c>
      <c r="H149" s="207" t="str">
        <f t="shared" si="55"/>
        <v/>
      </c>
      <c r="I149" s="234" t="str">
        <f t="shared" si="56"/>
        <v/>
      </c>
      <c r="J149" s="598" t="str">
        <f t="shared" ca="1" si="57"/>
        <v/>
      </c>
      <c r="K149" s="232" t="str">
        <f t="shared" si="58"/>
        <v/>
      </c>
      <c r="L149" s="232" t="str">
        <f t="shared" si="59"/>
        <v/>
      </c>
      <c r="M149" s="207" t="str">
        <f t="shared" si="60"/>
        <v/>
      </c>
      <c r="N149" s="235" t="str">
        <f t="shared" si="61"/>
        <v/>
      </c>
      <c r="O149" s="240"/>
      <c r="P149" s="229">
        <f t="shared" ca="1" si="68"/>
        <v>1.4849716387120206E-2</v>
      </c>
      <c r="Q149" s="229" t="str">
        <f t="shared" si="69"/>
        <v/>
      </c>
      <c r="R149" s="229" t="str">
        <f t="shared" si="62"/>
        <v/>
      </c>
      <c r="S149" s="239"/>
      <c r="T149" s="229" t="str">
        <f t="shared" si="63"/>
        <v/>
      </c>
      <c r="U149" s="229" t="str">
        <f t="shared" si="64"/>
        <v/>
      </c>
      <c r="V149" s="229" t="str">
        <f t="shared" si="65"/>
        <v/>
      </c>
    </row>
    <row r="150" spans="1:22" ht="15" customHeight="1" x14ac:dyDescent="0.25">
      <c r="A150" s="205">
        <f t="shared" si="50"/>
        <v>2050</v>
      </c>
      <c r="B150" s="207">
        <f t="shared" ca="1" si="66"/>
        <v>6.2787043421821407</v>
      </c>
      <c r="C150" s="207" t="str">
        <f t="shared" si="51"/>
        <v/>
      </c>
      <c r="D150" s="207" t="str">
        <f t="shared" si="52"/>
        <v/>
      </c>
      <c r="E150" s="234" t="str">
        <f t="shared" si="53"/>
        <v/>
      </c>
      <c r="F150" s="206" t="str">
        <f t="shared" si="67"/>
        <v/>
      </c>
      <c r="G150" s="207" t="str">
        <f t="shared" si="54"/>
        <v/>
      </c>
      <c r="H150" s="207" t="str">
        <f t="shared" si="55"/>
        <v/>
      </c>
      <c r="I150" s="234" t="str">
        <f t="shared" si="56"/>
        <v/>
      </c>
      <c r="J150" s="598" t="str">
        <f t="shared" ca="1" si="57"/>
        <v/>
      </c>
      <c r="K150" s="232" t="str">
        <f t="shared" si="58"/>
        <v/>
      </c>
      <c r="L150" s="232" t="str">
        <f t="shared" si="59"/>
        <v/>
      </c>
      <c r="M150" s="207" t="str">
        <f t="shared" si="60"/>
        <v/>
      </c>
      <c r="N150" s="235" t="str">
        <f t="shared" si="61"/>
        <v/>
      </c>
      <c r="O150" s="240"/>
      <c r="P150" s="229">
        <f t="shared" ca="1" si="68"/>
        <v>1.4849716387120206E-2</v>
      </c>
      <c r="Q150" s="229" t="str">
        <f t="shared" si="69"/>
        <v/>
      </c>
      <c r="R150" s="229" t="str">
        <f t="shared" si="62"/>
        <v/>
      </c>
      <c r="S150" s="239"/>
      <c r="T150" s="229" t="str">
        <f t="shared" si="63"/>
        <v/>
      </c>
      <c r="U150" s="229" t="str">
        <f t="shared" si="64"/>
        <v/>
      </c>
      <c r="V150" s="229" t="str">
        <f t="shared" si="65"/>
        <v/>
      </c>
    </row>
    <row r="151" spans="1:22" ht="15" customHeight="1" x14ac:dyDescent="0.25">
      <c r="A151" s="205">
        <f t="shared" si="50"/>
        <v>2051</v>
      </c>
      <c r="B151" s="207">
        <f t="shared" ca="1" si="66"/>
        <v>6.2843988470213823</v>
      </c>
      <c r="C151" s="207" t="str">
        <f t="shared" si="51"/>
        <v/>
      </c>
      <c r="D151" s="207" t="str">
        <f t="shared" si="52"/>
        <v/>
      </c>
      <c r="E151" s="234" t="str">
        <f t="shared" si="53"/>
        <v/>
      </c>
      <c r="F151" s="206" t="str">
        <f t="shared" si="67"/>
        <v/>
      </c>
      <c r="G151" s="207" t="str">
        <f t="shared" si="54"/>
        <v/>
      </c>
      <c r="H151" s="207" t="str">
        <f t="shared" si="55"/>
        <v/>
      </c>
      <c r="I151" s="234" t="str">
        <f t="shared" si="56"/>
        <v/>
      </c>
      <c r="J151" s="598" t="str">
        <f t="shared" ca="1" si="57"/>
        <v/>
      </c>
      <c r="K151" s="232" t="str">
        <f t="shared" si="58"/>
        <v/>
      </c>
      <c r="L151" s="232" t="str">
        <f t="shared" si="59"/>
        <v/>
      </c>
      <c r="M151" s="207" t="str">
        <f t="shared" si="60"/>
        <v/>
      </c>
      <c r="N151" s="235" t="str">
        <f t="shared" si="61"/>
        <v/>
      </c>
      <c r="O151" s="240"/>
      <c r="P151" s="229">
        <f t="shared" ca="1" si="68"/>
        <v>1.4849716387120206E-2</v>
      </c>
      <c r="Q151" s="229" t="str">
        <f t="shared" si="69"/>
        <v/>
      </c>
      <c r="R151" s="229" t="str">
        <f t="shared" si="62"/>
        <v/>
      </c>
      <c r="S151" s="239"/>
      <c r="T151" s="229" t="str">
        <f t="shared" si="63"/>
        <v/>
      </c>
      <c r="U151" s="229" t="str">
        <f t="shared" si="64"/>
        <v/>
      </c>
      <c r="V151" s="229" t="str">
        <f t="shared" si="65"/>
        <v/>
      </c>
    </row>
    <row r="152" spans="1:22" ht="15" customHeight="1" x14ac:dyDescent="0.25">
      <c r="A152" s="205">
        <f t="shared" si="50"/>
        <v>2052</v>
      </c>
      <c r="B152" s="207">
        <f t="shared" ca="1" si="66"/>
        <v>6.2900985165225656</v>
      </c>
      <c r="C152" s="207" t="str">
        <f t="shared" si="51"/>
        <v/>
      </c>
      <c r="D152" s="207" t="str">
        <f t="shared" si="52"/>
        <v/>
      </c>
      <c r="E152" s="234" t="str">
        <f t="shared" si="53"/>
        <v/>
      </c>
      <c r="F152" s="206" t="str">
        <f t="shared" si="67"/>
        <v/>
      </c>
      <c r="G152" s="207" t="str">
        <f t="shared" si="54"/>
        <v/>
      </c>
      <c r="H152" s="207" t="str">
        <f t="shared" si="55"/>
        <v/>
      </c>
      <c r="I152" s="234" t="str">
        <f t="shared" si="56"/>
        <v/>
      </c>
      <c r="J152" s="598" t="str">
        <f t="shared" ca="1" si="57"/>
        <v/>
      </c>
      <c r="K152" s="232" t="str">
        <f t="shared" si="58"/>
        <v/>
      </c>
      <c r="L152" s="232" t="str">
        <f t="shared" si="59"/>
        <v/>
      </c>
      <c r="M152" s="207" t="str">
        <f t="shared" si="60"/>
        <v/>
      </c>
      <c r="N152" s="235" t="str">
        <f t="shared" si="61"/>
        <v/>
      </c>
      <c r="O152" s="240"/>
      <c r="P152" s="229">
        <f t="shared" ca="1" si="68"/>
        <v>1.4849716387120206E-2</v>
      </c>
      <c r="Q152" s="229" t="str">
        <f t="shared" si="69"/>
        <v/>
      </c>
      <c r="R152" s="229" t="str">
        <f t="shared" si="62"/>
        <v/>
      </c>
      <c r="S152" s="239"/>
      <c r="T152" s="229" t="str">
        <f t="shared" si="63"/>
        <v/>
      </c>
      <c r="U152" s="229" t="str">
        <f t="shared" si="64"/>
        <v/>
      </c>
      <c r="V152" s="229" t="str">
        <f t="shared" si="65"/>
        <v/>
      </c>
    </row>
    <row r="153" spans="1:22" ht="15" customHeight="1" x14ac:dyDescent="0.25">
      <c r="A153" s="205">
        <f t="shared" si="50"/>
        <v>2053</v>
      </c>
      <c r="B153" s="207">
        <f t="shared" ca="1" si="66"/>
        <v>6.2958033553698103</v>
      </c>
      <c r="C153" s="207" t="str">
        <f t="shared" si="51"/>
        <v/>
      </c>
      <c r="D153" s="207" t="str">
        <f t="shared" si="52"/>
        <v/>
      </c>
      <c r="E153" s="234" t="str">
        <f t="shared" si="53"/>
        <v/>
      </c>
      <c r="F153" s="206" t="str">
        <f t="shared" si="67"/>
        <v/>
      </c>
      <c r="G153" s="207" t="str">
        <f t="shared" si="54"/>
        <v/>
      </c>
      <c r="H153" s="207" t="str">
        <f t="shared" si="55"/>
        <v/>
      </c>
      <c r="I153" s="234" t="str">
        <f t="shared" si="56"/>
        <v/>
      </c>
      <c r="J153" s="598" t="str">
        <f t="shared" ca="1" si="57"/>
        <v/>
      </c>
      <c r="K153" s="232" t="str">
        <f t="shared" si="58"/>
        <v/>
      </c>
      <c r="L153" s="232" t="str">
        <f t="shared" si="59"/>
        <v/>
      </c>
      <c r="M153" s="207" t="str">
        <f t="shared" si="60"/>
        <v/>
      </c>
      <c r="N153" s="235" t="str">
        <f t="shared" si="61"/>
        <v/>
      </c>
      <c r="O153" s="240"/>
      <c r="P153" s="229">
        <f t="shared" ca="1" si="68"/>
        <v>1.4849716387120206E-2</v>
      </c>
      <c r="Q153" s="229" t="str">
        <f t="shared" si="69"/>
        <v/>
      </c>
      <c r="R153" s="229" t="str">
        <f t="shared" si="62"/>
        <v/>
      </c>
      <c r="S153" s="239"/>
      <c r="T153" s="229" t="str">
        <f t="shared" si="63"/>
        <v/>
      </c>
      <c r="U153" s="229" t="str">
        <f t="shared" si="64"/>
        <v/>
      </c>
      <c r="V153" s="229" t="str">
        <f t="shared" si="65"/>
        <v/>
      </c>
    </row>
    <row r="154" spans="1:22" ht="15" customHeight="1" x14ac:dyDescent="0.25">
      <c r="A154" s="205">
        <f t="shared" si="50"/>
        <v>2054</v>
      </c>
      <c r="B154" s="207">
        <f t="shared" ca="1" si="66"/>
        <v>6.3015133682514817</v>
      </c>
      <c r="C154" s="207" t="str">
        <f t="shared" si="51"/>
        <v/>
      </c>
      <c r="D154" s="207" t="str">
        <f t="shared" si="52"/>
        <v/>
      </c>
      <c r="E154" s="234" t="str">
        <f t="shared" si="53"/>
        <v/>
      </c>
      <c r="F154" s="206" t="str">
        <f t="shared" si="67"/>
        <v/>
      </c>
      <c r="G154" s="207" t="str">
        <f t="shared" si="54"/>
        <v/>
      </c>
      <c r="H154" s="207" t="str">
        <f t="shared" si="55"/>
        <v/>
      </c>
      <c r="I154" s="234" t="str">
        <f t="shared" si="56"/>
        <v/>
      </c>
      <c r="J154" s="598" t="str">
        <f t="shared" ca="1" si="57"/>
        <v/>
      </c>
      <c r="K154" s="232" t="str">
        <f t="shared" si="58"/>
        <v/>
      </c>
      <c r="L154" s="232" t="str">
        <f t="shared" si="59"/>
        <v/>
      </c>
      <c r="M154" s="207" t="str">
        <f t="shared" si="60"/>
        <v/>
      </c>
      <c r="N154" s="235" t="str">
        <f t="shared" si="61"/>
        <v/>
      </c>
      <c r="O154" s="240"/>
      <c r="P154" s="229">
        <f t="shared" ca="1" si="68"/>
        <v>1.4849716387120206E-2</v>
      </c>
      <c r="Q154" s="229" t="str">
        <f t="shared" si="69"/>
        <v/>
      </c>
      <c r="R154" s="229" t="str">
        <f t="shared" si="62"/>
        <v/>
      </c>
      <c r="S154" s="239"/>
      <c r="T154" s="229" t="str">
        <f t="shared" si="63"/>
        <v/>
      </c>
      <c r="U154" s="229" t="str">
        <f t="shared" si="64"/>
        <v/>
      </c>
      <c r="V154" s="229" t="str">
        <f t="shared" si="65"/>
        <v/>
      </c>
    </row>
    <row r="155" spans="1:22" ht="15" customHeight="1" x14ac:dyDescent="0.25">
      <c r="A155" s="205">
        <f t="shared" si="50"/>
        <v>2055</v>
      </c>
      <c r="B155" s="207">
        <f t="shared" ca="1" si="66"/>
        <v>6.3072285598601985</v>
      </c>
      <c r="C155" s="207" t="str">
        <f t="shared" si="51"/>
        <v/>
      </c>
      <c r="D155" s="207" t="str">
        <f t="shared" si="52"/>
        <v/>
      </c>
      <c r="E155" s="234" t="str">
        <f t="shared" si="53"/>
        <v/>
      </c>
      <c r="F155" s="206" t="str">
        <f t="shared" si="67"/>
        <v/>
      </c>
      <c r="G155" s="207" t="str">
        <f t="shared" si="54"/>
        <v/>
      </c>
      <c r="H155" s="207" t="str">
        <f t="shared" si="55"/>
        <v/>
      </c>
      <c r="I155" s="234" t="str">
        <f t="shared" si="56"/>
        <v/>
      </c>
      <c r="J155" s="598" t="str">
        <f t="shared" ca="1" si="57"/>
        <v/>
      </c>
      <c r="K155" s="232" t="str">
        <f t="shared" si="58"/>
        <v/>
      </c>
      <c r="L155" s="232" t="str">
        <f t="shared" si="59"/>
        <v/>
      </c>
      <c r="M155" s="207" t="str">
        <f t="shared" si="60"/>
        <v/>
      </c>
      <c r="N155" s="235" t="str">
        <f t="shared" si="61"/>
        <v/>
      </c>
      <c r="O155" s="240"/>
      <c r="P155" s="229">
        <f t="shared" ca="1" si="68"/>
        <v>1.4849716387120206E-2</v>
      </c>
      <c r="Q155" s="229" t="str">
        <f t="shared" si="69"/>
        <v/>
      </c>
      <c r="R155" s="229" t="str">
        <f t="shared" si="62"/>
        <v/>
      </c>
      <c r="S155" s="239"/>
      <c r="T155" s="229" t="str">
        <f t="shared" si="63"/>
        <v/>
      </c>
      <c r="U155" s="229" t="str">
        <f t="shared" si="64"/>
        <v/>
      </c>
      <c r="V155" s="229" t="str">
        <f t="shared" si="65"/>
        <v/>
      </c>
    </row>
    <row r="156" spans="1:22" ht="15" customHeight="1" x14ac:dyDescent="0.25">
      <c r="A156" s="205">
        <f t="shared" si="50"/>
        <v>2056</v>
      </c>
      <c r="B156" s="207">
        <f t="shared" ca="1" si="66"/>
        <v>6.3135087171160569</v>
      </c>
      <c r="C156" s="207" t="str">
        <f t="shared" si="51"/>
        <v/>
      </c>
      <c r="D156" s="207" t="str">
        <f t="shared" si="52"/>
        <v/>
      </c>
      <c r="E156" s="234" t="str">
        <f t="shared" si="53"/>
        <v/>
      </c>
      <c r="F156" s="206" t="str">
        <f t="shared" si="67"/>
        <v/>
      </c>
      <c r="G156" s="207" t="str">
        <f t="shared" si="54"/>
        <v/>
      </c>
      <c r="H156" s="207" t="str">
        <f t="shared" si="55"/>
        <v/>
      </c>
      <c r="I156" s="234" t="str">
        <f t="shared" si="56"/>
        <v/>
      </c>
      <c r="J156" s="598" t="str">
        <f t="shared" ca="1" si="57"/>
        <v/>
      </c>
      <c r="K156" s="232" t="str">
        <f t="shared" si="58"/>
        <v/>
      </c>
      <c r="L156" s="232" t="str">
        <f t="shared" si="59"/>
        <v/>
      </c>
      <c r="M156" s="207" t="str">
        <f t="shared" si="60"/>
        <v/>
      </c>
      <c r="N156" s="235" t="str">
        <f t="shared" si="61"/>
        <v/>
      </c>
      <c r="O156" s="240"/>
      <c r="P156" s="229">
        <f t="shared" ca="1" si="68"/>
        <v>1.4849716387120206E-2</v>
      </c>
      <c r="Q156" s="229" t="str">
        <f t="shared" si="69"/>
        <v/>
      </c>
      <c r="R156" s="229" t="str">
        <f t="shared" si="62"/>
        <v/>
      </c>
      <c r="S156" s="239"/>
      <c r="T156" s="229" t="str">
        <f t="shared" si="63"/>
        <v/>
      </c>
      <c r="U156" s="229" t="str">
        <f t="shared" si="64"/>
        <v/>
      </c>
      <c r="V156" s="229" t="str">
        <f t="shared" si="65"/>
        <v/>
      </c>
    </row>
    <row r="157" spans="1:22" ht="15" customHeight="1" x14ac:dyDescent="0.25">
      <c r="A157" s="205">
        <f t="shared" si="50"/>
        <v>2057</v>
      </c>
      <c r="B157" s="207">
        <f t="shared" ca="1" si="66"/>
        <v>6.3197951275740607</v>
      </c>
      <c r="C157" s="207" t="str">
        <f t="shared" si="51"/>
        <v/>
      </c>
      <c r="D157" s="207" t="str">
        <f t="shared" si="52"/>
        <v/>
      </c>
      <c r="E157" s="234" t="str">
        <f t="shared" si="53"/>
        <v/>
      </c>
      <c r="F157" s="206" t="str">
        <f t="shared" si="67"/>
        <v/>
      </c>
      <c r="G157" s="207" t="str">
        <f t="shared" si="54"/>
        <v/>
      </c>
      <c r="H157" s="207" t="str">
        <f t="shared" si="55"/>
        <v/>
      </c>
      <c r="I157" s="234" t="str">
        <f t="shared" si="56"/>
        <v/>
      </c>
      <c r="J157" s="598" t="str">
        <f t="shared" ca="1" si="57"/>
        <v/>
      </c>
      <c r="K157" s="232" t="str">
        <f t="shared" si="58"/>
        <v/>
      </c>
      <c r="L157" s="232" t="str">
        <f t="shared" si="59"/>
        <v/>
      </c>
      <c r="M157" s="207" t="str">
        <f t="shared" si="60"/>
        <v/>
      </c>
      <c r="N157" s="235" t="str">
        <f t="shared" si="61"/>
        <v/>
      </c>
      <c r="O157" s="240"/>
      <c r="P157" s="229">
        <f t="shared" ca="1" si="68"/>
        <v>1.4849716387120206E-2</v>
      </c>
      <c r="Q157" s="229" t="str">
        <f t="shared" si="69"/>
        <v/>
      </c>
      <c r="R157" s="229" t="str">
        <f t="shared" si="62"/>
        <v/>
      </c>
      <c r="S157" s="239"/>
      <c r="T157" s="229" t="str">
        <f t="shared" si="63"/>
        <v/>
      </c>
      <c r="U157" s="229" t="str">
        <f t="shared" si="64"/>
        <v/>
      </c>
      <c r="V157" s="229" t="str">
        <f t="shared" si="65"/>
        <v/>
      </c>
    </row>
    <row r="158" spans="1:22" ht="15" customHeight="1" x14ac:dyDescent="0.25">
      <c r="A158" s="205">
        <f t="shared" si="50"/>
        <v>2058</v>
      </c>
      <c r="B158" s="207">
        <f t="shared" ca="1" si="66"/>
        <v>6.3260877974605716</v>
      </c>
      <c r="C158" s="207" t="str">
        <f t="shared" si="51"/>
        <v/>
      </c>
      <c r="D158" s="207" t="str">
        <f t="shared" si="52"/>
        <v/>
      </c>
      <c r="E158" s="234" t="str">
        <f t="shared" si="53"/>
        <v/>
      </c>
      <c r="F158" s="206" t="str">
        <f t="shared" si="67"/>
        <v/>
      </c>
      <c r="G158" s="207" t="str">
        <f t="shared" si="54"/>
        <v/>
      </c>
      <c r="H158" s="207" t="str">
        <f t="shared" si="55"/>
        <v/>
      </c>
      <c r="I158" s="234" t="str">
        <f t="shared" si="56"/>
        <v/>
      </c>
      <c r="J158" s="598" t="str">
        <f t="shared" ca="1" si="57"/>
        <v/>
      </c>
      <c r="K158" s="232" t="str">
        <f t="shared" si="58"/>
        <v/>
      </c>
      <c r="L158" s="232" t="str">
        <f t="shared" si="59"/>
        <v/>
      </c>
      <c r="M158" s="207" t="str">
        <f t="shared" si="60"/>
        <v/>
      </c>
      <c r="N158" s="235" t="str">
        <f t="shared" si="61"/>
        <v/>
      </c>
      <c r="O158" s="240"/>
      <c r="P158" s="229">
        <f t="shared" ca="1" si="68"/>
        <v>1.4849716387120206E-2</v>
      </c>
      <c r="Q158" s="229" t="str">
        <f t="shared" si="69"/>
        <v/>
      </c>
      <c r="R158" s="229" t="str">
        <f t="shared" si="62"/>
        <v/>
      </c>
      <c r="S158" s="239"/>
      <c r="T158" s="229" t="str">
        <f t="shared" si="63"/>
        <v/>
      </c>
      <c r="U158" s="229" t="str">
        <f t="shared" si="64"/>
        <v/>
      </c>
      <c r="V158" s="229" t="str">
        <f t="shared" si="65"/>
        <v/>
      </c>
    </row>
    <row r="159" spans="1:22" ht="15" customHeight="1" x14ac:dyDescent="0.25">
      <c r="A159" s="205">
        <f t="shared" si="50"/>
        <v>2059</v>
      </c>
      <c r="B159" s="207">
        <f t="shared" ca="1" si="66"/>
        <v>6.3323867330081525</v>
      </c>
      <c r="C159" s="207" t="str">
        <f t="shared" si="51"/>
        <v/>
      </c>
      <c r="D159" s="207" t="str">
        <f t="shared" si="52"/>
        <v/>
      </c>
      <c r="E159" s="234" t="str">
        <f t="shared" si="53"/>
        <v/>
      </c>
      <c r="F159" s="206" t="str">
        <f t="shared" si="67"/>
        <v/>
      </c>
      <c r="G159" s="207" t="str">
        <f t="shared" si="54"/>
        <v/>
      </c>
      <c r="H159" s="207" t="str">
        <f t="shared" si="55"/>
        <v/>
      </c>
      <c r="I159" s="234" t="str">
        <f t="shared" si="56"/>
        <v/>
      </c>
      <c r="J159" s="598" t="str">
        <f t="shared" ca="1" si="57"/>
        <v/>
      </c>
      <c r="K159" s="232" t="str">
        <f t="shared" si="58"/>
        <v/>
      </c>
      <c r="L159" s="232" t="str">
        <f t="shared" si="59"/>
        <v/>
      </c>
      <c r="M159" s="207" t="str">
        <f t="shared" si="60"/>
        <v/>
      </c>
      <c r="N159" s="235" t="str">
        <f t="shared" si="61"/>
        <v/>
      </c>
      <c r="O159" s="240"/>
      <c r="P159" s="229">
        <f t="shared" ca="1" si="68"/>
        <v>1.4849716387120206E-2</v>
      </c>
      <c r="Q159" s="229" t="str">
        <f t="shared" si="69"/>
        <v/>
      </c>
      <c r="R159" s="229" t="str">
        <f t="shared" si="62"/>
        <v/>
      </c>
      <c r="S159" s="239"/>
      <c r="T159" s="229" t="str">
        <f t="shared" si="63"/>
        <v/>
      </c>
      <c r="U159" s="229" t="str">
        <f t="shared" si="64"/>
        <v/>
      </c>
      <c r="V159" s="229" t="str">
        <f t="shared" si="65"/>
        <v/>
      </c>
    </row>
    <row r="160" spans="1:22" ht="15" customHeight="1" x14ac:dyDescent="0.25">
      <c r="A160" s="205">
        <f t="shared" si="50"/>
        <v>2060</v>
      </c>
      <c r="B160" s="207">
        <f t="shared" ca="1" si="66"/>
        <v>6.3386919404555719</v>
      </c>
      <c r="C160" s="207" t="str">
        <f t="shared" si="51"/>
        <v/>
      </c>
      <c r="D160" s="207" t="str">
        <f t="shared" si="52"/>
        <v/>
      </c>
      <c r="E160" s="234" t="str">
        <f t="shared" si="53"/>
        <v/>
      </c>
      <c r="F160" s="206" t="str">
        <f t="shared" si="67"/>
        <v/>
      </c>
      <c r="G160" s="207" t="str">
        <f t="shared" si="54"/>
        <v/>
      </c>
      <c r="H160" s="207" t="str">
        <f t="shared" si="55"/>
        <v/>
      </c>
      <c r="I160" s="234" t="str">
        <f t="shared" si="56"/>
        <v/>
      </c>
      <c r="J160" s="598" t="str">
        <f t="shared" ca="1" si="57"/>
        <v/>
      </c>
      <c r="K160" s="232" t="str">
        <f t="shared" si="58"/>
        <v/>
      </c>
      <c r="L160" s="232" t="str">
        <f t="shared" si="59"/>
        <v/>
      </c>
      <c r="M160" s="207" t="str">
        <f t="shared" si="60"/>
        <v/>
      </c>
      <c r="N160" s="235" t="str">
        <f t="shared" si="61"/>
        <v/>
      </c>
      <c r="O160" s="240"/>
      <c r="P160" s="229">
        <f t="shared" ca="1" si="68"/>
        <v>1.4849716387120206E-2</v>
      </c>
      <c r="Q160" s="229" t="str">
        <f t="shared" si="69"/>
        <v/>
      </c>
      <c r="R160" s="229" t="str">
        <f t="shared" si="62"/>
        <v/>
      </c>
      <c r="S160" s="239"/>
      <c r="T160" s="229" t="str">
        <f t="shared" si="63"/>
        <v/>
      </c>
      <c r="U160" s="229" t="str">
        <f t="shared" si="64"/>
        <v/>
      </c>
      <c r="V160" s="229" t="str">
        <f t="shared" si="65"/>
        <v/>
      </c>
    </row>
    <row r="161" spans="1:22" ht="15" customHeight="1" x14ac:dyDescent="0.25">
      <c r="A161" s="205">
        <f t="shared" si="50"/>
        <v>2061</v>
      </c>
      <c r="B161" s="207">
        <f t="shared" ca="1" si="66"/>
        <v>6.3417342781643118</v>
      </c>
      <c r="C161" s="207" t="str">
        <f t="shared" si="51"/>
        <v/>
      </c>
      <c r="D161" s="207" t="str">
        <f t="shared" si="52"/>
        <v/>
      </c>
      <c r="E161" s="234" t="str">
        <f t="shared" si="53"/>
        <v/>
      </c>
      <c r="F161" s="206" t="str">
        <f t="shared" si="67"/>
        <v/>
      </c>
      <c r="G161" s="207" t="str">
        <f t="shared" si="54"/>
        <v/>
      </c>
      <c r="H161" s="207" t="str">
        <f t="shared" si="55"/>
        <v/>
      </c>
      <c r="I161" s="234" t="str">
        <f t="shared" si="56"/>
        <v/>
      </c>
      <c r="J161" s="598" t="str">
        <f t="shared" ca="1" si="57"/>
        <v/>
      </c>
      <c r="K161" s="232" t="str">
        <f t="shared" si="58"/>
        <v/>
      </c>
      <c r="L161" s="232" t="str">
        <f t="shared" si="59"/>
        <v/>
      </c>
      <c r="M161" s="207" t="str">
        <f t="shared" si="60"/>
        <v/>
      </c>
      <c r="N161" s="235" t="str">
        <f t="shared" si="61"/>
        <v/>
      </c>
      <c r="O161" s="240"/>
      <c r="P161" s="229">
        <f t="shared" ca="1" si="68"/>
        <v>1.4849716387120206E-2</v>
      </c>
      <c r="Q161" s="229" t="str">
        <f t="shared" si="69"/>
        <v/>
      </c>
      <c r="R161" s="229" t="str">
        <f t="shared" si="62"/>
        <v/>
      </c>
      <c r="S161" s="239"/>
      <c r="T161" s="229" t="str">
        <f t="shared" si="63"/>
        <v/>
      </c>
      <c r="U161" s="229" t="str">
        <f t="shared" si="64"/>
        <v/>
      </c>
      <c r="V161" s="229" t="str">
        <f t="shared" si="65"/>
        <v/>
      </c>
    </row>
    <row r="162" spans="1:22" ht="15" customHeight="1" x14ac:dyDescent="0.25">
      <c r="A162" s="205">
        <f t="shared" si="50"/>
        <v>2062</v>
      </c>
      <c r="B162" s="207">
        <f t="shared" ca="1" si="66"/>
        <v>6.3447780760826387</v>
      </c>
      <c r="C162" s="207" t="str">
        <f t="shared" si="51"/>
        <v/>
      </c>
      <c r="D162" s="207" t="str">
        <f t="shared" si="52"/>
        <v/>
      </c>
      <c r="E162" s="234" t="str">
        <f t="shared" si="53"/>
        <v/>
      </c>
      <c r="F162" s="206" t="str">
        <f t="shared" si="67"/>
        <v/>
      </c>
      <c r="G162" s="207" t="str">
        <f t="shared" si="54"/>
        <v/>
      </c>
      <c r="H162" s="207" t="str">
        <f t="shared" si="55"/>
        <v/>
      </c>
      <c r="I162" s="234" t="str">
        <f t="shared" si="56"/>
        <v/>
      </c>
      <c r="J162" s="598" t="str">
        <f t="shared" ca="1" si="57"/>
        <v/>
      </c>
      <c r="K162" s="232" t="str">
        <f t="shared" si="58"/>
        <v/>
      </c>
      <c r="L162" s="232" t="str">
        <f t="shared" si="59"/>
        <v/>
      </c>
      <c r="M162" s="207" t="str">
        <f t="shared" si="60"/>
        <v/>
      </c>
      <c r="N162" s="235" t="str">
        <f t="shared" si="61"/>
        <v/>
      </c>
      <c r="O162" s="240"/>
      <c r="P162" s="229">
        <f t="shared" ca="1" si="68"/>
        <v>1.4849716387120206E-2</v>
      </c>
      <c r="Q162" s="229" t="str">
        <f t="shared" si="69"/>
        <v/>
      </c>
      <c r="R162" s="229" t="str">
        <f t="shared" si="62"/>
        <v/>
      </c>
      <c r="S162" s="239"/>
      <c r="T162" s="229" t="str">
        <f t="shared" si="63"/>
        <v/>
      </c>
      <c r="U162" s="229" t="str">
        <f t="shared" si="64"/>
        <v/>
      </c>
      <c r="V162" s="229" t="str">
        <f t="shared" si="65"/>
        <v/>
      </c>
    </row>
    <row r="163" spans="1:22" ht="15" customHeight="1" x14ac:dyDescent="0.25">
      <c r="A163" s="205">
        <f t="shared" si="50"/>
        <v>2063</v>
      </c>
      <c r="B163" s="207">
        <f t="shared" ca="1" si="66"/>
        <v>6.3478233349113973</v>
      </c>
      <c r="C163" s="207" t="str">
        <f t="shared" si="51"/>
        <v/>
      </c>
      <c r="D163" s="207" t="str">
        <f t="shared" si="52"/>
        <v/>
      </c>
      <c r="E163" s="234" t="str">
        <f t="shared" si="53"/>
        <v/>
      </c>
      <c r="F163" s="206" t="str">
        <f t="shared" si="67"/>
        <v/>
      </c>
      <c r="G163" s="207" t="str">
        <f t="shared" si="54"/>
        <v/>
      </c>
      <c r="H163" s="207" t="str">
        <f t="shared" si="55"/>
        <v/>
      </c>
      <c r="I163" s="234" t="str">
        <f t="shared" si="56"/>
        <v/>
      </c>
      <c r="J163" s="598" t="str">
        <f t="shared" ca="1" si="57"/>
        <v/>
      </c>
      <c r="K163" s="232" t="str">
        <f t="shared" si="58"/>
        <v/>
      </c>
      <c r="L163" s="232" t="str">
        <f t="shared" si="59"/>
        <v/>
      </c>
      <c r="M163" s="207" t="str">
        <f t="shared" si="60"/>
        <v/>
      </c>
      <c r="N163" s="235" t="str">
        <f t="shared" si="61"/>
        <v/>
      </c>
      <c r="O163" s="240"/>
      <c r="P163" s="229">
        <f t="shared" ca="1" si="68"/>
        <v>1.4849716387120206E-2</v>
      </c>
      <c r="Q163" s="229" t="str">
        <f t="shared" si="69"/>
        <v/>
      </c>
      <c r="R163" s="229" t="str">
        <f t="shared" si="62"/>
        <v/>
      </c>
      <c r="S163" s="239"/>
      <c r="T163" s="229" t="str">
        <f t="shared" si="63"/>
        <v/>
      </c>
      <c r="U163" s="229" t="str">
        <f t="shared" si="64"/>
        <v/>
      </c>
      <c r="V163" s="229" t="str">
        <f t="shared" si="65"/>
        <v/>
      </c>
    </row>
    <row r="164" spans="1:22" ht="15" customHeight="1" x14ac:dyDescent="0.25">
      <c r="A164" s="205">
        <f t="shared" si="50"/>
        <v>2064</v>
      </c>
      <c r="B164" s="207">
        <f t="shared" ca="1" si="66"/>
        <v>6.3508700553517716</v>
      </c>
      <c r="C164" s="207" t="str">
        <f t="shared" si="51"/>
        <v/>
      </c>
      <c r="D164" s="207" t="str">
        <f t="shared" si="52"/>
        <v/>
      </c>
      <c r="E164" s="234" t="str">
        <f t="shared" si="53"/>
        <v/>
      </c>
      <c r="F164" s="206" t="str">
        <f t="shared" si="67"/>
        <v/>
      </c>
      <c r="G164" s="207" t="str">
        <f t="shared" si="54"/>
        <v/>
      </c>
      <c r="H164" s="207" t="str">
        <f t="shared" si="55"/>
        <v/>
      </c>
      <c r="I164" s="234" t="str">
        <f t="shared" si="56"/>
        <v/>
      </c>
      <c r="J164" s="598" t="str">
        <f t="shared" ca="1" si="57"/>
        <v/>
      </c>
      <c r="K164" s="232" t="str">
        <f t="shared" si="58"/>
        <v/>
      </c>
      <c r="L164" s="232" t="str">
        <f t="shared" si="59"/>
        <v/>
      </c>
      <c r="M164" s="207" t="str">
        <f t="shared" si="60"/>
        <v/>
      </c>
      <c r="N164" s="235" t="str">
        <f t="shared" si="61"/>
        <v/>
      </c>
      <c r="O164" s="240"/>
      <c r="P164" s="229">
        <f t="shared" ca="1" si="68"/>
        <v>1.4849716387120206E-2</v>
      </c>
      <c r="Q164" s="229" t="str">
        <f t="shared" si="69"/>
        <v/>
      </c>
      <c r="R164" s="229" t="str">
        <f t="shared" si="62"/>
        <v/>
      </c>
      <c r="S164" s="239"/>
      <c r="T164" s="229" t="str">
        <f t="shared" si="63"/>
        <v/>
      </c>
      <c r="U164" s="229" t="str">
        <f t="shared" si="64"/>
        <v/>
      </c>
      <c r="V164" s="229" t="str">
        <f t="shared" si="65"/>
        <v/>
      </c>
    </row>
    <row r="165" spans="1:22" ht="15" customHeight="1" x14ac:dyDescent="0.25">
      <c r="A165" s="205">
        <f t="shared" si="50"/>
        <v>2065</v>
      </c>
      <c r="B165" s="207">
        <f t="shared" ca="1" si="66"/>
        <v>6.3539182381052814</v>
      </c>
      <c r="C165" s="207" t="str">
        <f t="shared" si="51"/>
        <v/>
      </c>
      <c r="D165" s="207" t="str">
        <f t="shared" si="52"/>
        <v/>
      </c>
      <c r="E165" s="234" t="str">
        <f t="shared" si="53"/>
        <v/>
      </c>
      <c r="F165" s="206" t="str">
        <f t="shared" si="67"/>
        <v/>
      </c>
      <c r="G165" s="207" t="str">
        <f t="shared" si="54"/>
        <v/>
      </c>
      <c r="H165" s="207" t="str">
        <f t="shared" si="55"/>
        <v/>
      </c>
      <c r="I165" s="234" t="str">
        <f t="shared" si="56"/>
        <v/>
      </c>
      <c r="J165" s="598" t="str">
        <f t="shared" ca="1" si="57"/>
        <v/>
      </c>
      <c r="K165" s="232" t="str">
        <f t="shared" si="58"/>
        <v/>
      </c>
      <c r="L165" s="232" t="str">
        <f t="shared" si="59"/>
        <v/>
      </c>
      <c r="M165" s="207" t="str">
        <f t="shared" si="60"/>
        <v/>
      </c>
      <c r="N165" s="235" t="str">
        <f t="shared" si="61"/>
        <v/>
      </c>
      <c r="O165" s="240"/>
      <c r="P165" s="229">
        <f t="shared" ca="1" si="68"/>
        <v>1.4849716387120206E-2</v>
      </c>
      <c r="Q165" s="229" t="str">
        <f t="shared" si="69"/>
        <v/>
      </c>
      <c r="R165" s="229" t="str">
        <f t="shared" si="62"/>
        <v/>
      </c>
      <c r="S165" s="239"/>
      <c r="T165" s="229" t="str">
        <f t="shared" si="63"/>
        <v/>
      </c>
      <c r="U165" s="229" t="str">
        <f t="shared" si="64"/>
        <v/>
      </c>
      <c r="V165" s="229" t="str">
        <f t="shared" si="65"/>
        <v/>
      </c>
    </row>
    <row r="166" spans="1:22" ht="15" customHeight="1" x14ac:dyDescent="0.25">
      <c r="A166" s="205">
        <f t="shared" si="50"/>
        <v>2066</v>
      </c>
      <c r="B166" s="207">
        <f t="shared" ca="1" si="66"/>
        <v>6.3568604099765187</v>
      </c>
      <c r="C166" s="207" t="str">
        <f t="shared" si="51"/>
        <v/>
      </c>
      <c r="D166" s="207" t="str">
        <f t="shared" si="52"/>
        <v/>
      </c>
      <c r="E166" s="234" t="str">
        <f t="shared" si="53"/>
        <v/>
      </c>
      <c r="F166" s="206" t="str">
        <f t="shared" si="67"/>
        <v/>
      </c>
      <c r="G166" s="207" t="str">
        <f t="shared" si="54"/>
        <v/>
      </c>
      <c r="H166" s="207" t="str">
        <f t="shared" si="55"/>
        <v/>
      </c>
      <c r="I166" s="234" t="str">
        <f t="shared" si="56"/>
        <v/>
      </c>
      <c r="J166" s="598" t="str">
        <f t="shared" ca="1" si="57"/>
        <v/>
      </c>
      <c r="K166" s="232" t="str">
        <f t="shared" si="58"/>
        <v/>
      </c>
      <c r="L166" s="232" t="str">
        <f t="shared" si="59"/>
        <v/>
      </c>
      <c r="M166" s="207" t="str">
        <f t="shared" si="60"/>
        <v/>
      </c>
      <c r="N166" s="235" t="str">
        <f t="shared" si="61"/>
        <v/>
      </c>
      <c r="O166" s="240"/>
      <c r="P166" s="229">
        <f t="shared" ca="1" si="68"/>
        <v>1.4849716387120206E-2</v>
      </c>
      <c r="Q166" s="229" t="str">
        <f t="shared" si="69"/>
        <v/>
      </c>
      <c r="R166" s="229" t="str">
        <f t="shared" si="62"/>
        <v/>
      </c>
      <c r="S166" s="239"/>
      <c r="T166" s="229" t="str">
        <f t="shared" si="63"/>
        <v/>
      </c>
      <c r="U166" s="229" t="str">
        <f t="shared" si="64"/>
        <v/>
      </c>
      <c r="V166" s="229" t="str">
        <f t="shared" si="65"/>
        <v/>
      </c>
    </row>
    <row r="167" spans="1:22" ht="15" customHeight="1" x14ac:dyDescent="0.25">
      <c r="A167" s="205">
        <f t="shared" si="50"/>
        <v>2067</v>
      </c>
      <c r="B167" s="207">
        <f t="shared" ca="1" si="66"/>
        <v>6.3598039442158241</v>
      </c>
      <c r="C167" s="207" t="str">
        <f t="shared" si="51"/>
        <v/>
      </c>
      <c r="D167" s="207" t="str">
        <f t="shared" si="52"/>
        <v/>
      </c>
      <c r="E167" s="234" t="str">
        <f t="shared" si="53"/>
        <v/>
      </c>
      <c r="F167" s="206" t="str">
        <f t="shared" si="67"/>
        <v/>
      </c>
      <c r="G167" s="207" t="str">
        <f t="shared" si="54"/>
        <v/>
      </c>
      <c r="H167" s="207" t="str">
        <f t="shared" si="55"/>
        <v/>
      </c>
      <c r="I167" s="234" t="str">
        <f t="shared" si="56"/>
        <v/>
      </c>
      <c r="J167" s="598" t="str">
        <f t="shared" ca="1" si="57"/>
        <v/>
      </c>
      <c r="K167" s="232" t="str">
        <f t="shared" si="58"/>
        <v/>
      </c>
      <c r="L167" s="232" t="str">
        <f t="shared" si="59"/>
        <v/>
      </c>
      <c r="M167" s="207" t="str">
        <f t="shared" si="60"/>
        <v/>
      </c>
      <c r="N167" s="235" t="str">
        <f t="shared" si="61"/>
        <v/>
      </c>
      <c r="O167" s="240"/>
      <c r="P167" s="229">
        <f t="shared" ca="1" si="68"/>
        <v>1.4849716387120206E-2</v>
      </c>
      <c r="Q167" s="229" t="str">
        <f t="shared" si="69"/>
        <v/>
      </c>
      <c r="R167" s="229" t="str">
        <f t="shared" si="62"/>
        <v/>
      </c>
      <c r="S167" s="239"/>
      <c r="T167" s="229" t="str">
        <f t="shared" si="63"/>
        <v/>
      </c>
      <c r="U167" s="229" t="str">
        <f t="shared" si="64"/>
        <v/>
      </c>
      <c r="V167" s="229" t="str">
        <f t="shared" si="65"/>
        <v/>
      </c>
    </row>
    <row r="168" spans="1:22" ht="15" customHeight="1" x14ac:dyDescent="0.25">
      <c r="A168" s="205">
        <f t="shared" si="50"/>
        <v>2068</v>
      </c>
      <c r="B168" s="207">
        <f t="shared" ca="1" si="66"/>
        <v>6.3627488414540405</v>
      </c>
      <c r="C168" s="207" t="str">
        <f t="shared" si="51"/>
        <v/>
      </c>
      <c r="D168" s="207" t="str">
        <f t="shared" si="52"/>
        <v/>
      </c>
      <c r="E168" s="234" t="str">
        <f t="shared" si="53"/>
        <v/>
      </c>
      <c r="F168" s="206" t="str">
        <f t="shared" si="67"/>
        <v/>
      </c>
      <c r="G168" s="207" t="str">
        <f t="shared" si="54"/>
        <v/>
      </c>
      <c r="H168" s="207" t="str">
        <f t="shared" si="55"/>
        <v/>
      </c>
      <c r="I168" s="234" t="str">
        <f t="shared" si="56"/>
        <v/>
      </c>
      <c r="J168" s="598" t="str">
        <f t="shared" ca="1" si="57"/>
        <v/>
      </c>
      <c r="K168" s="232" t="str">
        <f t="shared" si="58"/>
        <v/>
      </c>
      <c r="L168" s="232" t="str">
        <f t="shared" si="59"/>
        <v/>
      </c>
      <c r="M168" s="207" t="str">
        <f t="shared" si="60"/>
        <v/>
      </c>
      <c r="N168" s="235" t="str">
        <f t="shared" si="61"/>
        <v/>
      </c>
      <c r="O168" s="240"/>
      <c r="P168" s="229">
        <f t="shared" ca="1" si="68"/>
        <v>1.4849716387120206E-2</v>
      </c>
      <c r="Q168" s="229" t="str">
        <f t="shared" si="69"/>
        <v/>
      </c>
      <c r="R168" s="229" t="str">
        <f t="shared" si="62"/>
        <v/>
      </c>
      <c r="S168" s="239"/>
      <c r="T168" s="229" t="str">
        <f t="shared" si="63"/>
        <v/>
      </c>
      <c r="U168" s="229" t="str">
        <f t="shared" si="64"/>
        <v/>
      </c>
      <c r="V168" s="229" t="str">
        <f t="shared" si="65"/>
        <v/>
      </c>
    </row>
    <row r="169" spans="1:22" ht="15" customHeight="1" x14ac:dyDescent="0.25">
      <c r="A169" s="205">
        <f t="shared" si="50"/>
        <v>2069</v>
      </c>
      <c r="B169" s="207">
        <f t="shared" ca="1" si="66"/>
        <v>6.3656951023223023</v>
      </c>
      <c r="C169" s="207" t="str">
        <f t="shared" si="51"/>
        <v/>
      </c>
      <c r="D169" s="207" t="str">
        <f t="shared" si="52"/>
        <v/>
      </c>
      <c r="E169" s="234" t="str">
        <f t="shared" si="53"/>
        <v/>
      </c>
      <c r="F169" s="206" t="str">
        <f t="shared" si="67"/>
        <v/>
      </c>
      <c r="G169" s="207" t="str">
        <f t="shared" si="54"/>
        <v/>
      </c>
      <c r="H169" s="207" t="str">
        <f t="shared" si="55"/>
        <v/>
      </c>
      <c r="I169" s="234" t="str">
        <f t="shared" si="56"/>
        <v/>
      </c>
      <c r="J169" s="598" t="str">
        <f t="shared" ca="1" si="57"/>
        <v/>
      </c>
      <c r="K169" s="232" t="str">
        <f t="shared" si="58"/>
        <v/>
      </c>
      <c r="L169" s="232" t="str">
        <f t="shared" si="59"/>
        <v/>
      </c>
      <c r="M169" s="207" t="str">
        <f t="shared" si="60"/>
        <v/>
      </c>
      <c r="N169" s="235" t="str">
        <f t="shared" si="61"/>
        <v/>
      </c>
      <c r="O169" s="240"/>
      <c r="P169" s="229">
        <f t="shared" ca="1" si="68"/>
        <v>1.4849716387120206E-2</v>
      </c>
      <c r="Q169" s="229" t="str">
        <f t="shared" si="69"/>
        <v/>
      </c>
      <c r="R169" s="229" t="str">
        <f t="shared" si="62"/>
        <v/>
      </c>
      <c r="S169" s="239"/>
      <c r="T169" s="229" t="str">
        <f t="shared" si="63"/>
        <v/>
      </c>
      <c r="U169" s="229" t="str">
        <f t="shared" si="64"/>
        <v/>
      </c>
      <c r="V169" s="229" t="str">
        <f t="shared" si="65"/>
        <v/>
      </c>
    </row>
    <row r="170" spans="1:22" ht="15" customHeight="1" x14ac:dyDescent="0.25">
      <c r="A170" s="205">
        <f t="shared" si="50"/>
        <v>2070</v>
      </c>
      <c r="B170" s="207">
        <f t="shared" ca="1" si="66"/>
        <v>6.3686427274520376</v>
      </c>
      <c r="C170" s="207" t="str">
        <f t="shared" si="51"/>
        <v/>
      </c>
      <c r="D170" s="207" t="str">
        <f t="shared" si="52"/>
        <v/>
      </c>
      <c r="E170" s="234" t="str">
        <f t="shared" si="53"/>
        <v/>
      </c>
      <c r="F170" s="206" t="str">
        <f t="shared" si="67"/>
        <v/>
      </c>
      <c r="G170" s="207" t="str">
        <f t="shared" si="54"/>
        <v/>
      </c>
      <c r="H170" s="207" t="str">
        <f t="shared" si="55"/>
        <v/>
      </c>
      <c r="I170" s="234" t="str">
        <f t="shared" si="56"/>
        <v/>
      </c>
      <c r="J170" s="598" t="str">
        <f t="shared" ca="1" si="57"/>
        <v/>
      </c>
      <c r="K170" s="232" t="str">
        <f t="shared" si="58"/>
        <v/>
      </c>
      <c r="L170" s="232" t="str">
        <f t="shared" si="59"/>
        <v/>
      </c>
      <c r="M170" s="207" t="str">
        <f t="shared" si="60"/>
        <v/>
      </c>
      <c r="N170" s="235" t="str">
        <f t="shared" si="61"/>
        <v/>
      </c>
      <c r="O170" s="240"/>
      <c r="P170" s="229">
        <f t="shared" ca="1" si="68"/>
        <v>1.4849716387120206E-2</v>
      </c>
      <c r="Q170" s="229" t="str">
        <f t="shared" si="69"/>
        <v/>
      </c>
      <c r="R170" s="229" t="str">
        <f t="shared" si="62"/>
        <v/>
      </c>
      <c r="S170" s="239"/>
      <c r="T170" s="229" t="str">
        <f t="shared" si="63"/>
        <v/>
      </c>
      <c r="U170" s="229" t="str">
        <f t="shared" si="64"/>
        <v/>
      </c>
      <c r="V170" s="229" t="str">
        <f t="shared" si="65"/>
        <v/>
      </c>
    </row>
    <row r="171" spans="1:22" ht="15" customHeight="1" x14ac:dyDescent="0.25">
      <c r="A171" s="205">
        <f t="shared" si="50"/>
        <v>2071</v>
      </c>
      <c r="B171" s="207">
        <f t="shared" ca="1" si="66"/>
        <v>6.3705670743259759</v>
      </c>
      <c r="C171" s="207" t="str">
        <f t="shared" si="51"/>
        <v/>
      </c>
      <c r="D171" s="207" t="str">
        <f t="shared" si="52"/>
        <v/>
      </c>
      <c r="E171" s="234" t="str">
        <f t="shared" si="53"/>
        <v/>
      </c>
      <c r="F171" s="206" t="str">
        <f t="shared" si="67"/>
        <v/>
      </c>
      <c r="G171" s="207" t="str">
        <f t="shared" si="54"/>
        <v/>
      </c>
      <c r="H171" s="207" t="str">
        <f t="shared" si="55"/>
        <v/>
      </c>
      <c r="I171" s="234" t="str">
        <f t="shared" si="56"/>
        <v/>
      </c>
      <c r="J171" s="598" t="str">
        <f t="shared" ca="1" si="57"/>
        <v/>
      </c>
      <c r="K171" s="232" t="str">
        <f t="shared" si="58"/>
        <v/>
      </c>
      <c r="L171" s="232" t="str">
        <f t="shared" si="59"/>
        <v/>
      </c>
      <c r="M171" s="207" t="str">
        <f t="shared" si="60"/>
        <v/>
      </c>
      <c r="N171" s="235" t="str">
        <f t="shared" si="61"/>
        <v/>
      </c>
      <c r="O171" s="240"/>
      <c r="P171" s="229">
        <f t="shared" ca="1" si="68"/>
        <v>1.4849716387120206E-2</v>
      </c>
      <c r="Q171" s="229" t="str">
        <f t="shared" si="69"/>
        <v/>
      </c>
      <c r="R171" s="229" t="str">
        <f t="shared" si="62"/>
        <v/>
      </c>
      <c r="S171" s="239"/>
      <c r="T171" s="229" t="str">
        <f t="shared" si="63"/>
        <v/>
      </c>
      <c r="U171" s="229" t="str">
        <f t="shared" si="64"/>
        <v/>
      </c>
      <c r="V171" s="229" t="str">
        <f t="shared" si="65"/>
        <v/>
      </c>
    </row>
    <row r="172" spans="1:22" ht="15" customHeight="1" x14ac:dyDescent="0.25">
      <c r="A172" s="205">
        <f t="shared" si="50"/>
        <v>2072</v>
      </c>
      <c r="B172" s="207">
        <f t="shared" ca="1" si="66"/>
        <v>6.3724920026598966</v>
      </c>
      <c r="C172" s="207" t="str">
        <f t="shared" si="51"/>
        <v/>
      </c>
      <c r="D172" s="207" t="str">
        <f t="shared" si="52"/>
        <v/>
      </c>
      <c r="E172" s="234" t="str">
        <f t="shared" si="53"/>
        <v/>
      </c>
      <c r="F172" s="206" t="str">
        <f t="shared" si="67"/>
        <v/>
      </c>
      <c r="G172" s="207" t="str">
        <f t="shared" si="54"/>
        <v/>
      </c>
      <c r="H172" s="207" t="str">
        <f t="shared" si="55"/>
        <v/>
      </c>
      <c r="I172" s="234" t="str">
        <f t="shared" si="56"/>
        <v/>
      </c>
      <c r="J172" s="598" t="str">
        <f t="shared" ca="1" si="57"/>
        <v/>
      </c>
      <c r="K172" s="232" t="str">
        <f t="shared" si="58"/>
        <v/>
      </c>
      <c r="L172" s="232" t="str">
        <f t="shared" si="59"/>
        <v/>
      </c>
      <c r="M172" s="207" t="str">
        <f t="shared" si="60"/>
        <v/>
      </c>
      <c r="N172" s="235" t="str">
        <f t="shared" si="61"/>
        <v/>
      </c>
      <c r="O172" s="240"/>
      <c r="P172" s="229">
        <f t="shared" ca="1" si="68"/>
        <v>1.4849716387120206E-2</v>
      </c>
      <c r="Q172" s="229" t="str">
        <f t="shared" si="69"/>
        <v/>
      </c>
      <c r="R172" s="229" t="str">
        <f t="shared" si="62"/>
        <v/>
      </c>
      <c r="S172" s="239"/>
      <c r="T172" s="229" t="str">
        <f t="shared" si="63"/>
        <v/>
      </c>
      <c r="U172" s="229" t="str">
        <f t="shared" si="64"/>
        <v/>
      </c>
      <c r="V172" s="229" t="str">
        <f t="shared" si="65"/>
        <v/>
      </c>
    </row>
    <row r="173" spans="1:22" ht="15" customHeight="1" x14ac:dyDescent="0.25">
      <c r="A173" s="205">
        <f t="shared" si="50"/>
        <v>2073</v>
      </c>
      <c r="B173" s="207">
        <f t="shared" ca="1" si="66"/>
        <v>6.3744175126294937</v>
      </c>
      <c r="C173" s="207" t="str">
        <f t="shared" si="51"/>
        <v/>
      </c>
      <c r="D173" s="207" t="str">
        <f t="shared" si="52"/>
        <v/>
      </c>
      <c r="E173" s="234" t="str">
        <f t="shared" si="53"/>
        <v/>
      </c>
      <c r="F173" s="206" t="str">
        <f t="shared" si="67"/>
        <v/>
      </c>
      <c r="G173" s="207" t="str">
        <f t="shared" si="54"/>
        <v/>
      </c>
      <c r="H173" s="207" t="str">
        <f t="shared" si="55"/>
        <v/>
      </c>
      <c r="I173" s="234" t="str">
        <f t="shared" si="56"/>
        <v/>
      </c>
      <c r="J173" s="598" t="str">
        <f t="shared" ca="1" si="57"/>
        <v/>
      </c>
      <c r="K173" s="232" t="str">
        <f t="shared" si="58"/>
        <v/>
      </c>
      <c r="L173" s="232" t="str">
        <f t="shared" si="59"/>
        <v/>
      </c>
      <c r="M173" s="207" t="str">
        <f t="shared" si="60"/>
        <v/>
      </c>
      <c r="N173" s="235" t="str">
        <f t="shared" si="61"/>
        <v/>
      </c>
      <c r="O173" s="240"/>
      <c r="P173" s="229">
        <f t="shared" ca="1" si="68"/>
        <v>1.4849716387120206E-2</v>
      </c>
      <c r="Q173" s="229" t="str">
        <f t="shared" si="69"/>
        <v/>
      </c>
      <c r="R173" s="229" t="str">
        <f t="shared" si="62"/>
        <v/>
      </c>
      <c r="S173" s="239"/>
      <c r="T173" s="229" t="str">
        <f t="shared" si="63"/>
        <v/>
      </c>
      <c r="U173" s="229" t="str">
        <f t="shared" si="64"/>
        <v/>
      </c>
      <c r="V173" s="229" t="str">
        <f t="shared" si="65"/>
        <v/>
      </c>
    </row>
    <row r="174" spans="1:22" ht="15" customHeight="1" x14ac:dyDescent="0.25">
      <c r="A174" s="205">
        <f t="shared" si="50"/>
        <v>2074</v>
      </c>
      <c r="B174" s="207">
        <f t="shared" ca="1" si="66"/>
        <v>6.3763436044105148</v>
      </c>
      <c r="C174" s="207" t="str">
        <f t="shared" si="51"/>
        <v/>
      </c>
      <c r="D174" s="207" t="str">
        <f t="shared" si="52"/>
        <v/>
      </c>
      <c r="E174" s="234" t="str">
        <f t="shared" si="53"/>
        <v/>
      </c>
      <c r="F174" s="206" t="str">
        <f t="shared" si="67"/>
        <v/>
      </c>
      <c r="G174" s="207" t="str">
        <f t="shared" si="54"/>
        <v/>
      </c>
      <c r="H174" s="207" t="str">
        <f t="shared" si="55"/>
        <v/>
      </c>
      <c r="I174" s="234" t="str">
        <f t="shared" si="56"/>
        <v/>
      </c>
      <c r="J174" s="598" t="str">
        <f t="shared" ca="1" si="57"/>
        <v/>
      </c>
      <c r="K174" s="232" t="str">
        <f t="shared" si="58"/>
        <v/>
      </c>
      <c r="L174" s="232" t="str">
        <f t="shared" si="59"/>
        <v/>
      </c>
      <c r="M174" s="207" t="str">
        <f t="shared" si="60"/>
        <v/>
      </c>
      <c r="N174" s="235" t="str">
        <f t="shared" si="61"/>
        <v/>
      </c>
      <c r="O174" s="240"/>
      <c r="P174" s="229">
        <f t="shared" ca="1" si="68"/>
        <v>1.4849716387120206E-2</v>
      </c>
      <c r="Q174" s="229" t="str">
        <f t="shared" si="69"/>
        <v/>
      </c>
      <c r="R174" s="229" t="str">
        <f t="shared" si="62"/>
        <v/>
      </c>
      <c r="S174" s="239"/>
      <c r="T174" s="229" t="str">
        <f t="shared" si="63"/>
        <v/>
      </c>
      <c r="U174" s="229" t="str">
        <f t="shared" si="64"/>
        <v/>
      </c>
      <c r="V174" s="229" t="str">
        <f t="shared" si="65"/>
        <v/>
      </c>
    </row>
    <row r="175" spans="1:22" ht="15" customHeight="1" x14ac:dyDescent="0.25">
      <c r="A175" s="205">
        <f t="shared" si="50"/>
        <v>2075</v>
      </c>
      <c r="B175" s="207">
        <f t="shared" ca="1" si="66"/>
        <v>6.3782702781787579</v>
      </c>
      <c r="C175" s="207" t="str">
        <f t="shared" si="51"/>
        <v/>
      </c>
      <c r="D175" s="207" t="str">
        <f t="shared" si="52"/>
        <v/>
      </c>
      <c r="E175" s="234" t="str">
        <f t="shared" si="53"/>
        <v/>
      </c>
      <c r="F175" s="206" t="str">
        <f t="shared" si="67"/>
        <v/>
      </c>
      <c r="G175" s="207" t="str">
        <f t="shared" si="54"/>
        <v/>
      </c>
      <c r="H175" s="207" t="str">
        <f t="shared" si="55"/>
        <v/>
      </c>
      <c r="I175" s="234" t="str">
        <f t="shared" si="56"/>
        <v/>
      </c>
      <c r="J175" s="598" t="str">
        <f t="shared" ca="1" si="57"/>
        <v/>
      </c>
      <c r="K175" s="232" t="str">
        <f t="shared" si="58"/>
        <v/>
      </c>
      <c r="L175" s="232" t="str">
        <f t="shared" si="59"/>
        <v/>
      </c>
      <c r="M175" s="207" t="str">
        <f t="shared" si="60"/>
        <v/>
      </c>
      <c r="N175" s="235" t="str">
        <f t="shared" si="61"/>
        <v/>
      </c>
      <c r="O175" s="240"/>
      <c r="P175" s="229">
        <f t="shared" ca="1" si="68"/>
        <v>1.4849716387120206E-2</v>
      </c>
      <c r="Q175" s="229" t="str">
        <f t="shared" si="69"/>
        <v/>
      </c>
      <c r="R175" s="229" t="str">
        <f t="shared" si="62"/>
        <v/>
      </c>
      <c r="S175" s="239"/>
      <c r="T175" s="229" t="str">
        <f t="shared" si="63"/>
        <v/>
      </c>
      <c r="U175" s="229" t="str">
        <f t="shared" si="64"/>
        <v/>
      </c>
      <c r="V175" s="229" t="str">
        <f t="shared" si="65"/>
        <v/>
      </c>
    </row>
    <row r="176" spans="1:22" ht="15" customHeight="1" x14ac:dyDescent="0.25">
      <c r="A176" s="205">
        <f t="shared" si="50"/>
        <v>2076</v>
      </c>
      <c r="B176" s="207">
        <f t="shared" ca="1" si="66"/>
        <v>6.3775489448244418</v>
      </c>
      <c r="C176" s="207" t="str">
        <f t="shared" si="51"/>
        <v/>
      </c>
      <c r="D176" s="207" t="str">
        <f t="shared" si="52"/>
        <v/>
      </c>
      <c r="E176" s="234" t="str">
        <f t="shared" si="53"/>
        <v/>
      </c>
      <c r="F176" s="206" t="str">
        <f t="shared" si="67"/>
        <v/>
      </c>
      <c r="G176" s="207" t="str">
        <f t="shared" si="54"/>
        <v/>
      </c>
      <c r="H176" s="207" t="str">
        <f t="shared" si="55"/>
        <v/>
      </c>
      <c r="I176" s="234" t="str">
        <f t="shared" si="56"/>
        <v/>
      </c>
      <c r="J176" s="598" t="str">
        <f t="shared" ca="1" si="57"/>
        <v/>
      </c>
      <c r="K176" s="232" t="str">
        <f t="shared" si="58"/>
        <v/>
      </c>
      <c r="L176" s="232" t="str">
        <f t="shared" si="59"/>
        <v/>
      </c>
      <c r="M176" s="207" t="str">
        <f t="shared" si="60"/>
        <v/>
      </c>
      <c r="N176" s="235" t="str">
        <f t="shared" si="61"/>
        <v/>
      </c>
      <c r="O176" s="240"/>
      <c r="P176" s="229">
        <f t="shared" ca="1" si="68"/>
        <v>1.4849716387120206E-2</v>
      </c>
      <c r="Q176" s="229" t="str">
        <f t="shared" si="69"/>
        <v/>
      </c>
      <c r="R176" s="229" t="str">
        <f t="shared" si="62"/>
        <v/>
      </c>
      <c r="S176" s="239"/>
      <c r="T176" s="229" t="str">
        <f t="shared" si="63"/>
        <v/>
      </c>
      <c r="U176" s="229" t="str">
        <f t="shared" si="64"/>
        <v/>
      </c>
      <c r="V176" s="229" t="str">
        <f t="shared" si="65"/>
        <v/>
      </c>
    </row>
    <row r="177" spans="1:22" ht="15" customHeight="1" x14ac:dyDescent="0.25">
      <c r="A177" s="205">
        <f t="shared" si="50"/>
        <v>2077</v>
      </c>
      <c r="B177" s="207">
        <f t="shared" ca="1" si="66"/>
        <v>6.3768276930473844</v>
      </c>
      <c r="C177" s="207" t="str">
        <f t="shared" si="51"/>
        <v/>
      </c>
      <c r="D177" s="207" t="str">
        <f t="shared" si="52"/>
        <v/>
      </c>
      <c r="E177" s="234" t="str">
        <f t="shared" si="53"/>
        <v/>
      </c>
      <c r="F177" s="206" t="str">
        <f t="shared" si="67"/>
        <v/>
      </c>
      <c r="G177" s="207" t="str">
        <f t="shared" si="54"/>
        <v/>
      </c>
      <c r="H177" s="207" t="str">
        <f t="shared" si="55"/>
        <v/>
      </c>
      <c r="I177" s="234" t="str">
        <f t="shared" si="56"/>
        <v/>
      </c>
      <c r="J177" s="598" t="str">
        <f t="shared" ca="1" si="57"/>
        <v/>
      </c>
      <c r="K177" s="232" t="str">
        <f t="shared" si="58"/>
        <v/>
      </c>
      <c r="L177" s="232" t="str">
        <f t="shared" si="59"/>
        <v/>
      </c>
      <c r="M177" s="207" t="str">
        <f t="shared" si="60"/>
        <v/>
      </c>
      <c r="N177" s="235" t="str">
        <f t="shared" si="61"/>
        <v/>
      </c>
      <c r="O177" s="240"/>
      <c r="P177" s="229">
        <f t="shared" ca="1" si="68"/>
        <v>1.4849716387120206E-2</v>
      </c>
      <c r="Q177" s="229" t="str">
        <f t="shared" si="69"/>
        <v/>
      </c>
      <c r="R177" s="229" t="str">
        <f t="shared" si="62"/>
        <v/>
      </c>
      <c r="S177" s="239"/>
      <c r="T177" s="229" t="str">
        <f t="shared" si="63"/>
        <v/>
      </c>
      <c r="U177" s="229" t="str">
        <f t="shared" si="64"/>
        <v/>
      </c>
      <c r="V177" s="229" t="str">
        <f t="shared" si="65"/>
        <v/>
      </c>
    </row>
    <row r="178" spans="1:22" ht="15" customHeight="1" x14ac:dyDescent="0.25">
      <c r="A178" s="205">
        <f t="shared" si="50"/>
        <v>2078</v>
      </c>
      <c r="B178" s="207">
        <f t="shared" ca="1" si="66"/>
        <v>6.3761065228383602</v>
      </c>
      <c r="C178" s="207" t="str">
        <f t="shared" si="51"/>
        <v/>
      </c>
      <c r="D178" s="207" t="str">
        <f t="shared" si="52"/>
        <v/>
      </c>
      <c r="E178" s="234" t="str">
        <f t="shared" si="53"/>
        <v/>
      </c>
      <c r="F178" s="206" t="str">
        <f t="shared" si="67"/>
        <v/>
      </c>
      <c r="G178" s="207" t="str">
        <f t="shared" si="54"/>
        <v/>
      </c>
      <c r="H178" s="207" t="str">
        <f t="shared" si="55"/>
        <v/>
      </c>
      <c r="I178" s="234" t="str">
        <f t="shared" si="56"/>
        <v/>
      </c>
      <c r="J178" s="598" t="str">
        <f t="shared" ca="1" si="57"/>
        <v/>
      </c>
      <c r="K178" s="232" t="str">
        <f t="shared" si="58"/>
        <v/>
      </c>
      <c r="L178" s="232" t="str">
        <f t="shared" si="59"/>
        <v/>
      </c>
      <c r="M178" s="207" t="str">
        <f t="shared" si="60"/>
        <v/>
      </c>
      <c r="N178" s="235" t="str">
        <f t="shared" si="61"/>
        <v/>
      </c>
      <c r="O178" s="240"/>
      <c r="P178" s="229">
        <f t="shared" ca="1" si="68"/>
        <v>1.4849716387120206E-2</v>
      </c>
      <c r="Q178" s="229" t="str">
        <f t="shared" si="69"/>
        <v/>
      </c>
      <c r="R178" s="229" t="str">
        <f t="shared" si="62"/>
        <v/>
      </c>
      <c r="S178" s="239"/>
      <c r="T178" s="229" t="str">
        <f t="shared" si="63"/>
        <v/>
      </c>
      <c r="U178" s="229" t="str">
        <f t="shared" si="64"/>
        <v/>
      </c>
      <c r="V178" s="229" t="str">
        <f t="shared" si="65"/>
        <v/>
      </c>
    </row>
    <row r="179" spans="1:22" ht="15" customHeight="1" x14ac:dyDescent="0.25">
      <c r="A179" s="205">
        <f t="shared" si="50"/>
        <v>2079</v>
      </c>
      <c r="B179" s="207">
        <f t="shared" ca="1" si="66"/>
        <v>6.3753854341881455</v>
      </c>
      <c r="C179" s="207" t="str">
        <f t="shared" si="51"/>
        <v/>
      </c>
      <c r="D179" s="207" t="str">
        <f t="shared" si="52"/>
        <v/>
      </c>
      <c r="E179" s="234" t="str">
        <f t="shared" si="53"/>
        <v/>
      </c>
      <c r="F179" s="206" t="str">
        <f t="shared" si="67"/>
        <v/>
      </c>
      <c r="G179" s="207" t="str">
        <f t="shared" si="54"/>
        <v/>
      </c>
      <c r="H179" s="207" t="str">
        <f t="shared" si="55"/>
        <v/>
      </c>
      <c r="I179" s="234" t="str">
        <f t="shared" si="56"/>
        <v/>
      </c>
      <c r="J179" s="598" t="str">
        <f t="shared" ca="1" si="57"/>
        <v/>
      </c>
      <c r="K179" s="232" t="str">
        <f t="shared" si="58"/>
        <v/>
      </c>
      <c r="L179" s="232" t="str">
        <f t="shared" si="59"/>
        <v/>
      </c>
      <c r="M179" s="207" t="str">
        <f t="shared" si="60"/>
        <v/>
      </c>
      <c r="N179" s="235" t="str">
        <f t="shared" si="61"/>
        <v/>
      </c>
      <c r="O179" s="240"/>
      <c r="P179" s="229">
        <f t="shared" ca="1" si="68"/>
        <v>1.4849716387120206E-2</v>
      </c>
      <c r="Q179" s="229" t="str">
        <f t="shared" si="69"/>
        <v/>
      </c>
      <c r="R179" s="229" t="str">
        <f t="shared" si="62"/>
        <v/>
      </c>
      <c r="S179" s="239"/>
      <c r="T179" s="229" t="str">
        <f t="shared" si="63"/>
        <v/>
      </c>
      <c r="U179" s="229" t="str">
        <f t="shared" si="64"/>
        <v/>
      </c>
      <c r="V179" s="229" t="str">
        <f t="shared" si="65"/>
        <v/>
      </c>
    </row>
    <row r="180" spans="1:22" ht="15" customHeight="1" x14ac:dyDescent="0.25">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598"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5">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598"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598"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76" t="s">
        <v>1187</v>
      </c>
    </row>
    <row r="185" spans="1:22" ht="13.5" thickTop="1" x14ac:dyDescent="0.3">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3" t="str">
        <f t="shared" si="70"/>
        <v/>
      </c>
      <c r="J185" s="237" t="str">
        <f t="shared" ca="1" si="70"/>
        <v/>
      </c>
      <c r="K185" s="237" t="str">
        <f t="shared" si="70"/>
        <v/>
      </c>
      <c r="L185" s="237" t="str">
        <f t="shared" si="70"/>
        <v/>
      </c>
      <c r="M185" s="237" t="str">
        <f t="shared" si="70"/>
        <v/>
      </c>
      <c r="N185" s="237" t="str">
        <f t="shared" si="70"/>
        <v/>
      </c>
    </row>
    <row r="186" spans="1:22" x14ac:dyDescent="0.25">
      <c r="A186" s="205">
        <f>+A139</f>
        <v>2039</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598">
        <f t="shared" si="71"/>
        <v>0</v>
      </c>
      <c r="K186" s="232">
        <f t="shared" si="71"/>
        <v>0</v>
      </c>
      <c r="L186" s="232">
        <f t="shared" si="71"/>
        <v>0</v>
      </c>
      <c r="M186" s="207">
        <f t="shared" si="71"/>
        <v>0</v>
      </c>
      <c r="N186" s="235">
        <f t="shared" si="71"/>
        <v>0</v>
      </c>
    </row>
    <row r="187" spans="1:22" x14ac:dyDescent="0.25">
      <c r="A187" s="205">
        <f t="shared" ref="A187:A229" si="72">+A140</f>
        <v>2040</v>
      </c>
      <c r="B187" s="207">
        <f t="shared" ref="B187:N187" ca="1" si="73">IF($C66="","",IF($C66&lt;0,0,IF(AND($C66=1,start_time&lt;1),-(SUM(B140)*output_kgyear*$E66*percnt_var*start_time+SUM(B140)*output_kgyear*$E66*(1-start_time)),IF($C66&lt;=start_time,-SUM(B140)*output_kgyear*$E66*percnt_var,-SUM(B140)*output_kgyear*$E66))))</f>
        <v>-108333689.40617315</v>
      </c>
      <c r="C187" s="207">
        <f t="shared" ca="1" si="73"/>
        <v>0</v>
      </c>
      <c r="D187" s="207">
        <f t="shared" ca="1" si="73"/>
        <v>0</v>
      </c>
      <c r="E187" s="234">
        <f t="shared" ca="1" si="73"/>
        <v>0</v>
      </c>
      <c r="F187" s="206">
        <f t="shared" ca="1" si="73"/>
        <v>0</v>
      </c>
      <c r="G187" s="207">
        <f t="shared" ca="1" si="73"/>
        <v>0</v>
      </c>
      <c r="H187" s="207">
        <f t="shared" ca="1" si="73"/>
        <v>0</v>
      </c>
      <c r="I187" s="234">
        <f t="shared" ca="1" si="73"/>
        <v>0</v>
      </c>
      <c r="J187" s="598">
        <f t="shared" ca="1" si="73"/>
        <v>0</v>
      </c>
      <c r="K187" s="232">
        <f t="shared" ca="1" si="73"/>
        <v>0</v>
      </c>
      <c r="L187" s="232">
        <f t="shared" ca="1" si="73"/>
        <v>0</v>
      </c>
      <c r="M187" s="207">
        <f t="shared" ca="1" si="73"/>
        <v>0</v>
      </c>
      <c r="N187" s="235">
        <f t="shared" ca="1" si="73"/>
        <v>0</v>
      </c>
    </row>
    <row r="188" spans="1:22" x14ac:dyDescent="0.25">
      <c r="A188" s="205">
        <f t="shared" si="72"/>
        <v>2041</v>
      </c>
      <c r="B188" s="207">
        <f t="shared" ref="B188:N188" ca="1" si="74">IF($C67="","",IF($C67&lt;0,0,IF(AND($C67=1,start_time&lt;1),-(SUM(B141)*output_kgyear*$E67*percnt_var*start_time+SUM(B141)*output_kgyear*$E67*(1-start_time)),IF($C67&lt;=start_time,-SUM(B141)*output_kgyear*$E67*percnt_var,-SUM(B141)*output_kgyear*$E67))))</f>
        <v>-110067374.07750502</v>
      </c>
      <c r="C188" s="207">
        <f t="shared" ca="1" si="74"/>
        <v>0</v>
      </c>
      <c r="D188" s="207">
        <f t="shared" ca="1" si="74"/>
        <v>0</v>
      </c>
      <c r="E188" s="234">
        <f t="shared" ca="1" si="74"/>
        <v>0</v>
      </c>
      <c r="F188" s="206">
        <f t="shared" ca="1" si="74"/>
        <v>0</v>
      </c>
      <c r="G188" s="207">
        <f t="shared" ca="1" si="74"/>
        <v>0</v>
      </c>
      <c r="H188" s="207">
        <f t="shared" ca="1" si="74"/>
        <v>0</v>
      </c>
      <c r="I188" s="234">
        <f t="shared" ca="1" si="74"/>
        <v>0</v>
      </c>
      <c r="J188" s="598">
        <f t="shared" ca="1" si="74"/>
        <v>0</v>
      </c>
      <c r="K188" s="232">
        <f t="shared" ca="1" si="74"/>
        <v>0</v>
      </c>
      <c r="L188" s="232">
        <f t="shared" ca="1" si="74"/>
        <v>0</v>
      </c>
      <c r="M188" s="207">
        <f t="shared" ca="1" si="74"/>
        <v>0</v>
      </c>
      <c r="N188" s="235">
        <f t="shared" ca="1" si="74"/>
        <v>0</v>
      </c>
    </row>
    <row r="189" spans="1:22" x14ac:dyDescent="0.25">
      <c r="A189" s="205">
        <f t="shared" si="72"/>
        <v>2042</v>
      </c>
      <c r="B189" s="207">
        <f t="shared" ref="B189:N189" ca="1" si="75">IF($C68="","",IF($C68&lt;0,0,IF(AND($C68=1,start_time&lt;1),-(SUM(B142)*output_kgyear*$E68*percnt_var*start_time+SUM(B142)*output_kgyear*$E68*(1-start_time)),IF($C68&lt;=start_time,-SUM(B142)*output_kgyear*$E68*percnt_var,-SUM(B142)*output_kgyear*$E68))))</f>
        <v>-112288741.01432258</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598">
        <f t="shared" ca="1" si="75"/>
        <v>0</v>
      </c>
      <c r="K189" s="232">
        <f t="shared" ca="1" si="75"/>
        <v>0</v>
      </c>
      <c r="L189" s="232">
        <f t="shared" ca="1" si="75"/>
        <v>0</v>
      </c>
      <c r="M189" s="207">
        <f t="shared" ca="1" si="75"/>
        <v>0</v>
      </c>
      <c r="N189" s="235">
        <f t="shared" ca="1" si="75"/>
        <v>0</v>
      </c>
    </row>
    <row r="190" spans="1:22" x14ac:dyDescent="0.25">
      <c r="A190" s="205">
        <f t="shared" si="72"/>
        <v>2043</v>
      </c>
      <c r="B190" s="207">
        <f t="shared" ref="B190:N190" ca="1" si="76">IF($C69="","",IF($C69&lt;0,0,IF(AND($C69=1,start_time&lt;1),-(SUM(B143)*output_kgyear*$E69*percnt_var*start_time+SUM(B143)*output_kgyear*$E69*(1-start_time)),IF($C69&lt;=start_time,-SUM(B143)*output_kgyear*$E69*percnt_var,-SUM(B143)*output_kgyear*$E69))))</f>
        <v>-114771418.55772886</v>
      </c>
      <c r="C190" s="207">
        <f t="shared" ca="1" si="76"/>
        <v>0</v>
      </c>
      <c r="D190" s="207">
        <f t="shared" ca="1" si="76"/>
        <v>0</v>
      </c>
      <c r="E190" s="234">
        <f t="shared" ca="1" si="76"/>
        <v>0</v>
      </c>
      <c r="F190" s="206">
        <f t="shared" ca="1" si="76"/>
        <v>0</v>
      </c>
      <c r="G190" s="207">
        <f t="shared" ca="1" si="76"/>
        <v>0</v>
      </c>
      <c r="H190" s="207">
        <f t="shared" ca="1" si="76"/>
        <v>0</v>
      </c>
      <c r="I190" s="234">
        <f t="shared" ca="1" si="76"/>
        <v>0</v>
      </c>
      <c r="J190" s="598">
        <f t="shared" ca="1" si="76"/>
        <v>0</v>
      </c>
      <c r="K190" s="232">
        <f t="shared" ca="1" si="76"/>
        <v>0</v>
      </c>
      <c r="L190" s="232">
        <f t="shared" ca="1" si="76"/>
        <v>0</v>
      </c>
      <c r="M190" s="207">
        <f t="shared" ca="1" si="76"/>
        <v>0</v>
      </c>
      <c r="N190" s="235">
        <f t="shared" ca="1" si="76"/>
        <v>0</v>
      </c>
    </row>
    <row r="191" spans="1:22" x14ac:dyDescent="0.25">
      <c r="A191" s="205">
        <f t="shared" si="72"/>
        <v>2044</v>
      </c>
      <c r="B191" s="207">
        <f t="shared" ref="B191:N191" ca="1" si="77">IF($C70="","",IF($C70&lt;0,0,IF(AND($C70=1,start_time&lt;1),-(SUM(B144)*output_kgyear*$E70*percnt_var*start_time+SUM(B144)*output_kgyear*$E70*(1-start_time)),IF($C70&lt;=start_time,-SUM(B144)*output_kgyear*$E70*percnt_var,-SUM(B144)*output_kgyear*$E70))))</f>
        <v>-117392736.33218883</v>
      </c>
      <c r="C191" s="207">
        <f t="shared" ca="1" si="77"/>
        <v>0</v>
      </c>
      <c r="D191" s="207">
        <f t="shared" ca="1" si="77"/>
        <v>0</v>
      </c>
      <c r="E191" s="234">
        <f t="shared" ca="1" si="77"/>
        <v>0</v>
      </c>
      <c r="F191" s="206">
        <f t="shared" ca="1" si="77"/>
        <v>0</v>
      </c>
      <c r="G191" s="207">
        <f t="shared" ca="1" si="77"/>
        <v>0</v>
      </c>
      <c r="H191" s="207">
        <f t="shared" ca="1" si="77"/>
        <v>0</v>
      </c>
      <c r="I191" s="234">
        <f t="shared" ca="1" si="77"/>
        <v>0</v>
      </c>
      <c r="J191" s="598">
        <f t="shared" ca="1" si="77"/>
        <v>0</v>
      </c>
      <c r="K191" s="232">
        <f t="shared" ca="1" si="77"/>
        <v>0</v>
      </c>
      <c r="L191" s="232">
        <f t="shared" ca="1" si="77"/>
        <v>0</v>
      </c>
      <c r="M191" s="207">
        <f t="shared" ca="1" si="77"/>
        <v>0</v>
      </c>
      <c r="N191" s="235">
        <f t="shared" ca="1" si="77"/>
        <v>0</v>
      </c>
    </row>
    <row r="192" spans="1:22" x14ac:dyDescent="0.25">
      <c r="A192" s="205">
        <f t="shared" si="72"/>
        <v>2045</v>
      </c>
      <c r="B192" s="207">
        <f t="shared" ref="B192:N192" ca="1" si="78">IF($C71="","",IF($C71&lt;0,0,IF(AND($C71=1,start_time&lt;1),-(SUM(B145)*output_kgyear*$E71*percnt_var*start_time+SUM(B145)*output_kgyear*$E71*(1-start_time)),IF($C71&lt;=start_time,-SUM(B145)*output_kgyear*$E71*percnt_var,-SUM(B145)*output_kgyear*$E71))))</f>
        <v>-120060178.27182654</v>
      </c>
      <c r="C192" s="207">
        <f t="shared" ca="1" si="78"/>
        <v>0</v>
      </c>
      <c r="D192" s="207">
        <f t="shared" ca="1" si="78"/>
        <v>0</v>
      </c>
      <c r="E192" s="234">
        <f t="shared" ca="1" si="78"/>
        <v>0</v>
      </c>
      <c r="F192" s="206">
        <f t="shared" ca="1" si="78"/>
        <v>0</v>
      </c>
      <c r="G192" s="207">
        <f t="shared" ca="1" si="78"/>
        <v>0</v>
      </c>
      <c r="H192" s="207">
        <f t="shared" ca="1" si="78"/>
        <v>0</v>
      </c>
      <c r="I192" s="234">
        <f t="shared" ca="1" si="78"/>
        <v>0</v>
      </c>
      <c r="J192" s="598">
        <f t="shared" ca="1" si="78"/>
        <v>0</v>
      </c>
      <c r="K192" s="232">
        <f t="shared" ca="1" si="78"/>
        <v>0</v>
      </c>
      <c r="L192" s="232">
        <f t="shared" ca="1" si="78"/>
        <v>0</v>
      </c>
      <c r="M192" s="207">
        <f t="shared" ca="1" si="78"/>
        <v>0</v>
      </c>
      <c r="N192" s="235">
        <f t="shared" ca="1" si="78"/>
        <v>0</v>
      </c>
    </row>
    <row r="193" spans="1:14" x14ac:dyDescent="0.25">
      <c r="A193" s="205">
        <f t="shared" si="72"/>
        <v>2046</v>
      </c>
      <c r="B193" s="207">
        <f t="shared" ref="B193:N193" ca="1" si="79">IF($C72="","",IF($C72&lt;0,0,IF(AND($C72=1,start_time&lt;1),-(SUM(B146)*output_kgyear*$E72*percnt_var*start_time+SUM(B146)*output_kgyear*$E72*(1-start_time)),IF($C72&lt;=start_time,-SUM(B146)*output_kgyear*$E72*percnt_var,-SUM(B146)*output_kgyear*$E72))))</f>
        <v>-122794044.0920466</v>
      </c>
      <c r="C193" s="207">
        <f t="shared" ca="1" si="79"/>
        <v>0</v>
      </c>
      <c r="D193" s="207">
        <f t="shared" ca="1" si="79"/>
        <v>0</v>
      </c>
      <c r="E193" s="234">
        <f t="shared" ca="1" si="79"/>
        <v>0</v>
      </c>
      <c r="F193" s="206">
        <f t="shared" ca="1" si="79"/>
        <v>0</v>
      </c>
      <c r="G193" s="207">
        <f t="shared" ca="1" si="79"/>
        <v>0</v>
      </c>
      <c r="H193" s="207">
        <f t="shared" ca="1" si="79"/>
        <v>0</v>
      </c>
      <c r="I193" s="234">
        <f t="shared" ca="1" si="79"/>
        <v>0</v>
      </c>
      <c r="J193" s="598">
        <f t="shared" ca="1" si="79"/>
        <v>0</v>
      </c>
      <c r="K193" s="232">
        <f t="shared" ca="1" si="79"/>
        <v>0</v>
      </c>
      <c r="L193" s="232">
        <f t="shared" ca="1" si="79"/>
        <v>0</v>
      </c>
      <c r="M193" s="207">
        <f t="shared" ca="1" si="79"/>
        <v>0</v>
      </c>
      <c r="N193" s="235">
        <f t="shared" ca="1" si="79"/>
        <v>0</v>
      </c>
    </row>
    <row r="194" spans="1:14" x14ac:dyDescent="0.25">
      <c r="A194" s="205">
        <f t="shared" si="72"/>
        <v>2047</v>
      </c>
      <c r="B194" s="207">
        <f t="shared" ref="B194:N194" ca="1" si="80">IF($C73="","",IF($C73&lt;0,0,IF(AND($C73=1,start_time&lt;1),-(SUM(B147)*output_kgyear*$E73*percnt_var*start_time+SUM(B147)*output_kgyear*$E73*(1-start_time)),IF($C73&lt;=start_time,-SUM(B147)*output_kgyear*$E73*percnt_var,-SUM(B147)*output_kgyear*$E73))))</f>
        <v>-125541109.13415441</v>
      </c>
      <c r="C194" s="207">
        <f t="shared" ca="1" si="80"/>
        <v>0</v>
      </c>
      <c r="D194" s="207">
        <f t="shared" ca="1" si="80"/>
        <v>0</v>
      </c>
      <c r="E194" s="234">
        <f t="shared" ca="1" si="80"/>
        <v>0</v>
      </c>
      <c r="F194" s="206">
        <f t="shared" ca="1" si="80"/>
        <v>0</v>
      </c>
      <c r="G194" s="207">
        <f t="shared" ca="1" si="80"/>
        <v>0</v>
      </c>
      <c r="H194" s="207">
        <f t="shared" ca="1" si="80"/>
        <v>0</v>
      </c>
      <c r="I194" s="234">
        <f t="shared" ca="1" si="80"/>
        <v>0</v>
      </c>
      <c r="J194" s="598">
        <f t="shared" ca="1" si="80"/>
        <v>0</v>
      </c>
      <c r="K194" s="232">
        <f t="shared" ca="1" si="80"/>
        <v>0</v>
      </c>
      <c r="L194" s="232">
        <f t="shared" ca="1" si="80"/>
        <v>0</v>
      </c>
      <c r="M194" s="207">
        <f t="shared" ca="1" si="80"/>
        <v>0</v>
      </c>
      <c r="N194" s="235">
        <f t="shared" ca="1" si="80"/>
        <v>0</v>
      </c>
    </row>
    <row r="195" spans="1:14" x14ac:dyDescent="0.25">
      <c r="A195" s="205">
        <f t="shared" si="72"/>
        <v>2048</v>
      </c>
      <c r="B195" s="207">
        <f t="shared" ref="B195:N195" ca="1" si="81">IF($C74="","",IF($C74&lt;0,0,IF(AND($C74=1,start_time&lt;1),-(SUM(B148)*output_kgyear*$E74*percnt_var*start_time+SUM(B148)*output_kgyear*$E74*(1-start_time)),IF($C74&lt;=start_time,-SUM(B148)*output_kgyear*$E74*percnt_var,-SUM(B148)*output_kgyear*$E74))))</f>
        <v>-128400904.24788256</v>
      </c>
      <c r="C195" s="207">
        <f t="shared" ca="1" si="81"/>
        <v>0</v>
      </c>
      <c r="D195" s="207">
        <f t="shared" ca="1" si="81"/>
        <v>0</v>
      </c>
      <c r="E195" s="234">
        <f t="shared" ca="1" si="81"/>
        <v>0</v>
      </c>
      <c r="F195" s="206">
        <f t="shared" ca="1" si="81"/>
        <v>0</v>
      </c>
      <c r="G195" s="207">
        <f t="shared" ca="1" si="81"/>
        <v>0</v>
      </c>
      <c r="H195" s="207">
        <f t="shared" ca="1" si="81"/>
        <v>0</v>
      </c>
      <c r="I195" s="234">
        <f t="shared" ca="1" si="81"/>
        <v>0</v>
      </c>
      <c r="J195" s="598">
        <f t="shared" ca="1" si="81"/>
        <v>0</v>
      </c>
      <c r="K195" s="232">
        <f t="shared" ca="1" si="81"/>
        <v>0</v>
      </c>
      <c r="L195" s="232">
        <f t="shared" ca="1" si="81"/>
        <v>0</v>
      </c>
      <c r="M195" s="207">
        <f t="shared" ca="1" si="81"/>
        <v>0</v>
      </c>
      <c r="N195" s="235">
        <f t="shared" ca="1" si="81"/>
        <v>0</v>
      </c>
    </row>
    <row r="196" spans="1:14" x14ac:dyDescent="0.25">
      <c r="A196" s="205">
        <f t="shared" si="72"/>
        <v>2049</v>
      </c>
      <c r="B196" s="207">
        <f t="shared" ref="B196:N196" ca="1" si="82">IF($C75="","",IF($C75&lt;0,0,IF(AND($C75=1,start_time&lt;1),-(SUM(B149)*output_kgyear*$E75*percnt_var*start_time+SUM(B149)*output_kgyear*$E75*(1-start_time)),IF($C75&lt;=start_time,-SUM(B149)*output_kgyear*$E75*percnt_var,-SUM(B149)*output_kgyear*$E75))))</f>
        <v>-131259449.67600507</v>
      </c>
      <c r="C196" s="207">
        <f t="shared" ca="1" si="82"/>
        <v>0</v>
      </c>
      <c r="D196" s="207">
        <f t="shared" ca="1" si="82"/>
        <v>0</v>
      </c>
      <c r="E196" s="234">
        <f t="shared" ca="1" si="82"/>
        <v>0</v>
      </c>
      <c r="F196" s="206">
        <f t="shared" ca="1" si="82"/>
        <v>0</v>
      </c>
      <c r="G196" s="207">
        <f t="shared" ca="1" si="82"/>
        <v>0</v>
      </c>
      <c r="H196" s="207">
        <f t="shared" ca="1" si="82"/>
        <v>0</v>
      </c>
      <c r="I196" s="234">
        <f t="shared" ca="1" si="82"/>
        <v>0</v>
      </c>
      <c r="J196" s="598">
        <f t="shared" ca="1" si="82"/>
        <v>0</v>
      </c>
      <c r="K196" s="232">
        <f t="shared" ca="1" si="82"/>
        <v>0</v>
      </c>
      <c r="L196" s="232">
        <f t="shared" ca="1" si="82"/>
        <v>0</v>
      </c>
      <c r="M196" s="207">
        <f t="shared" ca="1" si="82"/>
        <v>0</v>
      </c>
      <c r="N196" s="235">
        <f t="shared" ca="1" si="82"/>
        <v>0</v>
      </c>
    </row>
    <row r="197" spans="1:14" x14ac:dyDescent="0.25">
      <c r="A197" s="205">
        <f t="shared" si="72"/>
        <v>2050</v>
      </c>
      <c r="B197" s="207">
        <f t="shared" ref="B197:N197" ca="1" si="83">IF($C76="","",IF($C76&lt;0,0,IF(AND($C76=1,start_time&lt;1),-(SUM(B150)*output_kgyear*$E76*percnt_var*start_time+SUM(B150)*output_kgyear*$E76*(1-start_time)),IF($C76&lt;=start_time,-SUM(B150)*output_kgyear*$E76*percnt_var,-SUM(B150)*output_kgyear*$E76))))</f>
        <v>-134167237.01229264</v>
      </c>
      <c r="C197" s="207">
        <f t="shared" ca="1" si="83"/>
        <v>0</v>
      </c>
      <c r="D197" s="207">
        <f t="shared" ca="1" si="83"/>
        <v>0</v>
      </c>
      <c r="E197" s="234">
        <f t="shared" ca="1" si="83"/>
        <v>0</v>
      </c>
      <c r="F197" s="206">
        <f t="shared" ca="1" si="83"/>
        <v>0</v>
      </c>
      <c r="G197" s="207">
        <f t="shared" ca="1" si="83"/>
        <v>0</v>
      </c>
      <c r="H197" s="207">
        <f t="shared" ca="1" si="83"/>
        <v>0</v>
      </c>
      <c r="I197" s="234">
        <f t="shared" ca="1" si="83"/>
        <v>0</v>
      </c>
      <c r="J197" s="598">
        <f t="shared" ca="1" si="83"/>
        <v>0</v>
      </c>
      <c r="K197" s="232">
        <f t="shared" ca="1" si="83"/>
        <v>0</v>
      </c>
      <c r="L197" s="232">
        <f t="shared" ca="1" si="83"/>
        <v>0</v>
      </c>
      <c r="M197" s="207">
        <f t="shared" ca="1" si="83"/>
        <v>0</v>
      </c>
      <c r="N197" s="235">
        <f t="shared" ca="1" si="83"/>
        <v>0</v>
      </c>
    </row>
    <row r="198" spans="1:14" x14ac:dyDescent="0.25">
      <c r="A198" s="205">
        <f t="shared" si="72"/>
        <v>2051</v>
      </c>
      <c r="B198" s="207">
        <f t="shared" ref="B198:N198" ca="1" si="84">IF($C77="","",IF($C77&lt;0,0,IF(AND($C77=1,start_time&lt;1),-(SUM(B151)*output_kgyear*$E77*percnt_var*start_time+SUM(B151)*output_kgyear*$E77*(1-start_time)),IF($C77&lt;=start_time,-SUM(B151)*output_kgyear*$E77*percnt_var,-SUM(B151)*output_kgyear*$E77))))</f>
        <v>-136840410.20661679</v>
      </c>
      <c r="C198" s="207">
        <f t="shared" ca="1" si="84"/>
        <v>0</v>
      </c>
      <c r="D198" s="207">
        <f t="shared" ca="1" si="84"/>
        <v>0</v>
      </c>
      <c r="E198" s="234">
        <f t="shared" ca="1" si="84"/>
        <v>0</v>
      </c>
      <c r="F198" s="206">
        <f t="shared" ca="1" si="84"/>
        <v>0</v>
      </c>
      <c r="G198" s="207">
        <f t="shared" ca="1" si="84"/>
        <v>0</v>
      </c>
      <c r="H198" s="207">
        <f t="shared" ca="1" si="84"/>
        <v>0</v>
      </c>
      <c r="I198" s="234">
        <f t="shared" ca="1" si="84"/>
        <v>0</v>
      </c>
      <c r="J198" s="598">
        <f t="shared" ca="1" si="84"/>
        <v>0</v>
      </c>
      <c r="K198" s="232">
        <f t="shared" ca="1" si="84"/>
        <v>0</v>
      </c>
      <c r="L198" s="232">
        <f t="shared" ca="1" si="84"/>
        <v>0</v>
      </c>
      <c r="M198" s="207">
        <f t="shared" ca="1" si="84"/>
        <v>0</v>
      </c>
      <c r="N198" s="235">
        <f t="shared" ca="1" si="84"/>
        <v>0</v>
      </c>
    </row>
    <row r="199" spans="1:14" x14ac:dyDescent="0.25">
      <c r="A199" s="205">
        <f t="shared" si="72"/>
        <v>2052</v>
      </c>
      <c r="B199" s="207">
        <f t="shared" ref="B199:N199" ca="1" si="85">IF($C78="","",IF($C78&lt;0,0,IF(AND($C78=1,start_time&lt;1),-(SUM(B152)*output_kgyear*$E78*percnt_var*start_time+SUM(B152)*output_kgyear*$E78*(1-start_time)),IF($C78&lt;=start_time,-SUM(B152)*output_kgyear*$E78*percnt_var,-SUM(B152)*output_kgyear*$E78))))</f>
        <v>-139566844.20503873</v>
      </c>
      <c r="C199" s="207">
        <f t="shared" ca="1" si="85"/>
        <v>0</v>
      </c>
      <c r="D199" s="207">
        <f t="shared" ca="1" si="85"/>
        <v>0</v>
      </c>
      <c r="E199" s="234">
        <f t="shared" ca="1" si="85"/>
        <v>0</v>
      </c>
      <c r="F199" s="206">
        <f t="shared" ca="1" si="85"/>
        <v>0</v>
      </c>
      <c r="G199" s="207">
        <f t="shared" ca="1" si="85"/>
        <v>0</v>
      </c>
      <c r="H199" s="207">
        <f t="shared" ca="1" si="85"/>
        <v>0</v>
      </c>
      <c r="I199" s="234">
        <f t="shared" ca="1" si="85"/>
        <v>0</v>
      </c>
      <c r="J199" s="598">
        <f t="shared" ca="1" si="85"/>
        <v>0</v>
      </c>
      <c r="K199" s="232">
        <f t="shared" ca="1" si="85"/>
        <v>0</v>
      </c>
      <c r="L199" s="232">
        <f t="shared" ca="1" si="85"/>
        <v>0</v>
      </c>
      <c r="M199" s="207">
        <f t="shared" ca="1" si="85"/>
        <v>0</v>
      </c>
      <c r="N199" s="235">
        <f t="shared" ca="1" si="85"/>
        <v>0</v>
      </c>
    </row>
    <row r="200" spans="1:14" x14ac:dyDescent="0.25">
      <c r="A200" s="205">
        <f t="shared" si="72"/>
        <v>2053</v>
      </c>
      <c r="B200" s="207">
        <f t="shared" ref="B200:N200" ca="1" si="86">IF($C79="","",IF($C79&lt;0,0,IF(AND($C79=1,start_time&lt;1),-(SUM(B153)*output_kgyear*$E79*percnt_var*start_time+SUM(B153)*output_kgyear*$E79*(1-start_time)),IF($C79&lt;=start_time,-SUM(B153)*output_kgyear*$E79*percnt_var,-SUM(B153)*output_kgyear*$E79))))</f>
        <v>-142347600.18580875</v>
      </c>
      <c r="C200" s="207">
        <f t="shared" ca="1" si="86"/>
        <v>0</v>
      </c>
      <c r="D200" s="207">
        <f t="shared" ca="1" si="86"/>
        <v>0</v>
      </c>
      <c r="E200" s="234">
        <f t="shared" ca="1" si="86"/>
        <v>0</v>
      </c>
      <c r="F200" s="206">
        <f t="shared" ca="1" si="86"/>
        <v>0</v>
      </c>
      <c r="G200" s="207">
        <f t="shared" ca="1" si="86"/>
        <v>0</v>
      </c>
      <c r="H200" s="207">
        <f t="shared" ca="1" si="86"/>
        <v>0</v>
      </c>
      <c r="I200" s="234">
        <f t="shared" ca="1" si="86"/>
        <v>0</v>
      </c>
      <c r="J200" s="598">
        <f t="shared" ca="1" si="86"/>
        <v>0</v>
      </c>
      <c r="K200" s="232">
        <f t="shared" ca="1" si="86"/>
        <v>0</v>
      </c>
      <c r="L200" s="232">
        <f t="shared" ca="1" si="86"/>
        <v>0</v>
      </c>
      <c r="M200" s="207">
        <f t="shared" ca="1" si="86"/>
        <v>0</v>
      </c>
      <c r="N200" s="235">
        <f t="shared" ca="1" si="86"/>
        <v>0</v>
      </c>
    </row>
    <row r="201" spans="1:14" x14ac:dyDescent="0.25">
      <c r="A201" s="205">
        <f t="shared" si="72"/>
        <v>2054</v>
      </c>
      <c r="B201" s="207">
        <f t="shared" ref="B201:N201" ca="1" si="87">IF($C80="","",IF($C80&lt;0,0,IF(AND($C80=1,start_time&lt;1),-(SUM(B154)*output_kgyear*$E80*percnt_var*start_time+SUM(B154)*output_kgyear*$E80*(1-start_time)),IF($C80&lt;=start_time,-SUM(B154)*output_kgyear*$E80*percnt_var,-SUM(B154)*output_kgyear*$E80))))</f>
        <v>-145183760.47029173</v>
      </c>
      <c r="C201" s="207">
        <f t="shared" ca="1" si="87"/>
        <v>0</v>
      </c>
      <c r="D201" s="207">
        <f t="shared" ca="1" si="87"/>
        <v>0</v>
      </c>
      <c r="E201" s="234">
        <f t="shared" ca="1" si="87"/>
        <v>0</v>
      </c>
      <c r="F201" s="206">
        <f t="shared" ca="1" si="87"/>
        <v>0</v>
      </c>
      <c r="G201" s="207">
        <f t="shared" ca="1" si="87"/>
        <v>0</v>
      </c>
      <c r="H201" s="207">
        <f t="shared" ca="1" si="87"/>
        <v>0</v>
      </c>
      <c r="I201" s="234">
        <f t="shared" ca="1" si="87"/>
        <v>0</v>
      </c>
      <c r="J201" s="598">
        <f t="shared" ca="1" si="87"/>
        <v>0</v>
      </c>
      <c r="K201" s="232">
        <f t="shared" ca="1" si="87"/>
        <v>0</v>
      </c>
      <c r="L201" s="232">
        <f t="shared" ca="1" si="87"/>
        <v>0</v>
      </c>
      <c r="M201" s="207">
        <f t="shared" ca="1" si="87"/>
        <v>0</v>
      </c>
      <c r="N201" s="235">
        <f t="shared" ca="1" si="87"/>
        <v>0</v>
      </c>
    </row>
    <row r="202" spans="1:14" x14ac:dyDescent="0.25">
      <c r="A202" s="205">
        <f t="shared" si="72"/>
        <v>2055</v>
      </c>
      <c r="B202" s="207">
        <f t="shared" ref="B202:N202" ca="1" si="88">IF($C81="","",IF($C81&lt;0,0,IF(AND($C81=1,start_time&lt;1),-(SUM(B155)*output_kgyear*$E81*percnt_var*start_time+SUM(B155)*output_kgyear*$E81*(1-start_time)),IF($C81&lt;=start_time,-SUM(B155)*output_kgyear*$E81*percnt_var,-SUM(B155)*output_kgyear*$E81))))</f>
        <v>-148076428.94422629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598">
        <f t="shared" ca="1" si="88"/>
        <v>0</v>
      </c>
      <c r="K202" s="232">
        <f t="shared" ca="1" si="88"/>
        <v>0</v>
      </c>
      <c r="L202" s="232">
        <f t="shared" ca="1" si="88"/>
        <v>0</v>
      </c>
      <c r="M202" s="207">
        <f t="shared" ca="1" si="88"/>
        <v>0</v>
      </c>
      <c r="N202" s="235">
        <f t="shared" ca="1" si="88"/>
        <v>0</v>
      </c>
    </row>
    <row r="203" spans="1:14" x14ac:dyDescent="0.25">
      <c r="A203" s="205">
        <f t="shared" si="72"/>
        <v>2056</v>
      </c>
      <c r="B203" s="207">
        <f t="shared" ref="B203:N203" ca="1" si="89">IF($C82="","",IF($C82&lt;0,0,IF(AND($C82=1,start_time&lt;1),-(SUM(B156)*output_kgyear*$E82*percnt_var*start_time+SUM(B156)*output_kgyear*$E82*(1-start_time)),IF($C82&lt;=start_time,-SUM(B156)*output_kgyear*$E82*percnt_var,-SUM(B156)*output_kgyear*$E82))))</f>
        <v>-151040123.33964658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598">
        <f t="shared" ca="1" si="89"/>
        <v>0</v>
      </c>
      <c r="K203" s="232">
        <f t="shared" ca="1" si="89"/>
        <v>0</v>
      </c>
      <c r="L203" s="232">
        <f t="shared" ca="1" si="89"/>
        <v>0</v>
      </c>
      <c r="M203" s="207">
        <f t="shared" ca="1" si="89"/>
        <v>0</v>
      </c>
      <c r="N203" s="235">
        <f t="shared" ca="1" si="89"/>
        <v>0</v>
      </c>
    </row>
    <row r="204" spans="1:14" x14ac:dyDescent="0.25">
      <c r="A204" s="205">
        <f t="shared" si="72"/>
        <v>2057</v>
      </c>
      <c r="B204" s="207">
        <f t="shared" ref="B204:N204" ca="1" si="90">IF($C83="","",IF($C83&lt;0,0,IF(AND($C83=1,start_time&lt;1),-(SUM(B157)*output_kgyear*$E83*percnt_var*start_time+SUM(B157)*output_kgyear*$E83*(1-start_time)),IF($C83&lt;=start_time,-SUM(B157)*output_kgyear*$E83*percnt_var,-SUM(B157)*output_kgyear*$E83))))</f>
        <v>-154063134.97098404</v>
      </c>
      <c r="C204" s="207">
        <f t="shared" ca="1" si="90"/>
        <v>0</v>
      </c>
      <c r="D204" s="207">
        <f t="shared" ca="1" si="90"/>
        <v>0</v>
      </c>
      <c r="E204" s="234">
        <f t="shared" ca="1" si="90"/>
        <v>0</v>
      </c>
      <c r="F204" s="206">
        <f t="shared" ca="1" si="90"/>
        <v>0</v>
      </c>
      <c r="G204" s="207">
        <f t="shared" ca="1" si="90"/>
        <v>0</v>
      </c>
      <c r="H204" s="207">
        <f t="shared" ca="1" si="90"/>
        <v>0</v>
      </c>
      <c r="I204" s="234">
        <f t="shared" ca="1" si="90"/>
        <v>0</v>
      </c>
      <c r="J204" s="598">
        <f t="shared" ca="1" si="90"/>
        <v>0</v>
      </c>
      <c r="K204" s="232">
        <f t="shared" ca="1" si="90"/>
        <v>0</v>
      </c>
      <c r="L204" s="232">
        <f t="shared" ca="1" si="90"/>
        <v>0</v>
      </c>
      <c r="M204" s="207">
        <f t="shared" ca="1" si="90"/>
        <v>0</v>
      </c>
      <c r="N204" s="235">
        <f t="shared" ca="1" si="90"/>
        <v>0</v>
      </c>
    </row>
    <row r="205" spans="1:14" x14ac:dyDescent="0.25">
      <c r="A205" s="205">
        <f t="shared" si="72"/>
        <v>2058</v>
      </c>
      <c r="B205" s="207">
        <f t="shared" ref="B205:N205" ca="1" si="91">IF($C84="","",IF($C84&lt;0,0,IF(AND($C84=1,start_time&lt;1),-(SUM(B158)*output_kgyear*$E84*percnt_var*start_time+SUM(B158)*output_kgyear*$E84*(1-start_time)),IF($C84&lt;=start_time,-SUM(B158)*output_kgyear*$E84*percnt_var,-SUM(B158)*output_kgyear*$E84))))</f>
        <v>-157146651.05055106</v>
      </c>
      <c r="C205" s="207">
        <f t="shared" ca="1" si="91"/>
        <v>0</v>
      </c>
      <c r="D205" s="207">
        <f t="shared" ca="1" si="91"/>
        <v>0</v>
      </c>
      <c r="E205" s="234">
        <f t="shared" ca="1" si="91"/>
        <v>0</v>
      </c>
      <c r="F205" s="206">
        <f t="shared" ca="1" si="91"/>
        <v>0</v>
      </c>
      <c r="G205" s="207">
        <f t="shared" ca="1" si="91"/>
        <v>0</v>
      </c>
      <c r="H205" s="207">
        <f t="shared" ca="1" si="91"/>
        <v>0</v>
      </c>
      <c r="I205" s="234">
        <f t="shared" ca="1" si="91"/>
        <v>0</v>
      </c>
      <c r="J205" s="598">
        <f t="shared" ca="1" si="91"/>
        <v>0</v>
      </c>
      <c r="K205" s="232">
        <f t="shared" ca="1" si="91"/>
        <v>0</v>
      </c>
      <c r="L205" s="232">
        <f t="shared" ca="1" si="91"/>
        <v>0</v>
      </c>
      <c r="M205" s="207">
        <f t="shared" ca="1" si="91"/>
        <v>0</v>
      </c>
      <c r="N205" s="235">
        <f t="shared" ca="1" si="91"/>
        <v>0</v>
      </c>
    </row>
    <row r="206" spans="1:14" x14ac:dyDescent="0.25">
      <c r="A206" s="205">
        <f t="shared" si="72"/>
        <v>2059</v>
      </c>
      <c r="B206" s="207">
        <f t="shared" ref="B206:N206" ca="1" si="92">IF($C85="","",IF($C85&lt;0,0,IF(AND($C85=1,start_time&lt;1),-(SUM(B159)*output_kgyear*$E85*percnt_var*start_time+SUM(B159)*output_kgyear*$E85*(1-start_time)),IF($C85&lt;=start_time,-SUM(B159)*output_kgyear*$E85*percnt_var,-SUM(B159)*output_kgyear*$E85))))</f>
        <v>-160291882.55227113</v>
      </c>
      <c r="C206" s="207">
        <f t="shared" ca="1" si="92"/>
        <v>0</v>
      </c>
      <c r="D206" s="207">
        <f t="shared" ca="1" si="92"/>
        <v>0</v>
      </c>
      <c r="E206" s="234">
        <f t="shared" ca="1" si="92"/>
        <v>0</v>
      </c>
      <c r="F206" s="206">
        <f t="shared" ca="1" si="92"/>
        <v>0</v>
      </c>
      <c r="G206" s="207">
        <f t="shared" ca="1" si="92"/>
        <v>0</v>
      </c>
      <c r="H206" s="207">
        <f t="shared" ca="1" si="92"/>
        <v>0</v>
      </c>
      <c r="I206" s="234">
        <f t="shared" ca="1" si="92"/>
        <v>0</v>
      </c>
      <c r="J206" s="598">
        <f t="shared" ca="1" si="92"/>
        <v>0</v>
      </c>
      <c r="K206" s="232">
        <f t="shared" ca="1" si="92"/>
        <v>0</v>
      </c>
      <c r="L206" s="232">
        <f t="shared" ca="1" si="92"/>
        <v>0</v>
      </c>
      <c r="M206" s="207">
        <f t="shared" ca="1" si="92"/>
        <v>0</v>
      </c>
      <c r="N206" s="235">
        <f t="shared" ca="1" si="92"/>
        <v>0</v>
      </c>
    </row>
    <row r="207" spans="1:14" x14ac:dyDescent="0.25">
      <c r="A207" s="205">
        <f t="shared" si="72"/>
        <v>2060</v>
      </c>
      <c r="B207" s="207">
        <f t="shared" ref="B207:N207" ca="1" si="93">IF($C86="","",IF($C86&lt;0,0,IF(AND($C86=1,start_time&lt;1),-(SUM(B160)*output_kgyear*$E86*percnt_var*start_time+SUM(B160)*output_kgyear*$E86*(1-start_time)),IF($C86&lt;=start_time,-SUM(B160)*output_kgyear*$E86*percnt_var,-SUM(B160)*output_kgyear*$E86))))</f>
        <v>-163500064.68725812</v>
      </c>
      <c r="C207" s="207">
        <f t="shared" ca="1" si="93"/>
        <v>0</v>
      </c>
      <c r="D207" s="207">
        <f t="shared" ca="1" si="93"/>
        <v>0</v>
      </c>
      <c r="E207" s="234">
        <f t="shared" ca="1" si="93"/>
        <v>0</v>
      </c>
      <c r="F207" s="206">
        <f t="shared" ca="1" si="93"/>
        <v>0</v>
      </c>
      <c r="G207" s="207">
        <f t="shared" ca="1" si="93"/>
        <v>0</v>
      </c>
      <c r="H207" s="207">
        <f t="shared" ca="1" si="93"/>
        <v>0</v>
      </c>
      <c r="I207" s="234">
        <f t="shared" ca="1" si="93"/>
        <v>0</v>
      </c>
      <c r="J207" s="598">
        <f t="shared" ca="1" si="93"/>
        <v>0</v>
      </c>
      <c r="K207" s="232">
        <f t="shared" ca="1" si="93"/>
        <v>0</v>
      </c>
      <c r="L207" s="232">
        <f t="shared" ca="1" si="93"/>
        <v>0</v>
      </c>
      <c r="M207" s="207">
        <f t="shared" ca="1" si="93"/>
        <v>0</v>
      </c>
      <c r="N207" s="235">
        <f t="shared" ca="1" si="93"/>
        <v>0</v>
      </c>
    </row>
    <row r="208" spans="1:14" x14ac:dyDescent="0.25">
      <c r="A208" s="205">
        <f t="shared" si="72"/>
        <v>2061</v>
      </c>
      <c r="B208" s="207">
        <f t="shared" ref="B208:N208" ca="1" si="94">IF($C87="","",IF($C87&lt;0,0,IF(AND($C87=1,start_time&lt;1),-(SUM(B161)*output_kgyear*$E87*percnt_var*start_time+SUM(B161)*output_kgyear*$E87*(1-start_time)),IF($C87&lt;=start_time,-SUM(B161)*output_kgyear*$E87*percnt_var,-SUM(B161)*output_kgyear*$E87))))</f>
        <v>-166686530.90637586</v>
      </c>
      <c r="C208" s="207">
        <f t="shared" ca="1" si="94"/>
        <v>0</v>
      </c>
      <c r="D208" s="207">
        <f t="shared" ca="1" si="94"/>
        <v>0</v>
      </c>
      <c r="E208" s="234">
        <f t="shared" ca="1" si="94"/>
        <v>0</v>
      </c>
      <c r="F208" s="206">
        <f t="shared" ca="1" si="94"/>
        <v>0</v>
      </c>
      <c r="G208" s="207">
        <f t="shared" ca="1" si="94"/>
        <v>0</v>
      </c>
      <c r="H208" s="207">
        <f t="shared" ca="1" si="94"/>
        <v>0</v>
      </c>
      <c r="I208" s="234">
        <f t="shared" ca="1" si="94"/>
        <v>0</v>
      </c>
      <c r="J208" s="598">
        <f t="shared" ca="1" si="94"/>
        <v>0</v>
      </c>
      <c r="K208" s="232">
        <f t="shared" ca="1" si="94"/>
        <v>0</v>
      </c>
      <c r="L208" s="232">
        <f t="shared" ca="1" si="94"/>
        <v>0</v>
      </c>
      <c r="M208" s="207">
        <f t="shared" ca="1" si="94"/>
        <v>0</v>
      </c>
      <c r="N208" s="235">
        <f t="shared" ca="1" si="94"/>
        <v>0</v>
      </c>
    </row>
    <row r="209" spans="1:14" x14ac:dyDescent="0.25">
      <c r="A209" s="205">
        <f t="shared" si="72"/>
        <v>2062</v>
      </c>
      <c r="B209" s="207">
        <f t="shared" ref="B209:N209" ca="1" si="95">IF($C88="","",IF($C88&lt;0,0,IF(AND($C88=1,start_time&lt;1),-(SUM(B162)*output_kgyear*$E88*percnt_var*start_time+SUM(B162)*output_kgyear*$E88*(1-start_time)),IF($C88&lt;=start_time,-SUM(B162)*output_kgyear*$E88*percnt_var,-SUM(B162)*output_kgyear*$E88))))</f>
        <v>-169935098.42793044</v>
      </c>
      <c r="C209" s="207">
        <f t="shared" ca="1" si="95"/>
        <v>0</v>
      </c>
      <c r="D209" s="207">
        <f t="shared" ca="1" si="95"/>
        <v>0</v>
      </c>
      <c r="E209" s="234">
        <f t="shared" ca="1" si="95"/>
        <v>0</v>
      </c>
      <c r="F209" s="206">
        <f t="shared" ca="1" si="95"/>
        <v>0</v>
      </c>
      <c r="G209" s="207">
        <f t="shared" ca="1" si="95"/>
        <v>0</v>
      </c>
      <c r="H209" s="207">
        <f t="shared" ca="1" si="95"/>
        <v>0</v>
      </c>
      <c r="I209" s="234">
        <f t="shared" ca="1" si="95"/>
        <v>0</v>
      </c>
      <c r="J209" s="598">
        <f t="shared" ca="1" si="95"/>
        <v>0</v>
      </c>
      <c r="K209" s="232">
        <f t="shared" ca="1" si="95"/>
        <v>0</v>
      </c>
      <c r="L209" s="232">
        <f t="shared" ca="1" si="95"/>
        <v>0</v>
      </c>
      <c r="M209" s="207">
        <f t="shared" ca="1" si="95"/>
        <v>0</v>
      </c>
      <c r="N209" s="235">
        <f t="shared" ca="1" si="95"/>
        <v>0</v>
      </c>
    </row>
    <row r="210" spans="1:14" x14ac:dyDescent="0.25">
      <c r="A210" s="205">
        <f t="shared" si="72"/>
        <v>2063</v>
      </c>
      <c r="B210" s="207">
        <f t="shared" ref="B210:N210" ca="1" si="96">IF($C89="","",IF($C89&lt;0,0,IF(AND($C89=1,start_time&lt;1),-(SUM(B163)*output_kgyear*$E89*percnt_var*start_time+SUM(B163)*output_kgyear*$E89*(1-start_time)),IF($C89&lt;=start_time,-SUM(B163)*output_kgyear*$E89*percnt_var,-SUM(B163)*output_kgyear*$E89))))</f>
        <v>-173246977.54931676</v>
      </c>
      <c r="C210" s="207">
        <f t="shared" ca="1" si="96"/>
        <v>0</v>
      </c>
      <c r="D210" s="207">
        <f t="shared" ca="1" si="96"/>
        <v>0</v>
      </c>
      <c r="E210" s="234">
        <f t="shared" ca="1" si="96"/>
        <v>0</v>
      </c>
      <c r="F210" s="206">
        <f t="shared" ca="1" si="96"/>
        <v>0</v>
      </c>
      <c r="G210" s="207">
        <f t="shared" ca="1" si="96"/>
        <v>0</v>
      </c>
      <c r="H210" s="207">
        <f t="shared" ca="1" si="96"/>
        <v>0</v>
      </c>
      <c r="I210" s="234">
        <f t="shared" ca="1" si="96"/>
        <v>0</v>
      </c>
      <c r="J210" s="598">
        <f t="shared" ca="1" si="96"/>
        <v>0</v>
      </c>
      <c r="K210" s="232">
        <f t="shared" ca="1" si="96"/>
        <v>0</v>
      </c>
      <c r="L210" s="232">
        <f t="shared" ca="1" si="96"/>
        <v>0</v>
      </c>
      <c r="M210" s="207">
        <f t="shared" ca="1" si="96"/>
        <v>0</v>
      </c>
      <c r="N210" s="235">
        <f t="shared" ca="1" si="96"/>
        <v>0</v>
      </c>
    </row>
    <row r="211" spans="1:14" x14ac:dyDescent="0.25">
      <c r="A211" s="205">
        <f t="shared" si="72"/>
        <v>2064</v>
      </c>
      <c r="B211" s="207">
        <f t="shared" ref="B211:N211" ca="1" si="97">IF($C90="","",IF($C90&lt;0,0,IF(AND($C90=1,start_time&lt;1),-(SUM(B164)*output_kgyear*$E90*percnt_var*start_time+SUM(B164)*output_kgyear*$E90*(1-start_time)),IF($C90&lt;=start_time,-SUM(B164)*output_kgyear*$E90*percnt_var,-SUM(B164)*output_kgyear*$E90))))</f>
        <v>-176623402.15551555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598">
        <f t="shared" ca="1" si="97"/>
        <v>0</v>
      </c>
      <c r="K211" s="232">
        <f t="shared" ca="1" si="97"/>
        <v>0</v>
      </c>
      <c r="L211" s="232">
        <f t="shared" ca="1" si="97"/>
        <v>0</v>
      </c>
      <c r="M211" s="207">
        <f t="shared" ca="1" si="97"/>
        <v>0</v>
      </c>
      <c r="N211" s="235">
        <f t="shared" ca="1" si="97"/>
        <v>0</v>
      </c>
    </row>
    <row r="212" spans="1:14" x14ac:dyDescent="0.25">
      <c r="A212" s="205">
        <f t="shared" si="72"/>
        <v>2065</v>
      </c>
      <c r="B212" s="207">
        <f t="shared" ref="B212:N212" ca="1" si="98">IF($C91="","",IF($C91&lt;0,0,IF(AND($C91=1,start_time&lt;1),-(SUM(B165)*output_kgyear*$E91*percnt_var*start_time+SUM(B165)*output_kgyear*$E91*(1-start_time)),IF($C91&lt;=start_time,-SUM(B165)*output_kgyear*$E91*percnt_var,-SUM(B165)*output_kgyear*$E91))))</f>
        <v>-180065630.17879322</v>
      </c>
      <c r="C212" s="207">
        <f t="shared" ca="1" si="98"/>
        <v>0</v>
      </c>
      <c r="D212" s="207">
        <f t="shared" ca="1" si="98"/>
        <v>0</v>
      </c>
      <c r="E212" s="234">
        <f t="shared" ca="1" si="98"/>
        <v>0</v>
      </c>
      <c r="F212" s="206">
        <f t="shared" ca="1" si="98"/>
        <v>0</v>
      </c>
      <c r="G212" s="207">
        <f t="shared" ca="1" si="98"/>
        <v>0</v>
      </c>
      <c r="H212" s="207">
        <f t="shared" ca="1" si="98"/>
        <v>0</v>
      </c>
      <c r="I212" s="234">
        <f t="shared" ca="1" si="98"/>
        <v>0</v>
      </c>
      <c r="J212" s="598">
        <f t="shared" ca="1" si="98"/>
        <v>0</v>
      </c>
      <c r="K212" s="232">
        <f t="shared" ca="1" si="98"/>
        <v>0</v>
      </c>
      <c r="L212" s="232">
        <f t="shared" ca="1" si="98"/>
        <v>0</v>
      </c>
      <c r="M212" s="207">
        <f t="shared" ca="1" si="98"/>
        <v>0</v>
      </c>
      <c r="N212" s="235">
        <f t="shared" ca="1" si="98"/>
        <v>0</v>
      </c>
    </row>
    <row r="213" spans="1:14" x14ac:dyDescent="0.25">
      <c r="A213" s="205">
        <f t="shared" si="72"/>
        <v>2066</v>
      </c>
      <c r="B213" s="207">
        <f t="shared" ref="B213:N213" ca="1" si="99">IF($C92="","",IF($C92&lt;0,0,IF(AND($C92=1,start_time&lt;1),-(SUM(B166)*output_kgyear*$E92*percnt_var*start_time+SUM(B166)*output_kgyear*$E92*(1-start_time)),IF($C92&lt;=start_time,-SUM(B166)*output_kgyear*$E92*percnt_var,-SUM(B166)*output_kgyear*$E92))))</f>
        <v>-183571840.46277571</v>
      </c>
      <c r="C213" s="207">
        <f t="shared" ca="1" si="99"/>
        <v>0</v>
      </c>
      <c r="D213" s="207">
        <f t="shared" ca="1" si="99"/>
        <v>0</v>
      </c>
      <c r="E213" s="234">
        <f t="shared" ca="1" si="99"/>
        <v>0</v>
      </c>
      <c r="F213" s="206">
        <f t="shared" ca="1" si="99"/>
        <v>0</v>
      </c>
      <c r="G213" s="207">
        <f t="shared" ca="1" si="99"/>
        <v>0</v>
      </c>
      <c r="H213" s="207">
        <f t="shared" ca="1" si="99"/>
        <v>0</v>
      </c>
      <c r="I213" s="234">
        <f t="shared" ca="1" si="99"/>
        <v>0</v>
      </c>
      <c r="J213" s="598">
        <f t="shared" ca="1" si="99"/>
        <v>0</v>
      </c>
      <c r="K213" s="232">
        <f t="shared" ca="1" si="99"/>
        <v>0</v>
      </c>
      <c r="L213" s="232">
        <f t="shared" ca="1" si="99"/>
        <v>0</v>
      </c>
      <c r="M213" s="207">
        <f t="shared" ca="1" si="99"/>
        <v>0</v>
      </c>
      <c r="N213" s="235">
        <f t="shared" ca="1" si="99"/>
        <v>0</v>
      </c>
    </row>
    <row r="214" spans="1:14" x14ac:dyDescent="0.25">
      <c r="A214" s="205">
        <f t="shared" si="72"/>
        <v>2067</v>
      </c>
      <c r="B214" s="207">
        <f t="shared" ref="B214:N214" ca="1" si="100">IF($C93="","",IF($C93&lt;0,0,IF(AND($C93=1,start_time&lt;1),-(SUM(B167)*output_kgyear*$E93*percnt_var*start_time+SUM(B167)*output_kgyear*$E93*(1-start_time)),IF($C93&lt;=start_time,-SUM(B167)*output_kgyear*$E93*percnt_var,-SUM(B167)*output_kgyear*$E93))))</f>
        <v>-187146323.13468301</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598">
        <f t="shared" ca="1" si="100"/>
        <v>0</v>
      </c>
      <c r="K214" s="232">
        <f t="shared" ca="1" si="100"/>
        <v>0</v>
      </c>
      <c r="L214" s="232">
        <f t="shared" ca="1" si="100"/>
        <v>0</v>
      </c>
      <c r="M214" s="207">
        <f t="shared" ca="1" si="100"/>
        <v>0</v>
      </c>
      <c r="N214" s="235">
        <f t="shared" ca="1" si="100"/>
        <v>0</v>
      </c>
    </row>
    <row r="215" spans="1:14" x14ac:dyDescent="0.25">
      <c r="A215" s="205">
        <f t="shared" si="72"/>
        <v>2068</v>
      </c>
      <c r="B215" s="207">
        <f t="shared" ref="B215:N215" ca="1" si="101">IF($C94="","",IF($C94&lt;0,0,IF(AND($C94=1,start_time&lt;1),-(SUM(B168)*output_kgyear*$E94*percnt_var*start_time+SUM(B168)*output_kgyear*$E94*(1-start_time)),IF($C94&lt;=start_time,-SUM(B168)*output_kgyear*$E94*percnt_var,-SUM(B168)*output_kgyear*$E94))))</f>
        <v>-190790407.58396289</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598">
        <f t="shared" ca="1" si="101"/>
        <v>0</v>
      </c>
      <c r="K215" s="232">
        <f t="shared" ca="1" si="101"/>
        <v>0</v>
      </c>
      <c r="L215" s="232">
        <f t="shared" ca="1" si="101"/>
        <v>0</v>
      </c>
      <c r="M215" s="207">
        <f t="shared" ca="1" si="101"/>
        <v>0</v>
      </c>
      <c r="N215" s="235">
        <f t="shared" ca="1" si="101"/>
        <v>0</v>
      </c>
    </row>
    <row r="216" spans="1:14" x14ac:dyDescent="0.25">
      <c r="A216" s="205">
        <f t="shared" si="72"/>
        <v>2069</v>
      </c>
      <c r="B216" s="207">
        <f t="shared" ref="B216:N216" ca="1" si="102">IF($C95="","",IF($C95&lt;0,0,IF(AND($C95=1,start_time&lt;1),-(SUM(B169)*output_kgyear*$E95*percnt_var*start_time+SUM(B169)*output_kgyear*$E95*(1-start_time)),IF($C95&lt;=start_time,-SUM(B169)*output_kgyear*$E95*percnt_var,-SUM(B169)*output_kgyear*$E95))))</f>
        <v>-194505449.08573008</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598">
        <f t="shared" ca="1" si="102"/>
        <v>0</v>
      </c>
      <c r="K216" s="232">
        <f t="shared" ca="1" si="102"/>
        <v>0</v>
      </c>
      <c r="L216" s="232">
        <f t="shared" ca="1" si="102"/>
        <v>0</v>
      </c>
      <c r="M216" s="207">
        <f t="shared" ca="1" si="102"/>
        <v>0</v>
      </c>
      <c r="N216" s="235">
        <f t="shared" ca="1" si="102"/>
        <v>0</v>
      </c>
    </row>
    <row r="217" spans="1:14" x14ac:dyDescent="0.25">
      <c r="A217" s="205">
        <f t="shared" si="72"/>
        <v>2070</v>
      </c>
      <c r="B217" s="207">
        <f t="shared" ref="B217:N217" ca="1" si="103">IF($C96="","",IF($C96&lt;0,0,IF(AND($C96=1,start_time&lt;1),-(SUM(B170)*output_kgyear*$E96*percnt_var*start_time+SUM(B170)*output_kgyear*$E96*(1-start_time)),IF($C96&lt;=start_time,-SUM(B170)*output_kgyear*$E96*percnt_var,-SUM(B170)*output_kgyear*$E96))))</f>
        <v>-198292829.30480835</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598">
        <f t="shared" ca="1" si="103"/>
        <v>0</v>
      </c>
      <c r="K217" s="232">
        <f t="shared" ca="1" si="103"/>
        <v>0</v>
      </c>
      <c r="L217" s="232">
        <f t="shared" ca="1" si="103"/>
        <v>0</v>
      </c>
      <c r="M217" s="207">
        <f t="shared" ca="1" si="103"/>
        <v>0</v>
      </c>
      <c r="N217" s="235">
        <f t="shared" ca="1" si="103"/>
        <v>0</v>
      </c>
    </row>
    <row r="218" spans="1:14" x14ac:dyDescent="0.25">
      <c r="A218" s="205">
        <f t="shared" si="72"/>
        <v>2071</v>
      </c>
      <c r="B218" s="207">
        <f t="shared" ref="B218:N218" ca="1" si="104">IF($C97="","",IF($C97&lt;0,0,IF(AND($C97=1,start_time&lt;1),-(SUM(B171)*output_kgyear*$E97*percnt_var*start_time+SUM(B171)*output_kgyear*$E97*(1-start_time)),IF($C97&lt;=start_time,-SUM(B171)*output_kgyear*$E97*percnt_var,-SUM(B171)*output_kgyear*$E97))))</f>
        <v>-202121447.55976751</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598">
        <f t="shared" ca="1" si="104"/>
        <v>0</v>
      </c>
      <c r="K218" s="232">
        <f t="shared" ca="1" si="104"/>
        <v>0</v>
      </c>
      <c r="L218" s="232">
        <f t="shared" ca="1" si="104"/>
        <v>0</v>
      </c>
      <c r="M218" s="207">
        <f t="shared" ca="1" si="104"/>
        <v>0</v>
      </c>
      <c r="N218" s="235">
        <f t="shared" ca="1" si="104"/>
        <v>0</v>
      </c>
    </row>
    <row r="219" spans="1:14" x14ac:dyDescent="0.25">
      <c r="A219" s="205">
        <f t="shared" si="72"/>
        <v>2072</v>
      </c>
      <c r="B219" s="207">
        <f t="shared" ref="B219:N219" ca="1" si="105">IF($C98="","",IF($C98&lt;0,0,IF(AND($C98=1,start_time&lt;1),-(SUM(B172)*output_kgyear*$E98*percnt_var*start_time+SUM(B172)*output_kgyear*$E98*(1-start_time)),IF($C98&lt;=start_time,-SUM(B172)*output_kgyear*$E98*percnt_var,-SUM(B172)*output_kgyear*$E98))))</f>
        <v>-206023988.39575797</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598">
        <f t="shared" ca="1" si="105"/>
        <v>0</v>
      </c>
      <c r="K219" s="232">
        <f t="shared" ca="1" si="105"/>
        <v>0</v>
      </c>
      <c r="L219" s="232">
        <f t="shared" ca="1" si="105"/>
        <v>0</v>
      </c>
      <c r="M219" s="207">
        <f t="shared" ca="1" si="105"/>
        <v>0</v>
      </c>
      <c r="N219" s="235">
        <f t="shared" ca="1" si="105"/>
        <v>0</v>
      </c>
    </row>
    <row r="220" spans="1:14" x14ac:dyDescent="0.25">
      <c r="A220" s="205">
        <f t="shared" si="72"/>
        <v>2073</v>
      </c>
      <c r="B220" s="207">
        <f t="shared" ref="B220:N220" ca="1" si="106">IF($C99="","",IF($C99&lt;0,0,IF(AND($C99=1,start_time&lt;1),-(SUM(B173)*output_kgyear*$E99*percnt_var*start_time+SUM(B173)*output_kgyear*$E99*(1-start_time)),IF($C99&lt;=start_time,-SUM(B173)*output_kgyear*$E99*percnt_var,-SUM(B173)*output_kgyear*$E99))))</f>
        <v>-210001879.1026327</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598">
        <f t="shared" ca="1" si="106"/>
        <v>0</v>
      </c>
      <c r="K220" s="232">
        <f t="shared" ca="1" si="106"/>
        <v>0</v>
      </c>
      <c r="L220" s="232">
        <f t="shared" ca="1" si="106"/>
        <v>0</v>
      </c>
      <c r="M220" s="207">
        <f t="shared" ca="1" si="106"/>
        <v>0</v>
      </c>
      <c r="N220" s="235">
        <f t="shared" ca="1" si="106"/>
        <v>0</v>
      </c>
    </row>
    <row r="221" spans="1:14" x14ac:dyDescent="0.25">
      <c r="A221" s="205">
        <f t="shared" si="72"/>
        <v>2074</v>
      </c>
      <c r="B221" s="207">
        <f t="shared" ref="B221:N221" ca="1" si="107">IF($C100="","",IF($C100&lt;0,0,IF(AND($C100=1,start_time&lt;1),-(SUM(B174)*output_kgyear*$E100*percnt_var*start_time+SUM(B174)*output_kgyear*$E100*(1-start_time)),IF($C100&lt;=start_time,-SUM(B174)*output_kgyear*$E100*percnt_var,-SUM(B174)*output_kgyear*$E100))))</f>
        <v>-214056574.52821547</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598">
        <f t="shared" ca="1" si="107"/>
        <v>0</v>
      </c>
      <c r="K221" s="232">
        <f t="shared" ca="1" si="107"/>
        <v>0</v>
      </c>
      <c r="L221" s="232">
        <f t="shared" ca="1" si="107"/>
        <v>0</v>
      </c>
      <c r="M221" s="207">
        <f t="shared" ca="1" si="107"/>
        <v>0</v>
      </c>
      <c r="N221" s="235">
        <f t="shared" ca="1" si="107"/>
        <v>0</v>
      </c>
    </row>
    <row r="222" spans="1:14" x14ac:dyDescent="0.25">
      <c r="A222" s="205">
        <f t="shared" si="72"/>
        <v>2075</v>
      </c>
      <c r="B222" s="207">
        <f t="shared" ref="B222:N222" ca="1" si="108">IF($C101="","",IF($C101&lt;0,0,IF(AND($C101=1,start_time&lt;1),-(SUM(B175)*output_kgyear*$E101*percnt_var*start_time+SUM(B175)*output_kgyear*$E101*(1-start_time)),IF($C101&lt;=start_time,-SUM(B175)*output_kgyear*$E101*percnt_var,-SUM(B175)*output_kgyear*$E101))))</f>
        <v>-218189557.61038727</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598">
        <f t="shared" ca="1" si="108"/>
        <v>0</v>
      </c>
      <c r="K222" s="232">
        <f t="shared" ca="1" si="108"/>
        <v>0</v>
      </c>
      <c r="L222" s="232">
        <f t="shared" ca="1" si="108"/>
        <v>0</v>
      </c>
      <c r="M222" s="207">
        <f t="shared" ca="1" si="108"/>
        <v>0</v>
      </c>
      <c r="N222" s="235">
        <f t="shared" ca="1" si="108"/>
        <v>0</v>
      </c>
    </row>
    <row r="223" spans="1:14" x14ac:dyDescent="0.25">
      <c r="A223" s="205">
        <f t="shared" si="72"/>
        <v>2076</v>
      </c>
      <c r="B223" s="207">
        <f t="shared" ref="B223:N223" ca="1" si="109">IF($C102="","",IF($C102&lt;0,0,IF(AND($C102=1,start_time&lt;1),-(SUM(B176)*output_kgyear*$E102*percnt_var*start_time+SUM(B176)*output_kgyear*$E102*(1-start_time)),IF($C102&lt;=start_time,-SUM(B176)*output_kgyear*$E102*percnt_var,-SUM(B176)*output_kgyear*$E102))))</f>
        <v>-222310014.80702448</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598">
        <f t="shared" ca="1" si="109"/>
        <v>0</v>
      </c>
      <c r="K223" s="232">
        <f t="shared" ca="1" si="109"/>
        <v>0</v>
      </c>
      <c r="L223" s="232">
        <f t="shared" ca="1" si="109"/>
        <v>0</v>
      </c>
      <c r="M223" s="207">
        <f t="shared" ca="1" si="109"/>
        <v>0</v>
      </c>
      <c r="N223" s="235">
        <f t="shared" ca="1" si="109"/>
        <v>0</v>
      </c>
    </row>
    <row r="224" spans="1:14" x14ac:dyDescent="0.25">
      <c r="A224" s="205">
        <f t="shared" si="72"/>
        <v>2077</v>
      </c>
      <c r="B224" s="207">
        <f t="shared" ref="B224:N224" ca="1" si="110">IF($C103="","",IF($C103&lt;0,0,IF(AND($C103=1,start_time&lt;1),-(SUM(B177)*output_kgyear*$E103*percnt_var*start_time+SUM(B177)*output_kgyear*$E103*(1-start_time)),IF($C103&lt;=start_time,-SUM(B177)*output_kgyear*$E103*percnt_var,-SUM(B177)*output_kgyear*$E103))))</f>
        <v>-226508285.84450379</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598">
        <f t="shared" ca="1" si="110"/>
        <v>0</v>
      </c>
      <c r="K224" s="232">
        <f t="shared" ca="1" si="110"/>
        <v>0</v>
      </c>
      <c r="L224" s="232">
        <f t="shared" ca="1" si="110"/>
        <v>0</v>
      </c>
      <c r="M224" s="207">
        <f t="shared" ca="1" si="110"/>
        <v>0</v>
      </c>
      <c r="N224" s="235">
        <f t="shared" ca="1" si="110"/>
        <v>0</v>
      </c>
    </row>
    <row r="225" spans="1:14" x14ac:dyDescent="0.25">
      <c r="A225" s="205">
        <f t="shared" si="72"/>
        <v>2078</v>
      </c>
      <c r="B225" s="207">
        <f t="shared" ref="B225:N225" ca="1" si="111">IF($C104="","",IF($C104&lt;0,0,IF(AND($C104=1,start_time&lt;1),-(SUM(B178)*output_kgyear*$E104*percnt_var*start_time+SUM(B178)*output_kgyear*$E104*(1-start_time)),IF($C104&lt;=start_time,-SUM(B178)*output_kgyear*$E104*percnt_var,-SUM(B178)*output_kgyear*$E104))))</f>
        <v>-230785840.21845117</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598">
        <f t="shared" ca="1" si="111"/>
        <v>0</v>
      </c>
      <c r="K225" s="232">
        <f t="shared" ca="1" si="111"/>
        <v>0</v>
      </c>
      <c r="L225" s="232">
        <f t="shared" ca="1" si="111"/>
        <v>0</v>
      </c>
      <c r="M225" s="207">
        <f t="shared" ca="1" si="111"/>
        <v>0</v>
      </c>
      <c r="N225" s="235">
        <f t="shared" ca="1" si="111"/>
        <v>0</v>
      </c>
    </row>
    <row r="226" spans="1:14" x14ac:dyDescent="0.25">
      <c r="A226" s="205">
        <f t="shared" si="72"/>
        <v>2079</v>
      </c>
      <c r="B226" s="207">
        <f t="shared" ref="B226:N226" ca="1" si="112">IF($C105="","",IF($C105&lt;0,0,IF(AND($C105=1,start_time&lt;1),-(SUM(B179)*output_kgyear*$E105*percnt_var*start_time+SUM(B179)*output_kgyear*$E105*(1-start_time)),IF($C105&lt;=start_time,-SUM(B179)*output_kgyear*$E105*percnt_var,-SUM(B179)*output_kgyear*$E105))))</f>
        <v>-235144175.17556289</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598">
        <f t="shared" ca="1" si="112"/>
        <v>0</v>
      </c>
      <c r="K226" s="232">
        <f t="shared" ca="1" si="112"/>
        <v>0</v>
      </c>
      <c r="L226" s="232">
        <f t="shared" ca="1" si="112"/>
        <v>0</v>
      </c>
      <c r="M226" s="207">
        <f t="shared" ca="1" si="112"/>
        <v>0</v>
      </c>
      <c r="N226" s="235">
        <f t="shared" ca="1" si="112"/>
        <v>0</v>
      </c>
    </row>
    <row r="227" spans="1:14" x14ac:dyDescent="0.25">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598" t="str">
        <f t="shared" si="113"/>
        <v/>
      </c>
      <c r="K227" s="232" t="str">
        <f t="shared" si="113"/>
        <v/>
      </c>
      <c r="L227" s="232" t="str">
        <f t="shared" si="113"/>
        <v/>
      </c>
      <c r="M227" s="207" t="str">
        <f t="shared" si="113"/>
        <v/>
      </c>
      <c r="N227" s="235" t="str">
        <f t="shared" si="113"/>
        <v/>
      </c>
    </row>
    <row r="228" spans="1:14" x14ac:dyDescent="0.25">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598" t="str">
        <f t="shared" si="114"/>
        <v/>
      </c>
      <c r="K228" s="232" t="str">
        <f t="shared" si="114"/>
        <v/>
      </c>
      <c r="L228" s="232" t="str">
        <f t="shared" si="114"/>
        <v/>
      </c>
      <c r="M228" s="207" t="str">
        <f t="shared" si="114"/>
        <v/>
      </c>
      <c r="N228" s="235" t="str">
        <f t="shared" si="114"/>
        <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598" t="str">
        <f t="shared" si="115"/>
        <v/>
      </c>
      <c r="K229" s="232" t="str">
        <f t="shared" si="115"/>
        <v/>
      </c>
      <c r="L229" s="232" t="str">
        <f t="shared" si="115"/>
        <v/>
      </c>
      <c r="M229" s="207" t="str">
        <f t="shared" si="115"/>
        <v/>
      </c>
      <c r="N229" s="235" t="str">
        <f t="shared" si="115"/>
        <v/>
      </c>
    </row>
    <row r="231" spans="1:14" x14ac:dyDescent="0.25">
      <c r="A231" s="207" t="s">
        <v>1189</v>
      </c>
      <c r="B231" s="207">
        <f ca="1">+B186+NPV($X$59,B187:B228)</f>
        <v>-1290739549.2531285</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1188</v>
      </c>
      <c r="B232" s="207">
        <f ca="1">-B231/$AE$116*(1+inflation_rate)^construct/INFLATION_FACTOR</f>
        <v>3.9660070019776885</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1190</v>
      </c>
      <c r="B233" s="207">
        <f ca="1">IF(B132&gt;0,B232/B133*(1+inflation_rate)^construct,"")</f>
        <v>8.0505201892734343E-2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1051</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5">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Normal="100" workbookViewId="0">
      <pane xSplit="1" ySplit="6" topLeftCell="B91" activePane="bottomRight" state="frozen"/>
      <selection pane="topRight" activeCell="B1" sqref="B1"/>
      <selection pane="bottomLeft" activeCell="A7" sqref="A7"/>
      <selection pane="bottomRight" activeCell="A142" sqref="A142:AF161"/>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2" t="s">
        <v>1292</v>
      </c>
      <c r="BX3" s="1392"/>
      <c r="BY3" s="1392"/>
      <c r="BZ3" s="1392"/>
      <c r="CA3" s="1392"/>
      <c r="CB3" s="1392"/>
      <c r="CC3" s="1392"/>
      <c r="CD3" s="1392"/>
    </row>
    <row r="4" spans="1:104" ht="13.5" thickTop="1" x14ac:dyDescent="0.3">
      <c r="A4" s="864" t="s">
        <v>1116</v>
      </c>
      <c r="B4" s="865" t="str">
        <f>"Prices are in $(" &amp; ref_year&amp;")/GJ LHV"</f>
        <v>Prices are in $(2016)/GJ LHV</v>
      </c>
      <c r="C4" s="866"/>
      <c r="D4" s="866"/>
      <c r="E4" s="866"/>
      <c r="F4" s="866"/>
      <c r="G4" s="866"/>
      <c r="H4" s="866"/>
      <c r="I4" s="866"/>
      <c r="J4" s="866"/>
      <c r="K4" s="866"/>
      <c r="L4" s="866"/>
      <c r="M4" s="866"/>
      <c r="N4" s="866"/>
      <c r="O4" s="866"/>
      <c r="P4" s="866"/>
      <c r="Q4" s="866"/>
      <c r="R4" s="866"/>
      <c r="S4" s="866"/>
      <c r="T4" s="866"/>
      <c r="U4" s="866"/>
      <c r="V4" s="866"/>
      <c r="W4" s="866"/>
      <c r="X4" s="866"/>
      <c r="Y4" s="866"/>
      <c r="Z4" s="866"/>
      <c r="AA4" s="866"/>
      <c r="AB4" s="866"/>
      <c r="AC4" s="866"/>
      <c r="AD4" s="866"/>
      <c r="AE4" s="866"/>
      <c r="AF4" s="866"/>
      <c r="AG4" s="866"/>
      <c r="AH4" s="879" t="s">
        <v>772</v>
      </c>
      <c r="AI4" s="880"/>
      <c r="AJ4" s="880"/>
      <c r="AK4" s="880"/>
      <c r="AL4" s="880"/>
      <c r="AM4" s="880"/>
      <c r="AN4" s="880"/>
      <c r="AO4" s="880"/>
      <c r="AP4" s="880"/>
      <c r="AQ4" s="880"/>
      <c r="AR4" s="880"/>
      <c r="AS4" s="880"/>
      <c r="AT4" s="880"/>
      <c r="AU4" s="880"/>
      <c r="AV4" s="880"/>
      <c r="AW4" s="880"/>
      <c r="AX4" s="880"/>
      <c r="AY4" s="880"/>
      <c r="AZ4" s="880"/>
      <c r="BA4" s="880"/>
      <c r="BB4" s="880"/>
      <c r="BC4" s="880"/>
      <c r="BD4" s="880"/>
      <c r="BE4" s="880"/>
      <c r="BF4" s="880"/>
      <c r="BG4" s="880"/>
      <c r="BH4" s="880"/>
      <c r="BI4" s="880"/>
      <c r="BJ4" s="880"/>
      <c r="BK4" s="880"/>
      <c r="BL4" s="880"/>
      <c r="BM4" s="880"/>
      <c r="BN4" s="880"/>
      <c r="BO4" s="880"/>
      <c r="BP4" s="880"/>
      <c r="BQ4" s="880"/>
      <c r="BR4" s="880"/>
      <c r="BS4" s="880"/>
      <c r="BT4" s="880"/>
      <c r="BU4" s="880"/>
      <c r="BV4" s="881"/>
    </row>
    <row r="5" spans="1:104" ht="39.5" thickBot="1" x14ac:dyDescent="0.35">
      <c r="A5" s="884" t="s">
        <v>1083</v>
      </c>
      <c r="B5" s="885" t="s">
        <v>678</v>
      </c>
      <c r="C5" s="885" t="s">
        <v>679</v>
      </c>
      <c r="D5" s="885" t="s">
        <v>690</v>
      </c>
      <c r="E5" s="885" t="s">
        <v>691</v>
      </c>
      <c r="F5" s="886" t="s">
        <v>680</v>
      </c>
      <c r="G5" s="886" t="s">
        <v>692</v>
      </c>
      <c r="H5" s="886">
        <v>2004</v>
      </c>
      <c r="I5" s="886">
        <v>2005</v>
      </c>
      <c r="J5" s="886">
        <v>2006</v>
      </c>
      <c r="K5" s="886">
        <v>2007</v>
      </c>
      <c r="L5" s="886">
        <v>2008</v>
      </c>
      <c r="M5" s="886">
        <v>2009</v>
      </c>
      <c r="N5" s="886">
        <v>2010</v>
      </c>
      <c r="O5" s="886">
        <v>2011</v>
      </c>
      <c r="P5" s="886">
        <v>2012</v>
      </c>
      <c r="Q5" s="886">
        <v>2013</v>
      </c>
      <c r="R5" s="886">
        <v>2014</v>
      </c>
      <c r="S5" s="886">
        <v>2015</v>
      </c>
      <c r="T5" s="886">
        <v>2016</v>
      </c>
      <c r="U5" s="886">
        <v>2017</v>
      </c>
      <c r="V5" s="886">
        <v>2018</v>
      </c>
      <c r="W5" s="886">
        <v>2019</v>
      </c>
      <c r="X5" s="886">
        <v>2020</v>
      </c>
      <c r="Y5" s="886">
        <v>2021</v>
      </c>
      <c r="Z5" s="886">
        <v>2022</v>
      </c>
      <c r="AA5" s="886">
        <v>2023</v>
      </c>
      <c r="AB5" s="886">
        <v>2024</v>
      </c>
      <c r="AC5" s="886">
        <v>2025</v>
      </c>
      <c r="AD5" s="886">
        <v>2026</v>
      </c>
      <c r="AE5" s="886">
        <v>2027</v>
      </c>
      <c r="AF5" s="886">
        <v>2028</v>
      </c>
      <c r="AG5" s="886">
        <v>2029</v>
      </c>
      <c r="AH5" s="886">
        <v>2030</v>
      </c>
      <c r="AI5" s="886">
        <v>2031</v>
      </c>
      <c r="AJ5" s="886">
        <v>2032</v>
      </c>
      <c r="AK5" s="886">
        <v>2033</v>
      </c>
      <c r="AL5" s="886">
        <v>2034</v>
      </c>
      <c r="AM5" s="886">
        <v>2035</v>
      </c>
      <c r="AN5" s="886">
        <v>2036</v>
      </c>
      <c r="AO5" s="886">
        <v>2037</v>
      </c>
      <c r="AP5" s="886">
        <v>2038</v>
      </c>
      <c r="AQ5" s="886">
        <v>2039</v>
      </c>
      <c r="AR5" s="886">
        <v>2040</v>
      </c>
      <c r="AS5" s="886">
        <v>2041</v>
      </c>
      <c r="AT5" s="886">
        <v>2042</v>
      </c>
      <c r="AU5" s="886">
        <v>2043</v>
      </c>
      <c r="AV5" s="886">
        <v>2044</v>
      </c>
      <c r="AW5" s="886">
        <v>2045</v>
      </c>
      <c r="AX5" s="886">
        <v>2046</v>
      </c>
      <c r="AY5" s="886">
        <v>2047</v>
      </c>
      <c r="AZ5" s="886">
        <v>2048</v>
      </c>
      <c r="BA5" s="886">
        <v>2049</v>
      </c>
      <c r="BB5" s="886">
        <v>2050</v>
      </c>
      <c r="BC5" s="886">
        <v>2051</v>
      </c>
      <c r="BD5" s="886">
        <v>2052</v>
      </c>
      <c r="BE5" s="886">
        <v>2053</v>
      </c>
      <c r="BF5" s="886">
        <v>2054</v>
      </c>
      <c r="BG5" s="886">
        <v>2055</v>
      </c>
      <c r="BH5" s="886">
        <v>2056</v>
      </c>
      <c r="BI5" s="886">
        <v>2057</v>
      </c>
      <c r="BJ5" s="886">
        <v>2058</v>
      </c>
      <c r="BK5" s="886">
        <v>2059</v>
      </c>
      <c r="BL5" s="886">
        <v>2060</v>
      </c>
      <c r="BM5" s="886">
        <v>2061</v>
      </c>
      <c r="BN5" s="886">
        <v>2062</v>
      </c>
      <c r="BO5" s="886">
        <v>2063</v>
      </c>
      <c r="BP5" s="886">
        <v>2064</v>
      </c>
      <c r="BQ5" s="886">
        <v>2065</v>
      </c>
      <c r="BR5" s="886">
        <v>2066</v>
      </c>
      <c r="BS5" s="886">
        <v>2067</v>
      </c>
      <c r="BT5" s="886">
        <v>2068</v>
      </c>
      <c r="BU5" s="886">
        <v>2069</v>
      </c>
      <c r="BV5" s="887">
        <v>2070</v>
      </c>
      <c r="BW5" s="1392">
        <f t="shared" ref="BW5" si="0">+BV5+1</f>
        <v>2071</v>
      </c>
      <c r="BX5" s="1392">
        <f t="shared" ref="BX5" si="1">+BW5+1</f>
        <v>2072</v>
      </c>
      <c r="BY5" s="1392">
        <f t="shared" ref="BY5" si="2">+BX5+1</f>
        <v>2073</v>
      </c>
      <c r="BZ5" s="1392">
        <f t="shared" ref="BZ5" si="3">+BY5+1</f>
        <v>2074</v>
      </c>
      <c r="CA5" s="1392">
        <f t="shared" ref="CA5" si="4">+BZ5+1</f>
        <v>2075</v>
      </c>
      <c r="CB5" s="1392">
        <f t="shared" ref="CB5" si="5">+CA5+1</f>
        <v>2076</v>
      </c>
      <c r="CC5" s="1392">
        <f t="shared" ref="CC5" si="6">+CB5+1</f>
        <v>2077</v>
      </c>
      <c r="CD5" s="1392">
        <f t="shared" ref="CD5" si="7">+CC5+1</f>
        <v>2078</v>
      </c>
      <c r="CE5" s="1392">
        <f t="shared" ref="CE5" si="8">+CD5+1</f>
        <v>2079</v>
      </c>
      <c r="CF5" s="1392">
        <f t="shared" ref="CF5" si="9">+CE5+1</f>
        <v>2080</v>
      </c>
      <c r="CG5" s="1392">
        <f t="shared" ref="CG5" si="10">+CF5+1</f>
        <v>2081</v>
      </c>
      <c r="CH5" s="1392">
        <f t="shared" ref="CH5" si="11">+CG5+1</f>
        <v>2082</v>
      </c>
      <c r="CI5" s="1392">
        <f t="shared" ref="CI5" si="12">+CH5+1</f>
        <v>2083</v>
      </c>
      <c r="CJ5" s="1392">
        <f t="shared" ref="CJ5" si="13">+CI5+1</f>
        <v>2084</v>
      </c>
      <c r="CK5" s="1392">
        <f t="shared" ref="CK5" si="14">+CJ5+1</f>
        <v>2085</v>
      </c>
      <c r="CL5" s="1392">
        <f t="shared" ref="CL5" si="15">+CK5+1</f>
        <v>2086</v>
      </c>
      <c r="CM5" s="1392">
        <f t="shared" ref="CM5" si="16">+CL5+1</f>
        <v>2087</v>
      </c>
      <c r="CN5" s="1392">
        <f t="shared" ref="CN5" si="17">+CM5+1</f>
        <v>2088</v>
      </c>
      <c r="CO5" s="1392">
        <f t="shared" ref="CO5" si="18">+CN5+1</f>
        <v>2089</v>
      </c>
      <c r="CP5" s="1392">
        <f t="shared" ref="CP5" si="19">+CO5+1</f>
        <v>2090</v>
      </c>
      <c r="CQ5" s="1392">
        <f t="shared" ref="CQ5" si="20">+CP5+1</f>
        <v>2091</v>
      </c>
      <c r="CR5" s="1392">
        <f t="shared" ref="CR5" si="21">+CQ5+1</f>
        <v>2092</v>
      </c>
      <c r="CS5" s="1392">
        <f t="shared" ref="CS5" si="22">+CR5+1</f>
        <v>2093</v>
      </c>
      <c r="CT5" s="1392">
        <f t="shared" ref="CT5" si="23">+CS5+1</f>
        <v>2094</v>
      </c>
      <c r="CU5" s="1392">
        <f t="shared" ref="CU5" si="24">+CT5+1</f>
        <v>2095</v>
      </c>
      <c r="CV5" s="1392">
        <f t="shared" ref="CV5" si="25">+CU5+1</f>
        <v>2096</v>
      </c>
      <c r="CW5" s="1392">
        <f t="shared" ref="CW5" si="26">+CV5+1</f>
        <v>2097</v>
      </c>
      <c r="CX5" s="1392">
        <f t="shared" ref="CX5" si="27">+CW5+1</f>
        <v>2098</v>
      </c>
      <c r="CY5" s="1392">
        <f t="shared" ref="CY5" si="28">+CX5+1</f>
        <v>2099</v>
      </c>
      <c r="CZ5" s="1392">
        <f t="shared" ref="CZ5" si="29">+CY5+1</f>
        <v>2100</v>
      </c>
    </row>
    <row r="6" spans="1:104" ht="13" thickBot="1" x14ac:dyDescent="0.3">
      <c r="A6" s="953" t="s">
        <v>1089</v>
      </c>
      <c r="B6" s="954"/>
      <c r="C6" s="954"/>
      <c r="D6" s="954"/>
      <c r="E6" s="954"/>
      <c r="F6" s="868"/>
      <c r="G6" s="954"/>
      <c r="H6" s="954"/>
      <c r="I6" s="954"/>
      <c r="J6" s="954"/>
      <c r="K6" s="954"/>
      <c r="L6" s="954"/>
      <c r="M6" s="954"/>
      <c r="N6" s="954"/>
      <c r="O6" s="954"/>
      <c r="P6" s="954"/>
      <c r="Q6" s="954"/>
      <c r="R6" s="954"/>
      <c r="S6" s="954"/>
      <c r="T6" s="954"/>
      <c r="U6" s="954"/>
      <c r="V6" s="954"/>
      <c r="W6" s="954"/>
      <c r="X6" s="954"/>
      <c r="Y6" s="954"/>
      <c r="Z6" s="954"/>
      <c r="AA6" s="954"/>
      <c r="AB6" s="954"/>
      <c r="AC6" s="954"/>
      <c r="AD6" s="954"/>
      <c r="AE6" s="954"/>
      <c r="AF6" s="954"/>
      <c r="AG6" s="954"/>
      <c r="AH6" s="954"/>
      <c r="AI6" s="954"/>
      <c r="AJ6" s="954"/>
      <c r="AK6" s="954"/>
      <c r="AL6" s="954"/>
      <c r="AM6" s="954"/>
      <c r="AN6" s="954"/>
      <c r="AO6" s="954"/>
      <c r="AP6" s="954"/>
      <c r="AQ6" s="954"/>
      <c r="AR6" s="954"/>
      <c r="AS6" s="954"/>
      <c r="AT6" s="954"/>
      <c r="AU6" s="954"/>
      <c r="AV6" s="954"/>
      <c r="AW6" s="954"/>
      <c r="AX6" s="954"/>
      <c r="AY6" s="954"/>
      <c r="AZ6" s="954"/>
      <c r="BA6" s="954"/>
      <c r="BC6" s="954"/>
      <c r="BD6" s="954"/>
      <c r="BE6" s="954"/>
      <c r="BF6" s="954"/>
      <c r="BG6" s="954"/>
      <c r="BH6" s="954"/>
      <c r="BI6" s="954"/>
      <c r="BJ6" s="954"/>
      <c r="BK6" s="954"/>
      <c r="BL6" s="954"/>
      <c r="BM6" s="954"/>
      <c r="BN6" s="954"/>
      <c r="BO6" s="954"/>
      <c r="BP6" s="954"/>
      <c r="BR6" s="954"/>
      <c r="BS6" s="954"/>
      <c r="BT6" s="954"/>
      <c r="BU6" s="954"/>
    </row>
    <row r="7" spans="1:104" x14ac:dyDescent="0.25">
      <c r="A7" s="973" t="str">
        <f>'HyARC Physical Property Data'!A73</f>
        <v>Residential Natural Gas</v>
      </c>
      <c r="B7" s="954">
        <v>2007</v>
      </c>
      <c r="C7" s="955">
        <f>VLOOKUP(ref_year,DeflatorTable,2,FALSE)/VLOOKUP(B7,DeflatorTable,2,FALSE)</f>
        <v>1.1446359956438654</v>
      </c>
      <c r="D7" s="973" t="str">
        <f>'HyARC Physical Property Data'!H73</f>
        <v>mmBtu</v>
      </c>
      <c r="E7" s="955" t="s">
        <v>1057</v>
      </c>
      <c r="F7" s="954">
        <f>'HyARC Physical Property Data'!$E$6</f>
        <v>47.141269049911173</v>
      </c>
      <c r="G7" s="954">
        <f>'HyARC Physical Property Data'!$I$6</f>
        <v>52.224661236371581</v>
      </c>
      <c r="H7" s="954">
        <f>((13.7000589370728/(mmBTU_to_GJ))*($C$7))*($G$7/$F$7)</f>
        <v>16.46689578317423</v>
      </c>
      <c r="I7" s="954">
        <f>((13.7000589370728/(mmBTU_to_GJ))*($C$7))*($G$7/$F$7)</f>
        <v>16.46689578317423</v>
      </c>
      <c r="J7" s="954">
        <f>((13.7000589370728/(mmBTU_to_GJ))*($C$7))*($G$7/$F$7)</f>
        <v>16.46689578317423</v>
      </c>
      <c r="K7" s="954">
        <f>((12.6911582946777/(mmBTU_to_GJ))*($C$7))*($G$7/$F$7)</f>
        <v>15.254239559561855</v>
      </c>
      <c r="L7" s="954">
        <f>((12.9778490066528/(mmBTU_to_GJ))*($C$7))*($G$7/$F$7)</f>
        <v>15.59882976152975</v>
      </c>
      <c r="M7" s="954">
        <f>((10.7176141738892/(mmBTU_to_GJ))*($C$7))*($G$7/$F$7)</f>
        <v>12.882122365775233</v>
      </c>
      <c r="N7" s="954">
        <f>((11.192774772644/(mmBTU_to_GJ))*($C$7))*($G$7/$F$7)</f>
        <v>13.453245460639653</v>
      </c>
      <c r="O7" s="954">
        <f>((11.4872808456421/(mmBTU_to_GJ))*($C$7))*($G$7/$F$7)</f>
        <v>13.807229398507864</v>
      </c>
      <c r="P7" s="954">
        <f>((11.3991556167603/(mmBTU_to_GJ))*($C$7))*($G$7/$F$7)</f>
        <v>13.701306572443364</v>
      </c>
      <c r="Q7" s="954">
        <f>((11.3077983856201/(mmBTU_to_GJ))*($C$7))*($G$7/$F$7)</f>
        <v>13.591499015327374</v>
      </c>
      <c r="R7" s="954">
        <f>((11.2896461486816/(mmBTU_to_GJ))*($C$7))*($G$7/$F$7)</f>
        <v>13.569680788466401</v>
      </c>
      <c r="S7" s="954">
        <f>((11.3454151153564/(mmBTU_to_GJ))*($C$7))*($G$7/$F$7)</f>
        <v>13.636712745510335</v>
      </c>
      <c r="T7" s="954">
        <f>((11.5382986068726/(mmBTU_to_GJ))*($C$7))*($G$7/$F$7)</f>
        <v>13.868550606039326</v>
      </c>
      <c r="U7" s="954">
        <f>((11.7583208084106/(mmBTU_to_GJ))*($C$7))*($G$7/$F$7)</f>
        <v>14.133008056868725</v>
      </c>
      <c r="V7" s="954">
        <f>((11.9751005172729/(mmBTU_to_GJ))*($C$7))*($G$7/$F$7)</f>
        <v>14.393568167605377</v>
      </c>
      <c r="W7" s="954">
        <f>((12.23952293396/(mmBTU_to_GJ))*($C$7))*($G$7/$F$7)</f>
        <v>14.711392813347514</v>
      </c>
      <c r="X7" s="954">
        <f>((12.557071685791/(mmBTU_to_GJ))*($C$7))*($G$7/$F$7)</f>
        <v>15.093073083957748</v>
      </c>
      <c r="Y7" s="954">
        <f>((12.7957820892334/(mmBTU_to_GJ))*($C$7))*($G$7/$F$7)</f>
        <v>15.379992969040035</v>
      </c>
      <c r="Z7" s="954">
        <f>((12.8716516494751/(mmBTU_to_GJ))*($C$7))*($G$7/$F$7)</f>
        <v>15.471184995830123</v>
      </c>
      <c r="AA7" s="954">
        <f>((12.6602811813354/(mmBTU_to_GJ))*($C$7))*($G$7/$F$7)</f>
        <v>15.217126565389467</v>
      </c>
      <c r="AB7" s="954">
        <f>((12.6240320205688/(mmBTU_to_GJ))*($C$7))*($G$7/$F$7)</f>
        <v>15.173556595704456</v>
      </c>
      <c r="AC7" s="954">
        <f>((12.5992183685303/(mmBTU_to_GJ))*($C$7))*($G$7/$F$7)</f>
        <v>15.143731627505801</v>
      </c>
      <c r="AD7" s="954">
        <f>((12.7868556976318/(mmBTU_to_GJ))*($C$7))*($G$7/$F$7)</f>
        <v>15.369263821019688</v>
      </c>
      <c r="AE7" s="954">
        <f>((13.07555103302/(mmBTU_to_GJ))*($C$7))*($G$7/$F$7)</f>
        <v>15.716263496186178</v>
      </c>
      <c r="AF7" s="954">
        <f>((13.407883644104/(mmBTU_to_GJ))*($C$7))*($G$7/$F$7)</f>
        <v>16.115713345066876</v>
      </c>
      <c r="AG7" s="954">
        <f>((13.6725673675537/(mmBTU_to_GJ))*($C$7))*($G$7/$F$7)</f>
        <v>16.433852070569323</v>
      </c>
      <c r="AH7" s="954">
        <f>((13.9620389938354/(mmBTU_to_GJ))*($C$7))*($G$7/$F$7)</f>
        <v>16.781784814805029</v>
      </c>
      <c r="AI7" s="954">
        <f>($BB7-$AH7)/20+AH7</f>
        <v>16.924252919684925</v>
      </c>
      <c r="AJ7" s="954">
        <f t="shared" ref="AJ7:AY10" si="30">($BB7-$AH7)/20+AI7</f>
        <v>17.066721024564821</v>
      </c>
      <c r="AK7" s="954">
        <f t="shared" si="30"/>
        <v>17.209189129444717</v>
      </c>
      <c r="AL7" s="954">
        <f t="shared" si="30"/>
        <v>17.351657234324612</v>
      </c>
      <c r="AM7" s="954">
        <f t="shared" si="30"/>
        <v>17.494125339204508</v>
      </c>
      <c r="AN7" s="954">
        <f t="shared" si="30"/>
        <v>17.636593444084404</v>
      </c>
      <c r="AO7" s="954">
        <f t="shared" si="30"/>
        <v>17.7790615489643</v>
      </c>
      <c r="AP7" s="954">
        <f t="shared" si="30"/>
        <v>17.921529653844196</v>
      </c>
      <c r="AQ7" s="954">
        <f t="shared" si="30"/>
        <v>18.063997758724092</v>
      </c>
      <c r="AR7" s="954">
        <f t="shared" si="30"/>
        <v>18.206465863603988</v>
      </c>
      <c r="AS7" s="954">
        <f t="shared" si="30"/>
        <v>18.348933968483884</v>
      </c>
      <c r="AT7" s="954">
        <f t="shared" si="30"/>
        <v>18.49140207336378</v>
      </c>
      <c r="AU7" s="954">
        <f t="shared" si="30"/>
        <v>18.633870178243676</v>
      </c>
      <c r="AV7" s="954">
        <f t="shared" si="30"/>
        <v>18.776338283123572</v>
      </c>
      <c r="AW7" s="954">
        <f t="shared" si="30"/>
        <v>18.918806388003468</v>
      </c>
      <c r="AX7" s="954">
        <f t="shared" si="30"/>
        <v>19.061274492883364</v>
      </c>
      <c r="AY7" s="954">
        <f t="shared" si="30"/>
        <v>19.203742597763259</v>
      </c>
      <c r="AZ7" s="954">
        <f t="shared" ref="AY7:BA10" si="31">($BB7-$AH7)/20+AY7</f>
        <v>19.346210702643155</v>
      </c>
      <c r="BA7" s="954">
        <f t="shared" si="31"/>
        <v>19.488678807523051</v>
      </c>
      <c r="BB7" s="1071">
        <f>1.16978897829057*AH7</f>
        <v>19.631146912402976</v>
      </c>
      <c r="BC7" s="954">
        <f>($BQ7-$BB7)/15+BB7</f>
        <v>19.82552968566489</v>
      </c>
      <c r="BD7" s="954">
        <f t="shared" ref="BD7:BP7" si="32">($BQ7-$BB7)/15+BC7</f>
        <v>20.019912458926804</v>
      </c>
      <c r="BE7" s="954">
        <f t="shared" si="32"/>
        <v>20.214295232188718</v>
      </c>
      <c r="BF7" s="954">
        <f t="shared" si="32"/>
        <v>20.408678005450632</v>
      </c>
      <c r="BG7" s="954">
        <f t="shared" si="32"/>
        <v>20.603060778712546</v>
      </c>
      <c r="BH7" s="954">
        <f t="shared" si="32"/>
        <v>20.79744355197446</v>
      </c>
      <c r="BI7" s="954">
        <f t="shared" si="32"/>
        <v>20.991826325236374</v>
      </c>
      <c r="BJ7" s="954">
        <f t="shared" si="32"/>
        <v>21.186209098498288</v>
      </c>
      <c r="BK7" s="954">
        <f t="shared" si="32"/>
        <v>21.380591871760203</v>
      </c>
      <c r="BL7" s="954">
        <f t="shared" si="32"/>
        <v>21.574974645022117</v>
      </c>
      <c r="BM7" s="954">
        <f t="shared" si="32"/>
        <v>21.769357418284031</v>
      </c>
      <c r="BN7" s="954">
        <f t="shared" si="32"/>
        <v>21.963740191545945</v>
      </c>
      <c r="BO7" s="954">
        <f t="shared" si="32"/>
        <v>22.158122964807859</v>
      </c>
      <c r="BP7" s="954">
        <f t="shared" si="32"/>
        <v>22.352505738069773</v>
      </c>
      <c r="BQ7" s="1071">
        <f>1.14852629914794*BB7</f>
        <v>22.546888511331698</v>
      </c>
      <c r="BR7" s="954">
        <f>($BV7-$BQ7)/5+BQ7</f>
        <v>22.770142238524333</v>
      </c>
      <c r="BS7" s="954">
        <f>($BV7-$BQ7)/5+BR7</f>
        <v>22.993395965716967</v>
      </c>
      <c r="BT7" s="954">
        <f>($BV7-$BQ7)/5+BS7</f>
        <v>23.216649692909602</v>
      </c>
      <c r="BU7" s="954">
        <f>($BV7-$BQ7)/5+BT7</f>
        <v>23.439903420102237</v>
      </c>
      <c r="BV7" s="1072">
        <f>1.04950876638265*BQ7</f>
        <v>23.663157147294871</v>
      </c>
      <c r="BW7" s="1391">
        <f>+BV7*BW$133/BV$133</f>
        <v>23.741725786947789</v>
      </c>
      <c r="BX7" s="1391">
        <f t="shared" ref="BX7:CZ7" si="33">+BW7*BX$133/BW$133</f>
        <v>23.820555297586708</v>
      </c>
      <c r="BY7" s="1391">
        <f t="shared" si="33"/>
        <v>23.899646545380008</v>
      </c>
      <c r="BZ7" s="1391">
        <f t="shared" si="33"/>
        <v>23.979000399372005</v>
      </c>
      <c r="CA7" s="1391">
        <f t="shared" si="33"/>
        <v>24.058617731492493</v>
      </c>
      <c r="CB7" s="1391">
        <f t="shared" si="33"/>
        <v>24.109957095304743</v>
      </c>
      <c r="CC7" s="1391">
        <f t="shared" si="33"/>
        <v>24.1614060136353</v>
      </c>
      <c r="CD7" s="1391">
        <f t="shared" si="33"/>
        <v>24.212964720265646</v>
      </c>
      <c r="CE7" s="1391">
        <f t="shared" si="33"/>
        <v>24.264633449476126</v>
      </c>
      <c r="CF7" s="1391">
        <f t="shared" si="33"/>
        <v>24.316412436047038</v>
      </c>
      <c r="CG7" s="1391">
        <f t="shared" si="33"/>
        <v>24.333224744531737</v>
      </c>
      <c r="CH7" s="1391">
        <f t="shared" si="33"/>
        <v>24.350048677005677</v>
      </c>
      <c r="CI7" s="1391">
        <f t="shared" si="33"/>
        <v>24.366884241505659</v>
      </c>
      <c r="CJ7" s="1391">
        <f t="shared" si="33"/>
        <v>24.383731446074034</v>
      </c>
      <c r="CK7" s="1391">
        <f t="shared" si="33"/>
        <v>24.400590298758722</v>
      </c>
      <c r="CL7" s="1391">
        <f t="shared" si="33"/>
        <v>24.406304701449077</v>
      </c>
      <c r="CM7" s="1391">
        <f t="shared" si="33"/>
        <v>24.41202044240206</v>
      </c>
      <c r="CN7" s="1391">
        <f t="shared" si="33"/>
        <v>24.41773752193108</v>
      </c>
      <c r="CO7" s="1391">
        <f t="shared" si="33"/>
        <v>24.423455940349619</v>
      </c>
      <c r="CP7" s="1391">
        <f t="shared" si="33"/>
        <v>24.429175697971235</v>
      </c>
      <c r="CQ7" s="1391">
        <f t="shared" si="33"/>
        <v>24.437844539812179</v>
      </c>
      <c r="CR7" s="1391">
        <f t="shared" si="33"/>
        <v>24.446516457844467</v>
      </c>
      <c r="CS7" s="1391">
        <f t="shared" si="33"/>
        <v>24.455191453159703</v>
      </c>
      <c r="CT7" s="1391">
        <f t="shared" si="33"/>
        <v>24.463869526849884</v>
      </c>
      <c r="CU7" s="1391">
        <f t="shared" si="33"/>
        <v>24.472550680007387</v>
      </c>
      <c r="CV7" s="1391">
        <f t="shared" si="33"/>
        <v>24.485911011470357</v>
      </c>
      <c r="CW7" s="1391">
        <f t="shared" si="33"/>
        <v>24.499278636756479</v>
      </c>
      <c r="CX7" s="1391">
        <f t="shared" si="33"/>
        <v>24.512653559847685</v>
      </c>
      <c r="CY7" s="1391">
        <f t="shared" si="33"/>
        <v>24.526035784728073</v>
      </c>
      <c r="CZ7" s="1391">
        <f t="shared" si="33"/>
        <v>24.539425315383912</v>
      </c>
    </row>
    <row r="8" spans="1:104" x14ac:dyDescent="0.25">
      <c r="A8" s="872" t="str">
        <f>'HyARC Physical Property Data'!A71</f>
        <v>Commercial Natural Gas</v>
      </c>
      <c r="B8" s="260">
        <v>2007</v>
      </c>
      <c r="C8" s="871">
        <f>VLOOKUP(ref_year,DeflatorTable,2,FALSE)/VLOOKUP(B8,DeflatorTable,2,FALSE)</f>
        <v>1.1446359956438654</v>
      </c>
      <c r="D8" s="872" t="str">
        <f>'HyARC Physical Property Data'!H71</f>
        <v>mmBtu</v>
      </c>
      <c r="E8" s="871"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0">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0">
        <f>1.14852629914794*BB8</f>
        <v>20.216294531146865</v>
      </c>
      <c r="BR8" s="260">
        <f t="shared" ref="BR8:BU10" si="35">($BV8-$BQ8)/5+BQ8</f>
        <v>20.416471291759944</v>
      </c>
      <c r="BS8" s="260">
        <f t="shared" si="35"/>
        <v>20.616648052373023</v>
      </c>
      <c r="BT8" s="260">
        <f t="shared" si="35"/>
        <v>20.816824812986102</v>
      </c>
      <c r="BU8" s="260">
        <f t="shared" si="35"/>
        <v>21.017001573599181</v>
      </c>
      <c r="BV8" s="1073">
        <f>1.04950876638265*BQ8</f>
        <v>21.217178334212257</v>
      </c>
      <c r="BW8" s="1391">
        <f>+BV8*BW$134/BV$134</f>
        <v>21.287625604989181</v>
      </c>
      <c r="BX8" s="1391">
        <f t="shared" ref="BX8:CZ8" si="36">+BW8*BX$134/BW$134</f>
        <v>21.358306781419426</v>
      </c>
      <c r="BY8" s="1391">
        <f t="shared" si="36"/>
        <v>21.429222640138541</v>
      </c>
      <c r="BZ8" s="1391">
        <f t="shared" si="36"/>
        <v>21.500373960360729</v>
      </c>
      <c r="CA8" s="1391">
        <f t="shared" si="36"/>
        <v>21.571761523887421</v>
      </c>
      <c r="CB8" s="1391">
        <f t="shared" si="36"/>
        <v>21.617794115007417</v>
      </c>
      <c r="CC8" s="1391">
        <f t="shared" si="36"/>
        <v>21.663924936373601</v>
      </c>
      <c r="CD8" s="1391">
        <f t="shared" si="36"/>
        <v>21.710154197602268</v>
      </c>
      <c r="CE8" s="1391">
        <f t="shared" si="36"/>
        <v>21.756482108757027</v>
      </c>
      <c r="CF8" s="1391">
        <f t="shared" si="36"/>
        <v>21.802908880349733</v>
      </c>
      <c r="CG8" s="1391">
        <f t="shared" si="36"/>
        <v>21.817983358582254</v>
      </c>
      <c r="CH8" s="1391">
        <f t="shared" si="36"/>
        <v>21.833068259272402</v>
      </c>
      <c r="CI8" s="1391">
        <f t="shared" si="36"/>
        <v>21.848163589626239</v>
      </c>
      <c r="CJ8" s="1391">
        <f t="shared" si="36"/>
        <v>21.863269356854815</v>
      </c>
      <c r="CK8" s="1391">
        <f t="shared" si="36"/>
        <v>21.878385568174153</v>
      </c>
      <c r="CL8" s="1391">
        <f t="shared" si="36"/>
        <v>21.883509292798049</v>
      </c>
      <c r="CM8" s="1391">
        <f t="shared" si="36"/>
        <v>21.888634217352987</v>
      </c>
      <c r="CN8" s="1391">
        <f t="shared" si="36"/>
        <v>21.893760342119982</v>
      </c>
      <c r="CO8" s="1391">
        <f t="shared" si="36"/>
        <v>21.898887667380112</v>
      </c>
      <c r="CP8" s="1391">
        <f t="shared" si="36"/>
        <v>21.904016193414524</v>
      </c>
      <c r="CQ8" s="1391">
        <f t="shared" si="36"/>
        <v>21.911788967019731</v>
      </c>
      <c r="CR8" s="1391">
        <f t="shared" si="36"/>
        <v>21.919564498841009</v>
      </c>
      <c r="CS8" s="1391">
        <f t="shared" si="36"/>
        <v>21.927342789857128</v>
      </c>
      <c r="CT8" s="1391">
        <f t="shared" si="36"/>
        <v>21.935123841047208</v>
      </c>
      <c r="CU8" s="1391">
        <f t="shared" si="36"/>
        <v>21.942907653390712</v>
      </c>
      <c r="CV8" s="1391">
        <f t="shared" si="36"/>
        <v>21.954886973541843</v>
      </c>
      <c r="CW8" s="1391">
        <f t="shared" si="36"/>
        <v>21.966872833578826</v>
      </c>
      <c r="CX8" s="1391">
        <f t="shared" si="36"/>
        <v>21.978865237071986</v>
      </c>
      <c r="CY8" s="1391">
        <f t="shared" si="36"/>
        <v>21.990864187593605</v>
      </c>
      <c r="CZ8" s="1391">
        <f t="shared" si="36"/>
        <v>22.002869688717904</v>
      </c>
    </row>
    <row r="9" spans="1:104" x14ac:dyDescent="0.25">
      <c r="A9" s="872" t="str">
        <f>'HyARC Physical Property Data'!A72</f>
        <v>Industrial Natural Gas</v>
      </c>
      <c r="B9" s="260">
        <v>2007</v>
      </c>
      <c r="C9" s="871">
        <f t="shared" ref="C9:C18" si="37">VLOOKUP(ref_year,DeflatorTable,2,FALSE)/VLOOKUP(B9,DeflatorTable,2,FALSE)</f>
        <v>1.1446359956438654</v>
      </c>
      <c r="D9" s="1254" t="str">
        <f>'HyARC Physical Property Data'!H72</f>
        <v>mmBtu</v>
      </c>
      <c r="E9" s="871"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0">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0">
        <f>1.14852629914794*BB9</f>
        <v>14.038959866915382</v>
      </c>
      <c r="BR9" s="260">
        <f t="shared" si="35"/>
        <v>14.177970183776685</v>
      </c>
      <c r="BS9" s="260">
        <f t="shared" si="35"/>
        <v>14.316980500637987</v>
      </c>
      <c r="BT9" s="260">
        <f t="shared" si="35"/>
        <v>14.455990817499289</v>
      </c>
      <c r="BU9" s="260">
        <f t="shared" si="35"/>
        <v>14.595001134360592</v>
      </c>
      <c r="BV9" s="1073">
        <f>1.04950876638265*BQ9</f>
        <v>14.734011451221894</v>
      </c>
      <c r="BW9" s="1391">
        <f>+BV9*BW$135/BV$135</f>
        <v>14.78293270163439</v>
      </c>
      <c r="BX9" s="1391">
        <f t="shared" ref="BX9:CZ9" si="38">+BW9*BX$135/BW$135</f>
        <v>14.832016384983078</v>
      </c>
      <c r="BY9" s="1391">
        <f t="shared" si="38"/>
        <v>14.881263040593069</v>
      </c>
      <c r="BZ9" s="1391">
        <f t="shared" si="38"/>
        <v>14.93067320958019</v>
      </c>
      <c r="CA9" s="1391">
        <f t="shared" si="38"/>
        <v>14.980247434856935</v>
      </c>
      <c r="CB9" s="1391">
        <f t="shared" si="38"/>
        <v>15.012214207912603</v>
      </c>
      <c r="CC9" s="1391">
        <f t="shared" si="38"/>
        <v>15.044249195768062</v>
      </c>
      <c r="CD9" s="1391">
        <f t="shared" si="38"/>
        <v>15.076352543988799</v>
      </c>
      <c r="CE9" s="1391">
        <f t="shared" si="38"/>
        <v>15.10852439845093</v>
      </c>
      <c r="CF9" s="1391">
        <f t="shared" si="38"/>
        <v>15.140764905341857</v>
      </c>
      <c r="CG9" s="1391">
        <f t="shared" si="38"/>
        <v>15.151233193414877</v>
      </c>
      <c r="CH9" s="1391">
        <f t="shared" si="38"/>
        <v>15.16170871923684</v>
      </c>
      <c r="CI9" s="1391">
        <f t="shared" si="38"/>
        <v>15.172191487811906</v>
      </c>
      <c r="CJ9" s="1391">
        <f t="shared" si="38"/>
        <v>15.182681504147698</v>
      </c>
      <c r="CK9" s="1391">
        <f t="shared" si="38"/>
        <v>15.193178773255301</v>
      </c>
      <c r="CL9" s="1391">
        <f t="shared" si="38"/>
        <v>15.196736881505712</v>
      </c>
      <c r="CM9" s="1391">
        <f t="shared" si="38"/>
        <v>15.200295823033644</v>
      </c>
      <c r="CN9" s="1391">
        <f t="shared" si="38"/>
        <v>15.20385559803424</v>
      </c>
      <c r="CO9" s="1391">
        <f t="shared" si="38"/>
        <v>15.207416206702694</v>
      </c>
      <c r="CP9" s="1391">
        <f t="shared" si="38"/>
        <v>15.210977649234243</v>
      </c>
      <c r="CQ9" s="1391">
        <f t="shared" si="38"/>
        <v>15.216375357332034</v>
      </c>
      <c r="CR9" s="1391">
        <f t="shared" si="38"/>
        <v>15.221774980839431</v>
      </c>
      <c r="CS9" s="1391">
        <f t="shared" si="38"/>
        <v>15.22717652043613</v>
      </c>
      <c r="CT9" s="1391">
        <f t="shared" si="38"/>
        <v>15.232579976802066</v>
      </c>
      <c r="CU9" s="1391">
        <f t="shared" si="38"/>
        <v>15.237985350617416</v>
      </c>
      <c r="CV9" s="1391">
        <f t="shared" si="38"/>
        <v>15.246304243804076</v>
      </c>
      <c r="CW9" s="1391">
        <f t="shared" si="38"/>
        <v>15.254627678534927</v>
      </c>
      <c r="CX9" s="1391">
        <f t="shared" si="38"/>
        <v>15.262955657289339</v>
      </c>
      <c r="CY9" s="1391">
        <f t="shared" si="38"/>
        <v>15.271288182548037</v>
      </c>
      <c r="CZ9" s="1391">
        <f t="shared" si="38"/>
        <v>15.279625256793102</v>
      </c>
    </row>
    <row r="10" spans="1:104" x14ac:dyDescent="0.25">
      <c r="A10" s="872" t="str">
        <f>'HyARC Physical Property Data'!A74</f>
        <v>Electric Utility Natural Gas</v>
      </c>
      <c r="B10" s="260">
        <v>2007</v>
      </c>
      <c r="C10" s="871">
        <f t="shared" si="37"/>
        <v>1.1446359956438654</v>
      </c>
      <c r="D10" s="1254" t="str">
        <f>'HyARC Physical Property Data'!H74</f>
        <v>mmBtu</v>
      </c>
      <c r="E10" s="871"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0">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0">
        <f>1.14852629914794*BB10</f>
        <v>13.467243108211756</v>
      </c>
      <c r="BR10" s="260">
        <f t="shared" si="35"/>
        <v>13.600592426784317</v>
      </c>
      <c r="BS10" s="260">
        <f t="shared" si="35"/>
        <v>13.733941745356878</v>
      </c>
      <c r="BT10" s="260">
        <f t="shared" si="35"/>
        <v>13.867291063929439</v>
      </c>
      <c r="BU10" s="260">
        <f t="shared" si="35"/>
        <v>14.000640382502</v>
      </c>
      <c r="BV10" s="1073">
        <f>1.04950876638265*BQ10</f>
        <v>14.133989701074563</v>
      </c>
      <c r="BW10" s="1391">
        <f>+BV10*BW$136/BV$136</f>
        <v>14.180918702845942</v>
      </c>
      <c r="BX10" s="1391">
        <f t="shared" ref="BX10:CZ10" si="39">+BW10*BX$136/BW$136</f>
        <v>14.22800352270222</v>
      </c>
      <c r="BY10" s="1391">
        <f t="shared" si="39"/>
        <v>14.275244678005262</v>
      </c>
      <c r="BZ10" s="1391">
        <f t="shared" si="39"/>
        <v>14.322642687834716</v>
      </c>
      <c r="CA10" s="1391">
        <f t="shared" si="39"/>
        <v>14.370198072993734</v>
      </c>
      <c r="CB10" s="1391">
        <f t="shared" si="39"/>
        <v>14.400863044487831</v>
      </c>
      <c r="CC10" s="1391">
        <f t="shared" si="39"/>
        <v>14.431593452830604</v>
      </c>
      <c r="CD10" s="1391">
        <f t="shared" si="39"/>
        <v>14.46238943765959</v>
      </c>
      <c r="CE10" s="1391">
        <f t="shared" si="39"/>
        <v>14.493251138910308</v>
      </c>
      <c r="CF10" s="1391">
        <f t="shared" si="39"/>
        <v>14.524178696816882</v>
      </c>
      <c r="CG10" s="1391">
        <f t="shared" si="39"/>
        <v>14.534220678683244</v>
      </c>
      <c r="CH10" s="1391">
        <f t="shared" si="39"/>
        <v>14.54426960355147</v>
      </c>
      <c r="CI10" s="1391">
        <f t="shared" si="39"/>
        <v>14.554325476221939</v>
      </c>
      <c r="CJ10" s="1391">
        <f t="shared" si="39"/>
        <v>14.564388301498344</v>
      </c>
      <c r="CK10" s="1391">
        <f t="shared" si="39"/>
        <v>14.574458084187699</v>
      </c>
      <c r="CL10" s="1391">
        <f t="shared" si="39"/>
        <v>14.577871293518578</v>
      </c>
      <c r="CM10" s="1391">
        <f t="shared" si="39"/>
        <v>14.581285302192933</v>
      </c>
      <c r="CN10" s="1391">
        <f t="shared" si="39"/>
        <v>14.584700110397959</v>
      </c>
      <c r="CO10" s="1391">
        <f t="shared" si="39"/>
        <v>14.5881157183209</v>
      </c>
      <c r="CP10" s="1391">
        <f t="shared" si="39"/>
        <v>14.591532126149042</v>
      </c>
      <c r="CQ10" s="1391">
        <f t="shared" si="39"/>
        <v>14.596710020228747</v>
      </c>
      <c r="CR10" s="1391">
        <f t="shared" si="39"/>
        <v>14.601889751715715</v>
      </c>
      <c r="CS10" s="1391">
        <f t="shared" si="39"/>
        <v>14.607071321261961</v>
      </c>
      <c r="CT10" s="1391">
        <f t="shared" si="39"/>
        <v>14.61225472951973</v>
      </c>
      <c r="CU10" s="1391">
        <f t="shared" si="39"/>
        <v>14.617439977141501</v>
      </c>
      <c r="CV10" s="1391">
        <f t="shared" si="39"/>
        <v>14.625420095184293</v>
      </c>
      <c r="CW10" s="1391">
        <f t="shared" si="39"/>
        <v>14.633404569823321</v>
      </c>
      <c r="CX10" s="1391">
        <f t="shared" si="39"/>
        <v>14.641393403436986</v>
      </c>
      <c r="CY10" s="1391">
        <f t="shared" si="39"/>
        <v>14.649386598404989</v>
      </c>
      <c r="CZ10" s="1391">
        <f t="shared" si="39"/>
        <v>14.65738415710833</v>
      </c>
    </row>
    <row r="11" spans="1:104" x14ac:dyDescent="0.25">
      <c r="A11" s="872" t="str">
        <f>'HyARC Physical Property Data'!A75</f>
        <v>Bio Methane</v>
      </c>
      <c r="B11" s="260">
        <v>2007</v>
      </c>
      <c r="C11" s="871">
        <f t="shared" si="37"/>
        <v>1.1446359956438654</v>
      </c>
      <c r="D11" s="1254" t="str">
        <f>'HyARC Physical Property Data'!H75</f>
        <v>mmBtu</v>
      </c>
      <c r="E11" s="871"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1">
        <f>+BV11*BW$136/BV$136</f>
        <v>14.271092726019944</v>
      </c>
      <c r="BX11" s="1391">
        <f t="shared" ref="BX11:CZ11" si="42">+BW11*BX$136/BW$136</f>
        <v>14.318476950147966</v>
      </c>
      <c r="BY11" s="1391">
        <f t="shared" si="42"/>
        <v>14.366018503832969</v>
      </c>
      <c r="BZ11" s="1391">
        <f t="shared" si="42"/>
        <v>14.413717909455341</v>
      </c>
      <c r="CA11" s="1391">
        <f t="shared" si="42"/>
        <v>14.461575691129934</v>
      </c>
      <c r="CB11" s="1391">
        <f t="shared" si="42"/>
        <v>14.49243565590395</v>
      </c>
      <c r="CC11" s="1391">
        <f t="shared" si="42"/>
        <v>14.523361473628309</v>
      </c>
      <c r="CD11" s="1391">
        <f t="shared" si="42"/>
        <v>14.554353284828478</v>
      </c>
      <c r="CE11" s="1391">
        <f t="shared" si="42"/>
        <v>14.585411230329802</v>
      </c>
      <c r="CF11" s="1391">
        <f t="shared" si="42"/>
        <v>14.616535451258134</v>
      </c>
      <c r="CG11" s="1391">
        <f t="shared" si="42"/>
        <v>14.626641288360148</v>
      </c>
      <c r="CH11" s="1391">
        <f t="shared" si="42"/>
        <v>14.636754112613382</v>
      </c>
      <c r="CI11" s="1391">
        <f t="shared" si="42"/>
        <v>14.646873928848736</v>
      </c>
      <c r="CJ11" s="1391">
        <f t="shared" si="42"/>
        <v>14.657000741900452</v>
      </c>
      <c r="CK11" s="1391">
        <f t="shared" si="42"/>
        <v>14.667134556606111</v>
      </c>
      <c r="CL11" s="1391">
        <f t="shared" si="42"/>
        <v>14.670569469948116</v>
      </c>
      <c r="CM11" s="1391">
        <f t="shared" si="42"/>
        <v>14.674005187716483</v>
      </c>
      <c r="CN11" s="1391">
        <f t="shared" si="42"/>
        <v>14.6774417100996</v>
      </c>
      <c r="CO11" s="1391">
        <f t="shared" si="42"/>
        <v>14.6808790372859</v>
      </c>
      <c r="CP11" s="1391">
        <f t="shared" si="42"/>
        <v>14.684317169463862</v>
      </c>
      <c r="CQ11" s="1391">
        <f t="shared" si="42"/>
        <v>14.689527988881515</v>
      </c>
      <c r="CR11" s="1391">
        <f t="shared" si="42"/>
        <v>14.69474065739019</v>
      </c>
      <c r="CS11" s="1391">
        <f t="shared" si="42"/>
        <v>14.699955175646044</v>
      </c>
      <c r="CT11" s="1391">
        <f t="shared" si="42"/>
        <v>14.705171544305472</v>
      </c>
      <c r="CU11" s="1391">
        <f t="shared" si="42"/>
        <v>14.710389764025104</v>
      </c>
      <c r="CV11" s="1391">
        <f t="shared" si="42"/>
        <v>14.718420626266095</v>
      </c>
      <c r="CW11" s="1391">
        <f t="shared" si="42"/>
        <v>14.726455872806168</v>
      </c>
      <c r="CX11" s="1391">
        <f t="shared" si="42"/>
        <v>14.734495506038849</v>
      </c>
      <c r="CY11" s="1391">
        <f t="shared" si="42"/>
        <v>14.74253952835897</v>
      </c>
      <c r="CZ11" s="1391">
        <f t="shared" si="42"/>
        <v>14.750587942162673</v>
      </c>
    </row>
    <row r="12" spans="1:104" x14ac:dyDescent="0.25">
      <c r="A12" s="959" t="str">
        <f>'HyARC Physical Property Data'!A85</f>
        <v>Woody Biomass</v>
      </c>
      <c r="B12" s="260">
        <v>2005</v>
      </c>
      <c r="C12" s="871">
        <f>VLOOKUP(ref_year,DeflatorTable,2,FALSE)/VLOOKUP(B12,DeflatorTable,2,FALSE)</f>
        <v>1.2112501494873942</v>
      </c>
      <c r="D12" s="1254" t="str">
        <f>+'HyARC Physical Property Data'!$H$85</f>
        <v>kg</v>
      </c>
      <c r="E12" s="898" t="s">
        <v>1051</v>
      </c>
      <c r="F12" s="260">
        <f>'HyARC Physical Property Data'!$E$45</f>
        <v>19.551069237418005</v>
      </c>
      <c r="G12" s="260">
        <f>'HyARC Physical Property Data'!$I$45</f>
        <v>20.588656379262464</v>
      </c>
      <c r="H12" s="960">
        <f t="shared" ref="H12:O12" si="43">1.27*($C$12)</f>
        <v>1.5382876898489906</v>
      </c>
      <c r="I12" s="960">
        <f t="shared" si="43"/>
        <v>1.5382876898489906</v>
      </c>
      <c r="J12" s="960">
        <f t="shared" si="43"/>
        <v>1.5382876898489906</v>
      </c>
      <c r="K12" s="960">
        <f t="shared" si="43"/>
        <v>1.5382876898489906</v>
      </c>
      <c r="L12" s="960">
        <f t="shared" si="43"/>
        <v>1.5382876898489906</v>
      </c>
      <c r="M12" s="960">
        <f t="shared" si="43"/>
        <v>1.5382876898489906</v>
      </c>
      <c r="N12" s="960">
        <f t="shared" si="43"/>
        <v>1.5382876898489906</v>
      </c>
      <c r="O12" s="960">
        <f t="shared" si="43"/>
        <v>1.5382876898489906</v>
      </c>
      <c r="P12" s="960">
        <f>1.28*($C$12)</f>
        <v>1.5504001913438645</v>
      </c>
      <c r="Q12" s="960">
        <f>1.32*($C$12)</f>
        <v>1.5988501973233604</v>
      </c>
      <c r="R12" s="960">
        <f>1.32*($C$12)</f>
        <v>1.5988501973233604</v>
      </c>
      <c r="S12" s="960">
        <f>1.34*($C$12)</f>
        <v>1.6230752003131084</v>
      </c>
      <c r="T12" s="960">
        <f>1.34*($C$12)</f>
        <v>1.6230752003131084</v>
      </c>
      <c r="U12" s="960">
        <f>1.36*($C$12)</f>
        <v>1.6473002033028561</v>
      </c>
      <c r="V12" s="960">
        <f>1.36*($C$12)</f>
        <v>1.6473002033028561</v>
      </c>
      <c r="W12" s="960">
        <f>1.38*($C$12)</f>
        <v>1.6715252062926038</v>
      </c>
      <c r="X12" s="960">
        <f>1.4*($C$12)</f>
        <v>1.6957502092823518</v>
      </c>
      <c r="Y12" s="960">
        <f>1.46*($C$12)</f>
        <v>1.7684252182515954</v>
      </c>
      <c r="Z12" s="960">
        <f>1.48*($C$12)</f>
        <v>1.7926502212413433</v>
      </c>
      <c r="AA12" s="960">
        <f>1.48*($C$12)</f>
        <v>1.7926502212413433</v>
      </c>
      <c r="AB12" s="960">
        <f>1.51*($C$12)</f>
        <v>1.8289877257259652</v>
      </c>
      <c r="AC12" s="960">
        <f>1.52*($C$12)</f>
        <v>1.8411002272208392</v>
      </c>
      <c r="AD12" s="960">
        <f>1.62*($C$12)</f>
        <v>1.9622252421695787</v>
      </c>
      <c r="AE12" s="960">
        <f>1.72*($C$12)</f>
        <v>2.083350257118318</v>
      </c>
      <c r="AF12" s="960">
        <f>1.82*($C$12)</f>
        <v>2.2044752720670573</v>
      </c>
      <c r="AG12" s="960">
        <f>1.91*($C$12)</f>
        <v>2.3134877855209228</v>
      </c>
      <c r="AH12" s="960">
        <f>2.01*($C$12)</f>
        <v>2.4346128004696621</v>
      </c>
      <c r="AI12" s="960">
        <f>2.11*($C$12)</f>
        <v>2.5557378154184014</v>
      </c>
      <c r="AJ12" s="960">
        <f>2.2*($C$12)</f>
        <v>2.6647503288722674</v>
      </c>
      <c r="AK12" s="960">
        <f>2.3*($C$12)</f>
        <v>2.7858753438210062</v>
      </c>
      <c r="AL12" s="960">
        <f>2.4*($C$12)</f>
        <v>2.9070003587697459</v>
      </c>
      <c r="AM12" s="960">
        <f>2.5*($C$12)</f>
        <v>3.0281253737184857</v>
      </c>
      <c r="AN12" s="960">
        <f>2.57*($C$12)</f>
        <v>3.1129128841826028</v>
      </c>
      <c r="AO12" s="960">
        <f>2.64*($C$12)</f>
        <v>3.1977003946467208</v>
      </c>
      <c r="AP12" s="960">
        <f>2.71*($C$12)</f>
        <v>3.282487905110838</v>
      </c>
      <c r="AQ12" s="960">
        <f>2.78*($C$12)</f>
        <v>3.3672754155749556</v>
      </c>
      <c r="AR12" s="960">
        <f>2.85*($C$12)</f>
        <v>3.4520629260390736</v>
      </c>
      <c r="AS12" s="960">
        <f>2.92*($C$12)</f>
        <v>3.5368504365031908</v>
      </c>
      <c r="AT12" s="960">
        <f>2.99*($C$12)</f>
        <v>3.6216379469673088</v>
      </c>
      <c r="AU12" s="960">
        <f>3.07*($C$12)</f>
        <v>3.7185379589263001</v>
      </c>
      <c r="AV12" s="960">
        <f>3.14*($C$12)</f>
        <v>3.8033254693904177</v>
      </c>
      <c r="AW12" s="960">
        <f>3.21*($C$12)</f>
        <v>3.8881129798545353</v>
      </c>
      <c r="AX12" s="960">
        <f>3.28*($C$12)</f>
        <v>3.9729004903186529</v>
      </c>
      <c r="AY12" s="960">
        <f>3.35*($C$12)</f>
        <v>4.0576880007827709</v>
      </c>
      <c r="AZ12" s="960">
        <f>3.42*($C$12)</f>
        <v>4.1424755112468876</v>
      </c>
      <c r="BA12" s="960">
        <f>3.49*($C$12)</f>
        <v>4.2272630217110061</v>
      </c>
      <c r="BB12" s="960">
        <f>3.56*($C$12)</f>
        <v>4.3120505321751237</v>
      </c>
      <c r="BC12" s="960">
        <f>3.64*($C$12)</f>
        <v>4.4089505441341146</v>
      </c>
      <c r="BD12" s="960">
        <f>3.71*($C$12)</f>
        <v>4.4937380545982322</v>
      </c>
      <c r="BE12" s="960">
        <f>3.78*($C$12)</f>
        <v>4.5785255650623498</v>
      </c>
      <c r="BF12" s="960">
        <f>3.85*($C$12)</f>
        <v>4.6633130755264673</v>
      </c>
      <c r="BG12" s="960">
        <f>3.92*($C$12)</f>
        <v>4.7481005859905849</v>
      </c>
      <c r="BH12" s="960">
        <f>3.99*($C$12)</f>
        <v>4.8328880964547034</v>
      </c>
      <c r="BI12" s="960">
        <f>4.06*($C$12)</f>
        <v>4.9176756069188201</v>
      </c>
      <c r="BJ12" s="960">
        <f>4.14*($C$12)</f>
        <v>5.0145756188778119</v>
      </c>
      <c r="BK12" s="960">
        <f>4.21*($C$12)</f>
        <v>5.0993631293419295</v>
      </c>
      <c r="BL12" s="960">
        <f>4.28*($C$12)</f>
        <v>5.1841506398060471</v>
      </c>
      <c r="BM12" s="960">
        <f>4.35*($C$12)</f>
        <v>5.2689381502701647</v>
      </c>
      <c r="BN12" s="960">
        <f>4.42*($C$12)</f>
        <v>5.3537256607342822</v>
      </c>
      <c r="BO12" s="960">
        <f>4.49*($C$12)</f>
        <v>5.4385131711983998</v>
      </c>
      <c r="BP12" s="960">
        <f>4.56*($C$12)</f>
        <v>5.5233006816625174</v>
      </c>
      <c r="BQ12" s="960">
        <f>4.63*($C$12)</f>
        <v>5.608088192126635</v>
      </c>
      <c r="BR12" s="960">
        <f>4.71*($C$12)</f>
        <v>5.7049882040856268</v>
      </c>
      <c r="BS12" s="960">
        <f>4.78*($C$12)</f>
        <v>5.7897757145497444</v>
      </c>
      <c r="BT12" s="960">
        <f>4.85*($C$12)</f>
        <v>5.8745632250138611</v>
      </c>
      <c r="BU12" s="960">
        <f>4.92*($C$12)</f>
        <v>5.9593507354779796</v>
      </c>
      <c r="BV12" s="961">
        <f>4.99*($C$12)</f>
        <v>6.0441382459420971</v>
      </c>
      <c r="BW12" s="1391">
        <f>+BV12*BW$137/BV$137</f>
        <v>6.0586659764672328</v>
      </c>
      <c r="BX12" s="1391">
        <f t="shared" ref="BX12:CZ12" si="44">+BW12*BX$137/BW$137</f>
        <v>6.0732286259412112</v>
      </c>
      <c r="BY12" s="1391">
        <f t="shared" si="44"/>
        <v>6.0878262782954495</v>
      </c>
      <c r="BZ12" s="1391">
        <f t="shared" si="44"/>
        <v>6.1024590176630999</v>
      </c>
      <c r="CA12" s="1391">
        <f t="shared" si="44"/>
        <v>6.1171269283795393</v>
      </c>
      <c r="CB12" s="1391">
        <f t="shared" si="44"/>
        <v>6.1299667153690152</v>
      </c>
      <c r="CC12" s="1391">
        <f t="shared" si="44"/>
        <v>6.1428334529403346</v>
      </c>
      <c r="CD12" s="1391">
        <f t="shared" si="44"/>
        <v>6.155727197662495</v>
      </c>
      <c r="CE12" s="1391">
        <f t="shared" si="44"/>
        <v>6.1686480062232301</v>
      </c>
      <c r="CF12" s="1391">
        <f t="shared" si="44"/>
        <v>6.18159593542926</v>
      </c>
      <c r="CG12" s="1391">
        <f t="shared" si="44"/>
        <v>6.197524392005751</v>
      </c>
      <c r="CH12" s="1391">
        <f t="shared" si="44"/>
        <v>6.2134938923080965</v>
      </c>
      <c r="CI12" s="1391">
        <f t="shared" si="44"/>
        <v>6.229504542095909</v>
      </c>
      <c r="CJ12" s="1391">
        <f t="shared" si="44"/>
        <v>6.245556447401321</v>
      </c>
      <c r="CK12" s="1391">
        <f t="shared" si="44"/>
        <v>6.2616497145296828</v>
      </c>
      <c r="CL12" s="1391">
        <f t="shared" si="44"/>
        <v>6.2750522655841658</v>
      </c>
      <c r="CM12" s="1391">
        <f t="shared" si="44"/>
        <v>6.2884835037072264</v>
      </c>
      <c r="CN12" s="1391">
        <f t="shared" si="44"/>
        <v>6.3019434903011975</v>
      </c>
      <c r="CO12" s="1391">
        <f t="shared" si="44"/>
        <v>6.3154322868998385</v>
      </c>
      <c r="CP12" s="1391">
        <f t="shared" si="44"/>
        <v>6.3289499551686168</v>
      </c>
      <c r="CQ12" s="1391">
        <f t="shared" si="44"/>
        <v>6.3413225489579119</v>
      </c>
      <c r="CR12" s="1391">
        <f t="shared" si="44"/>
        <v>6.3537193301840116</v>
      </c>
      <c r="CS12" s="1391">
        <f t="shared" si="44"/>
        <v>6.3661403461314299</v>
      </c>
      <c r="CT12" s="1391">
        <f t="shared" si="44"/>
        <v>6.3785856441771198</v>
      </c>
      <c r="CU12" s="1391">
        <f t="shared" si="44"/>
        <v>6.3910552717906537</v>
      </c>
      <c r="CV12" s="1391">
        <f t="shared" si="44"/>
        <v>6.4057772391562917</v>
      </c>
      <c r="CW12" s="1391">
        <f t="shared" si="44"/>
        <v>6.4205331189689208</v>
      </c>
      <c r="CX12" s="1391">
        <f t="shared" si="44"/>
        <v>6.4353229893467718</v>
      </c>
      <c r="CY12" s="1391">
        <f t="shared" si="44"/>
        <v>6.4501469285880244</v>
      </c>
      <c r="CZ12" s="1391">
        <f t="shared" si="44"/>
        <v>6.4650050151712186</v>
      </c>
    </row>
    <row r="13" spans="1:104" x14ac:dyDescent="0.25">
      <c r="A13" s="959" t="str">
        <f>'HyARC Physical Property Data'!A86</f>
        <v>Woody Biomass B2A</v>
      </c>
      <c r="B13" s="260">
        <v>2007</v>
      </c>
      <c r="C13" s="871">
        <f>VLOOKUP(ref_year,DeflatorTable,2,FALSE)/VLOOKUP(B13,DeflatorTable,2,FALSE)</f>
        <v>1.1446359956438654</v>
      </c>
      <c r="D13" s="1254" t="str">
        <f>+'HyARC Physical Property Data'!$H$86</f>
        <v>kg</v>
      </c>
      <c r="E13" s="898" t="s">
        <v>1051</v>
      </c>
      <c r="F13" s="260">
        <f>'HyARC Physical Property Data'!$E$45</f>
        <v>19.551069237418005</v>
      </c>
      <c r="G13" s="260">
        <f>'HyARC Physical Property Data'!$I$45</f>
        <v>20.588656379262464</v>
      </c>
      <c r="H13" s="960">
        <f>3.80872262322035*($C$13)</f>
        <v>4.3596010119611401</v>
      </c>
      <c r="I13" s="960">
        <f>3.80872262322035*($C$13)</f>
        <v>4.3596010119611401</v>
      </c>
      <c r="J13" s="960">
        <f>3.80872262322035*($C$13)</f>
        <v>4.3596010119611401</v>
      </c>
      <c r="K13" s="960">
        <f>3.80872262322035*($C$13)</f>
        <v>4.3596010119611401</v>
      </c>
      <c r="L13" s="960">
        <f>3.58036841709093*($C$13)</f>
        <v>4.0982185678687273</v>
      </c>
      <c r="M13" s="960">
        <f>3.28153451771169*($C$13)</f>
        <v>3.756162529920632</v>
      </c>
      <c r="N13" s="960">
        <f>3.05599949931226*($C$13)</f>
        <v>3.498007029582443</v>
      </c>
      <c r="O13" s="960">
        <f>2.9206784882726*($C$13)</f>
        <v>3.3431137293795268</v>
      </c>
      <c r="P13" s="960">
        <f t="shared" ref="P13:BV13" si="45">2.85865635821276*($C$13)</f>
        <v>3.2721209667865292</v>
      </c>
      <c r="Q13" s="960">
        <f t="shared" si="45"/>
        <v>3.2721209667865292</v>
      </c>
      <c r="R13" s="960">
        <f t="shared" si="45"/>
        <v>3.2721209667865292</v>
      </c>
      <c r="S13" s="960">
        <f t="shared" si="45"/>
        <v>3.2721209667865292</v>
      </c>
      <c r="T13" s="960">
        <f t="shared" si="45"/>
        <v>3.2721209667865292</v>
      </c>
      <c r="U13" s="960">
        <f t="shared" si="45"/>
        <v>3.2721209667865292</v>
      </c>
      <c r="V13" s="960">
        <f t="shared" si="45"/>
        <v>3.2721209667865292</v>
      </c>
      <c r="W13" s="960">
        <f t="shared" si="45"/>
        <v>3.2721209667865292</v>
      </c>
      <c r="X13" s="960">
        <f t="shared" si="45"/>
        <v>3.2721209667865292</v>
      </c>
      <c r="Y13" s="960">
        <f t="shared" si="45"/>
        <v>3.2721209667865292</v>
      </c>
      <c r="Z13" s="960">
        <f t="shared" si="45"/>
        <v>3.2721209667865292</v>
      </c>
      <c r="AA13" s="960">
        <f t="shared" si="45"/>
        <v>3.2721209667865292</v>
      </c>
      <c r="AB13" s="960">
        <f t="shared" si="45"/>
        <v>3.2721209667865292</v>
      </c>
      <c r="AC13" s="960">
        <f t="shared" si="45"/>
        <v>3.2721209667865292</v>
      </c>
      <c r="AD13" s="960">
        <f t="shared" si="45"/>
        <v>3.2721209667865292</v>
      </c>
      <c r="AE13" s="960">
        <f t="shared" si="45"/>
        <v>3.2721209667865292</v>
      </c>
      <c r="AF13" s="960">
        <f t="shared" si="45"/>
        <v>3.2721209667865292</v>
      </c>
      <c r="AG13" s="960">
        <f t="shared" si="45"/>
        <v>3.2721209667865292</v>
      </c>
      <c r="AH13" s="960">
        <f t="shared" si="45"/>
        <v>3.2721209667865292</v>
      </c>
      <c r="AI13" s="960">
        <f t="shared" si="45"/>
        <v>3.2721209667865292</v>
      </c>
      <c r="AJ13" s="960">
        <f t="shared" si="45"/>
        <v>3.2721209667865292</v>
      </c>
      <c r="AK13" s="960">
        <f t="shared" si="45"/>
        <v>3.2721209667865292</v>
      </c>
      <c r="AL13" s="960">
        <f t="shared" si="45"/>
        <v>3.2721209667865292</v>
      </c>
      <c r="AM13" s="960">
        <f t="shared" si="45"/>
        <v>3.2721209667865292</v>
      </c>
      <c r="AN13" s="960">
        <f t="shared" si="45"/>
        <v>3.2721209667865292</v>
      </c>
      <c r="AO13" s="960">
        <f t="shared" si="45"/>
        <v>3.2721209667865292</v>
      </c>
      <c r="AP13" s="960">
        <f t="shared" si="45"/>
        <v>3.2721209667865292</v>
      </c>
      <c r="AQ13" s="960">
        <f t="shared" si="45"/>
        <v>3.2721209667865292</v>
      </c>
      <c r="AR13" s="960">
        <f t="shared" si="45"/>
        <v>3.2721209667865292</v>
      </c>
      <c r="AS13" s="960">
        <f t="shared" si="45"/>
        <v>3.2721209667865292</v>
      </c>
      <c r="AT13" s="960">
        <f t="shared" si="45"/>
        <v>3.2721209667865292</v>
      </c>
      <c r="AU13" s="960">
        <f t="shared" si="45"/>
        <v>3.2721209667865292</v>
      </c>
      <c r="AV13" s="960">
        <f t="shared" si="45"/>
        <v>3.2721209667865292</v>
      </c>
      <c r="AW13" s="960">
        <f t="shared" si="45"/>
        <v>3.2721209667865292</v>
      </c>
      <c r="AX13" s="960">
        <f t="shared" si="45"/>
        <v>3.2721209667865292</v>
      </c>
      <c r="AY13" s="960">
        <f t="shared" si="45"/>
        <v>3.2721209667865292</v>
      </c>
      <c r="AZ13" s="960">
        <f t="shared" si="45"/>
        <v>3.2721209667865292</v>
      </c>
      <c r="BA13" s="960">
        <f t="shared" si="45"/>
        <v>3.2721209667865292</v>
      </c>
      <c r="BB13" s="960">
        <f t="shared" si="45"/>
        <v>3.2721209667865292</v>
      </c>
      <c r="BC13" s="960">
        <f t="shared" si="45"/>
        <v>3.2721209667865292</v>
      </c>
      <c r="BD13" s="960">
        <f t="shared" si="45"/>
        <v>3.2721209667865292</v>
      </c>
      <c r="BE13" s="960">
        <f t="shared" si="45"/>
        <v>3.2721209667865292</v>
      </c>
      <c r="BF13" s="960">
        <f t="shared" si="45"/>
        <v>3.2721209667865292</v>
      </c>
      <c r="BG13" s="960">
        <f t="shared" si="45"/>
        <v>3.2721209667865292</v>
      </c>
      <c r="BH13" s="960">
        <f t="shared" si="45"/>
        <v>3.2721209667865292</v>
      </c>
      <c r="BI13" s="960">
        <f t="shared" si="45"/>
        <v>3.2721209667865292</v>
      </c>
      <c r="BJ13" s="960">
        <f t="shared" si="45"/>
        <v>3.2721209667865292</v>
      </c>
      <c r="BK13" s="960">
        <f t="shared" si="45"/>
        <v>3.2721209667865292</v>
      </c>
      <c r="BL13" s="960">
        <f t="shared" si="45"/>
        <v>3.2721209667865292</v>
      </c>
      <c r="BM13" s="960">
        <f t="shared" si="45"/>
        <v>3.2721209667865292</v>
      </c>
      <c r="BN13" s="960">
        <f t="shared" si="45"/>
        <v>3.2721209667865292</v>
      </c>
      <c r="BO13" s="960">
        <f t="shared" si="45"/>
        <v>3.2721209667865292</v>
      </c>
      <c r="BP13" s="960">
        <f t="shared" si="45"/>
        <v>3.2721209667865292</v>
      </c>
      <c r="BQ13" s="960">
        <f t="shared" si="45"/>
        <v>3.2721209667865292</v>
      </c>
      <c r="BR13" s="960">
        <f t="shared" si="45"/>
        <v>3.2721209667865292</v>
      </c>
      <c r="BS13" s="960">
        <f t="shared" si="45"/>
        <v>3.2721209667865292</v>
      </c>
      <c r="BT13" s="960">
        <f t="shared" si="45"/>
        <v>3.2721209667865292</v>
      </c>
      <c r="BU13" s="960">
        <f t="shared" si="45"/>
        <v>3.2721209667865292</v>
      </c>
      <c r="BV13" s="961">
        <f t="shared" si="45"/>
        <v>3.2721209667865292</v>
      </c>
      <c r="BW13" s="1391">
        <f>+BV13*BW$137/BV$137</f>
        <v>3.2799858583089949</v>
      </c>
      <c r="BX13" s="1391">
        <f t="shared" ref="BX13:CZ13" si="46">+BW13*BX$137/BW$137</f>
        <v>3.2878696539365619</v>
      </c>
      <c r="BY13" s="1391">
        <f t="shared" si="46"/>
        <v>3.2957723991072623</v>
      </c>
      <c r="BZ13" s="1391">
        <f t="shared" si="46"/>
        <v>3.3036941393683414</v>
      </c>
      <c r="CA13" s="1391">
        <f t="shared" si="46"/>
        <v>3.3116349203765254</v>
      </c>
      <c r="CB13" s="1391">
        <f t="shared" si="46"/>
        <v>3.3185860082748779</v>
      </c>
      <c r="CC13" s="1391">
        <f t="shared" si="46"/>
        <v>3.3255516864357837</v>
      </c>
      <c r="CD13" s="1391">
        <f t="shared" si="46"/>
        <v>3.332531985484056</v>
      </c>
      <c r="CE13" s="1391">
        <f t="shared" si="46"/>
        <v>3.3395269361087871</v>
      </c>
      <c r="CF13" s="1391">
        <f t="shared" si="46"/>
        <v>3.3465365690634874</v>
      </c>
      <c r="CG13" s="1391">
        <f t="shared" si="46"/>
        <v>3.3551597730028546</v>
      </c>
      <c r="CH13" s="1391">
        <f t="shared" si="46"/>
        <v>3.3638051968237757</v>
      </c>
      <c r="CI13" s="1391">
        <f t="shared" si="46"/>
        <v>3.3724728977814351</v>
      </c>
      <c r="CJ13" s="1391">
        <f t="shared" si="46"/>
        <v>3.3811629332785507</v>
      </c>
      <c r="CK13" s="1391">
        <f t="shared" si="46"/>
        <v>3.3898753608657524</v>
      </c>
      <c r="CL13" s="1391">
        <f t="shared" si="46"/>
        <v>3.3971311128901611</v>
      </c>
      <c r="CM13" s="1391">
        <f t="shared" si="46"/>
        <v>3.4044023952606257</v>
      </c>
      <c r="CN13" s="1391">
        <f t="shared" si="46"/>
        <v>3.4116892412185864</v>
      </c>
      <c r="CO13" s="1391">
        <f t="shared" si="46"/>
        <v>3.4189916840766337</v>
      </c>
      <c r="CP13" s="1391">
        <f t="shared" si="46"/>
        <v>3.4263097572186623</v>
      </c>
      <c r="CQ13" s="1391">
        <f t="shared" si="46"/>
        <v>3.4330079202824653</v>
      </c>
      <c r="CR13" s="1391">
        <f t="shared" si="46"/>
        <v>3.4397191777223193</v>
      </c>
      <c r="CS13" s="1391">
        <f t="shared" si="46"/>
        <v>3.4464435551366885</v>
      </c>
      <c r="CT13" s="1391">
        <f t="shared" si="46"/>
        <v>3.453181078174079</v>
      </c>
      <c r="CU13" s="1391">
        <f t="shared" si="46"/>
        <v>3.4599317725331393</v>
      </c>
      <c r="CV13" s="1391">
        <f t="shared" si="46"/>
        <v>3.467901818241772</v>
      </c>
      <c r="CW13" s="1391">
        <f t="shared" si="46"/>
        <v>3.4758902231646247</v>
      </c>
      <c r="CX13" s="1391">
        <f t="shared" si="46"/>
        <v>3.4838970295926392</v>
      </c>
      <c r="CY13" s="1391">
        <f t="shared" si="46"/>
        <v>3.4919222799141783</v>
      </c>
      <c r="CZ13" s="1391">
        <f t="shared" si="46"/>
        <v>3.4999660166152444</v>
      </c>
    </row>
    <row r="14" spans="1:104" x14ac:dyDescent="0.25">
      <c r="A14" s="959" t="str">
        <f>'HyARC Physical Property Data'!$A$87</f>
        <v>Woody Biomass MYPP</v>
      </c>
      <c r="B14" s="260">
        <v>2007</v>
      </c>
      <c r="C14" s="871">
        <f>VLOOKUP(ref_year,DeflatorTable,2,FALSE)/VLOOKUP(B14,DeflatorTable,2,FALSE)</f>
        <v>1.1446359956438654</v>
      </c>
      <c r="D14" s="1254" t="str">
        <f>+'HyARC Physical Property Data'!$H$87</f>
        <v>kg</v>
      </c>
      <c r="E14" s="898"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0">
        <f t="shared" ref="O14:T14" si="48">N14-($N$14-$U$14)/7</f>
        <v>4.9664808197552768</v>
      </c>
      <c r="P14" s="960">
        <f t="shared" si="48"/>
        <v>4.8458272435653873</v>
      </c>
      <c r="Q14" s="960">
        <f t="shared" si="48"/>
        <v>4.7251736673754978</v>
      </c>
      <c r="R14" s="960">
        <f t="shared" si="48"/>
        <v>4.6045200911856083</v>
      </c>
      <c r="S14" s="960">
        <f t="shared" si="48"/>
        <v>4.4838665149957189</v>
      </c>
      <c r="T14" s="960">
        <f t="shared" si="48"/>
        <v>4.3632129388058294</v>
      </c>
      <c r="U14" s="960">
        <f>3.70647033533964*$C$14</f>
        <v>4.2425593626159408</v>
      </c>
      <c r="V14" s="960">
        <f t="shared" ref="V14:BV14" si="49">3.70647033533964*$C$14</f>
        <v>4.2425593626159408</v>
      </c>
      <c r="W14" s="960">
        <f t="shared" si="49"/>
        <v>4.2425593626159408</v>
      </c>
      <c r="X14" s="960">
        <f t="shared" si="49"/>
        <v>4.2425593626159408</v>
      </c>
      <c r="Y14" s="960">
        <f t="shared" si="49"/>
        <v>4.2425593626159408</v>
      </c>
      <c r="Z14" s="960">
        <f t="shared" si="49"/>
        <v>4.2425593626159408</v>
      </c>
      <c r="AA14" s="960">
        <f t="shared" si="49"/>
        <v>4.2425593626159408</v>
      </c>
      <c r="AB14" s="960">
        <f t="shared" si="49"/>
        <v>4.2425593626159408</v>
      </c>
      <c r="AC14" s="960">
        <f t="shared" si="49"/>
        <v>4.2425593626159408</v>
      </c>
      <c r="AD14" s="960">
        <f t="shared" si="49"/>
        <v>4.2425593626159408</v>
      </c>
      <c r="AE14" s="960">
        <f t="shared" si="49"/>
        <v>4.2425593626159408</v>
      </c>
      <c r="AF14" s="960">
        <f t="shared" si="49"/>
        <v>4.2425593626159408</v>
      </c>
      <c r="AG14" s="960">
        <f t="shared" si="49"/>
        <v>4.2425593626159408</v>
      </c>
      <c r="AH14" s="960">
        <f t="shared" si="49"/>
        <v>4.2425593626159408</v>
      </c>
      <c r="AI14" s="960">
        <f t="shared" si="49"/>
        <v>4.2425593626159408</v>
      </c>
      <c r="AJ14" s="960">
        <f t="shared" si="49"/>
        <v>4.2425593626159408</v>
      </c>
      <c r="AK14" s="960">
        <f t="shared" si="49"/>
        <v>4.2425593626159408</v>
      </c>
      <c r="AL14" s="960">
        <f t="shared" si="49"/>
        <v>4.2425593626159408</v>
      </c>
      <c r="AM14" s="960">
        <f t="shared" si="49"/>
        <v>4.2425593626159408</v>
      </c>
      <c r="AN14" s="960">
        <f t="shared" si="49"/>
        <v>4.2425593626159408</v>
      </c>
      <c r="AO14" s="960">
        <f t="shared" si="49"/>
        <v>4.2425593626159408</v>
      </c>
      <c r="AP14" s="960">
        <f t="shared" si="49"/>
        <v>4.2425593626159408</v>
      </c>
      <c r="AQ14" s="960">
        <f t="shared" si="49"/>
        <v>4.2425593626159408</v>
      </c>
      <c r="AR14" s="960">
        <f t="shared" si="49"/>
        <v>4.2425593626159408</v>
      </c>
      <c r="AS14" s="960">
        <f t="shared" si="49"/>
        <v>4.2425593626159408</v>
      </c>
      <c r="AT14" s="960">
        <f t="shared" si="49"/>
        <v>4.2425593626159408</v>
      </c>
      <c r="AU14" s="960">
        <f t="shared" si="49"/>
        <v>4.2425593626159408</v>
      </c>
      <c r="AV14" s="960">
        <f t="shared" si="49"/>
        <v>4.2425593626159408</v>
      </c>
      <c r="AW14" s="960">
        <f t="shared" si="49"/>
        <v>4.2425593626159408</v>
      </c>
      <c r="AX14" s="960">
        <f t="shared" si="49"/>
        <v>4.2425593626159408</v>
      </c>
      <c r="AY14" s="960">
        <f t="shared" si="49"/>
        <v>4.2425593626159408</v>
      </c>
      <c r="AZ14" s="960">
        <f t="shared" si="49"/>
        <v>4.2425593626159408</v>
      </c>
      <c r="BA14" s="960">
        <f t="shared" si="49"/>
        <v>4.2425593626159408</v>
      </c>
      <c r="BB14" s="960">
        <f t="shared" si="49"/>
        <v>4.2425593626159408</v>
      </c>
      <c r="BC14" s="960">
        <f t="shared" si="49"/>
        <v>4.2425593626159408</v>
      </c>
      <c r="BD14" s="960">
        <f t="shared" si="49"/>
        <v>4.2425593626159408</v>
      </c>
      <c r="BE14" s="960">
        <f t="shared" si="49"/>
        <v>4.2425593626159408</v>
      </c>
      <c r="BF14" s="960">
        <f t="shared" si="49"/>
        <v>4.2425593626159408</v>
      </c>
      <c r="BG14" s="960">
        <f t="shared" si="49"/>
        <v>4.2425593626159408</v>
      </c>
      <c r="BH14" s="960">
        <f t="shared" si="49"/>
        <v>4.2425593626159408</v>
      </c>
      <c r="BI14" s="960">
        <f t="shared" si="49"/>
        <v>4.2425593626159408</v>
      </c>
      <c r="BJ14" s="960">
        <f t="shared" si="49"/>
        <v>4.2425593626159408</v>
      </c>
      <c r="BK14" s="960">
        <f t="shared" si="49"/>
        <v>4.2425593626159408</v>
      </c>
      <c r="BL14" s="960">
        <f t="shared" si="49"/>
        <v>4.2425593626159408</v>
      </c>
      <c r="BM14" s="960">
        <f t="shared" si="49"/>
        <v>4.2425593626159408</v>
      </c>
      <c r="BN14" s="960">
        <f t="shared" si="49"/>
        <v>4.2425593626159408</v>
      </c>
      <c r="BO14" s="960">
        <f t="shared" si="49"/>
        <v>4.2425593626159408</v>
      </c>
      <c r="BP14" s="960">
        <f t="shared" si="49"/>
        <v>4.2425593626159408</v>
      </c>
      <c r="BQ14" s="960">
        <f t="shared" si="49"/>
        <v>4.2425593626159408</v>
      </c>
      <c r="BR14" s="960">
        <f t="shared" si="49"/>
        <v>4.2425593626159408</v>
      </c>
      <c r="BS14" s="960">
        <f t="shared" si="49"/>
        <v>4.2425593626159408</v>
      </c>
      <c r="BT14" s="960">
        <f t="shared" si="49"/>
        <v>4.2425593626159408</v>
      </c>
      <c r="BU14" s="960">
        <f t="shared" si="49"/>
        <v>4.2425593626159408</v>
      </c>
      <c r="BV14" s="960">
        <f t="shared" si="49"/>
        <v>4.2425593626159408</v>
      </c>
      <c r="BW14" s="1391">
        <f>+BV14*BW$137/BV$137</f>
        <v>4.2527568062628252</v>
      </c>
      <c r="BX14" s="1391">
        <f t="shared" ref="BX14:CZ14" si="50">+BW14*BX$137/BW$137</f>
        <v>4.2629787605524712</v>
      </c>
      <c r="BY14" s="1391">
        <f t="shared" si="50"/>
        <v>4.2732252843988219</v>
      </c>
      <c r="BZ14" s="1391">
        <f t="shared" si="50"/>
        <v>4.2834964368574244</v>
      </c>
      <c r="CA14" s="1391">
        <f t="shared" si="50"/>
        <v>4.2937922771257746</v>
      </c>
      <c r="CB14" s="1391">
        <f t="shared" si="50"/>
        <v>4.302804903291757</v>
      </c>
      <c r="CC14" s="1391">
        <f t="shared" si="50"/>
        <v>4.3118364468680763</v>
      </c>
      <c r="CD14" s="1391">
        <f t="shared" si="50"/>
        <v>4.3208869475621841</v>
      </c>
      <c r="CE14" s="1391">
        <f t="shared" si="50"/>
        <v>4.3299564451648767</v>
      </c>
      <c r="CF14" s="1391">
        <f t="shared" si="50"/>
        <v>4.3390449795504713</v>
      </c>
      <c r="CG14" s="1391">
        <f t="shared" si="50"/>
        <v>4.3502256342328796</v>
      </c>
      <c r="CH14" s="1391">
        <f t="shared" si="50"/>
        <v>4.361435098720146</v>
      </c>
      <c r="CI14" s="1391">
        <f t="shared" si="50"/>
        <v>4.3726734472480695</v>
      </c>
      <c r="CJ14" s="1391">
        <f t="shared" si="50"/>
        <v>4.3839407542437394</v>
      </c>
      <c r="CK14" s="1391">
        <f t="shared" si="50"/>
        <v>4.3952370943260251</v>
      </c>
      <c r="CL14" s="1391">
        <f t="shared" si="50"/>
        <v>4.4046447412304142</v>
      </c>
      <c r="CM14" s="1391">
        <f t="shared" si="50"/>
        <v>4.4140725244365262</v>
      </c>
      <c r="CN14" s="1391">
        <f t="shared" si="50"/>
        <v>4.4235204870444758</v>
      </c>
      <c r="CO14" s="1391">
        <f t="shared" si="50"/>
        <v>4.4329886722466272</v>
      </c>
      <c r="CP14" s="1391">
        <f t="shared" si="50"/>
        <v>4.4424771233277953</v>
      </c>
      <c r="CQ14" s="1391">
        <f t="shared" si="50"/>
        <v>4.4511618127714661</v>
      </c>
      <c r="CR14" s="1391">
        <f t="shared" si="50"/>
        <v>4.4598634800922632</v>
      </c>
      <c r="CS14" s="1391">
        <f t="shared" si="50"/>
        <v>4.4685821584805847</v>
      </c>
      <c r="CT14" s="1391">
        <f t="shared" si="50"/>
        <v>4.4773178811917154</v>
      </c>
      <c r="CU14" s="1391">
        <f t="shared" si="50"/>
        <v>4.486070681545951</v>
      </c>
      <c r="CV14" s="1391">
        <f t="shared" si="50"/>
        <v>4.4964044657748525</v>
      </c>
      <c r="CW14" s="1391">
        <f t="shared" si="50"/>
        <v>4.5067620541531026</v>
      </c>
      <c r="CX14" s="1391">
        <f t="shared" si="50"/>
        <v>4.5171435015141972</v>
      </c>
      <c r="CY14" s="1391">
        <f t="shared" si="50"/>
        <v>4.5275488628179446</v>
      </c>
      <c r="CZ14" s="1391">
        <f t="shared" si="50"/>
        <v>4.537978193150753</v>
      </c>
    </row>
    <row r="15" spans="1:104" x14ac:dyDescent="0.25">
      <c r="A15" s="965" t="str">
        <f>'HyARC Physical Property Data'!A79</f>
        <v>Electric Utility Steam Coal</v>
      </c>
      <c r="B15" s="260">
        <v>2007</v>
      </c>
      <c r="C15" s="871">
        <f>VLOOKUP(ref_year,DeflatorTable,2,FALSE)/VLOOKUP(B15,DeflatorTable,2,FALSE)</f>
        <v>1.1446359956438654</v>
      </c>
      <c r="D15" s="1254" t="str">
        <f>+'HyARC Physical Property Data'!$H$79</f>
        <v>kg</v>
      </c>
      <c r="E15" s="898"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0">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0">
        <f>(1.02844862093285*BB15)</f>
        <v>2.511095364132073</v>
      </c>
      <c r="BR15" s="260">
        <f>(($BV$15-$BQ$15)/5+BQ15)</f>
        <v>2.5158578441414332</v>
      </c>
      <c r="BS15" s="260">
        <f>(($BV$15-$BQ$15)/5+BR15)</f>
        <v>2.5206203241507934</v>
      </c>
      <c r="BT15" s="260">
        <f>(($BV$15-$BQ$15)/5+BS15)</f>
        <v>2.5253828041601536</v>
      </c>
      <c r="BU15" s="260">
        <f>(($BV$15-$BQ$15)/5+BT15)</f>
        <v>2.5301452841695138</v>
      </c>
      <c r="BV15" s="1073">
        <f>(1.00948287364428*BQ15)</f>
        <v>2.5349077641788749</v>
      </c>
      <c r="BW15" s="1391">
        <f>+BV15*BW$138/BV$138</f>
        <v>2.5434781738814416</v>
      </c>
      <c r="BX15" s="1391">
        <f t="shared" ref="BX15:CZ15" si="53">+BW15*BX$138/BW$138</f>
        <v>2.5520775597556495</v>
      </c>
      <c r="BY15" s="1391">
        <f t="shared" si="53"/>
        <v>2.5607060197686384</v>
      </c>
      <c r="BZ15" s="1391">
        <f t="shared" si="53"/>
        <v>2.5693636522187702</v>
      </c>
      <c r="CA15" s="1391">
        <f t="shared" si="53"/>
        <v>2.5780505557367492</v>
      </c>
      <c r="CB15" s="1391">
        <f t="shared" si="53"/>
        <v>2.5854319192311639</v>
      </c>
      <c r="CC15" s="1391">
        <f t="shared" si="53"/>
        <v>2.592834416728135</v>
      </c>
      <c r="CD15" s="1391">
        <f t="shared" si="53"/>
        <v>2.6002581087376306</v>
      </c>
      <c r="CE15" s="1391">
        <f t="shared" si="53"/>
        <v>2.6077030559428676</v>
      </c>
      <c r="CF15" s="1391">
        <f t="shared" si="53"/>
        <v>2.6151693192008074</v>
      </c>
      <c r="CG15" s="1391">
        <f t="shared" si="53"/>
        <v>2.620869818974227</v>
      </c>
      <c r="CH15" s="1391">
        <f t="shared" si="53"/>
        <v>2.6265827445961101</v>
      </c>
      <c r="CI15" s="1391">
        <f t="shared" si="53"/>
        <v>2.6323081231521006</v>
      </c>
      <c r="CJ15" s="1391">
        <f t="shared" si="53"/>
        <v>2.6380459817868847</v>
      </c>
      <c r="CK15" s="1391">
        <f t="shared" si="53"/>
        <v>2.6437963477043169</v>
      </c>
      <c r="CL15" s="1391">
        <f t="shared" si="53"/>
        <v>2.6476946163242814</v>
      </c>
      <c r="CM15" s="1391">
        <f t="shared" si="53"/>
        <v>2.6515986329279162</v>
      </c>
      <c r="CN15" s="1391">
        <f t="shared" si="53"/>
        <v>2.6555084059906031</v>
      </c>
      <c r="CO15" s="1391">
        <f t="shared" si="53"/>
        <v>2.6594239440002214</v>
      </c>
      <c r="CP15" s="1391">
        <f t="shared" si="53"/>
        <v>2.6633452554571648</v>
      </c>
      <c r="CQ15" s="1391">
        <f t="shared" si="53"/>
        <v>2.6646584413422429</v>
      </c>
      <c r="CR15" s="1391">
        <f t="shared" si="53"/>
        <v>2.6659722747052119</v>
      </c>
      <c r="CS15" s="1391">
        <f t="shared" si="53"/>
        <v>2.6672867558653164</v>
      </c>
      <c r="CT15" s="1391">
        <f t="shared" si="53"/>
        <v>2.6686018851419582</v>
      </c>
      <c r="CU15" s="1391">
        <f t="shared" si="53"/>
        <v>2.6699176628546981</v>
      </c>
      <c r="CV15" s="1391">
        <f t="shared" si="53"/>
        <v>2.6680266065225413</v>
      </c>
      <c r="CW15" s="1391">
        <f t="shared" si="53"/>
        <v>2.6661368895927571</v>
      </c>
      <c r="CX15" s="1391">
        <f t="shared" si="53"/>
        <v>2.6642485111166696</v>
      </c>
      <c r="CY15" s="1391">
        <f t="shared" si="53"/>
        <v>2.662361470146275</v>
      </c>
      <c r="CZ15" s="1391">
        <f t="shared" si="53"/>
        <v>2.6604757657342417</v>
      </c>
    </row>
    <row r="16" spans="1:104" x14ac:dyDescent="0.25">
      <c r="A16" s="959" t="str">
        <f>'HyARC Physical Property Data'!A76</f>
        <v>Commercial Electricity</v>
      </c>
      <c r="B16" s="260">
        <v>2007</v>
      </c>
      <c r="C16" s="871">
        <f t="shared" si="37"/>
        <v>1.1446359956438654</v>
      </c>
      <c r="D16" s="1254" t="str">
        <f>'HyARC Physical Property Data'!$H$76</f>
        <v>kWh</v>
      </c>
      <c r="E16" s="871" t="s">
        <v>1070</v>
      </c>
      <c r="F16" s="871"/>
      <c r="G16" s="871"/>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0">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0">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3">
        <f>1.00317623736115*BQ16</f>
        <v>32.388575392639169</v>
      </c>
      <c r="BW16" s="1391">
        <f>+BV16*BW$139/BV$139</f>
        <v>32.37431458077026</v>
      </c>
      <c r="BX16" s="1391">
        <f t="shared" ref="BX16:CZ16" si="57">+BW16*BX$139/BW$139</f>
        <v>32.360060047990594</v>
      </c>
      <c r="BY16" s="1391">
        <f t="shared" si="57"/>
        <v>32.345811791535453</v>
      </c>
      <c r="BZ16" s="1391">
        <f t="shared" si="57"/>
        <v>32.331569808641355</v>
      </c>
      <c r="CA16" s="1391">
        <f t="shared" si="57"/>
        <v>32.317334096546027</v>
      </c>
      <c r="CB16" s="1391">
        <f t="shared" si="57"/>
        <v>32.291448416621037</v>
      </c>
      <c r="CC16" s="1391">
        <f t="shared" si="57"/>
        <v>32.265583470721417</v>
      </c>
      <c r="CD16" s="1391">
        <f t="shared" si="57"/>
        <v>32.239739242239537</v>
      </c>
      <c r="CE16" s="1391">
        <f t="shared" si="57"/>
        <v>32.213915714581077</v>
      </c>
      <c r="CF16" s="1391">
        <f t="shared" si="57"/>
        <v>32.188112871164996</v>
      </c>
      <c r="CG16" s="1391">
        <f t="shared" si="57"/>
        <v>32.152568008354812</v>
      </c>
      <c r="CH16" s="1391">
        <f t="shared" si="57"/>
        <v>32.11706239721736</v>
      </c>
      <c r="CI16" s="1391">
        <f t="shared" si="57"/>
        <v>32.081595994407593</v>
      </c>
      <c r="CJ16" s="1391">
        <f t="shared" si="57"/>
        <v>32.046168756628319</v>
      </c>
      <c r="CK16" s="1391">
        <f t="shared" si="57"/>
        <v>32.010780640630173</v>
      </c>
      <c r="CL16" s="1391">
        <f t="shared" si="57"/>
        <v>31.972198945666406</v>
      </c>
      <c r="CM16" s="1391">
        <f t="shared" si="57"/>
        <v>31.933663752136113</v>
      </c>
      <c r="CN16" s="1391">
        <f t="shared" si="57"/>
        <v>31.895175003992414</v>
      </c>
      <c r="CO16" s="1391">
        <f t="shared" si="57"/>
        <v>31.856732645255992</v>
      </c>
      <c r="CP16" s="1391">
        <f t="shared" si="57"/>
        <v>31.818336620015</v>
      </c>
      <c r="CQ16" s="1391">
        <f t="shared" si="57"/>
        <v>31.773863996680806</v>
      </c>
      <c r="CR16" s="1391">
        <f t="shared" si="57"/>
        <v>31.729453532919873</v>
      </c>
      <c r="CS16" s="1391">
        <f t="shared" si="57"/>
        <v>31.685105141851508</v>
      </c>
      <c r="CT16" s="1391">
        <f t="shared" si="57"/>
        <v>31.640818736716444</v>
      </c>
      <c r="CU16" s="1391">
        <f t="shared" si="57"/>
        <v>31.596594230876679</v>
      </c>
      <c r="CV16" s="1391">
        <f t="shared" si="57"/>
        <v>31.553423239824536</v>
      </c>
      <c r="CW16" s="1391">
        <f t="shared" si="57"/>
        <v>31.510311234068549</v>
      </c>
      <c r="CX16" s="1391">
        <f t="shared" si="57"/>
        <v>31.467258133016063</v>
      </c>
      <c r="CY16" s="1391">
        <f t="shared" si="57"/>
        <v>31.424263856184528</v>
      </c>
      <c r="CZ16" s="1391">
        <f t="shared" si="57"/>
        <v>31.381328323201359</v>
      </c>
    </row>
    <row r="17" spans="1:104" x14ac:dyDescent="0.25">
      <c r="A17" s="959" t="str">
        <f>'HyARC Physical Property Data'!A77</f>
        <v>Industrial Electricity</v>
      </c>
      <c r="B17" s="260">
        <v>2007</v>
      </c>
      <c r="C17" s="871">
        <f t="shared" si="37"/>
        <v>1.1446359956438654</v>
      </c>
      <c r="D17" s="959" t="str">
        <f>'HyARC Physical Property Data'!$H$77</f>
        <v>kWh</v>
      </c>
      <c r="E17" s="871" t="s">
        <v>1070</v>
      </c>
      <c r="F17" s="871"/>
      <c r="G17" s="871"/>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0">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0">
        <f>1.00952871208344*BB17</f>
        <v>22.387679993913494</v>
      </c>
      <c r="BR17" s="260">
        <f t="shared" si="56"/>
        <v>22.401901711038722</v>
      </c>
      <c r="BS17" s="260">
        <f t="shared" si="56"/>
        <v>22.416123428163949</v>
      </c>
      <c r="BT17" s="260">
        <f t="shared" si="56"/>
        <v>22.430345145289177</v>
      </c>
      <c r="BU17" s="260">
        <f t="shared" si="56"/>
        <v>22.444566862414405</v>
      </c>
      <c r="BV17" s="1073">
        <f>1.00317623736115*BQ17</f>
        <v>22.458788579539629</v>
      </c>
      <c r="BW17" s="1391">
        <f>+BV17*BW$140/BV$140</f>
        <v>22.465574719294207</v>
      </c>
      <c r="BX17" s="1391">
        <f t="shared" ref="BX17:CZ17" si="58">+BW17*BX$140/BW$140</f>
        <v>22.472362909546415</v>
      </c>
      <c r="BY17" s="1391">
        <f t="shared" si="58"/>
        <v>22.479153150915831</v>
      </c>
      <c r="BZ17" s="1391">
        <f t="shared" si="58"/>
        <v>22.485945444022224</v>
      </c>
      <c r="CA17" s="1391">
        <f t="shared" si="58"/>
        <v>22.492739789485537</v>
      </c>
      <c r="CB17" s="1391">
        <f t="shared" si="58"/>
        <v>22.49019603346196</v>
      </c>
      <c r="CC17" s="1391">
        <f t="shared" si="58"/>
        <v>22.487652565117642</v>
      </c>
      <c r="CD17" s="1391">
        <f t="shared" si="58"/>
        <v>22.485109384420049</v>
      </c>
      <c r="CE17" s="1391">
        <f t="shared" si="58"/>
        <v>22.482566491336648</v>
      </c>
      <c r="CF17" s="1391">
        <f t="shared" si="58"/>
        <v>22.480023885834914</v>
      </c>
      <c r="CG17" s="1391">
        <f t="shared" si="58"/>
        <v>22.469826748009918</v>
      </c>
      <c r="CH17" s="1391">
        <f t="shared" si="58"/>
        <v>22.459634235696903</v>
      </c>
      <c r="CI17" s="1391">
        <f t="shared" si="58"/>
        <v>22.449446346797696</v>
      </c>
      <c r="CJ17" s="1391">
        <f t="shared" si="58"/>
        <v>22.439263079215074</v>
      </c>
      <c r="CK17" s="1391">
        <f t="shared" si="58"/>
        <v>22.429084430852768</v>
      </c>
      <c r="CL17" s="1391">
        <f t="shared" si="58"/>
        <v>22.41659732007183</v>
      </c>
      <c r="CM17" s="1391">
        <f t="shared" si="58"/>
        <v>22.404117161332831</v>
      </c>
      <c r="CN17" s="1391">
        <f t="shared" si="58"/>
        <v>22.39164395076531</v>
      </c>
      <c r="CO17" s="1391">
        <f t="shared" si="58"/>
        <v>22.379177684500963</v>
      </c>
      <c r="CP17" s="1391">
        <f t="shared" si="58"/>
        <v>22.36671835867363</v>
      </c>
      <c r="CQ17" s="1391">
        <f t="shared" si="58"/>
        <v>22.349648462331068</v>
      </c>
      <c r="CR17" s="1391">
        <f t="shared" si="58"/>
        <v>22.332591593441013</v>
      </c>
      <c r="CS17" s="1391">
        <f t="shared" si="58"/>
        <v>22.315547742061138</v>
      </c>
      <c r="CT17" s="1391">
        <f t="shared" si="58"/>
        <v>22.2985168982567</v>
      </c>
      <c r="CU17" s="1391">
        <f t="shared" si="58"/>
        <v>22.281499052100536</v>
      </c>
      <c r="CV17" s="1391">
        <f t="shared" si="58"/>
        <v>22.265499049909142</v>
      </c>
      <c r="CW17" s="1391">
        <f t="shared" si="58"/>
        <v>22.249510537073537</v>
      </c>
      <c r="CX17" s="1391">
        <f t="shared" si="58"/>
        <v>22.233533505343395</v>
      </c>
      <c r="CY17" s="1391">
        <f t="shared" si="58"/>
        <v>22.217567946474304</v>
      </c>
      <c r="CZ17" s="1391">
        <f t="shared" si="58"/>
        <v>22.20161385222778</v>
      </c>
    </row>
    <row r="18" spans="1:104" ht="13" thickBot="1" x14ac:dyDescent="0.3">
      <c r="A18" s="962" t="str">
        <f>'HyARC Physical Property Data'!A78</f>
        <v>Residential Electricity</v>
      </c>
      <c r="B18" s="877">
        <v>2007</v>
      </c>
      <c r="C18" s="878">
        <f t="shared" si="37"/>
        <v>1.1446359956438654</v>
      </c>
      <c r="D18" s="962" t="str">
        <f>'HyARC Physical Property Data'!$H$78</f>
        <v>kWh</v>
      </c>
      <c r="E18" s="878" t="s">
        <v>1070</v>
      </c>
      <c r="F18" s="877"/>
      <c r="G18" s="877"/>
      <c r="H18" s="877">
        <f>(31.2067794799805/(mmBTU_to_GJ))*($C$18)</f>
        <v>33.858201991380128</v>
      </c>
      <c r="I18" s="877">
        <f>(31.2067794799805/(mmBTU_to_GJ))*($C$18)</f>
        <v>33.858201991380128</v>
      </c>
      <c r="J18" s="877">
        <f>(31.2067794799805/(mmBTU_to_GJ))*($C$18)</f>
        <v>33.858201991380128</v>
      </c>
      <c r="K18" s="877">
        <f>(31.181957244873/(mmBTU_to_GJ))*($C$18)</f>
        <v>33.831270783990192</v>
      </c>
      <c r="L18" s="877">
        <f>(31.772819519043/(mmBTU_to_GJ))*($C$18)</f>
        <v>34.472334506722866</v>
      </c>
      <c r="M18" s="877">
        <f>(30.736837387085/(mmBTU_to_GJ))*($C$18)</f>
        <v>33.348332194795859</v>
      </c>
      <c r="N18" s="877">
        <f>(28.6163578033447/(mmBTU_to_GJ))*($C$18)</f>
        <v>31.047690242590104</v>
      </c>
      <c r="O18" s="877">
        <f>(29.8736190795898/(mmBTU_to_GJ))*($C$18)</f>
        <v>32.411772245167633</v>
      </c>
      <c r="P18" s="877">
        <f>(30.101655960083/(mmBTU_to_GJ))*($C$18)</f>
        <v>32.659183829761808</v>
      </c>
      <c r="Q18" s="877">
        <f>(30.4253902435303/(mmBTU_to_GJ))*($C$18)</f>
        <v>33.010423558536921</v>
      </c>
      <c r="R18" s="877">
        <f>(30.7938537597656/(mmBTU_to_GJ))*($C$18)</f>
        <v>33.410192851204634</v>
      </c>
      <c r="S18" s="877">
        <f>(30.8830280303955/(mmBTU_to_GJ))*($C$18)</f>
        <v>33.50694363798025</v>
      </c>
      <c r="T18" s="877">
        <f>(31.1491451263428/(mmBTU_to_GJ))*($C$18)</f>
        <v>33.795670848480235</v>
      </c>
      <c r="U18" s="877">
        <f>(31.4898681640625/(mmBTU_to_GJ))*($C$18)</f>
        <v>34.165342747550469</v>
      </c>
      <c r="V18" s="877">
        <f>(31.8156299591064/(mmBTU_to_GJ))*($C$18)</f>
        <v>34.518782251448862</v>
      </c>
      <c r="W18" s="877">
        <f>(32.0206985473633/(mmBTU_to_GJ))*($C$18)</f>
        <v>34.741274088126325</v>
      </c>
      <c r="X18" s="877">
        <f>(32.4303588867188/(mmBTU_to_GJ))*($C$18)</f>
        <v>35.185740410793606</v>
      </c>
      <c r="Y18" s="877">
        <f>(32.7907905578613/(mmBTU_to_GJ))*($C$18)</f>
        <v>35.576795448480595</v>
      </c>
      <c r="Z18" s="877">
        <f>(32.9940071105957/(mmBTU_to_GJ))*($C$18)</f>
        <v>35.797277895087667</v>
      </c>
      <c r="AA18" s="877">
        <f>(32.9234657287598/(mmBTU_to_GJ))*($C$18)</f>
        <v>35.720743103777878</v>
      </c>
      <c r="AB18" s="877">
        <f>(32.9201545715332/(mmBTU_to_GJ))*($C$18)</f>
        <v>35.717150620603661</v>
      </c>
      <c r="AC18" s="877">
        <f>(32.902271270752/(mmBTU_to_GJ))*($C$18)</f>
        <v>35.69774790041874</v>
      </c>
      <c r="AD18" s="877">
        <f>(32.9582405090332/(mmBTU_to_GJ))*($C$18)</f>
        <v>35.758472454717726</v>
      </c>
      <c r="AE18" s="877">
        <f>(33.321102142334/(mmBTU_to_GJ))*($C$18)</f>
        <v>36.152163911508453</v>
      </c>
      <c r="AF18" s="877">
        <f>(33.7343635559082/(mmBTU_to_GJ))*($C$18)</f>
        <v>36.600537266567883</v>
      </c>
      <c r="AG18" s="877">
        <f>(34.1495399475098/(mmBTU_to_GJ))*($C$18)</f>
        <v>37.050988301988475</v>
      </c>
      <c r="AH18" s="877">
        <f>(34.4904899597167/(mmBTU_to_GJ))*($C$18)</f>
        <v>37.420906459985844</v>
      </c>
      <c r="AI18" s="877">
        <f t="shared" si="54"/>
        <v>37.409873259446485</v>
      </c>
      <c r="AJ18" s="877">
        <f t="shared" si="54"/>
        <v>37.398840058907126</v>
      </c>
      <c r="AK18" s="877">
        <f t="shared" si="54"/>
        <v>37.387806858367767</v>
      </c>
      <c r="AL18" s="877">
        <f t="shared" si="54"/>
        <v>37.376773657828409</v>
      </c>
      <c r="AM18" s="877">
        <f t="shared" si="54"/>
        <v>37.36574045728905</v>
      </c>
      <c r="AN18" s="877">
        <f t="shared" si="54"/>
        <v>37.354707256749691</v>
      </c>
      <c r="AO18" s="877">
        <f t="shared" si="54"/>
        <v>37.343674056210332</v>
      </c>
      <c r="AP18" s="877">
        <f t="shared" si="54"/>
        <v>37.332640855670974</v>
      </c>
      <c r="AQ18" s="877">
        <f t="shared" si="54"/>
        <v>37.321607655131615</v>
      </c>
      <c r="AR18" s="877">
        <f t="shared" si="54"/>
        <v>37.310574454592256</v>
      </c>
      <c r="AS18" s="877">
        <f t="shared" si="54"/>
        <v>37.299541254052897</v>
      </c>
      <c r="AT18" s="877">
        <f t="shared" si="54"/>
        <v>37.288508053513539</v>
      </c>
      <c r="AU18" s="877">
        <f t="shared" si="54"/>
        <v>37.27747485297418</v>
      </c>
      <c r="AV18" s="877">
        <f t="shared" si="54"/>
        <v>37.266441652434821</v>
      </c>
      <c r="AW18" s="877">
        <f t="shared" si="54"/>
        <v>37.255408451895462</v>
      </c>
      <c r="AX18" s="877">
        <f t="shared" si="54"/>
        <v>37.244375251356104</v>
      </c>
      <c r="AY18" s="877">
        <f t="shared" si="54"/>
        <v>37.233342050816745</v>
      </c>
      <c r="AZ18" s="877">
        <f t="shared" si="54"/>
        <v>37.222308850277386</v>
      </c>
      <c r="BA18" s="877">
        <f t="shared" si="54"/>
        <v>37.211275649738027</v>
      </c>
      <c r="BB18" s="1074">
        <f>0.994103189054944*AH18</f>
        <v>37.200242449198683</v>
      </c>
      <c r="BC18" s="877">
        <f t="shared" si="55"/>
        <v>37.223873809180851</v>
      </c>
      <c r="BD18" s="877">
        <f t="shared" si="55"/>
        <v>37.24750516916302</v>
      </c>
      <c r="BE18" s="877">
        <f t="shared" si="55"/>
        <v>37.271136529145188</v>
      </c>
      <c r="BF18" s="877">
        <f t="shared" si="55"/>
        <v>37.294767889127357</v>
      </c>
      <c r="BG18" s="877">
        <f t="shared" si="55"/>
        <v>37.318399249109525</v>
      </c>
      <c r="BH18" s="877">
        <f t="shared" si="55"/>
        <v>37.342030609091694</v>
      </c>
      <c r="BI18" s="877">
        <f t="shared" si="55"/>
        <v>37.365661969073862</v>
      </c>
      <c r="BJ18" s="877">
        <f t="shared" si="55"/>
        <v>37.389293329056031</v>
      </c>
      <c r="BK18" s="877">
        <f t="shared" si="55"/>
        <v>37.412924689038199</v>
      </c>
      <c r="BL18" s="877">
        <f t="shared" si="55"/>
        <v>37.436556049020368</v>
      </c>
      <c r="BM18" s="877">
        <f t="shared" si="55"/>
        <v>37.460187409002536</v>
      </c>
      <c r="BN18" s="877">
        <f t="shared" si="55"/>
        <v>37.483818768984705</v>
      </c>
      <c r="BO18" s="877">
        <f t="shared" si="55"/>
        <v>37.507450128966873</v>
      </c>
      <c r="BP18" s="877">
        <f t="shared" si="55"/>
        <v>37.531081488949042</v>
      </c>
      <c r="BQ18" s="1074">
        <f>1.00952871208344*BB18</f>
        <v>37.55471284893126</v>
      </c>
      <c r="BR18" s="877">
        <f t="shared" si="56"/>
        <v>37.578569385338866</v>
      </c>
      <c r="BS18" s="877">
        <f t="shared" si="56"/>
        <v>37.602425921746473</v>
      </c>
      <c r="BT18" s="877">
        <f t="shared" si="56"/>
        <v>37.62628245815408</v>
      </c>
      <c r="BU18" s="877">
        <f t="shared" si="56"/>
        <v>37.650138994561686</v>
      </c>
      <c r="BV18" s="1075">
        <f>1.00317623736115*BQ18</f>
        <v>37.673995530969293</v>
      </c>
      <c r="BW18" s="1391">
        <f>+BV18*BW$141/BV$141</f>
        <v>37.657407528684409</v>
      </c>
      <c r="BX18" s="1391">
        <f t="shared" ref="BX18:CZ18" si="59">+BW18*BX$141/BW$141</f>
        <v>37.640826830159476</v>
      </c>
      <c r="BY18" s="1391">
        <f t="shared" si="59"/>
        <v>37.62425343217862</v>
      </c>
      <c r="BZ18" s="1391">
        <f t="shared" si="59"/>
        <v>37.607687331527387</v>
      </c>
      <c r="CA18" s="1391">
        <f t="shared" si="59"/>
        <v>37.59112852499274</v>
      </c>
      <c r="CB18" s="1391">
        <f t="shared" si="59"/>
        <v>37.561018618089207</v>
      </c>
      <c r="CC18" s="1391">
        <f t="shared" si="59"/>
        <v>37.530932828750899</v>
      </c>
      <c r="CD18" s="1391">
        <f t="shared" si="59"/>
        <v>37.500871137660013</v>
      </c>
      <c r="CE18" s="1391">
        <f t="shared" si="59"/>
        <v>37.47083352551423</v>
      </c>
      <c r="CF18" s="1391">
        <f t="shared" si="59"/>
        <v>37.440819973026684</v>
      </c>
      <c r="CG18" s="1391">
        <f t="shared" si="59"/>
        <v>37.399474622500279</v>
      </c>
      <c r="CH18" s="1391">
        <f t="shared" si="59"/>
        <v>37.358174929040445</v>
      </c>
      <c r="CI18" s="1391">
        <f t="shared" si="59"/>
        <v>37.316920842228761</v>
      </c>
      <c r="CJ18" s="1391">
        <f t="shared" si="59"/>
        <v>37.275712311702456</v>
      </c>
      <c r="CK18" s="1391">
        <f t="shared" si="59"/>
        <v>37.234549287154408</v>
      </c>
      <c r="CL18" s="1391">
        <f t="shared" si="59"/>
        <v>37.189671530537417</v>
      </c>
      <c r="CM18" s="1391">
        <f t="shared" si="59"/>
        <v>37.144847863820196</v>
      </c>
      <c r="CN18" s="1391">
        <f t="shared" si="59"/>
        <v>37.100078221809703</v>
      </c>
      <c r="CO18" s="1391">
        <f t="shared" si="59"/>
        <v>37.055362539391488</v>
      </c>
      <c r="CP18" s="1391">
        <f t="shared" si="59"/>
        <v>37.010700751529562</v>
      </c>
      <c r="CQ18" s="1391">
        <f t="shared" si="59"/>
        <v>36.958970738942355</v>
      </c>
      <c r="CR18" s="1391">
        <f t="shared" si="59"/>
        <v>36.907313029611991</v>
      </c>
      <c r="CS18" s="1391">
        <f t="shared" si="59"/>
        <v>36.855727522479896</v>
      </c>
      <c r="CT18" s="1391">
        <f t="shared" si="59"/>
        <v>36.804214116628756</v>
      </c>
      <c r="CU18" s="1391">
        <f t="shared" si="59"/>
        <v>36.752772711282311</v>
      </c>
      <c r="CV18" s="1391">
        <f t="shared" si="59"/>
        <v>36.70255674147662</v>
      </c>
      <c r="CW18" s="1391">
        <f t="shared" si="59"/>
        <v>36.652409382647399</v>
      </c>
      <c r="CX18" s="1391">
        <f t="shared" si="59"/>
        <v>36.602330541050243</v>
      </c>
      <c r="CY18" s="1391">
        <f t="shared" si="59"/>
        <v>36.552320123068824</v>
      </c>
      <c r="CZ18" s="1391">
        <f t="shared" si="59"/>
        <v>36.502378035214747</v>
      </c>
    </row>
    <row r="19" spans="1:104" ht="13" thickTop="1" x14ac:dyDescent="0.25">
      <c r="AH19" s="260"/>
    </row>
    <row r="20" spans="1:104" x14ac:dyDescent="0.25">
      <c r="E20" s="260"/>
    </row>
    <row r="21" spans="1:104" ht="13" thickBot="1" x14ac:dyDescent="0.3"/>
    <row r="22" spans="1:104" ht="13.5" thickTop="1" x14ac:dyDescent="0.3">
      <c r="A22" s="864" t="s">
        <v>1104</v>
      </c>
      <c r="B22" s="865" t="str">
        <f>"Prices are in $(" &amp; ref_year&amp;")/GJ LHV"</f>
        <v>Prices are in $(2016)/GJ LHV</v>
      </c>
      <c r="C22" s="866"/>
      <c r="D22" s="866"/>
      <c r="E22" s="866"/>
      <c r="F22" s="866"/>
      <c r="G22" s="866"/>
      <c r="H22" s="866"/>
      <c r="I22" s="866"/>
      <c r="J22" s="866"/>
      <c r="K22" s="866"/>
      <c r="L22" s="866"/>
      <c r="M22" s="866"/>
      <c r="N22" s="866"/>
      <c r="O22" s="866"/>
      <c r="P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N22" s="866"/>
      <c r="AO22" s="866"/>
      <c r="AP22" s="866"/>
      <c r="AQ22" s="866"/>
      <c r="AR22" s="866"/>
      <c r="AS22" s="879" t="s">
        <v>772</v>
      </c>
      <c r="AT22" s="880"/>
      <c r="AU22" s="880"/>
      <c r="AV22" s="880"/>
      <c r="AW22" s="880"/>
      <c r="AX22" s="880"/>
      <c r="AY22" s="880"/>
      <c r="AZ22" s="880"/>
      <c r="BA22" s="880"/>
      <c r="BB22" s="880"/>
      <c r="BC22" s="880"/>
      <c r="BD22" s="880"/>
      <c r="BE22" s="880"/>
      <c r="BF22" s="880"/>
      <c r="BG22" s="880"/>
      <c r="BH22" s="880"/>
      <c r="BI22" s="880"/>
      <c r="BJ22" s="880"/>
      <c r="BK22" s="880"/>
      <c r="BL22" s="880"/>
      <c r="BM22" s="880"/>
      <c r="BN22" s="880"/>
      <c r="BO22" s="880"/>
      <c r="BP22" s="880"/>
      <c r="BQ22" s="880"/>
      <c r="BR22" s="880"/>
      <c r="BS22" s="880"/>
      <c r="BT22" s="880"/>
      <c r="BU22" s="880"/>
      <c r="BV22" s="881"/>
    </row>
    <row r="23" spans="1:104" ht="39.5" thickBot="1" x14ac:dyDescent="0.35">
      <c r="A23" s="884" t="s">
        <v>1083</v>
      </c>
      <c r="B23" s="885" t="s">
        <v>678</v>
      </c>
      <c r="C23" s="885" t="s">
        <v>679</v>
      </c>
      <c r="D23" s="885" t="s">
        <v>690</v>
      </c>
      <c r="E23" s="885" t="s">
        <v>691</v>
      </c>
      <c r="F23" s="886" t="s">
        <v>680</v>
      </c>
      <c r="G23" s="886" t="s">
        <v>692</v>
      </c>
      <c r="H23" s="1061">
        <v>2004</v>
      </c>
      <c r="I23" s="1061">
        <v>2005</v>
      </c>
      <c r="J23" s="1061">
        <v>2006</v>
      </c>
      <c r="K23" s="1061">
        <v>2007</v>
      </c>
      <c r="L23" s="1061">
        <v>2008</v>
      </c>
      <c r="M23" s="1061">
        <v>2009</v>
      </c>
      <c r="N23" s="886">
        <v>2010</v>
      </c>
      <c r="O23" s="886">
        <v>2011</v>
      </c>
      <c r="P23" s="886">
        <v>2012</v>
      </c>
      <c r="Q23" s="886">
        <v>2013</v>
      </c>
      <c r="R23" s="886">
        <v>2014</v>
      </c>
      <c r="S23" s="886">
        <v>2015</v>
      </c>
      <c r="T23" s="886">
        <v>2016</v>
      </c>
      <c r="U23" s="886">
        <v>2017</v>
      </c>
      <c r="V23" s="886">
        <v>2018</v>
      </c>
      <c r="W23" s="886">
        <v>2019</v>
      </c>
      <c r="X23" s="886">
        <v>2020</v>
      </c>
      <c r="Y23" s="886">
        <v>2021</v>
      </c>
      <c r="Z23" s="886">
        <v>2022</v>
      </c>
      <c r="AA23" s="886">
        <v>2023</v>
      </c>
      <c r="AB23" s="886">
        <v>2024</v>
      </c>
      <c r="AC23" s="886">
        <v>2025</v>
      </c>
      <c r="AD23" s="886">
        <v>2026</v>
      </c>
      <c r="AE23" s="886">
        <v>2027</v>
      </c>
      <c r="AF23" s="886">
        <v>2028</v>
      </c>
      <c r="AG23" s="886">
        <v>2029</v>
      </c>
      <c r="AH23" s="886">
        <v>2030</v>
      </c>
      <c r="AI23" s="886">
        <v>2031</v>
      </c>
      <c r="AJ23" s="886">
        <v>2032</v>
      </c>
      <c r="AK23" s="886">
        <v>2033</v>
      </c>
      <c r="AL23" s="886">
        <v>2034</v>
      </c>
      <c r="AM23" s="886">
        <v>2035</v>
      </c>
      <c r="AN23" s="886">
        <v>2036</v>
      </c>
      <c r="AO23" s="886">
        <v>2037</v>
      </c>
      <c r="AP23" s="886">
        <v>2038</v>
      </c>
      <c r="AQ23" s="886">
        <v>2039</v>
      </c>
      <c r="AR23" s="886">
        <v>2040</v>
      </c>
      <c r="AS23" s="886">
        <v>2041</v>
      </c>
      <c r="AT23" s="886">
        <v>2042</v>
      </c>
      <c r="AU23" s="886">
        <v>2043</v>
      </c>
      <c r="AV23" s="886">
        <v>2044</v>
      </c>
      <c r="AW23" s="886">
        <v>2045</v>
      </c>
      <c r="AX23" s="886">
        <v>2046</v>
      </c>
      <c r="AY23" s="886">
        <v>2047</v>
      </c>
      <c r="AZ23" s="886">
        <v>2048</v>
      </c>
      <c r="BA23" s="886">
        <v>2049</v>
      </c>
      <c r="BB23" s="886">
        <v>2050</v>
      </c>
      <c r="BC23" s="886">
        <v>2051</v>
      </c>
      <c r="BD23" s="886">
        <v>2052</v>
      </c>
      <c r="BE23" s="886">
        <v>2053</v>
      </c>
      <c r="BF23" s="886">
        <v>2054</v>
      </c>
      <c r="BG23" s="886">
        <v>2055</v>
      </c>
      <c r="BH23" s="886">
        <v>2056</v>
      </c>
      <c r="BI23" s="886">
        <v>2057</v>
      </c>
      <c r="BJ23" s="886">
        <v>2058</v>
      </c>
      <c r="BK23" s="886">
        <v>2059</v>
      </c>
      <c r="BL23" s="886">
        <v>2060</v>
      </c>
      <c r="BM23" s="886">
        <v>2061</v>
      </c>
      <c r="BN23" s="886">
        <v>2062</v>
      </c>
      <c r="BO23" s="886">
        <v>2063</v>
      </c>
      <c r="BP23" s="886">
        <v>2064</v>
      </c>
      <c r="BQ23" s="886">
        <v>2065</v>
      </c>
      <c r="BR23" s="886">
        <v>2066</v>
      </c>
      <c r="BS23" s="886">
        <v>2067</v>
      </c>
      <c r="BT23" s="886">
        <v>2068</v>
      </c>
      <c r="BU23" s="886">
        <v>2069</v>
      </c>
      <c r="BV23" s="887">
        <v>2070</v>
      </c>
      <c r="BW23" s="1392">
        <f t="shared" ref="BW23" si="60">+BV23+1</f>
        <v>2071</v>
      </c>
      <c r="BX23" s="1392">
        <f t="shared" ref="BX23" si="61">+BW23+1</f>
        <v>2072</v>
      </c>
      <c r="BY23" s="1392">
        <f t="shared" ref="BY23" si="62">+BX23+1</f>
        <v>2073</v>
      </c>
      <c r="BZ23" s="1392">
        <f t="shared" ref="BZ23" si="63">+BY23+1</f>
        <v>2074</v>
      </c>
      <c r="CA23" s="1392">
        <f t="shared" ref="CA23" si="64">+BZ23+1</f>
        <v>2075</v>
      </c>
      <c r="CB23" s="1392">
        <f t="shared" ref="CB23" si="65">+CA23+1</f>
        <v>2076</v>
      </c>
      <c r="CC23" s="1392">
        <f t="shared" ref="CC23" si="66">+CB23+1</f>
        <v>2077</v>
      </c>
      <c r="CD23" s="1392">
        <f t="shared" ref="CD23" si="67">+CC23+1</f>
        <v>2078</v>
      </c>
      <c r="CE23" s="1392">
        <f t="shared" ref="CE23" si="68">+CD23+1</f>
        <v>2079</v>
      </c>
      <c r="CF23" s="1392">
        <f t="shared" ref="CF23" si="69">+CE23+1</f>
        <v>2080</v>
      </c>
      <c r="CG23" s="1392">
        <f t="shared" ref="CG23" si="70">+CF23+1</f>
        <v>2081</v>
      </c>
      <c r="CH23" s="1392">
        <f t="shared" ref="CH23" si="71">+CG23+1</f>
        <v>2082</v>
      </c>
      <c r="CI23" s="1392">
        <f t="shared" ref="CI23" si="72">+CH23+1</f>
        <v>2083</v>
      </c>
      <c r="CJ23" s="1392">
        <f t="shared" ref="CJ23" si="73">+CI23+1</f>
        <v>2084</v>
      </c>
      <c r="CK23" s="1392">
        <f t="shared" ref="CK23" si="74">+CJ23+1</f>
        <v>2085</v>
      </c>
      <c r="CL23" s="1392">
        <f t="shared" ref="CL23" si="75">+CK23+1</f>
        <v>2086</v>
      </c>
      <c r="CM23" s="1392">
        <f t="shared" ref="CM23" si="76">+CL23+1</f>
        <v>2087</v>
      </c>
      <c r="CN23" s="1392">
        <f t="shared" ref="CN23" si="77">+CM23+1</f>
        <v>2088</v>
      </c>
      <c r="CO23" s="1392">
        <f t="shared" ref="CO23" si="78">+CN23+1</f>
        <v>2089</v>
      </c>
      <c r="CP23" s="1392">
        <f t="shared" ref="CP23" si="79">+CO23+1</f>
        <v>2090</v>
      </c>
      <c r="CQ23" s="1392">
        <f t="shared" ref="CQ23" si="80">+CP23+1</f>
        <v>2091</v>
      </c>
      <c r="CR23" s="1392">
        <f t="shared" ref="CR23" si="81">+CQ23+1</f>
        <v>2092</v>
      </c>
      <c r="CS23" s="1392">
        <f t="shared" ref="CS23" si="82">+CR23+1</f>
        <v>2093</v>
      </c>
      <c r="CT23" s="1392">
        <f t="shared" ref="CT23" si="83">+CS23+1</f>
        <v>2094</v>
      </c>
      <c r="CU23" s="1392">
        <f t="shared" ref="CU23" si="84">+CT23+1</f>
        <v>2095</v>
      </c>
      <c r="CV23" s="1392">
        <f t="shared" ref="CV23" si="85">+CU23+1</f>
        <v>2096</v>
      </c>
      <c r="CW23" s="1392">
        <f t="shared" ref="CW23" si="86">+CV23+1</f>
        <v>2097</v>
      </c>
      <c r="CX23" s="1392">
        <f t="shared" ref="CX23" si="87">+CW23+1</f>
        <v>2098</v>
      </c>
      <c r="CY23" s="1392">
        <f t="shared" ref="CY23" si="88">+CX23+1</f>
        <v>2099</v>
      </c>
      <c r="CZ23" s="1392">
        <f t="shared" ref="CZ23" si="89">+CY23+1</f>
        <v>2100</v>
      </c>
    </row>
    <row r="24" spans="1:104" ht="13" thickBot="1" x14ac:dyDescent="0.3">
      <c r="A24" s="953" t="s">
        <v>1089</v>
      </c>
      <c r="B24" s="954"/>
      <c r="C24" s="954"/>
      <c r="D24" s="954"/>
      <c r="E24" s="954"/>
      <c r="F24" s="868"/>
      <c r="G24" s="954"/>
      <c r="H24" s="954"/>
      <c r="I24" s="954"/>
      <c r="J24" s="954"/>
      <c r="K24" s="954"/>
      <c r="L24" s="954"/>
      <c r="M24" s="954"/>
      <c r="N24" s="954"/>
      <c r="O24" s="954"/>
      <c r="P24" s="954"/>
      <c r="Q24" s="954"/>
      <c r="R24" s="954"/>
      <c r="S24" s="954"/>
      <c r="T24" s="954"/>
      <c r="U24" s="954"/>
      <c r="V24" s="954"/>
      <c r="W24" s="954"/>
      <c r="X24" s="954"/>
      <c r="Y24" s="954"/>
      <c r="Z24" s="954"/>
      <c r="AA24" s="954"/>
      <c r="AB24" s="954"/>
      <c r="AC24" s="954"/>
      <c r="AD24" s="954"/>
      <c r="AE24" s="954"/>
      <c r="AF24" s="954"/>
      <c r="AG24" s="954"/>
      <c r="AH24" s="954"/>
      <c r="AI24" s="954"/>
      <c r="AJ24" s="954"/>
      <c r="AK24" s="954"/>
      <c r="AL24" s="954"/>
      <c r="AM24" s="954"/>
      <c r="AN24" s="954"/>
      <c r="AO24" s="954"/>
      <c r="AP24" s="954"/>
      <c r="AQ24" s="954"/>
      <c r="AR24" s="954"/>
      <c r="AS24" s="954"/>
      <c r="AT24" s="954"/>
      <c r="AU24" s="954"/>
      <c r="AV24" s="954"/>
      <c r="AW24" s="954"/>
      <c r="AX24" s="954"/>
      <c r="AY24" s="954"/>
      <c r="AZ24" s="954"/>
      <c r="BA24" s="954"/>
      <c r="BC24" s="954"/>
      <c r="BD24" s="954"/>
      <c r="BE24" s="954"/>
      <c r="BF24" s="954"/>
      <c r="BG24" s="954"/>
      <c r="BH24" s="954"/>
      <c r="BI24" s="954"/>
      <c r="BJ24" s="954"/>
      <c r="BK24" s="954"/>
      <c r="BL24" s="954"/>
      <c r="BM24" s="954"/>
      <c r="BN24" s="954"/>
      <c r="BO24" s="954"/>
      <c r="BP24" s="954"/>
      <c r="BR24" s="954"/>
      <c r="BS24" s="954"/>
      <c r="BT24" s="954"/>
      <c r="BU24" s="954"/>
    </row>
    <row r="25" spans="1:104" ht="13" x14ac:dyDescent="0.3">
      <c r="A25" s="973" t="str">
        <f>'HyARC Physical Property Data'!A73</f>
        <v>Residential Natural Gas</v>
      </c>
      <c r="B25" s="954">
        <v>2011</v>
      </c>
      <c r="C25" s="955">
        <f>VLOOKUP(ref_year,DeflatorTable,2,FALSE)/VLOOKUP(B25,DeflatorTable,2,FALSE)</f>
        <v>1.0784554773635862</v>
      </c>
      <c r="D25" s="1240" t="str">
        <f>'HyARC Physical Property Data'!H73</f>
        <v>mmBtu</v>
      </c>
      <c r="E25" s="955" t="s">
        <v>1057</v>
      </c>
      <c r="F25" s="954">
        <f>'HyARC Physical Property Data'!$E$6</f>
        <v>47.141269049911173</v>
      </c>
      <c r="G25" s="954">
        <f>'HyARC Physical Property Data'!$I$6</f>
        <v>52.224661236371581</v>
      </c>
      <c r="H25" s="1062">
        <v>14.386141835345208</v>
      </c>
      <c r="I25" s="1062">
        <v>14.386141835345208</v>
      </c>
      <c r="J25" s="1062">
        <v>14.386141835345208</v>
      </c>
      <c r="K25" s="1062">
        <v>13.326716630976858</v>
      </c>
      <c r="L25" s="1062">
        <v>13.627764477872551</v>
      </c>
      <c r="M25" s="1062">
        <v>11.254339733155913</v>
      </c>
      <c r="N25" s="954">
        <f t="shared" ref="N25:AR25" si="90">((N42/(mmBTU_to_GJ))*($C25))*($G25/$F25)</f>
        <v>12.864072624231563</v>
      </c>
      <c r="O25" s="954">
        <f t="shared" si="90"/>
        <v>12.23325661230241</v>
      </c>
      <c r="P25" s="954">
        <f t="shared" si="90"/>
        <v>11.850527062684614</v>
      </c>
      <c r="Q25" s="954">
        <f t="shared" si="90"/>
        <v>11.865842495866545</v>
      </c>
      <c r="R25" s="954">
        <f t="shared" si="90"/>
        <v>11.611695090166418</v>
      </c>
      <c r="S25" s="954">
        <f t="shared" si="90"/>
        <v>11.50138750593943</v>
      </c>
      <c r="T25" s="954">
        <f t="shared" si="90"/>
        <v>12.075204376866452</v>
      </c>
      <c r="U25" s="954">
        <f t="shared" si="90"/>
        <v>12.446344297440779</v>
      </c>
      <c r="V25" s="954">
        <f t="shared" si="90"/>
        <v>12.907270435435697</v>
      </c>
      <c r="W25" s="954">
        <f t="shared" si="90"/>
        <v>13.164777859640022</v>
      </c>
      <c r="X25" s="954">
        <f t="shared" si="90"/>
        <v>13.336162585082695</v>
      </c>
      <c r="Y25" s="954">
        <f t="shared" si="90"/>
        <v>13.544264034469807</v>
      </c>
      <c r="Z25" s="954">
        <f t="shared" si="90"/>
        <v>13.819651921148951</v>
      </c>
      <c r="AA25" s="954">
        <f t="shared" si="90"/>
        <v>14.079086797828554</v>
      </c>
      <c r="AB25" s="954">
        <f t="shared" si="90"/>
        <v>14.2515190517904</v>
      </c>
      <c r="AC25" s="954">
        <f t="shared" si="90"/>
        <v>14.353207458115314</v>
      </c>
      <c r="AD25" s="954">
        <f t="shared" si="90"/>
        <v>14.54298904928118</v>
      </c>
      <c r="AE25" s="954">
        <f t="shared" si="90"/>
        <v>14.646583391279357</v>
      </c>
      <c r="AF25" s="954">
        <f t="shared" si="90"/>
        <v>14.81893750527599</v>
      </c>
      <c r="AG25" s="954">
        <f t="shared" si="90"/>
        <v>14.987454833734297</v>
      </c>
      <c r="AH25" s="954">
        <f t="shared" si="90"/>
        <v>15.139899111087075</v>
      </c>
      <c r="AI25" s="954">
        <f t="shared" si="90"/>
        <v>15.341580626230741</v>
      </c>
      <c r="AJ25" s="954">
        <f t="shared" si="90"/>
        <v>15.539442342785032</v>
      </c>
      <c r="AK25" s="954">
        <f t="shared" si="90"/>
        <v>15.781889138041823</v>
      </c>
      <c r="AL25" s="954">
        <f t="shared" si="90"/>
        <v>16.136390908341905</v>
      </c>
      <c r="AM25" s="954">
        <f t="shared" si="90"/>
        <v>16.532635274551915</v>
      </c>
      <c r="AN25" s="954">
        <f t="shared" si="90"/>
        <v>17.01379173629439</v>
      </c>
      <c r="AO25" s="954">
        <f t="shared" si="90"/>
        <v>17.457934768717273</v>
      </c>
      <c r="AP25" s="954">
        <f t="shared" si="90"/>
        <v>17.940794455208763</v>
      </c>
      <c r="AQ25" s="954">
        <f t="shared" si="90"/>
        <v>18.182559507580642</v>
      </c>
      <c r="AR25" s="954">
        <f t="shared" si="90"/>
        <v>18.530579058157759</v>
      </c>
      <c r="AS25" s="954">
        <f>($BB25-$AR25)/10+AR25</f>
        <v>18.537819201300856</v>
      </c>
      <c r="AT25" s="954">
        <f t="shared" ref="AT25:BA25" si="91">($BB25-$AR25)/10+AS25</f>
        <v>18.545059344443953</v>
      </c>
      <c r="AU25" s="954">
        <f t="shared" si="91"/>
        <v>18.552299487587049</v>
      </c>
      <c r="AV25" s="954">
        <f t="shared" si="91"/>
        <v>18.559539630730146</v>
      </c>
      <c r="AW25" s="954">
        <f t="shared" si="91"/>
        <v>18.566779773873243</v>
      </c>
      <c r="AX25" s="954">
        <f t="shared" si="91"/>
        <v>18.57401991701634</v>
      </c>
      <c r="AY25" s="954">
        <f t="shared" si="91"/>
        <v>18.581260060159437</v>
      </c>
      <c r="AZ25" s="954">
        <f t="shared" si="91"/>
        <v>18.588500203302534</v>
      </c>
      <c r="BA25" s="954">
        <f t="shared" si="91"/>
        <v>18.595740346445631</v>
      </c>
      <c r="BB25" s="956">
        <f>'AEO Data'!$B$30*AM25</f>
        <v>18.602980489588727</v>
      </c>
      <c r="BC25" s="954">
        <f>($BQ25-$BB25)/15+BB25</f>
        <v>18.754563729723429</v>
      </c>
      <c r="BD25" s="954">
        <f t="shared" ref="BD25:BP25" si="92">($BQ25-$BB25)/15+BC25</f>
        <v>18.906146969858131</v>
      </c>
      <c r="BE25" s="954">
        <f t="shared" si="92"/>
        <v>19.057730209992833</v>
      </c>
      <c r="BF25" s="954">
        <f t="shared" si="92"/>
        <v>19.209313450127535</v>
      </c>
      <c r="BG25" s="954">
        <f t="shared" si="92"/>
        <v>19.360896690262237</v>
      </c>
      <c r="BH25" s="954">
        <f t="shared" si="92"/>
        <v>19.512479930396939</v>
      </c>
      <c r="BI25" s="954">
        <f t="shared" si="92"/>
        <v>19.664063170531641</v>
      </c>
      <c r="BJ25" s="954">
        <f t="shared" si="92"/>
        <v>19.815646410666343</v>
      </c>
      <c r="BK25" s="954">
        <f t="shared" si="92"/>
        <v>19.967229650801045</v>
      </c>
      <c r="BL25" s="954">
        <f t="shared" si="92"/>
        <v>20.118812890935747</v>
      </c>
      <c r="BM25" s="954">
        <f t="shared" si="92"/>
        <v>20.270396131070449</v>
      </c>
      <c r="BN25" s="954">
        <f t="shared" si="92"/>
        <v>20.42197937120515</v>
      </c>
      <c r="BO25" s="954">
        <f t="shared" si="92"/>
        <v>20.573562611339852</v>
      </c>
      <c r="BP25" s="954">
        <f t="shared" si="92"/>
        <v>20.725145851474554</v>
      </c>
      <c r="BQ25" s="956">
        <f>'AEO Data'!$C$30*BB25</f>
        <v>20.876729091609249</v>
      </c>
      <c r="BR25" s="954">
        <f>($BV25-$BQ25)/5+BQ25</f>
        <v>20.996057748553792</v>
      </c>
      <c r="BS25" s="954">
        <f>($BV25-$BQ25)/5+BR25</f>
        <v>21.115386405498334</v>
      </c>
      <c r="BT25" s="954">
        <f>($BV25-$BQ25)/5+BS25</f>
        <v>21.234715062442877</v>
      </c>
      <c r="BU25" s="954">
        <f>($BV25-$BQ25)/5+BT25</f>
        <v>21.35404371938742</v>
      </c>
      <c r="BV25" s="957">
        <f>'AEO Data'!$D$30*BQ25</f>
        <v>21.473372376331962</v>
      </c>
      <c r="BW25" s="1391">
        <f>+BV25*BW$133/BV$133</f>
        <v>21.544670286660121</v>
      </c>
      <c r="BX25" s="1391">
        <f t="shared" ref="BX25:CZ25" si="93">+BW25*BX$133/BW$133</f>
        <v>21.616204927015033</v>
      </c>
      <c r="BY25" s="1391">
        <f t="shared" si="93"/>
        <v>21.687977083409997</v>
      </c>
      <c r="BZ25" s="1391">
        <f t="shared" si="93"/>
        <v>21.759987544468107</v>
      </c>
      <c r="CA25" s="1391">
        <f t="shared" si="93"/>
        <v>21.832237101430913</v>
      </c>
      <c r="CB25" s="1391">
        <f t="shared" si="93"/>
        <v>21.878825528741867</v>
      </c>
      <c r="CC25" s="1391">
        <f t="shared" si="93"/>
        <v>21.925513372413558</v>
      </c>
      <c r="CD25" s="1391">
        <f t="shared" si="93"/>
        <v>21.972300844593363</v>
      </c>
      <c r="CE25" s="1391">
        <f t="shared" si="93"/>
        <v>22.01918815788137</v>
      </c>
      <c r="CF25" s="1391">
        <f t="shared" si="93"/>
        <v>22.066175525331335</v>
      </c>
      <c r="CG25" s="1391">
        <f t="shared" si="93"/>
        <v>22.081432025482624</v>
      </c>
      <c r="CH25" s="1391">
        <f t="shared" si="93"/>
        <v>22.096699073941053</v>
      </c>
      <c r="CI25" s="1391">
        <f t="shared" si="93"/>
        <v>22.111976677999699</v>
      </c>
      <c r="CJ25" s="1391">
        <f t="shared" si="93"/>
        <v>22.127264844956677</v>
      </c>
      <c r="CK25" s="1391">
        <f t="shared" si="93"/>
        <v>22.142563582115145</v>
      </c>
      <c r="CL25" s="1391">
        <f t="shared" si="93"/>
        <v>22.147749174896123</v>
      </c>
      <c r="CM25" s="1391">
        <f t="shared" si="93"/>
        <v>22.152935982097123</v>
      </c>
      <c r="CN25" s="1391">
        <f t="shared" si="93"/>
        <v>22.158124004002548</v>
      </c>
      <c r="CO25" s="1391">
        <f t="shared" si="93"/>
        <v>22.163313240896873</v>
      </c>
      <c r="CP25" s="1391">
        <f t="shared" si="93"/>
        <v>22.16850369306464</v>
      </c>
      <c r="CQ25" s="1391">
        <f t="shared" si="93"/>
        <v>22.176370321670593</v>
      </c>
      <c r="CR25" s="1391">
        <f t="shared" si="93"/>
        <v>22.184239741797636</v>
      </c>
      <c r="CS25" s="1391">
        <f t="shared" si="93"/>
        <v>22.19211195443636</v>
      </c>
      <c r="CT25" s="1391">
        <f t="shared" si="93"/>
        <v>22.199986960577704</v>
      </c>
      <c r="CU25" s="1391">
        <f t="shared" si="93"/>
        <v>22.207864761212956</v>
      </c>
      <c r="CV25" s="1391">
        <f t="shared" si="93"/>
        <v>22.219988729743012</v>
      </c>
      <c r="CW25" s="1391">
        <f t="shared" si="93"/>
        <v>22.232119317126994</v>
      </c>
      <c r="CX25" s="1391">
        <f t="shared" si="93"/>
        <v>22.244256526978344</v>
      </c>
      <c r="CY25" s="1391">
        <f t="shared" si="93"/>
        <v>22.256400362912476</v>
      </c>
      <c r="CZ25" s="1391">
        <f t="shared" si="93"/>
        <v>22.268550828546775</v>
      </c>
    </row>
    <row r="26" spans="1:104" ht="13" x14ac:dyDescent="0.3">
      <c r="A26" s="872" t="str">
        <f>'HyARC Physical Property Data'!A71</f>
        <v>Commercial Natural Gas</v>
      </c>
      <c r="B26" s="260">
        <v>2011</v>
      </c>
      <c r="C26" s="871">
        <f>VLOOKUP(ref_year,DeflatorTable,2,FALSE)/VLOOKUP(B26,DeflatorTable,2,FALSE)</f>
        <v>1.0784554773635862</v>
      </c>
      <c r="D26" s="1241" t="str">
        <f>'HyARC Physical Property Data'!H71</f>
        <v>mmBtu</v>
      </c>
      <c r="E26" s="871" t="s">
        <v>1057</v>
      </c>
      <c r="F26" s="260">
        <f>'HyARC Physical Property Data'!$E$6</f>
        <v>47.141269049911173</v>
      </c>
      <c r="G26" s="260">
        <f>'HyARC Physical Property Data'!$I$6</f>
        <v>52.224661236371581</v>
      </c>
      <c r="H26" s="1063">
        <v>12.491836786393147</v>
      </c>
      <c r="I26" s="1063">
        <v>12.491836786393147</v>
      </c>
      <c r="J26" s="1063">
        <v>12.491836786393147</v>
      </c>
      <c r="K26" s="1063">
        <v>11.540201846875071</v>
      </c>
      <c r="L26" s="1063">
        <v>11.906633267965836</v>
      </c>
      <c r="M26" s="1063">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4">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4">
        <f>'AEO Data'!$C$30*BB26</f>
        <v>16.705094767552271</v>
      </c>
      <c r="BR26" s="260">
        <f t="shared" ref="BR26:BU28" si="97">($BV26-$BQ26)/5+BQ26</f>
        <v>16.800578907524393</v>
      </c>
      <c r="BS26" s="260">
        <f t="shared" si="97"/>
        <v>16.896063047496515</v>
      </c>
      <c r="BT26" s="260">
        <f t="shared" si="97"/>
        <v>16.991547187468637</v>
      </c>
      <c r="BU26" s="260">
        <f t="shared" si="97"/>
        <v>17.087031327440759</v>
      </c>
      <c r="BV26" s="958">
        <f>'AEO Data'!$D$30*BQ26</f>
        <v>17.182515467412887</v>
      </c>
      <c r="BW26" s="1391">
        <f>+BV26*BW$134/BV$134</f>
        <v>17.239566471118206</v>
      </c>
      <c r="BX26" s="1391">
        <f t="shared" ref="BX26:CZ26" si="98">+BW26*BX$134/BW$134</f>
        <v>17.296806900931124</v>
      </c>
      <c r="BY26" s="1391">
        <f t="shared" si="98"/>
        <v>17.354237385802019</v>
      </c>
      <c r="BZ26" s="1391">
        <f t="shared" si="98"/>
        <v>17.41185855676957</v>
      </c>
      <c r="CA26" s="1391">
        <f t="shared" si="98"/>
        <v>17.469671046967683</v>
      </c>
      <c r="CB26" s="1391">
        <f t="shared" si="98"/>
        <v>17.506950071372589</v>
      </c>
      <c r="CC26" s="1391">
        <f t="shared" si="98"/>
        <v>17.544308646540465</v>
      </c>
      <c r="CD26" s="1391">
        <f t="shared" si="98"/>
        <v>17.581746942226928</v>
      </c>
      <c r="CE26" s="1391">
        <f t="shared" si="98"/>
        <v>17.619265128549845</v>
      </c>
      <c r="CF26" s="1391">
        <f t="shared" si="98"/>
        <v>17.656863375990099</v>
      </c>
      <c r="CG26" s="1391">
        <f t="shared" si="98"/>
        <v>17.669071288433191</v>
      </c>
      <c r="CH26" s="1391">
        <f t="shared" si="98"/>
        <v>17.681287641397287</v>
      </c>
      <c r="CI26" s="1391">
        <f t="shared" si="98"/>
        <v>17.693512440718141</v>
      </c>
      <c r="CJ26" s="1391">
        <f t="shared" si="98"/>
        <v>17.705745692235549</v>
      </c>
      <c r="CK26" s="1391">
        <f t="shared" si="98"/>
        <v>17.717987401793337</v>
      </c>
      <c r="CL26" s="1391">
        <f t="shared" si="98"/>
        <v>17.722136797920101</v>
      </c>
      <c r="CM26" s="1391">
        <f t="shared" si="98"/>
        <v>17.726287165798784</v>
      </c>
      <c r="CN26" s="1391">
        <f t="shared" si="98"/>
        <v>17.730438505656959</v>
      </c>
      <c r="CO26" s="1391">
        <f t="shared" si="98"/>
        <v>17.734590817722253</v>
      </c>
      <c r="CP26" s="1391">
        <f t="shared" si="98"/>
        <v>17.738744102222352</v>
      </c>
      <c r="CQ26" s="1391">
        <f t="shared" si="98"/>
        <v>17.745038803647411</v>
      </c>
      <c r="CR26" s="1391">
        <f t="shared" si="98"/>
        <v>17.751335738785624</v>
      </c>
      <c r="CS26" s="1391">
        <f t="shared" si="98"/>
        <v>17.75763490842964</v>
      </c>
      <c r="CT26" s="1391">
        <f t="shared" si="98"/>
        <v>17.763936313372383</v>
      </c>
      <c r="CU26" s="1391">
        <f t="shared" si="98"/>
        <v>17.770239954407064</v>
      </c>
      <c r="CV26" s="1391">
        <f t="shared" si="98"/>
        <v>17.779941284647286</v>
      </c>
      <c r="CW26" s="1391">
        <f t="shared" si="98"/>
        <v>17.789647911147362</v>
      </c>
      <c r="CX26" s="1391">
        <f t="shared" si="98"/>
        <v>17.799359836798683</v>
      </c>
      <c r="CY26" s="1391">
        <f t="shared" si="98"/>
        <v>17.809077064494225</v>
      </c>
      <c r="CZ26" s="1391">
        <f t="shared" si="98"/>
        <v>17.818799597128535</v>
      </c>
    </row>
    <row r="27" spans="1:104" ht="13" x14ac:dyDescent="0.3">
      <c r="A27" s="872" t="str">
        <f>'HyARC Physical Property Data'!A72</f>
        <v>Industrial Natural Gas</v>
      </c>
      <c r="B27" s="260">
        <v>2011</v>
      </c>
      <c r="C27" s="871">
        <f t="shared" ref="C27:C35" si="99">VLOOKUP(ref_year,DeflatorTable,2,FALSE)/VLOOKUP(B27,DeflatorTable,2,FALSE)</f>
        <v>1.0784554773635862</v>
      </c>
      <c r="D27" s="1241" t="str">
        <f>'HyARC Physical Property Data'!H72</f>
        <v>mmBtu</v>
      </c>
      <c r="E27" s="871" t="s">
        <v>1057</v>
      </c>
      <c r="F27" s="260">
        <f>'HyARC Physical Property Data'!$E$6</f>
        <v>47.141269049911173</v>
      </c>
      <c r="G27" s="260">
        <f>'HyARC Physical Property Data'!$I$6</f>
        <v>52.224661236371581</v>
      </c>
      <c r="H27" s="1063">
        <v>8.3524006010892204</v>
      </c>
      <c r="I27" s="1063">
        <v>8.3524006010892204</v>
      </c>
      <c r="J27" s="1063">
        <v>8.3524006010892204</v>
      </c>
      <c r="K27" s="1063">
        <v>7.891606632326889</v>
      </c>
      <c r="L27" s="1063">
        <v>9.2420298006250725</v>
      </c>
      <c r="M27" s="1063">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4">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4">
        <f>'AEO Data'!$C$30*BB27</f>
        <v>10.647150755989088</v>
      </c>
      <c r="BR27" s="260">
        <f t="shared" si="97"/>
        <v>10.708008479170871</v>
      </c>
      <c r="BS27" s="260">
        <f t="shared" si="97"/>
        <v>10.768866202352655</v>
      </c>
      <c r="BT27" s="260">
        <f t="shared" si="97"/>
        <v>10.829723925534438</v>
      </c>
      <c r="BU27" s="260">
        <f t="shared" si="97"/>
        <v>10.890581648716221</v>
      </c>
      <c r="BV27" s="958">
        <f>'AEO Data'!$D$30*BQ27</f>
        <v>10.951439371898008</v>
      </c>
      <c r="BW27" s="1391">
        <f>+BV27*BW$135/BV$135</f>
        <v>10.987801370778188</v>
      </c>
      <c r="BX27" s="1391">
        <f t="shared" ref="BX27:CZ27" si="102">+BW27*BX$135/BW$135</f>
        <v>11.024284102186545</v>
      </c>
      <c r="BY27" s="1391">
        <f t="shared" si="102"/>
        <v>11.060887966990576</v>
      </c>
      <c r="BZ27" s="1391">
        <f t="shared" si="102"/>
        <v>11.097613367388767</v>
      </c>
      <c r="CA27" s="1391">
        <f t="shared" si="102"/>
        <v>11.134460706915034</v>
      </c>
      <c r="CB27" s="1391">
        <f t="shared" si="102"/>
        <v>11.158220847063788</v>
      </c>
      <c r="CC27" s="1391">
        <f t="shared" si="102"/>
        <v>11.18203168964661</v>
      </c>
      <c r="CD27" s="1391">
        <f t="shared" si="102"/>
        <v>11.205893342858859</v>
      </c>
      <c r="CE27" s="1391">
        <f t="shared" si="102"/>
        <v>11.229805915126768</v>
      </c>
      <c r="CF27" s="1391">
        <f t="shared" si="102"/>
        <v>11.253769515107949</v>
      </c>
      <c r="CG27" s="1391">
        <f t="shared" si="102"/>
        <v>11.261550344011113</v>
      </c>
      <c r="CH27" s="1391">
        <f t="shared" si="102"/>
        <v>11.26933655256048</v>
      </c>
      <c r="CI27" s="1391">
        <f t="shared" si="102"/>
        <v>11.277128144475522</v>
      </c>
      <c r="CJ27" s="1391">
        <f t="shared" si="102"/>
        <v>11.284925123478285</v>
      </c>
      <c r="CK27" s="1391">
        <f t="shared" si="102"/>
        <v>11.292727493293389</v>
      </c>
      <c r="CL27" s="1391">
        <f t="shared" si="102"/>
        <v>11.295372150311067</v>
      </c>
      <c r="CM27" s="1391">
        <f t="shared" si="102"/>
        <v>11.298017426684055</v>
      </c>
      <c r="CN27" s="1391">
        <f t="shared" si="102"/>
        <v>11.300663322557401</v>
      </c>
      <c r="CO27" s="1391">
        <f t="shared" si="102"/>
        <v>11.303309838076188</v>
      </c>
      <c r="CP27" s="1391">
        <f t="shared" si="102"/>
        <v>11.305956973385531</v>
      </c>
      <c r="CQ27" s="1391">
        <f t="shared" si="102"/>
        <v>11.309968961103596</v>
      </c>
      <c r="CR27" s="1391">
        <f t="shared" si="102"/>
        <v>11.31398237249995</v>
      </c>
      <c r="CS27" s="1391">
        <f t="shared" si="102"/>
        <v>11.317997208079792</v>
      </c>
      <c r="CT27" s="1391">
        <f t="shared" si="102"/>
        <v>11.3220134683485</v>
      </c>
      <c r="CU27" s="1391">
        <f t="shared" si="102"/>
        <v>11.326031153811636</v>
      </c>
      <c r="CV27" s="1391">
        <f t="shared" si="102"/>
        <v>11.332214388749156</v>
      </c>
      <c r="CW27" s="1391">
        <f t="shared" si="102"/>
        <v>11.338400999308178</v>
      </c>
      <c r="CX27" s="1391">
        <f t="shared" si="102"/>
        <v>11.344590987331557</v>
      </c>
      <c r="CY27" s="1391">
        <f t="shared" si="102"/>
        <v>11.350784354663158</v>
      </c>
      <c r="CZ27" s="1391">
        <f t="shared" si="102"/>
        <v>11.356981103147852</v>
      </c>
    </row>
    <row r="28" spans="1:104" ht="13" x14ac:dyDescent="0.3">
      <c r="A28" s="872" t="str">
        <f>'HyARC Physical Property Data'!A74</f>
        <v>Electric Utility Natural Gas</v>
      </c>
      <c r="B28" s="260">
        <v>2011</v>
      </c>
      <c r="C28" s="871">
        <f t="shared" si="99"/>
        <v>1.0784554773635862</v>
      </c>
      <c r="D28" s="1254" t="str">
        <f>'HyARC Physical Property Data'!H74</f>
        <v>mmBtu</v>
      </c>
      <c r="E28" s="871" t="s">
        <v>1057</v>
      </c>
      <c r="F28" s="260">
        <f>'HyARC Physical Property Data'!$E$6</f>
        <v>47.141269049911173</v>
      </c>
      <c r="G28" s="260">
        <f>'HyARC Physical Property Data'!$I$6</f>
        <v>52.224661236371581</v>
      </c>
      <c r="H28" s="1063">
        <v>7.4079259090132386</v>
      </c>
      <c r="I28" s="1063">
        <v>7.4079259090132386</v>
      </c>
      <c r="J28" s="1063">
        <v>7.4079259090132386</v>
      </c>
      <c r="K28" s="1063">
        <v>7.3706710915002853</v>
      </c>
      <c r="L28" s="1063">
        <v>9.3158925097981644</v>
      </c>
      <c r="M28" s="1063">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4">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4">
        <f>'AEO Data'!$C$30*BB28</f>
        <v>9.9822321396511793</v>
      </c>
      <c r="BR28" s="260">
        <f t="shared" si="97"/>
        <v>10.039289274861693</v>
      </c>
      <c r="BS28" s="260">
        <f t="shared" si="97"/>
        <v>10.096346410072206</v>
      </c>
      <c r="BT28" s="260">
        <f t="shared" si="97"/>
        <v>10.153403545282719</v>
      </c>
      <c r="BU28" s="260">
        <f t="shared" si="97"/>
        <v>10.210460680493233</v>
      </c>
      <c r="BV28" s="958">
        <f>'AEO Data'!$D$30*BQ28</f>
        <v>10.26751781570375</v>
      </c>
      <c r="BW28" s="1391">
        <f>+BV28*BW$136/BV$136</f>
        <v>10.301608993916805</v>
      </c>
      <c r="BX28" s="1391">
        <f t="shared" ref="BX28:CZ28" si="105">+BW28*BX$136/BW$136</f>
        <v>10.335813364865709</v>
      </c>
      <c r="BY28" s="1391">
        <f t="shared" si="105"/>
        <v>10.37013130438363</v>
      </c>
      <c r="BZ28" s="1391">
        <f t="shared" si="105"/>
        <v>10.404563189551611</v>
      </c>
      <c r="CA28" s="1391">
        <f t="shared" si="105"/>
        <v>10.439109398702717</v>
      </c>
      <c r="CB28" s="1391">
        <f t="shared" si="105"/>
        <v>10.461385709057588</v>
      </c>
      <c r="CC28" s="1391">
        <f t="shared" si="105"/>
        <v>10.483709555460226</v>
      </c>
      <c r="CD28" s="1391">
        <f t="shared" si="105"/>
        <v>10.506081039349146</v>
      </c>
      <c r="CE28" s="1391">
        <f t="shared" si="105"/>
        <v>10.528500262379325</v>
      </c>
      <c r="CF28" s="1391">
        <f t="shared" si="105"/>
        <v>10.550967326422667</v>
      </c>
      <c r="CG28" s="1391">
        <f t="shared" si="105"/>
        <v>10.558262239599943</v>
      </c>
      <c r="CH28" s="1391">
        <f t="shared" si="105"/>
        <v>10.565562196462466</v>
      </c>
      <c r="CI28" s="1391">
        <f t="shared" si="105"/>
        <v>10.572867200497431</v>
      </c>
      <c r="CJ28" s="1391">
        <f t="shared" si="105"/>
        <v>10.580177255194439</v>
      </c>
      <c r="CK28" s="1391">
        <f t="shared" si="105"/>
        <v>10.587492364045506</v>
      </c>
      <c r="CL28" s="1391">
        <f t="shared" si="105"/>
        <v>10.589971861226042</v>
      </c>
      <c r="CM28" s="1391">
        <f t="shared" si="105"/>
        <v>10.592451939082915</v>
      </c>
      <c r="CN28" s="1391">
        <f t="shared" si="105"/>
        <v>10.594932597752113</v>
      </c>
      <c r="CO28" s="1391">
        <f t="shared" si="105"/>
        <v>10.597413837369656</v>
      </c>
      <c r="CP28" s="1391">
        <f t="shared" si="105"/>
        <v>10.599895658071597</v>
      </c>
      <c r="CQ28" s="1391">
        <f t="shared" si="105"/>
        <v>10.603657095629963</v>
      </c>
      <c r="CR28" s="1391">
        <f t="shared" si="105"/>
        <v>10.607419867957365</v>
      </c>
      <c r="CS28" s="1391">
        <f t="shared" si="105"/>
        <v>10.611183975527453</v>
      </c>
      <c r="CT28" s="1391">
        <f t="shared" si="105"/>
        <v>10.614949418814046</v>
      </c>
      <c r="CU28" s="1391">
        <f t="shared" si="105"/>
        <v>10.618716198291134</v>
      </c>
      <c r="CV28" s="1391">
        <f t="shared" si="105"/>
        <v>10.624513287853858</v>
      </c>
      <c r="CW28" s="1391">
        <f t="shared" si="105"/>
        <v>10.630313542229239</v>
      </c>
      <c r="CX28" s="1391">
        <f t="shared" si="105"/>
        <v>10.636116963145044</v>
      </c>
      <c r="CY28" s="1391">
        <f t="shared" si="105"/>
        <v>10.641923552329986</v>
      </c>
      <c r="CZ28" s="1391">
        <f t="shared" si="105"/>
        <v>10.647733311513726</v>
      </c>
    </row>
    <row r="29" spans="1:104" ht="13" x14ac:dyDescent="0.3">
      <c r="A29" s="872" t="str">
        <f>'HyARC Physical Property Data'!A75</f>
        <v>Bio Methane</v>
      </c>
      <c r="B29" s="260">
        <v>2007</v>
      </c>
      <c r="C29" s="871">
        <f t="shared" si="99"/>
        <v>1.1446359956438654</v>
      </c>
      <c r="D29" s="1254" t="str">
        <f>'HyARC Physical Property Data'!H75</f>
        <v>mmBtu</v>
      </c>
      <c r="E29" s="871" t="s">
        <v>1057</v>
      </c>
      <c r="F29" s="260">
        <f>'HyARC Physical Property Data'!$E$6</f>
        <v>47.141269049911173</v>
      </c>
      <c r="G29" s="260">
        <f>'HyARC Physical Property Data'!$I$6</f>
        <v>52.224661236371581</v>
      </c>
      <c r="H29" s="1063">
        <v>12.42654028436019</v>
      </c>
      <c r="I29" s="1063">
        <v>12.42654028436019</v>
      </c>
      <c r="J29" s="1063">
        <v>12.42654028436019</v>
      </c>
      <c r="K29" s="1063">
        <v>12.42654028436019</v>
      </c>
      <c r="L29" s="1063">
        <v>12.42654028436019</v>
      </c>
      <c r="M29" s="1063">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1">
        <f>+BV29*BW$136/BV$136</f>
        <v>14.271092726019944</v>
      </c>
      <c r="BX29" s="1391">
        <f t="shared" ref="BX29:CZ29" si="108">+BW29*BX$136/BW$136</f>
        <v>14.318476950147966</v>
      </c>
      <c r="BY29" s="1391">
        <f t="shared" si="108"/>
        <v>14.366018503832969</v>
      </c>
      <c r="BZ29" s="1391">
        <f t="shared" si="108"/>
        <v>14.413717909455341</v>
      </c>
      <c r="CA29" s="1391">
        <f t="shared" si="108"/>
        <v>14.461575691129934</v>
      </c>
      <c r="CB29" s="1391">
        <f t="shared" si="108"/>
        <v>14.49243565590395</v>
      </c>
      <c r="CC29" s="1391">
        <f t="shared" si="108"/>
        <v>14.523361473628309</v>
      </c>
      <c r="CD29" s="1391">
        <f t="shared" si="108"/>
        <v>14.554353284828478</v>
      </c>
      <c r="CE29" s="1391">
        <f t="shared" si="108"/>
        <v>14.585411230329802</v>
      </c>
      <c r="CF29" s="1391">
        <f t="shared" si="108"/>
        <v>14.616535451258134</v>
      </c>
      <c r="CG29" s="1391">
        <f t="shared" si="108"/>
        <v>14.626641288360148</v>
      </c>
      <c r="CH29" s="1391">
        <f t="shared" si="108"/>
        <v>14.636754112613382</v>
      </c>
      <c r="CI29" s="1391">
        <f t="shared" si="108"/>
        <v>14.646873928848736</v>
      </c>
      <c r="CJ29" s="1391">
        <f t="shared" si="108"/>
        <v>14.657000741900452</v>
      </c>
      <c r="CK29" s="1391">
        <f t="shared" si="108"/>
        <v>14.667134556606111</v>
      </c>
      <c r="CL29" s="1391">
        <f t="shared" si="108"/>
        <v>14.670569469948116</v>
      </c>
      <c r="CM29" s="1391">
        <f t="shared" si="108"/>
        <v>14.674005187716483</v>
      </c>
      <c r="CN29" s="1391">
        <f t="shared" si="108"/>
        <v>14.6774417100996</v>
      </c>
      <c r="CO29" s="1391">
        <f t="shared" si="108"/>
        <v>14.6808790372859</v>
      </c>
      <c r="CP29" s="1391">
        <f t="shared" si="108"/>
        <v>14.684317169463862</v>
      </c>
      <c r="CQ29" s="1391">
        <f t="shared" si="108"/>
        <v>14.689527988881515</v>
      </c>
      <c r="CR29" s="1391">
        <f t="shared" si="108"/>
        <v>14.69474065739019</v>
      </c>
      <c r="CS29" s="1391">
        <f t="shared" si="108"/>
        <v>14.699955175646044</v>
      </c>
      <c r="CT29" s="1391">
        <f t="shared" si="108"/>
        <v>14.705171544305472</v>
      </c>
      <c r="CU29" s="1391">
        <f t="shared" si="108"/>
        <v>14.710389764025104</v>
      </c>
      <c r="CV29" s="1391">
        <f t="shared" si="108"/>
        <v>14.718420626266095</v>
      </c>
      <c r="CW29" s="1391">
        <f t="shared" si="108"/>
        <v>14.726455872806168</v>
      </c>
      <c r="CX29" s="1391">
        <f t="shared" si="108"/>
        <v>14.734495506038849</v>
      </c>
      <c r="CY29" s="1391">
        <f t="shared" si="108"/>
        <v>14.74253952835897</v>
      </c>
      <c r="CZ29" s="1391">
        <f t="shared" si="108"/>
        <v>14.750587942162673</v>
      </c>
    </row>
    <row r="30" spans="1:104" ht="13" x14ac:dyDescent="0.3">
      <c r="A30" s="959" t="str">
        <f>'HyARC Physical Property Data'!A85</f>
        <v>Woody Biomass</v>
      </c>
      <c r="B30" s="260">
        <v>2005</v>
      </c>
      <c r="C30" s="871">
        <f>VLOOKUP(ref_year,DeflatorTable,2,FALSE)/VLOOKUP(B30,DeflatorTable,2,FALSE)</f>
        <v>1.2112501494873942</v>
      </c>
      <c r="D30" s="1254" t="str">
        <f>+'HyARC Physical Property Data'!$H$85</f>
        <v>kg</v>
      </c>
      <c r="E30" s="898" t="s">
        <v>1051</v>
      </c>
      <c r="F30" s="260">
        <f>'HyARC Physical Property Data'!$E$45</f>
        <v>19.551069237418005</v>
      </c>
      <c r="G30" s="260">
        <f>'HyARC Physical Property Data'!$I$45</f>
        <v>20.588656379262464</v>
      </c>
      <c r="H30" s="1064">
        <v>1.3438238843289665</v>
      </c>
      <c r="I30" s="1064">
        <v>1.3438238843289665</v>
      </c>
      <c r="J30" s="1064">
        <v>1.3438238843289665</v>
      </c>
      <c r="K30" s="1064">
        <v>1.3438238843289665</v>
      </c>
      <c r="L30" s="1064">
        <v>1.3438238843289665</v>
      </c>
      <c r="M30" s="1064">
        <v>1.3438238843289665</v>
      </c>
      <c r="N30" s="960">
        <f>1.27*($C$30)</f>
        <v>1.5382876898489906</v>
      </c>
      <c r="O30" s="960">
        <f>1.27*($C$30)</f>
        <v>1.5382876898489906</v>
      </c>
      <c r="P30" s="960">
        <f>1.28*($C$30)</f>
        <v>1.5504001913438645</v>
      </c>
      <c r="Q30" s="960">
        <f>1.32*($C$30)</f>
        <v>1.5988501973233604</v>
      </c>
      <c r="R30" s="960">
        <f>1.32*($C$30)</f>
        <v>1.5988501973233604</v>
      </c>
      <c r="S30" s="960">
        <f>1.34*($C$30)</f>
        <v>1.6230752003131084</v>
      </c>
      <c r="T30" s="960">
        <f>1.34*($C$30)</f>
        <v>1.6230752003131084</v>
      </c>
      <c r="U30" s="960">
        <f>1.36*($C$30)</f>
        <v>1.6473002033028561</v>
      </c>
      <c r="V30" s="960">
        <f>1.36*($C$30)</f>
        <v>1.6473002033028561</v>
      </c>
      <c r="W30" s="960">
        <f>1.38*($C$30)</f>
        <v>1.6715252062926038</v>
      </c>
      <c r="X30" s="960">
        <f>1.4*($C$30)</f>
        <v>1.6957502092823518</v>
      </c>
      <c r="Y30" s="960">
        <f>1.46*($C$30)</f>
        <v>1.7684252182515954</v>
      </c>
      <c r="Z30" s="960">
        <f>1.48*($C$30)</f>
        <v>1.7926502212413433</v>
      </c>
      <c r="AA30" s="960">
        <f>1.48*($C$30)</f>
        <v>1.7926502212413433</v>
      </c>
      <c r="AB30" s="960">
        <f>1.51*($C$30)</f>
        <v>1.8289877257259652</v>
      </c>
      <c r="AC30" s="960">
        <f>1.52*($C$30)</f>
        <v>1.8411002272208392</v>
      </c>
      <c r="AD30" s="960">
        <f>1.62*($C$30)</f>
        <v>1.9622252421695787</v>
      </c>
      <c r="AE30" s="960">
        <f>1.72*($C$30)</f>
        <v>2.083350257118318</v>
      </c>
      <c r="AF30" s="960">
        <f>1.82*($C$30)</f>
        <v>2.2044752720670573</v>
      </c>
      <c r="AG30" s="960">
        <f>1.91*($C$30)</f>
        <v>2.3134877855209228</v>
      </c>
      <c r="AH30" s="960">
        <f>2.01*($C$30)</f>
        <v>2.4346128004696621</v>
      </c>
      <c r="AI30" s="960">
        <f>2.11*($C$30)</f>
        <v>2.5557378154184014</v>
      </c>
      <c r="AJ30" s="960">
        <f>2.2*($C$30)</f>
        <v>2.6647503288722674</v>
      </c>
      <c r="AK30" s="960">
        <f>2.3*($C$30)</f>
        <v>2.7858753438210062</v>
      </c>
      <c r="AL30" s="960">
        <f>2.4*($C$30)</f>
        <v>2.9070003587697459</v>
      </c>
      <c r="AM30" s="960">
        <f>2.5*($C$30)</f>
        <v>3.0281253737184857</v>
      </c>
      <c r="AN30" s="960">
        <f>2.57*($C$30)</f>
        <v>3.1129128841826028</v>
      </c>
      <c r="AO30" s="960">
        <f>2.64*($C$30)</f>
        <v>3.1977003946467208</v>
      </c>
      <c r="AP30" s="960">
        <f>2.71*($C$30)</f>
        <v>3.282487905110838</v>
      </c>
      <c r="AQ30" s="960">
        <f>2.78*($C$30)</f>
        <v>3.3672754155749556</v>
      </c>
      <c r="AR30" s="960">
        <f>2.85*($C$30)</f>
        <v>3.4520629260390736</v>
      </c>
      <c r="AS30" s="960">
        <f>2.92*($C$30)</f>
        <v>3.5368504365031908</v>
      </c>
      <c r="AT30" s="960">
        <f>2.99*($C$30)</f>
        <v>3.6216379469673088</v>
      </c>
      <c r="AU30" s="960">
        <f>3.07*($C$30)</f>
        <v>3.7185379589263001</v>
      </c>
      <c r="AV30" s="960">
        <f>3.14*($C$30)</f>
        <v>3.8033254693904177</v>
      </c>
      <c r="AW30" s="960">
        <f>3.21*($C$30)</f>
        <v>3.8881129798545353</v>
      </c>
      <c r="AX30" s="960">
        <f>3.28*($C$30)</f>
        <v>3.9729004903186529</v>
      </c>
      <c r="AY30" s="960">
        <f>3.35*($C$30)</f>
        <v>4.0576880007827709</v>
      </c>
      <c r="AZ30" s="960">
        <f>3.42*($C$30)</f>
        <v>4.1424755112468876</v>
      </c>
      <c r="BA30" s="960">
        <f>3.49*($C$30)</f>
        <v>4.2272630217110061</v>
      </c>
      <c r="BB30" s="960">
        <f>3.56*($C$30)</f>
        <v>4.3120505321751237</v>
      </c>
      <c r="BC30" s="960">
        <f>3.64*($C$30)</f>
        <v>4.4089505441341146</v>
      </c>
      <c r="BD30" s="960">
        <f>3.71*($C$30)</f>
        <v>4.4937380545982322</v>
      </c>
      <c r="BE30" s="960">
        <f>3.78*($C$30)</f>
        <v>4.5785255650623498</v>
      </c>
      <c r="BF30" s="960">
        <f>3.85*($C$30)</f>
        <v>4.6633130755264673</v>
      </c>
      <c r="BG30" s="960">
        <f>3.92*($C$30)</f>
        <v>4.7481005859905849</v>
      </c>
      <c r="BH30" s="960">
        <f>3.99*($C$30)</f>
        <v>4.8328880964547034</v>
      </c>
      <c r="BI30" s="960">
        <f>4.06*($C$30)</f>
        <v>4.9176756069188201</v>
      </c>
      <c r="BJ30" s="960">
        <f>4.14*($C$30)</f>
        <v>5.0145756188778119</v>
      </c>
      <c r="BK30" s="960">
        <f>4.21*($C$30)</f>
        <v>5.0993631293419295</v>
      </c>
      <c r="BL30" s="960">
        <f>4.28*($C$30)</f>
        <v>5.1841506398060471</v>
      </c>
      <c r="BM30" s="960">
        <f>4.35*($C$30)</f>
        <v>5.2689381502701647</v>
      </c>
      <c r="BN30" s="960">
        <f>4.42*($C$30)</f>
        <v>5.3537256607342822</v>
      </c>
      <c r="BO30" s="960">
        <f>4.49*($C$30)</f>
        <v>5.4385131711983998</v>
      </c>
      <c r="BP30" s="960">
        <f>4.56*($C$30)</f>
        <v>5.5233006816625174</v>
      </c>
      <c r="BQ30" s="960">
        <f>4.63*($C$30)</f>
        <v>5.608088192126635</v>
      </c>
      <c r="BR30" s="960">
        <f>4.71*($C$30)</f>
        <v>5.7049882040856268</v>
      </c>
      <c r="BS30" s="960">
        <f>4.78*($C$30)</f>
        <v>5.7897757145497444</v>
      </c>
      <c r="BT30" s="960">
        <f>4.85*($C$30)</f>
        <v>5.8745632250138611</v>
      </c>
      <c r="BU30" s="960">
        <f>4.92*($C$30)</f>
        <v>5.9593507354779796</v>
      </c>
      <c r="BV30" s="961">
        <f>4.99*($C$30)</f>
        <v>6.0441382459420971</v>
      </c>
      <c r="BW30" s="1391">
        <f>+BV30*BW$137/BV$137</f>
        <v>6.0586659764672328</v>
      </c>
      <c r="BX30" s="1391">
        <f t="shared" ref="BX30:CZ30" si="109">+BW30*BX$137/BW$137</f>
        <v>6.0732286259412112</v>
      </c>
      <c r="BY30" s="1391">
        <f t="shared" si="109"/>
        <v>6.0878262782954495</v>
      </c>
      <c r="BZ30" s="1391">
        <f t="shared" si="109"/>
        <v>6.1024590176630999</v>
      </c>
      <c r="CA30" s="1391">
        <f t="shared" si="109"/>
        <v>6.1171269283795393</v>
      </c>
      <c r="CB30" s="1391">
        <f t="shared" si="109"/>
        <v>6.1299667153690152</v>
      </c>
      <c r="CC30" s="1391">
        <f t="shared" si="109"/>
        <v>6.1428334529403346</v>
      </c>
      <c r="CD30" s="1391">
        <f t="shared" si="109"/>
        <v>6.155727197662495</v>
      </c>
      <c r="CE30" s="1391">
        <f t="shared" si="109"/>
        <v>6.1686480062232301</v>
      </c>
      <c r="CF30" s="1391">
        <f t="shared" si="109"/>
        <v>6.18159593542926</v>
      </c>
      <c r="CG30" s="1391">
        <f t="shared" si="109"/>
        <v>6.197524392005751</v>
      </c>
      <c r="CH30" s="1391">
        <f t="shared" si="109"/>
        <v>6.2134938923080965</v>
      </c>
      <c r="CI30" s="1391">
        <f t="shared" si="109"/>
        <v>6.229504542095909</v>
      </c>
      <c r="CJ30" s="1391">
        <f t="shared" si="109"/>
        <v>6.245556447401321</v>
      </c>
      <c r="CK30" s="1391">
        <f t="shared" si="109"/>
        <v>6.2616497145296828</v>
      </c>
      <c r="CL30" s="1391">
        <f t="shared" si="109"/>
        <v>6.2750522655841658</v>
      </c>
      <c r="CM30" s="1391">
        <f t="shared" si="109"/>
        <v>6.2884835037072264</v>
      </c>
      <c r="CN30" s="1391">
        <f t="shared" si="109"/>
        <v>6.3019434903011975</v>
      </c>
      <c r="CO30" s="1391">
        <f t="shared" si="109"/>
        <v>6.3154322868998385</v>
      </c>
      <c r="CP30" s="1391">
        <f t="shared" si="109"/>
        <v>6.3289499551686168</v>
      </c>
      <c r="CQ30" s="1391">
        <f t="shared" si="109"/>
        <v>6.3413225489579119</v>
      </c>
      <c r="CR30" s="1391">
        <f t="shared" si="109"/>
        <v>6.3537193301840116</v>
      </c>
      <c r="CS30" s="1391">
        <f t="shared" si="109"/>
        <v>6.3661403461314299</v>
      </c>
      <c r="CT30" s="1391">
        <f t="shared" si="109"/>
        <v>6.3785856441771198</v>
      </c>
      <c r="CU30" s="1391">
        <f t="shared" si="109"/>
        <v>6.3910552717906537</v>
      </c>
      <c r="CV30" s="1391">
        <f t="shared" si="109"/>
        <v>6.4057772391562917</v>
      </c>
      <c r="CW30" s="1391">
        <f t="shared" si="109"/>
        <v>6.4205331189689208</v>
      </c>
      <c r="CX30" s="1391">
        <f t="shared" si="109"/>
        <v>6.4353229893467718</v>
      </c>
      <c r="CY30" s="1391">
        <f t="shared" si="109"/>
        <v>6.4501469285880244</v>
      </c>
      <c r="CZ30" s="1391">
        <f t="shared" si="109"/>
        <v>6.4650050151712186</v>
      </c>
    </row>
    <row r="31" spans="1:104" ht="13" x14ac:dyDescent="0.3">
      <c r="A31" s="959" t="str">
        <f>'HyARC Physical Property Data'!$A$87</f>
        <v>Woody Biomass MYPP</v>
      </c>
      <c r="B31" s="260">
        <v>2007</v>
      </c>
      <c r="C31" s="871">
        <f>VLOOKUP(ref_year,DeflatorTable,2,FALSE)/VLOOKUP(B31,DeflatorTable,2,FALSE)</f>
        <v>1.1446359956438654</v>
      </c>
      <c r="D31" s="1254" t="str">
        <f>+'HyARC Physical Property Data'!$H$87</f>
        <v>kg</v>
      </c>
      <c r="E31" s="898" t="s">
        <v>1051</v>
      </c>
      <c r="F31" s="260">
        <v>18.608000000000001</v>
      </c>
      <c r="G31" s="260"/>
      <c r="H31" s="1063">
        <v>4.4443250214961303</v>
      </c>
      <c r="I31" s="1063">
        <v>4.4443250214961303</v>
      </c>
      <c r="J31" s="1063">
        <v>4.4443250214961303</v>
      </c>
      <c r="K31" s="1063">
        <v>4.4443250214961303</v>
      </c>
      <c r="L31" s="1063">
        <v>4.4443250214961303</v>
      </c>
      <c r="M31" s="1063">
        <v>4.4443250214961303</v>
      </c>
      <c r="N31" s="260">
        <f>4.44432502149613*$C$31</f>
        <v>5.0871343959451663</v>
      </c>
      <c r="O31" s="960">
        <f t="shared" ref="O31:T31" si="110">N31-($N$31-$U$31)/7</f>
        <v>4.9664808197552768</v>
      </c>
      <c r="P31" s="960">
        <f t="shared" si="110"/>
        <v>4.8458272435653873</v>
      </c>
      <c r="Q31" s="960">
        <f t="shared" si="110"/>
        <v>4.7251736673754978</v>
      </c>
      <c r="R31" s="960">
        <f t="shared" si="110"/>
        <v>4.6045200911856083</v>
      </c>
      <c r="S31" s="960">
        <f t="shared" si="110"/>
        <v>4.4838665149957189</v>
      </c>
      <c r="T31" s="960">
        <f t="shared" si="110"/>
        <v>4.3632129388058294</v>
      </c>
      <c r="U31" s="960">
        <f>3.70647033533964*$C$31</f>
        <v>4.2425593626159408</v>
      </c>
      <c r="V31" s="960">
        <f t="shared" ref="V31:BV31" si="111">3.70647033533964*$C$31</f>
        <v>4.2425593626159408</v>
      </c>
      <c r="W31" s="960">
        <f t="shared" si="111"/>
        <v>4.2425593626159408</v>
      </c>
      <c r="X31" s="960">
        <f t="shared" si="111"/>
        <v>4.2425593626159408</v>
      </c>
      <c r="Y31" s="960">
        <f t="shared" si="111"/>
        <v>4.2425593626159408</v>
      </c>
      <c r="Z31" s="960">
        <f t="shared" si="111"/>
        <v>4.2425593626159408</v>
      </c>
      <c r="AA31" s="960">
        <f t="shared" si="111"/>
        <v>4.2425593626159408</v>
      </c>
      <c r="AB31" s="960">
        <f t="shared" si="111"/>
        <v>4.2425593626159408</v>
      </c>
      <c r="AC31" s="960">
        <f t="shared" si="111"/>
        <v>4.2425593626159408</v>
      </c>
      <c r="AD31" s="960">
        <f t="shared" si="111"/>
        <v>4.2425593626159408</v>
      </c>
      <c r="AE31" s="960">
        <f t="shared" si="111"/>
        <v>4.2425593626159408</v>
      </c>
      <c r="AF31" s="960">
        <f t="shared" si="111"/>
        <v>4.2425593626159408</v>
      </c>
      <c r="AG31" s="960">
        <f t="shared" si="111"/>
        <v>4.2425593626159408</v>
      </c>
      <c r="AH31" s="960">
        <f t="shared" si="111"/>
        <v>4.2425593626159408</v>
      </c>
      <c r="AI31" s="960">
        <f t="shared" si="111"/>
        <v>4.2425593626159408</v>
      </c>
      <c r="AJ31" s="960">
        <f t="shared" si="111"/>
        <v>4.2425593626159408</v>
      </c>
      <c r="AK31" s="960">
        <f t="shared" si="111"/>
        <v>4.2425593626159408</v>
      </c>
      <c r="AL31" s="960">
        <f t="shared" si="111"/>
        <v>4.2425593626159408</v>
      </c>
      <c r="AM31" s="960">
        <f t="shared" si="111"/>
        <v>4.2425593626159408</v>
      </c>
      <c r="AN31" s="960">
        <f t="shared" si="111"/>
        <v>4.2425593626159408</v>
      </c>
      <c r="AO31" s="960">
        <f t="shared" si="111"/>
        <v>4.2425593626159408</v>
      </c>
      <c r="AP31" s="960">
        <f t="shared" si="111"/>
        <v>4.2425593626159408</v>
      </c>
      <c r="AQ31" s="960">
        <f t="shared" si="111"/>
        <v>4.2425593626159408</v>
      </c>
      <c r="AR31" s="960">
        <f t="shared" si="111"/>
        <v>4.2425593626159408</v>
      </c>
      <c r="AS31" s="960">
        <f t="shared" si="111"/>
        <v>4.2425593626159408</v>
      </c>
      <c r="AT31" s="960">
        <f t="shared" si="111"/>
        <v>4.2425593626159408</v>
      </c>
      <c r="AU31" s="960">
        <f t="shared" si="111"/>
        <v>4.2425593626159408</v>
      </c>
      <c r="AV31" s="960">
        <f t="shared" si="111"/>
        <v>4.2425593626159408</v>
      </c>
      <c r="AW31" s="960">
        <f t="shared" si="111"/>
        <v>4.2425593626159408</v>
      </c>
      <c r="AX31" s="960">
        <f t="shared" si="111"/>
        <v>4.2425593626159408</v>
      </c>
      <c r="AY31" s="960">
        <f t="shared" si="111"/>
        <v>4.2425593626159408</v>
      </c>
      <c r="AZ31" s="960">
        <f t="shared" si="111"/>
        <v>4.2425593626159408</v>
      </c>
      <c r="BA31" s="960">
        <f t="shared" si="111"/>
        <v>4.2425593626159408</v>
      </c>
      <c r="BB31" s="960">
        <f t="shared" si="111"/>
        <v>4.2425593626159408</v>
      </c>
      <c r="BC31" s="960">
        <f t="shared" si="111"/>
        <v>4.2425593626159408</v>
      </c>
      <c r="BD31" s="960">
        <f t="shared" si="111"/>
        <v>4.2425593626159408</v>
      </c>
      <c r="BE31" s="960">
        <f t="shared" si="111"/>
        <v>4.2425593626159408</v>
      </c>
      <c r="BF31" s="960">
        <f t="shared" si="111"/>
        <v>4.2425593626159408</v>
      </c>
      <c r="BG31" s="960">
        <f t="shared" si="111"/>
        <v>4.2425593626159408</v>
      </c>
      <c r="BH31" s="960">
        <f t="shared" si="111"/>
        <v>4.2425593626159408</v>
      </c>
      <c r="BI31" s="960">
        <f t="shared" si="111"/>
        <v>4.2425593626159408</v>
      </c>
      <c r="BJ31" s="960">
        <f t="shared" si="111"/>
        <v>4.2425593626159408</v>
      </c>
      <c r="BK31" s="960">
        <f t="shared" si="111"/>
        <v>4.2425593626159408</v>
      </c>
      <c r="BL31" s="960">
        <f t="shared" si="111"/>
        <v>4.2425593626159408</v>
      </c>
      <c r="BM31" s="960">
        <f t="shared" si="111"/>
        <v>4.2425593626159408</v>
      </c>
      <c r="BN31" s="960">
        <f t="shared" si="111"/>
        <v>4.2425593626159408</v>
      </c>
      <c r="BO31" s="960">
        <f t="shared" si="111"/>
        <v>4.2425593626159408</v>
      </c>
      <c r="BP31" s="960">
        <f t="shared" si="111"/>
        <v>4.2425593626159408</v>
      </c>
      <c r="BQ31" s="960">
        <f t="shared" si="111"/>
        <v>4.2425593626159408</v>
      </c>
      <c r="BR31" s="960">
        <f t="shared" si="111"/>
        <v>4.2425593626159408</v>
      </c>
      <c r="BS31" s="960">
        <f t="shared" si="111"/>
        <v>4.2425593626159408</v>
      </c>
      <c r="BT31" s="960">
        <f t="shared" si="111"/>
        <v>4.2425593626159408</v>
      </c>
      <c r="BU31" s="960">
        <f t="shared" si="111"/>
        <v>4.2425593626159408</v>
      </c>
      <c r="BV31" s="960">
        <f t="shared" si="111"/>
        <v>4.2425593626159408</v>
      </c>
      <c r="BW31" s="1391">
        <f>+BV31*BW$137/BV$137</f>
        <v>4.2527568062628252</v>
      </c>
      <c r="BX31" s="1391">
        <f t="shared" ref="BX31:CZ31" si="112">+BW31*BX$137/BW$137</f>
        <v>4.2629787605524712</v>
      </c>
      <c r="BY31" s="1391">
        <f t="shared" si="112"/>
        <v>4.2732252843988219</v>
      </c>
      <c r="BZ31" s="1391">
        <f t="shared" si="112"/>
        <v>4.2834964368574244</v>
      </c>
      <c r="CA31" s="1391">
        <f t="shared" si="112"/>
        <v>4.2937922771257746</v>
      </c>
      <c r="CB31" s="1391">
        <f t="shared" si="112"/>
        <v>4.302804903291757</v>
      </c>
      <c r="CC31" s="1391">
        <f t="shared" si="112"/>
        <v>4.3118364468680763</v>
      </c>
      <c r="CD31" s="1391">
        <f t="shared" si="112"/>
        <v>4.3208869475621841</v>
      </c>
      <c r="CE31" s="1391">
        <f t="shared" si="112"/>
        <v>4.3299564451648767</v>
      </c>
      <c r="CF31" s="1391">
        <f t="shared" si="112"/>
        <v>4.3390449795504713</v>
      </c>
      <c r="CG31" s="1391">
        <f t="shared" si="112"/>
        <v>4.3502256342328796</v>
      </c>
      <c r="CH31" s="1391">
        <f t="shared" si="112"/>
        <v>4.361435098720146</v>
      </c>
      <c r="CI31" s="1391">
        <f t="shared" si="112"/>
        <v>4.3726734472480695</v>
      </c>
      <c r="CJ31" s="1391">
        <f t="shared" si="112"/>
        <v>4.3839407542437394</v>
      </c>
      <c r="CK31" s="1391">
        <f t="shared" si="112"/>
        <v>4.3952370943260251</v>
      </c>
      <c r="CL31" s="1391">
        <f t="shared" si="112"/>
        <v>4.4046447412304142</v>
      </c>
      <c r="CM31" s="1391">
        <f t="shared" si="112"/>
        <v>4.4140725244365262</v>
      </c>
      <c r="CN31" s="1391">
        <f t="shared" si="112"/>
        <v>4.4235204870444758</v>
      </c>
      <c r="CO31" s="1391">
        <f t="shared" si="112"/>
        <v>4.4329886722466272</v>
      </c>
      <c r="CP31" s="1391">
        <f t="shared" si="112"/>
        <v>4.4424771233277953</v>
      </c>
      <c r="CQ31" s="1391">
        <f t="shared" si="112"/>
        <v>4.4511618127714661</v>
      </c>
      <c r="CR31" s="1391">
        <f t="shared" si="112"/>
        <v>4.4598634800922632</v>
      </c>
      <c r="CS31" s="1391">
        <f t="shared" si="112"/>
        <v>4.4685821584805847</v>
      </c>
      <c r="CT31" s="1391">
        <f t="shared" si="112"/>
        <v>4.4773178811917154</v>
      </c>
      <c r="CU31" s="1391">
        <f t="shared" si="112"/>
        <v>4.486070681545951</v>
      </c>
      <c r="CV31" s="1391">
        <f t="shared" si="112"/>
        <v>4.4964044657748525</v>
      </c>
      <c r="CW31" s="1391">
        <f t="shared" si="112"/>
        <v>4.5067620541531026</v>
      </c>
      <c r="CX31" s="1391">
        <f t="shared" si="112"/>
        <v>4.5171435015141972</v>
      </c>
      <c r="CY31" s="1391">
        <f t="shared" si="112"/>
        <v>4.5275488628179446</v>
      </c>
      <c r="CZ31" s="1391">
        <f t="shared" si="112"/>
        <v>4.537978193150753</v>
      </c>
    </row>
    <row r="32" spans="1:104" ht="13" x14ac:dyDescent="0.3">
      <c r="A32" s="965" t="str">
        <f>'HyARC Physical Property Data'!A79</f>
        <v>Electric Utility Steam Coal</v>
      </c>
      <c r="B32" s="260">
        <v>2011</v>
      </c>
      <c r="C32" s="871">
        <f>VLOOKUP(ref_year,DeflatorTable,2,FALSE)/VLOOKUP(B32,DeflatorTable,2,FALSE)</f>
        <v>1.0784554773635862</v>
      </c>
      <c r="D32" s="1254" t="str">
        <f>+'HyARC Physical Property Data'!$H$79</f>
        <v>kg</v>
      </c>
      <c r="E32" s="898" t="s">
        <v>1051</v>
      </c>
      <c r="F32" s="260">
        <f>'HyARC Physical Property Data'!E42</f>
        <v>22.7322030001394</v>
      </c>
      <c r="G32" s="260">
        <f>'HyARC Physical Property Data'!I42</f>
        <v>23.967615189707661</v>
      </c>
      <c r="H32" s="1063">
        <v>1.7344499599167666</v>
      </c>
      <c r="I32" s="1063">
        <v>1.7344499599167666</v>
      </c>
      <c r="J32" s="1063">
        <v>1.7344499599167666</v>
      </c>
      <c r="K32" s="1063">
        <v>1.7788973636542149</v>
      </c>
      <c r="L32" s="1063">
        <v>1.9298772179141501</v>
      </c>
      <c r="M32" s="1063">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4">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4">
        <f>('AEO Data'!$C$28*BB32)</f>
        <v>3.6036422854995251</v>
      </c>
      <c r="BR32" s="260">
        <f>(($BV$32-$BQ$32)/5+BQ32)</f>
        <v>3.6151952056451568</v>
      </c>
      <c r="BS32" s="260">
        <f>(($BV$32-$BQ$32)/5+BR32)</f>
        <v>3.6267481257907885</v>
      </c>
      <c r="BT32" s="260">
        <f>(($BV$32-$BQ$32)/5+BS32)</f>
        <v>3.6383010459364202</v>
      </c>
      <c r="BU32" s="260">
        <f>(($BV$32-$BQ$32)/5+BT32)</f>
        <v>3.6498539660820519</v>
      </c>
      <c r="BV32" s="958">
        <f>('AEO Data'!$D$28*BQ32)</f>
        <v>3.6614068862276832</v>
      </c>
      <c r="BW32" s="1391">
        <f>+BV32*BW$138/BV$138</f>
        <v>3.6737859390461725</v>
      </c>
      <c r="BX32" s="1391">
        <f t="shared" ref="BX32:CZ32" si="116">+BW32*BX$138/BW$138</f>
        <v>3.6862068448882255</v>
      </c>
      <c r="BY32" s="1391">
        <f t="shared" si="116"/>
        <v>3.6986697452570407</v>
      </c>
      <c r="BZ32" s="1391">
        <f t="shared" si="116"/>
        <v>3.7111747821342336</v>
      </c>
      <c r="CA32" s="1391">
        <f t="shared" si="116"/>
        <v>3.7237220979814545</v>
      </c>
      <c r="CB32" s="1391">
        <f t="shared" si="116"/>
        <v>3.7343836989714818</v>
      </c>
      <c r="CC32" s="1391">
        <f t="shared" si="116"/>
        <v>3.7450758257990131</v>
      </c>
      <c r="CD32" s="1391">
        <f t="shared" si="116"/>
        <v>3.7557985658643127</v>
      </c>
      <c r="CE32" s="1391">
        <f t="shared" si="116"/>
        <v>3.766552006817887</v>
      </c>
      <c r="CF32" s="1391">
        <f t="shared" si="116"/>
        <v>3.7773362365611991</v>
      </c>
      <c r="CG32" s="1391">
        <f t="shared" si="116"/>
        <v>3.7855700072018039</v>
      </c>
      <c r="CH32" s="1391">
        <f t="shared" si="116"/>
        <v>3.7938217256698499</v>
      </c>
      <c r="CI32" s="1391">
        <f t="shared" si="116"/>
        <v>3.8020914310876934</v>
      </c>
      <c r="CJ32" s="1391">
        <f t="shared" si="116"/>
        <v>3.8103791626629699</v>
      </c>
      <c r="CK32" s="1391">
        <f t="shared" si="116"/>
        <v>3.818684959688778</v>
      </c>
      <c r="CL32" s="1391">
        <f t="shared" si="116"/>
        <v>3.8243155975254672</v>
      </c>
      <c r="CM32" s="1391">
        <f t="shared" si="116"/>
        <v>3.8299545377182778</v>
      </c>
      <c r="CN32" s="1391">
        <f t="shared" si="116"/>
        <v>3.8356017925090047</v>
      </c>
      <c r="CO32" s="1391">
        <f t="shared" si="116"/>
        <v>3.841257374157494</v>
      </c>
      <c r="CP32" s="1391">
        <f t="shared" si="116"/>
        <v>3.846921294941668</v>
      </c>
      <c r="CQ32" s="1391">
        <f t="shared" si="116"/>
        <v>3.8488180534393406</v>
      </c>
      <c r="CR32" s="1391">
        <f t="shared" si="116"/>
        <v>3.8507157471505309</v>
      </c>
      <c r="CS32" s="1391">
        <f t="shared" si="116"/>
        <v>3.852614376536355</v>
      </c>
      <c r="CT32" s="1391">
        <f t="shared" si="116"/>
        <v>3.8545139420581549</v>
      </c>
      <c r="CU32" s="1391">
        <f t="shared" si="116"/>
        <v>3.8564144441775015</v>
      </c>
      <c r="CV32" s="1391">
        <f t="shared" si="116"/>
        <v>3.853683012772128</v>
      </c>
      <c r="CW32" s="1391">
        <f t="shared" si="116"/>
        <v>3.8509535159922028</v>
      </c>
      <c r="CX32" s="1391">
        <f t="shared" si="116"/>
        <v>3.8482259524674642</v>
      </c>
      <c r="CY32" s="1391">
        <f t="shared" si="116"/>
        <v>3.8455003208286209</v>
      </c>
      <c r="CZ32" s="1391">
        <f t="shared" si="116"/>
        <v>3.8427766197073518</v>
      </c>
    </row>
    <row r="33" spans="1:106" ht="13" x14ac:dyDescent="0.3">
      <c r="A33" s="959" t="str">
        <f>'HyARC Physical Property Data'!A76</f>
        <v>Commercial Electricity</v>
      </c>
      <c r="B33" s="260">
        <v>2011</v>
      </c>
      <c r="C33" s="871">
        <f t="shared" si="99"/>
        <v>1.0784554773635862</v>
      </c>
      <c r="D33" s="1254" t="str">
        <f>'HyARC Physical Property Data'!$H$76</f>
        <v>kWh</v>
      </c>
      <c r="E33" s="871" t="s">
        <v>1070</v>
      </c>
      <c r="F33" s="871"/>
      <c r="G33" s="871"/>
      <c r="H33" s="1063">
        <v>26.896922396257633</v>
      </c>
      <c r="I33" s="1063">
        <v>26.896922396257633</v>
      </c>
      <c r="J33" s="1063">
        <v>26.896922396257633</v>
      </c>
      <c r="K33" s="1063">
        <v>26.568469730033652</v>
      </c>
      <c r="L33" s="1063">
        <v>27.542479456318485</v>
      </c>
      <c r="M33" s="1063">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4">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4">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58">
        <f>'AEO Data'!$D$33*BQ33</f>
        <v>29.720041181041928</v>
      </c>
      <c r="BW33" s="1391">
        <f>+BV33*BW$139/BV$139</f>
        <v>29.706955334848292</v>
      </c>
      <c r="BX33" s="1391">
        <f t="shared" ref="BX33:CZ33" si="121">+BW33*BX$139/BW$139</f>
        <v>29.693875250402076</v>
      </c>
      <c r="BY33" s="1391">
        <f t="shared" si="121"/>
        <v>29.680800925166359</v>
      </c>
      <c r="BZ33" s="1391">
        <f t="shared" si="121"/>
        <v>29.667732356605345</v>
      </c>
      <c r="CA33" s="1391">
        <f t="shared" si="121"/>
        <v>29.654669542184347</v>
      </c>
      <c r="CB33" s="1391">
        <f t="shared" si="121"/>
        <v>29.630916614985676</v>
      </c>
      <c r="CC33" s="1391">
        <f t="shared" si="121"/>
        <v>29.607182713510749</v>
      </c>
      <c r="CD33" s="1391">
        <f t="shared" si="121"/>
        <v>29.583467822520262</v>
      </c>
      <c r="CE33" s="1391">
        <f t="shared" si="121"/>
        <v>29.559771926787111</v>
      </c>
      <c r="CF33" s="1391">
        <f t="shared" si="121"/>
        <v>29.536095011096396</v>
      </c>
      <c r="CG33" s="1391">
        <f t="shared" si="121"/>
        <v>29.503478732865982</v>
      </c>
      <c r="CH33" s="1391">
        <f t="shared" si="121"/>
        <v>29.470898472315131</v>
      </c>
      <c r="CI33" s="1391">
        <f t="shared" si="121"/>
        <v>29.438354189670047</v>
      </c>
      <c r="CJ33" s="1391">
        <f t="shared" si="121"/>
        <v>29.405845845200851</v>
      </c>
      <c r="CK33" s="1391">
        <f t="shared" si="121"/>
        <v>29.373373399221538</v>
      </c>
      <c r="CL33" s="1391">
        <f t="shared" si="121"/>
        <v>29.33797049714088</v>
      </c>
      <c r="CM33" s="1391">
        <f t="shared" si="121"/>
        <v>29.302610265183901</v>
      </c>
      <c r="CN33" s="1391">
        <f t="shared" si="121"/>
        <v>29.267292651921498</v>
      </c>
      <c r="CO33" s="1391">
        <f t="shared" si="121"/>
        <v>29.232017605986552</v>
      </c>
      <c r="CP33" s="1391">
        <f t="shared" si="121"/>
        <v>29.196785076073859</v>
      </c>
      <c r="CQ33" s="1391">
        <f t="shared" si="121"/>
        <v>29.155976606392862</v>
      </c>
      <c r="CR33" s="1391">
        <f t="shared" si="121"/>
        <v>29.115225174882106</v>
      </c>
      <c r="CS33" s="1391">
        <f t="shared" si="121"/>
        <v>29.074530701819103</v>
      </c>
      <c r="CT33" s="1391">
        <f t="shared" si="121"/>
        <v>29.033893107592792</v>
      </c>
      <c r="CU33" s="1391">
        <f t="shared" si="121"/>
        <v>28.993312312703377</v>
      </c>
      <c r="CV33" s="1391">
        <f t="shared" si="121"/>
        <v>28.95369823223389</v>
      </c>
      <c r="CW33" s="1391">
        <f t="shared" si="121"/>
        <v>28.914138277190098</v>
      </c>
      <c r="CX33" s="1391">
        <f t="shared" si="121"/>
        <v>28.874632373619477</v>
      </c>
      <c r="CY33" s="1391">
        <f t="shared" si="121"/>
        <v>28.835180447670528</v>
      </c>
      <c r="CZ33" s="1391">
        <f t="shared" si="121"/>
        <v>28.795782425592659</v>
      </c>
    </row>
    <row r="34" spans="1:106" ht="13" x14ac:dyDescent="0.3">
      <c r="A34" s="959" t="str">
        <f>'HyARC Physical Property Data'!A77</f>
        <v>Industrial Electricity</v>
      </c>
      <c r="B34" s="260">
        <v>2011</v>
      </c>
      <c r="C34" s="871">
        <f t="shared" si="99"/>
        <v>1.0784554773635862</v>
      </c>
      <c r="D34" s="1242" t="str">
        <f>'HyARC Physical Property Data'!$H$77</f>
        <v>kWh</v>
      </c>
      <c r="E34" s="871" t="s">
        <v>1070</v>
      </c>
      <c r="F34" s="871"/>
      <c r="G34" s="871"/>
      <c r="H34" s="1063">
        <v>17.44160584363896</v>
      </c>
      <c r="I34" s="1063">
        <v>17.44160584363896</v>
      </c>
      <c r="J34" s="1063">
        <v>17.44160584363896</v>
      </c>
      <c r="K34" s="1063">
        <v>17.651840860809763</v>
      </c>
      <c r="L34" s="1063">
        <v>19.274322003549859</v>
      </c>
      <c r="M34" s="1063">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4">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4">
        <f>'AEO Data'!$C$33*BB34</f>
        <v>20.908579364602893</v>
      </c>
      <c r="BR34" s="260">
        <f t="shared" si="120"/>
        <v>20.894500568115706</v>
      </c>
      <c r="BS34" s="260">
        <f t="shared" si="120"/>
        <v>20.880421771628519</v>
      </c>
      <c r="BT34" s="260">
        <f t="shared" si="120"/>
        <v>20.866342975141333</v>
      </c>
      <c r="BU34" s="260">
        <f t="shared" si="120"/>
        <v>20.852264178654146</v>
      </c>
      <c r="BV34" s="958">
        <f>'AEO Data'!$D$33*BQ34</f>
        <v>20.838185382166952</v>
      </c>
      <c r="BW34" s="1391">
        <f>+BV34*BW$140/BV$140</f>
        <v>20.844481841022439</v>
      </c>
      <c r="BX34" s="1391">
        <f t="shared" ref="BX34:CZ34" si="125">+BW34*BX$140/BW$140</f>
        <v>20.850780202413748</v>
      </c>
      <c r="BY34" s="1391">
        <f t="shared" si="125"/>
        <v>20.857080466915747</v>
      </c>
      <c r="BZ34" s="1391">
        <f t="shared" si="125"/>
        <v>20.863382635103481</v>
      </c>
      <c r="CA34" s="1391">
        <f t="shared" si="125"/>
        <v>20.869686707552159</v>
      </c>
      <c r="CB34" s="1391">
        <f t="shared" si="125"/>
        <v>20.867326506359717</v>
      </c>
      <c r="CC34" s="1391">
        <f t="shared" si="125"/>
        <v>20.864966572087891</v>
      </c>
      <c r="CD34" s="1391">
        <f t="shared" si="125"/>
        <v>20.862606904706492</v>
      </c>
      <c r="CE34" s="1391">
        <f t="shared" si="125"/>
        <v>20.860247504185345</v>
      </c>
      <c r="CF34" s="1391">
        <f t="shared" si="125"/>
        <v>20.857888370494265</v>
      </c>
      <c r="CG34" s="1391">
        <f t="shared" si="125"/>
        <v>20.848427047697971</v>
      </c>
      <c r="CH34" s="1391">
        <f t="shared" si="125"/>
        <v>20.838970016641447</v>
      </c>
      <c r="CI34" s="1391">
        <f t="shared" si="125"/>
        <v>20.829517275377921</v>
      </c>
      <c r="CJ34" s="1391">
        <f t="shared" si="125"/>
        <v>20.82006882196151</v>
      </c>
      <c r="CK34" s="1391">
        <f t="shared" si="125"/>
        <v>20.810624654447203</v>
      </c>
      <c r="CL34" s="1391">
        <f t="shared" si="125"/>
        <v>20.799038600799683</v>
      </c>
      <c r="CM34" s="1391">
        <f t="shared" si="125"/>
        <v>20.787458997541872</v>
      </c>
      <c r="CN34" s="1391">
        <f t="shared" si="125"/>
        <v>20.775885841082598</v>
      </c>
      <c r="CO34" s="1391">
        <f t="shared" si="125"/>
        <v>20.764319127832685</v>
      </c>
      <c r="CP34" s="1391">
        <f t="shared" si="125"/>
        <v>20.752758854204956</v>
      </c>
      <c r="CQ34" s="1391">
        <f t="shared" si="125"/>
        <v>20.736920704111466</v>
      </c>
      <c r="CR34" s="1391">
        <f t="shared" si="125"/>
        <v>20.721094641422845</v>
      </c>
      <c r="CS34" s="1391">
        <f t="shared" si="125"/>
        <v>20.705280656914191</v>
      </c>
      <c r="CT34" s="1391">
        <f t="shared" si="125"/>
        <v>20.689478741367644</v>
      </c>
      <c r="CU34" s="1391">
        <f t="shared" si="125"/>
        <v>20.673688885572378</v>
      </c>
      <c r="CV34" s="1391">
        <f t="shared" si="125"/>
        <v>20.658843427163145</v>
      </c>
      <c r="CW34" s="1391">
        <f t="shared" si="125"/>
        <v>20.644008629049544</v>
      </c>
      <c r="CX34" s="1391">
        <f t="shared" si="125"/>
        <v>20.629184483576587</v>
      </c>
      <c r="CY34" s="1391">
        <f t="shared" si="125"/>
        <v>20.614370983094769</v>
      </c>
      <c r="CZ34" s="1391">
        <f t="shared" si="125"/>
        <v>20.59956811996009</v>
      </c>
    </row>
    <row r="35" spans="1:106" ht="13.5" thickBot="1" x14ac:dyDescent="0.35">
      <c r="A35" s="962" t="str">
        <f>'HyARC Physical Property Data'!A78</f>
        <v>Residential Electricity</v>
      </c>
      <c r="B35" s="877">
        <v>2011</v>
      </c>
      <c r="C35" s="878">
        <f t="shared" si="99"/>
        <v>1.0784554773635862</v>
      </c>
      <c r="D35" s="1243" t="str">
        <f>'HyARC Physical Property Data'!$H$78</f>
        <v>kWh</v>
      </c>
      <c r="E35" s="878" t="s">
        <v>1070</v>
      </c>
      <c r="F35" s="877"/>
      <c r="G35" s="877"/>
      <c r="H35" s="1065">
        <v>29.579885763014694</v>
      </c>
      <c r="I35" s="1065">
        <v>29.579885763014694</v>
      </c>
      <c r="J35" s="1065">
        <v>29.579885763014694</v>
      </c>
      <c r="K35" s="1065">
        <v>29.556357578078675</v>
      </c>
      <c r="L35" s="1065">
        <v>30.116416605727963</v>
      </c>
      <c r="M35" s="1065">
        <v>29.134443020933652</v>
      </c>
      <c r="N35" s="877">
        <f t="shared" ref="N35:AR35" si="126">(N53/(mmBTU_to_GJ))*($C35)</f>
        <v>35.290357875264071</v>
      </c>
      <c r="O35" s="877">
        <f t="shared" si="126"/>
        <v>35.099254542442559</v>
      </c>
      <c r="P35" s="877">
        <f t="shared" si="126"/>
        <v>34.006324250330664</v>
      </c>
      <c r="Q35" s="877">
        <f t="shared" si="126"/>
        <v>33.273068571129983</v>
      </c>
      <c r="R35" s="877">
        <f t="shared" si="126"/>
        <v>33.741332917168577</v>
      </c>
      <c r="S35" s="877">
        <f t="shared" si="126"/>
        <v>33.797427935481679</v>
      </c>
      <c r="T35" s="877">
        <f t="shared" si="126"/>
        <v>34.324839686615753</v>
      </c>
      <c r="U35" s="877">
        <f t="shared" si="126"/>
        <v>34.578308413009267</v>
      </c>
      <c r="V35" s="877">
        <f t="shared" si="126"/>
        <v>34.586867567238613</v>
      </c>
      <c r="W35" s="877">
        <f t="shared" si="126"/>
        <v>34.390554936680012</v>
      </c>
      <c r="X35" s="877">
        <f t="shared" si="126"/>
        <v>34.362805408349665</v>
      </c>
      <c r="Y35" s="877">
        <f t="shared" si="126"/>
        <v>34.407138617447096</v>
      </c>
      <c r="Z35" s="877">
        <f t="shared" si="126"/>
        <v>34.440296778887124</v>
      </c>
      <c r="AA35" s="877">
        <f t="shared" si="126"/>
        <v>34.452805840191871</v>
      </c>
      <c r="AB35" s="877">
        <f t="shared" si="126"/>
        <v>34.592323223051601</v>
      </c>
      <c r="AC35" s="877">
        <f t="shared" si="126"/>
        <v>34.714384960668241</v>
      </c>
      <c r="AD35" s="877">
        <f t="shared" si="126"/>
        <v>34.884790126185806</v>
      </c>
      <c r="AE35" s="877">
        <f t="shared" si="126"/>
        <v>35.027523453056702</v>
      </c>
      <c r="AF35" s="877">
        <f t="shared" si="126"/>
        <v>35.17875868912688</v>
      </c>
      <c r="AG35" s="877">
        <f t="shared" si="126"/>
        <v>35.278238284610403</v>
      </c>
      <c r="AH35" s="877">
        <f t="shared" si="126"/>
        <v>35.329988814033648</v>
      </c>
      <c r="AI35" s="877">
        <f t="shared" si="126"/>
        <v>35.457572652587459</v>
      </c>
      <c r="AJ35" s="877">
        <f t="shared" si="126"/>
        <v>35.581268940259363</v>
      </c>
      <c r="AK35" s="877">
        <f t="shared" si="126"/>
        <v>35.700168912196872</v>
      </c>
      <c r="AL35" s="877">
        <f t="shared" si="126"/>
        <v>35.86250559517147</v>
      </c>
      <c r="AM35" s="877">
        <f t="shared" si="126"/>
        <v>36.208798160069257</v>
      </c>
      <c r="AN35" s="877">
        <f t="shared" si="126"/>
        <v>36.632705785658793</v>
      </c>
      <c r="AO35" s="877">
        <f t="shared" si="126"/>
        <v>36.980264896847054</v>
      </c>
      <c r="AP35" s="877">
        <f t="shared" si="126"/>
        <v>37.31435507024409</v>
      </c>
      <c r="AQ35" s="877">
        <f t="shared" si="126"/>
        <v>37.726607198816652</v>
      </c>
      <c r="AR35" s="877">
        <f t="shared" si="126"/>
        <v>37.92339618980413</v>
      </c>
      <c r="AS35" s="877">
        <f t="shared" ref="AS35:BA35" si="127">($BB35-$AR35)/10+AR35</f>
        <v>37.661673404423048</v>
      </c>
      <c r="AT35" s="877">
        <f t="shared" si="127"/>
        <v>37.399950619041967</v>
      </c>
      <c r="AU35" s="877">
        <f t="shared" si="127"/>
        <v>37.138227833660885</v>
      </c>
      <c r="AV35" s="877">
        <f t="shared" si="127"/>
        <v>36.876505048279803</v>
      </c>
      <c r="AW35" s="877">
        <f t="shared" si="127"/>
        <v>36.614782262898721</v>
      </c>
      <c r="AX35" s="877">
        <f t="shared" si="127"/>
        <v>36.35305947751764</v>
      </c>
      <c r="AY35" s="877">
        <f t="shared" si="127"/>
        <v>36.091336692136558</v>
      </c>
      <c r="AZ35" s="877">
        <f t="shared" si="127"/>
        <v>35.829613906755476</v>
      </c>
      <c r="BA35" s="877">
        <f t="shared" si="127"/>
        <v>35.567891121374394</v>
      </c>
      <c r="BB35" s="963">
        <f>'AEO Data'!$B$33*AM35</f>
        <v>35.306168335993306</v>
      </c>
      <c r="BC35" s="877">
        <f t="shared" ref="BC35:BP35" si="128">($BQ35-$BB35)/15+BB35</f>
        <v>35.326738550364603</v>
      </c>
      <c r="BD35" s="877">
        <f t="shared" si="128"/>
        <v>35.347308764735899</v>
      </c>
      <c r="BE35" s="877">
        <f t="shared" si="128"/>
        <v>35.367878979107196</v>
      </c>
      <c r="BF35" s="877">
        <f t="shared" si="128"/>
        <v>35.388449193478493</v>
      </c>
      <c r="BG35" s="877">
        <f t="shared" si="128"/>
        <v>35.40901940784979</v>
      </c>
      <c r="BH35" s="877">
        <f t="shared" si="128"/>
        <v>35.429589622221087</v>
      </c>
      <c r="BI35" s="877">
        <f t="shared" si="128"/>
        <v>35.450159836592384</v>
      </c>
      <c r="BJ35" s="877">
        <f t="shared" si="128"/>
        <v>35.470730050963681</v>
      </c>
      <c r="BK35" s="877">
        <f t="shared" si="128"/>
        <v>35.491300265334978</v>
      </c>
      <c r="BL35" s="877">
        <f t="shared" si="128"/>
        <v>35.511870479706275</v>
      </c>
      <c r="BM35" s="877">
        <f t="shared" si="128"/>
        <v>35.532440694077572</v>
      </c>
      <c r="BN35" s="877">
        <f t="shared" si="128"/>
        <v>35.553010908448869</v>
      </c>
      <c r="BO35" s="877">
        <f t="shared" si="128"/>
        <v>35.573581122820165</v>
      </c>
      <c r="BP35" s="877">
        <f t="shared" si="128"/>
        <v>35.594151337191462</v>
      </c>
      <c r="BQ35" s="963">
        <f>'AEO Data'!$C$33*BB35</f>
        <v>35.614721551562717</v>
      </c>
      <c r="BR35" s="877">
        <f t="shared" si="120"/>
        <v>35.590740371018178</v>
      </c>
      <c r="BS35" s="877">
        <f t="shared" si="120"/>
        <v>35.56675919047364</v>
      </c>
      <c r="BT35" s="877">
        <f t="shared" si="120"/>
        <v>35.542778009929101</v>
      </c>
      <c r="BU35" s="877">
        <f t="shared" si="120"/>
        <v>35.518796829384563</v>
      </c>
      <c r="BV35" s="964">
        <f>'AEO Data'!$D$33*BQ35</f>
        <v>35.494815648840024</v>
      </c>
      <c r="BW35" s="1391">
        <f>+BV35*BW$141/BV$141</f>
        <v>35.479187147674004</v>
      </c>
      <c r="BX35" s="1391">
        <f t="shared" ref="BX35:CZ35" si="129">+BW35*BX$141/BW$141</f>
        <v>35.463565527795978</v>
      </c>
      <c r="BY35" s="1391">
        <f t="shared" si="129"/>
        <v>35.447950786176087</v>
      </c>
      <c r="BZ35" s="1391">
        <f t="shared" si="129"/>
        <v>35.432342919785803</v>
      </c>
      <c r="CA35" s="1391">
        <f t="shared" si="129"/>
        <v>35.41674192559794</v>
      </c>
      <c r="CB35" s="1391">
        <f t="shared" si="129"/>
        <v>35.388373668404036</v>
      </c>
      <c r="CC35" s="1391">
        <f t="shared" si="129"/>
        <v>35.360028133741132</v>
      </c>
      <c r="CD35" s="1391">
        <f t="shared" si="129"/>
        <v>35.331705303408839</v>
      </c>
      <c r="CE35" s="1391">
        <f t="shared" si="129"/>
        <v>35.303405159221327</v>
      </c>
      <c r="CF35" s="1391">
        <f t="shared" si="129"/>
        <v>35.275127683007355</v>
      </c>
      <c r="CG35" s="1391">
        <f t="shared" si="129"/>
        <v>35.236173874838393</v>
      </c>
      <c r="CH35" s="1391">
        <f t="shared" si="129"/>
        <v>35.197263082790727</v>
      </c>
      <c r="CI35" s="1391">
        <f t="shared" si="129"/>
        <v>35.158395259362273</v>
      </c>
      <c r="CJ35" s="1391">
        <f t="shared" si="129"/>
        <v>35.119570357103413</v>
      </c>
      <c r="CK35" s="1391">
        <f t="shared" si="129"/>
        <v>35.080788328616926</v>
      </c>
      <c r="CL35" s="1391">
        <f t="shared" si="129"/>
        <v>35.03850643960029</v>
      </c>
      <c r="CM35" s="1391">
        <f t="shared" si="129"/>
        <v>34.996275511757105</v>
      </c>
      <c r="CN35" s="1391">
        <f t="shared" si="129"/>
        <v>34.954095483665299</v>
      </c>
      <c r="CO35" s="1391">
        <f t="shared" si="129"/>
        <v>34.911966293976825</v>
      </c>
      <c r="CP35" s="1391">
        <f t="shared" si="129"/>
        <v>34.869887881417597</v>
      </c>
      <c r="CQ35" s="1391">
        <f t="shared" si="129"/>
        <v>34.82115009201096</v>
      </c>
      <c r="CR35" s="1391">
        <f t="shared" si="129"/>
        <v>34.772480423618198</v>
      </c>
      <c r="CS35" s="1391">
        <f t="shared" si="129"/>
        <v>34.723878781026279</v>
      </c>
      <c r="CT35" s="1391">
        <f t="shared" si="129"/>
        <v>34.675345069155263</v>
      </c>
      <c r="CU35" s="1391">
        <f t="shared" si="129"/>
        <v>34.626879193058095</v>
      </c>
      <c r="CV35" s="1391">
        <f t="shared" si="129"/>
        <v>34.579567869537456</v>
      </c>
      <c r="CW35" s="1391">
        <f t="shared" si="129"/>
        <v>34.532321188323188</v>
      </c>
      <c r="CX35" s="1391">
        <f t="shared" si="129"/>
        <v>34.485139061093349</v>
      </c>
      <c r="CY35" s="1391">
        <f t="shared" si="129"/>
        <v>34.438021399646672</v>
      </c>
      <c r="CZ35" s="1391">
        <f t="shared" si="129"/>
        <v>34.39096811590241</v>
      </c>
    </row>
    <row r="36" spans="1:106" ht="13" thickTop="1" x14ac:dyDescent="0.25">
      <c r="A36" s="874"/>
      <c r="B36" s="260"/>
      <c r="C36" s="871"/>
      <c r="D36" s="1244"/>
      <c r="E36" s="87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4"/>
      <c r="B37" s="260"/>
      <c r="C37" s="871"/>
      <c r="D37" s="1245"/>
      <c r="E37" s="87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2"/>
      <c r="B38" s="260"/>
      <c r="C38" s="871"/>
      <c r="D38" s="1245"/>
      <c r="E38" s="87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47" customFormat="1" ht="13" x14ac:dyDescent="0.3">
      <c r="A39" s="1043" t="s">
        <v>1107</v>
      </c>
      <c r="B39" s="1044"/>
      <c r="C39" s="1045"/>
      <c r="D39" s="1246"/>
      <c r="E39" s="1045"/>
      <c r="F39" s="1044"/>
      <c r="G39" s="1044"/>
      <c r="H39" s="1044"/>
      <c r="I39" s="1044"/>
      <c r="J39" s="1044"/>
      <c r="K39" s="1044"/>
      <c r="L39" s="1044"/>
      <c r="M39" s="1044"/>
      <c r="N39" s="1044"/>
      <c r="O39" s="1044"/>
      <c r="P39" s="1044"/>
      <c r="Q39" s="1044"/>
      <c r="R39" s="1044"/>
      <c r="S39" s="1044"/>
      <c r="T39" s="1044"/>
      <c r="U39" s="1044"/>
      <c r="V39" s="1044"/>
      <c r="W39" s="1044"/>
      <c r="X39" s="1044"/>
      <c r="Y39" s="1044"/>
      <c r="Z39" s="1044"/>
      <c r="AA39" s="1044"/>
      <c r="AB39" s="1044"/>
      <c r="AC39" s="1044"/>
      <c r="AD39" s="1044"/>
      <c r="AE39" s="1044"/>
      <c r="AF39" s="1044"/>
      <c r="AG39" s="1044"/>
      <c r="AH39" s="1044"/>
      <c r="AI39" s="1044"/>
      <c r="AJ39" s="1044"/>
      <c r="AK39" s="1044"/>
      <c r="AL39" s="1044"/>
      <c r="AM39" s="1044"/>
      <c r="AN39" s="1044"/>
      <c r="AO39" s="1044"/>
      <c r="AP39" s="1044"/>
      <c r="AQ39" s="1044"/>
      <c r="AR39" s="1044"/>
      <c r="AS39" s="1044"/>
      <c r="AT39" s="1044"/>
      <c r="AU39" s="1044"/>
      <c r="AV39" s="1044"/>
      <c r="AW39" s="1044"/>
      <c r="AX39" s="1044"/>
      <c r="AY39" s="1044"/>
      <c r="AZ39" s="1044"/>
      <c r="BA39" s="1044"/>
      <c r="BB39" s="1044"/>
      <c r="BC39" s="1044"/>
      <c r="BD39" s="1044"/>
      <c r="BE39" s="1044"/>
      <c r="BF39" s="1044"/>
      <c r="BG39" s="1044"/>
      <c r="BH39" s="1044"/>
      <c r="BI39" s="1044"/>
      <c r="BJ39" s="1044"/>
      <c r="BK39" s="1044"/>
      <c r="BL39" s="1044"/>
      <c r="BM39" s="1044"/>
      <c r="BN39" s="1044"/>
      <c r="BO39" s="1044"/>
      <c r="BP39" s="1044"/>
      <c r="BQ39" s="1044"/>
      <c r="BR39" s="1044"/>
      <c r="BS39" s="1044"/>
      <c r="BT39" s="1044"/>
      <c r="BU39" s="1044"/>
      <c r="BV39" s="1046"/>
    </row>
    <row r="40" spans="1:106" s="1047" customFormat="1" ht="13" x14ac:dyDescent="0.3">
      <c r="A40" s="1048" t="s">
        <v>1108</v>
      </c>
      <c r="B40" s="1049"/>
      <c r="C40" s="1050"/>
      <c r="D40" s="1247"/>
      <c r="E40" s="1050"/>
      <c r="F40" s="1049"/>
      <c r="G40" s="1049"/>
      <c r="H40" s="1049"/>
      <c r="I40" s="1049"/>
      <c r="J40" s="1049"/>
      <c r="K40" s="1049"/>
      <c r="L40" s="1049"/>
      <c r="M40" s="1049"/>
      <c r="N40" s="1049"/>
      <c r="O40" s="1049"/>
      <c r="P40" s="1049"/>
      <c r="Q40" s="1049"/>
      <c r="R40" s="1049"/>
      <c r="S40" s="1049"/>
      <c r="T40" s="1049"/>
      <c r="U40" s="1049"/>
      <c r="V40" s="1049"/>
      <c r="W40" s="1049"/>
      <c r="X40" s="1049"/>
      <c r="Y40" s="1049"/>
      <c r="Z40" s="1049"/>
      <c r="AA40" s="1049"/>
      <c r="AB40" s="1049"/>
      <c r="AC40" s="1049"/>
      <c r="AD40" s="1049"/>
      <c r="AE40" s="1049"/>
      <c r="AF40" s="1049"/>
      <c r="AG40" s="1049"/>
      <c r="AH40" s="1049"/>
      <c r="AI40" s="1049"/>
      <c r="AJ40" s="1049"/>
      <c r="AK40" s="1049"/>
      <c r="AL40" s="1049"/>
      <c r="AM40" s="1049"/>
      <c r="AN40" s="1049"/>
      <c r="AO40" s="1049"/>
      <c r="AP40" s="1049"/>
      <c r="AQ40" s="1049"/>
      <c r="AR40" s="1049"/>
      <c r="AS40" s="1049"/>
      <c r="AT40" s="1049"/>
      <c r="AU40" s="1049"/>
      <c r="AV40" s="1049"/>
      <c r="AW40" s="1049"/>
      <c r="AX40" s="1049"/>
      <c r="AY40" s="1049"/>
      <c r="AZ40" s="1049"/>
      <c r="BA40" s="1049"/>
      <c r="BB40" s="1049"/>
      <c r="BC40" s="1049"/>
      <c r="BD40" s="1049"/>
      <c r="BE40" s="1049"/>
      <c r="BF40" s="1049"/>
      <c r="BG40" s="1049"/>
      <c r="BH40" s="1049"/>
      <c r="BI40" s="1049"/>
      <c r="BJ40" s="1049"/>
      <c r="BK40" s="1049"/>
      <c r="BL40" s="1049"/>
      <c r="BM40" s="1049"/>
      <c r="BN40" s="1049"/>
      <c r="BO40" s="1049"/>
      <c r="BP40" s="1049"/>
      <c r="BQ40" s="1049"/>
      <c r="BR40" s="1049"/>
      <c r="BS40" s="1049"/>
      <c r="BT40" s="1049"/>
      <c r="BU40" s="1049"/>
      <c r="BV40" s="1051"/>
    </row>
    <row r="41" spans="1:106" s="1047" customFormat="1" x14ac:dyDescent="0.25">
      <c r="A41" s="1052"/>
      <c r="B41" s="1049"/>
      <c r="C41" s="1050"/>
      <c r="D41" s="1247"/>
      <c r="E41" s="1050"/>
      <c r="F41" s="1049"/>
      <c r="G41" s="1049"/>
      <c r="H41" s="1049"/>
      <c r="I41" s="1049"/>
      <c r="J41" s="1049"/>
      <c r="K41" s="1049"/>
      <c r="L41" s="1049"/>
      <c r="M41" s="1049"/>
      <c r="N41" s="1049"/>
      <c r="O41" s="1049"/>
      <c r="P41" s="1049"/>
      <c r="Q41" s="1049"/>
      <c r="R41" s="1049"/>
      <c r="S41" s="1049"/>
      <c r="T41" s="1049"/>
      <c r="U41" s="1049"/>
      <c r="V41" s="1049"/>
      <c r="W41" s="1049"/>
      <c r="X41" s="1049"/>
      <c r="Y41" s="1049"/>
      <c r="Z41" s="1049"/>
      <c r="AA41" s="1049"/>
      <c r="AB41" s="1049"/>
      <c r="AC41" s="1049"/>
      <c r="AD41" s="1049"/>
      <c r="AE41" s="1049"/>
      <c r="AF41" s="1049"/>
      <c r="AG41" s="1049"/>
      <c r="AH41" s="1049"/>
      <c r="AI41" s="1049"/>
      <c r="AJ41" s="1049"/>
      <c r="AK41" s="1049"/>
      <c r="AL41" s="1049"/>
      <c r="AM41" s="1049"/>
      <c r="AN41" s="1049"/>
      <c r="AO41" s="1049"/>
      <c r="AP41" s="1049"/>
      <c r="AQ41" s="1049"/>
      <c r="AR41" s="1049"/>
      <c r="AS41" s="1049"/>
      <c r="AT41" s="1049"/>
      <c r="AU41" s="1049"/>
      <c r="AV41" s="1049"/>
      <c r="AW41" s="1049"/>
      <c r="AX41" s="1049"/>
      <c r="AY41" s="1049"/>
      <c r="AZ41" s="1049"/>
      <c r="BA41" s="1049"/>
      <c r="BB41" s="1049"/>
      <c r="BC41" s="1049"/>
      <c r="BD41" s="1049"/>
      <c r="BE41" s="1049"/>
      <c r="BF41" s="1049"/>
      <c r="BG41" s="1049"/>
      <c r="BH41" s="1049"/>
      <c r="BI41" s="1049"/>
      <c r="BJ41" s="1049"/>
      <c r="BK41" s="1049"/>
      <c r="BL41" s="1049"/>
      <c r="BM41" s="1049"/>
      <c r="BN41" s="1049"/>
      <c r="BO41" s="1049"/>
      <c r="BP41" s="1049"/>
      <c r="BQ41" s="1049"/>
      <c r="BR41" s="1049"/>
      <c r="BS41" s="1049"/>
      <c r="BT41" s="1049"/>
      <c r="BU41" s="1049"/>
      <c r="BV41" s="1051"/>
    </row>
    <row r="42" spans="1:106" s="1047" customFormat="1" x14ac:dyDescent="0.25">
      <c r="A42" s="1052" t="s">
        <v>681</v>
      </c>
      <c r="B42" s="1049"/>
      <c r="C42" s="1050"/>
      <c r="D42" s="1247"/>
      <c r="E42" s="1050"/>
      <c r="F42" s="1049"/>
      <c r="G42" s="1049"/>
      <c r="H42" s="1049"/>
      <c r="I42" s="1049"/>
      <c r="J42" s="1049"/>
      <c r="K42" s="1049"/>
      <c r="L42" s="1049"/>
      <c r="M42" s="1049"/>
      <c r="N42" s="1053">
        <v>11.359373</v>
      </c>
      <c r="O42" s="1053">
        <v>10.802343</v>
      </c>
      <c r="P42" s="1053">
        <v>10.464380999999999</v>
      </c>
      <c r="Q42" s="1053">
        <v>10.477905</v>
      </c>
      <c r="R42" s="1053">
        <v>10.253485</v>
      </c>
      <c r="S42" s="1053">
        <v>10.156079999999999</v>
      </c>
      <c r="T42" s="1053">
        <v>10.662777999999999</v>
      </c>
      <c r="U42" s="1053">
        <v>10.990506</v>
      </c>
      <c r="V42" s="1053">
        <v>11.397518</v>
      </c>
      <c r="W42" s="1053">
        <v>11.624905</v>
      </c>
      <c r="X42" s="1053">
        <v>11.776242999999999</v>
      </c>
      <c r="Y42" s="1053">
        <v>11.960003</v>
      </c>
      <c r="Z42" s="1053">
        <v>12.203179</v>
      </c>
      <c r="AA42" s="1053">
        <v>12.432268000000001</v>
      </c>
      <c r="AB42" s="1053">
        <v>12.584531</v>
      </c>
      <c r="AC42" s="1053">
        <v>12.674325</v>
      </c>
      <c r="AD42" s="1053">
        <v>12.841908</v>
      </c>
      <c r="AE42" s="1053">
        <v>12.933384999999999</v>
      </c>
      <c r="AF42" s="1053">
        <v>13.085578999999999</v>
      </c>
      <c r="AG42" s="1053">
        <v>13.234385</v>
      </c>
      <c r="AH42" s="1053">
        <v>13.368997999999999</v>
      </c>
      <c r="AI42" s="1053">
        <v>13.547089</v>
      </c>
      <c r="AJ42" s="1053">
        <v>13.721807</v>
      </c>
      <c r="AK42" s="1053">
        <v>13.935895</v>
      </c>
      <c r="AL42" s="1053">
        <v>14.248931000000001</v>
      </c>
      <c r="AM42" s="1053">
        <v>14.598827</v>
      </c>
      <c r="AN42" s="1053">
        <v>15.023702999999999</v>
      </c>
      <c r="AO42" s="1053">
        <v>15.415895000000001</v>
      </c>
      <c r="AP42" s="1053">
        <v>15.842275000000001</v>
      </c>
      <c r="AQ42" s="1053">
        <v>16.055761</v>
      </c>
      <c r="AR42" s="1053">
        <v>16.363073</v>
      </c>
      <c r="AS42" s="1049"/>
      <c r="AT42" s="1049"/>
      <c r="AU42" s="1049"/>
      <c r="AV42" s="1049"/>
      <c r="AW42" s="1049"/>
      <c r="AX42" s="1049"/>
      <c r="AY42" s="1049"/>
      <c r="AZ42" s="1049"/>
      <c r="BA42" s="1049"/>
      <c r="BB42" s="1049"/>
      <c r="BC42" s="1049"/>
      <c r="BD42" s="1049"/>
      <c r="BE42" s="1049"/>
      <c r="BF42" s="1049"/>
      <c r="BG42" s="1049"/>
      <c r="BH42" s="1049"/>
      <c r="BI42" s="1049"/>
      <c r="BJ42" s="1049"/>
      <c r="BK42" s="1049"/>
      <c r="BL42" s="1049"/>
      <c r="BM42" s="1049"/>
      <c r="BN42" s="1049"/>
      <c r="BO42" s="1049"/>
      <c r="BP42" s="1049"/>
      <c r="BQ42" s="1049"/>
      <c r="BR42" s="1049"/>
      <c r="BS42" s="1049"/>
      <c r="BT42" s="1049"/>
      <c r="BU42" s="1049"/>
      <c r="BV42" s="1051"/>
    </row>
    <row r="43" spans="1:106" s="1047" customFormat="1" x14ac:dyDescent="0.25">
      <c r="A43" s="1052" t="s">
        <v>1084</v>
      </c>
      <c r="B43" s="1049"/>
      <c r="C43" s="1050"/>
      <c r="D43" s="1247"/>
      <c r="E43" s="1050"/>
      <c r="F43" s="1049"/>
      <c r="G43" s="1049"/>
      <c r="H43" s="1049"/>
      <c r="I43" s="1049"/>
      <c r="J43" s="1049"/>
      <c r="K43" s="1049"/>
      <c r="L43" s="1049"/>
      <c r="M43" s="1049"/>
      <c r="N43" s="1053">
        <v>9.3969749999999994</v>
      </c>
      <c r="O43" s="1053">
        <v>8.8368610000000007</v>
      </c>
      <c r="P43" s="1053">
        <v>8.0727960000000003</v>
      </c>
      <c r="Q43" s="1053">
        <v>8.4627339999999993</v>
      </c>
      <c r="R43" s="1053">
        <v>8.2352620000000005</v>
      </c>
      <c r="S43" s="1053">
        <v>8.1043620000000001</v>
      </c>
      <c r="T43" s="1053">
        <v>8.5610389999999992</v>
      </c>
      <c r="U43" s="1053">
        <v>8.8247909999999994</v>
      </c>
      <c r="V43" s="1053">
        <v>9.1722800000000007</v>
      </c>
      <c r="W43" s="1053">
        <v>9.3508150000000008</v>
      </c>
      <c r="X43" s="1053">
        <v>9.4680210000000002</v>
      </c>
      <c r="Y43" s="1053">
        <v>9.6109419999999997</v>
      </c>
      <c r="Z43" s="1053">
        <v>9.8191819999999996</v>
      </c>
      <c r="AA43" s="1053">
        <v>10.011597999999999</v>
      </c>
      <c r="AB43" s="1053">
        <v>10.133018</v>
      </c>
      <c r="AC43" s="1053">
        <v>10.193654</v>
      </c>
      <c r="AD43" s="1053">
        <v>10.33554</v>
      </c>
      <c r="AE43" s="1053">
        <v>10.388019</v>
      </c>
      <c r="AF43" s="1053">
        <v>10.500005</v>
      </c>
      <c r="AG43" s="1053">
        <v>10.605323</v>
      </c>
      <c r="AH43" s="1053">
        <v>10.697221000000001</v>
      </c>
      <c r="AI43" s="1053">
        <v>10.832411</v>
      </c>
      <c r="AJ43" s="1053">
        <v>10.954602</v>
      </c>
      <c r="AK43" s="1053">
        <v>11.11848</v>
      </c>
      <c r="AL43" s="1053">
        <v>11.383407</v>
      </c>
      <c r="AM43" s="1053">
        <v>11.681657</v>
      </c>
      <c r="AN43" s="1053">
        <v>12.061093</v>
      </c>
      <c r="AO43" s="1053">
        <v>12.401303</v>
      </c>
      <c r="AP43" s="1053">
        <v>12.781521</v>
      </c>
      <c r="AQ43" s="1053">
        <v>12.948893999999999</v>
      </c>
      <c r="AR43" s="1053">
        <v>13.212922000000001</v>
      </c>
      <c r="AS43" s="1049"/>
      <c r="AT43" s="1049"/>
      <c r="AU43" s="1049"/>
      <c r="AV43" s="1049"/>
      <c r="AW43" s="1049"/>
      <c r="AX43" s="1049"/>
      <c r="AY43" s="1049"/>
      <c r="AZ43" s="1049"/>
      <c r="BA43" s="1049"/>
      <c r="BB43" s="1049"/>
      <c r="BC43" s="1049"/>
      <c r="BD43" s="1049"/>
      <c r="BE43" s="1049"/>
      <c r="BF43" s="1049"/>
      <c r="BG43" s="1049"/>
      <c r="BH43" s="1049"/>
      <c r="BI43" s="1049"/>
      <c r="BJ43" s="1049"/>
      <c r="BK43" s="1049"/>
      <c r="BL43" s="1049"/>
      <c r="BM43" s="1049"/>
      <c r="BN43" s="1049"/>
      <c r="BO43" s="1049"/>
      <c r="BP43" s="1049"/>
      <c r="BQ43" s="1049"/>
      <c r="BR43" s="1049"/>
      <c r="BS43" s="1049"/>
      <c r="BT43" s="1049"/>
      <c r="BU43" s="1049"/>
      <c r="BV43" s="1051"/>
    </row>
    <row r="44" spans="1:106" s="1047" customFormat="1" x14ac:dyDescent="0.25">
      <c r="A44" s="1052" t="s">
        <v>283</v>
      </c>
      <c r="B44" s="1049"/>
      <c r="C44" s="1050"/>
      <c r="D44" s="1247"/>
      <c r="E44" s="1050"/>
      <c r="F44" s="1049"/>
      <c r="G44" s="1049"/>
      <c r="H44" s="1049"/>
      <c r="I44" s="1049"/>
      <c r="J44" s="1049"/>
      <c r="K44" s="1049"/>
      <c r="L44" s="1049"/>
      <c r="M44" s="1049"/>
      <c r="N44" s="1053">
        <v>5.4839599999999997</v>
      </c>
      <c r="O44" s="1053">
        <v>4.8898130000000002</v>
      </c>
      <c r="P44" s="1053">
        <v>3.7596859999999999</v>
      </c>
      <c r="Q44" s="1053">
        <v>4.3339879999999997</v>
      </c>
      <c r="R44" s="1053">
        <v>4.3750520000000002</v>
      </c>
      <c r="S44" s="1053">
        <v>4.4225349999999999</v>
      </c>
      <c r="T44" s="1053">
        <v>4.8660360000000003</v>
      </c>
      <c r="U44" s="1053">
        <v>5.0679410000000003</v>
      </c>
      <c r="V44" s="1053">
        <v>5.3212570000000001</v>
      </c>
      <c r="W44" s="1053">
        <v>5.4497980000000004</v>
      </c>
      <c r="X44" s="1053">
        <v>5.5294119999999998</v>
      </c>
      <c r="Y44" s="1053">
        <v>5.6406840000000003</v>
      </c>
      <c r="Z44" s="1053">
        <v>5.8277749999999999</v>
      </c>
      <c r="AA44" s="1053">
        <v>6.0107049999999997</v>
      </c>
      <c r="AB44" s="1053">
        <v>6.1100089999999998</v>
      </c>
      <c r="AC44" s="1053">
        <v>6.1511990000000001</v>
      </c>
      <c r="AD44" s="1053">
        <v>6.2557600000000004</v>
      </c>
      <c r="AE44" s="1053">
        <v>6.2949159999999997</v>
      </c>
      <c r="AF44" s="1053">
        <v>6.396782</v>
      </c>
      <c r="AG44" s="1053">
        <v>6.4862520000000004</v>
      </c>
      <c r="AH44" s="1053">
        <v>6.561483</v>
      </c>
      <c r="AI44" s="1053">
        <v>6.6766310000000004</v>
      </c>
      <c r="AJ44" s="1053">
        <v>6.771134</v>
      </c>
      <c r="AK44" s="1053">
        <v>6.9159920000000001</v>
      </c>
      <c r="AL44" s="1053">
        <v>7.1687539999999998</v>
      </c>
      <c r="AM44" s="1053">
        <v>7.4454149999999997</v>
      </c>
      <c r="AN44" s="1053">
        <v>7.813205</v>
      </c>
      <c r="AO44" s="1053">
        <v>8.1536600000000004</v>
      </c>
      <c r="AP44" s="1053">
        <v>8.4989190000000008</v>
      </c>
      <c r="AQ44" s="1053">
        <v>8.6393810000000002</v>
      </c>
      <c r="AR44" s="1053">
        <v>8.8810929999999999</v>
      </c>
      <c r="AS44" s="1049"/>
      <c r="AT44" s="1049"/>
      <c r="AU44" s="1049"/>
      <c r="AV44" s="1049"/>
      <c r="AW44" s="1049"/>
      <c r="AX44" s="1049"/>
      <c r="AY44" s="1049"/>
      <c r="AZ44" s="1049"/>
      <c r="BA44" s="1049"/>
      <c r="BB44" s="1049"/>
      <c r="BC44" s="1049"/>
      <c r="BD44" s="1049"/>
      <c r="BE44" s="1049"/>
      <c r="BF44" s="1049"/>
      <c r="BG44" s="1049"/>
      <c r="BH44" s="1049"/>
      <c r="BI44" s="1049"/>
      <c r="BJ44" s="1049"/>
      <c r="BK44" s="1049"/>
      <c r="BL44" s="1049"/>
      <c r="BM44" s="1049"/>
      <c r="BN44" s="1049"/>
      <c r="BO44" s="1049"/>
      <c r="BP44" s="1049"/>
      <c r="BQ44" s="1049"/>
      <c r="BR44" s="1049"/>
      <c r="BS44" s="1049"/>
      <c r="BT44" s="1049"/>
      <c r="BU44" s="1049"/>
      <c r="BV44" s="1051"/>
    </row>
    <row r="45" spans="1:106" s="1047" customFormat="1" x14ac:dyDescent="0.25">
      <c r="A45" s="1054" t="str">
        <f>'HyARC Physical Property Data'!$A$74</f>
        <v>Electric Utility Natural Gas</v>
      </c>
      <c r="B45" s="1049"/>
      <c r="C45" s="1050"/>
      <c r="D45" s="1247"/>
      <c r="E45" s="1050"/>
      <c r="F45" s="1049"/>
      <c r="G45" s="1049"/>
      <c r="H45" s="1049"/>
      <c r="I45" s="1049"/>
      <c r="J45" s="1049"/>
      <c r="K45" s="1049"/>
      <c r="L45" s="1049"/>
      <c r="M45" s="1049"/>
      <c r="N45" s="1053">
        <v>5.258165</v>
      </c>
      <c r="O45" s="1053">
        <v>4.7747140000000003</v>
      </c>
      <c r="P45" s="1053">
        <v>3.3217560000000002</v>
      </c>
      <c r="Q45" s="1053">
        <v>3.7155300000000002</v>
      </c>
      <c r="R45" s="1053">
        <v>3.758219</v>
      </c>
      <c r="S45" s="1053">
        <v>3.8420709999999998</v>
      </c>
      <c r="T45" s="1053">
        <v>4.2826180000000003</v>
      </c>
      <c r="U45" s="1053">
        <v>4.4486730000000003</v>
      </c>
      <c r="V45" s="1053">
        <v>4.7026110000000001</v>
      </c>
      <c r="W45" s="1053">
        <v>4.8222319999999996</v>
      </c>
      <c r="X45" s="1053">
        <v>4.8967590000000003</v>
      </c>
      <c r="Y45" s="1053">
        <v>5.0074189999999996</v>
      </c>
      <c r="Z45" s="1053">
        <v>5.20235</v>
      </c>
      <c r="AA45" s="1053">
        <v>5.388776</v>
      </c>
      <c r="AB45" s="1053">
        <v>5.5179349999999996</v>
      </c>
      <c r="AC45" s="1053">
        <v>5.5779610000000002</v>
      </c>
      <c r="AD45" s="1053">
        <v>5.7088080000000003</v>
      </c>
      <c r="AE45" s="1053">
        <v>5.7607720000000002</v>
      </c>
      <c r="AF45" s="1053">
        <v>5.8668440000000004</v>
      </c>
      <c r="AG45" s="1053">
        <v>5.9650189999999998</v>
      </c>
      <c r="AH45" s="1053">
        <v>6.0528500000000003</v>
      </c>
      <c r="AI45" s="1053">
        <v>6.1836820000000001</v>
      </c>
      <c r="AJ45" s="1053">
        <v>6.2931780000000002</v>
      </c>
      <c r="AK45" s="1053">
        <v>6.4458729999999997</v>
      </c>
      <c r="AL45" s="1053">
        <v>6.6983480000000002</v>
      </c>
      <c r="AM45" s="1053">
        <v>6.9804459999999997</v>
      </c>
      <c r="AN45" s="1053">
        <v>7.345173</v>
      </c>
      <c r="AO45" s="1053">
        <v>7.6749489999999998</v>
      </c>
      <c r="AP45" s="1053">
        <v>8.0219799999999992</v>
      </c>
      <c r="AQ45" s="1053">
        <v>8.1549879999999995</v>
      </c>
      <c r="AR45" s="1053">
        <v>8.3777830000000009</v>
      </c>
      <c r="AS45" s="1049"/>
      <c r="AT45" s="1049"/>
      <c r="AU45" s="1049"/>
      <c r="AV45" s="1049"/>
      <c r="AW45" s="1049"/>
      <c r="AX45" s="1049"/>
      <c r="AY45" s="1049"/>
      <c r="AZ45" s="1049"/>
      <c r="BA45" s="1049"/>
      <c r="BB45" s="1049"/>
      <c r="BC45" s="1049"/>
      <c r="BD45" s="1049"/>
      <c r="BE45" s="1049"/>
      <c r="BF45" s="1049"/>
      <c r="BG45" s="1049"/>
      <c r="BH45" s="1049"/>
      <c r="BI45" s="1049"/>
      <c r="BJ45" s="1049"/>
      <c r="BK45" s="1049"/>
      <c r="BL45" s="1049"/>
      <c r="BM45" s="1049"/>
      <c r="BN45" s="1049"/>
      <c r="BO45" s="1049"/>
      <c r="BP45" s="1049"/>
      <c r="BQ45" s="1049"/>
      <c r="BR45" s="1049"/>
      <c r="BS45" s="1049"/>
      <c r="BT45" s="1049"/>
      <c r="BU45" s="1049"/>
      <c r="BV45" s="1051"/>
    </row>
    <row r="46" spans="1:106" s="1047" customFormat="1" x14ac:dyDescent="0.25">
      <c r="A46" s="1052" t="str">
        <f>'HyARC Physical Property Data'!$A$85</f>
        <v>Woody Biomass</v>
      </c>
      <c r="B46" s="1049"/>
      <c r="C46" s="1050"/>
      <c r="D46" s="1247"/>
      <c r="E46" s="1050"/>
      <c r="F46" s="1049"/>
      <c r="G46" s="1049"/>
      <c r="H46" s="1049"/>
      <c r="I46" s="1049"/>
      <c r="J46" s="1049"/>
      <c r="K46" s="1049"/>
      <c r="L46" s="1049"/>
      <c r="M46" s="1049"/>
      <c r="N46" s="1053"/>
      <c r="O46" s="1053"/>
      <c r="P46" s="1053"/>
      <c r="Q46" s="1053"/>
      <c r="R46" s="1053"/>
      <c r="S46" s="1053"/>
      <c r="T46" s="1053"/>
      <c r="U46" s="1053"/>
      <c r="V46" s="1053"/>
      <c r="W46" s="1053"/>
      <c r="X46" s="1053"/>
      <c r="Y46" s="1053"/>
      <c r="Z46" s="1053"/>
      <c r="AA46" s="1053"/>
      <c r="AB46" s="1053"/>
      <c r="AC46" s="1053"/>
      <c r="AD46" s="1053"/>
      <c r="AE46" s="1053"/>
      <c r="AF46" s="1053"/>
      <c r="AG46" s="1053"/>
      <c r="AH46" s="1053"/>
      <c r="AI46" s="1053"/>
      <c r="AJ46" s="1053"/>
      <c r="AK46" s="1053"/>
      <c r="AL46" s="1053"/>
      <c r="AM46" s="1053"/>
      <c r="AN46" s="1053"/>
      <c r="AO46" s="1053"/>
      <c r="AP46" s="1053"/>
      <c r="AQ46" s="1053"/>
      <c r="AR46" s="1053"/>
      <c r="AS46" s="1049"/>
      <c r="AT46" s="1049"/>
      <c r="AU46" s="1049"/>
      <c r="AV46" s="1049"/>
      <c r="AW46" s="1049"/>
      <c r="AX46" s="1049"/>
      <c r="AY46" s="1049"/>
      <c r="AZ46" s="1049"/>
      <c r="BA46" s="1049"/>
      <c r="BB46" s="1049"/>
      <c r="BC46" s="1049"/>
      <c r="BD46" s="1049"/>
      <c r="BE46" s="1049"/>
      <c r="BF46" s="1049"/>
      <c r="BG46" s="1049"/>
      <c r="BH46" s="1049"/>
      <c r="BI46" s="1049"/>
      <c r="BJ46" s="1049"/>
      <c r="BK46" s="1049"/>
      <c r="BL46" s="1049"/>
      <c r="BM46" s="1049"/>
      <c r="BN46" s="1049"/>
      <c r="BO46" s="1049"/>
      <c r="BP46" s="1049"/>
      <c r="BQ46" s="1049"/>
      <c r="BR46" s="1049"/>
      <c r="BS46" s="1049"/>
      <c r="BT46" s="1049"/>
      <c r="BU46" s="1049"/>
      <c r="BV46" s="1051"/>
    </row>
    <row r="47" spans="1:106" s="1047" customFormat="1" x14ac:dyDescent="0.25">
      <c r="A47" s="1052" t="s">
        <v>1109</v>
      </c>
      <c r="B47" s="1049"/>
      <c r="C47" s="1050"/>
      <c r="D47" s="1247"/>
      <c r="E47" s="1050"/>
      <c r="F47" s="1049"/>
      <c r="G47" s="1049"/>
      <c r="H47" s="1049"/>
      <c r="I47" s="1049"/>
      <c r="J47" s="1049"/>
      <c r="K47" s="1049"/>
      <c r="L47" s="1049"/>
      <c r="M47" s="1049"/>
      <c r="N47" s="1053">
        <v>13.6</v>
      </c>
      <c r="O47" s="1053">
        <v>13.6</v>
      </c>
      <c r="P47" s="1053">
        <v>13.6</v>
      </c>
      <c r="Q47" s="1053">
        <v>13.6</v>
      </c>
      <c r="R47" s="1053">
        <v>13.6</v>
      </c>
      <c r="S47" s="1053">
        <v>13.6</v>
      </c>
      <c r="T47" s="1053">
        <v>13.6</v>
      </c>
      <c r="U47" s="1053">
        <v>14.11</v>
      </c>
      <c r="V47" s="1053">
        <v>14.11</v>
      </c>
      <c r="W47" s="1053">
        <v>14.11</v>
      </c>
      <c r="X47" s="1053">
        <v>14.11</v>
      </c>
      <c r="Y47" s="1053">
        <v>14.11</v>
      </c>
      <c r="Z47" s="1053">
        <v>14.11</v>
      </c>
      <c r="AA47" s="1053">
        <v>14.11</v>
      </c>
      <c r="AB47" s="1053">
        <v>14.11</v>
      </c>
      <c r="AC47" s="1053">
        <v>14.11</v>
      </c>
      <c r="AD47" s="1053">
        <v>14.11</v>
      </c>
      <c r="AE47" s="1053">
        <v>14.11</v>
      </c>
      <c r="AF47" s="1053">
        <v>14.11</v>
      </c>
      <c r="AG47" s="1053">
        <v>14.11</v>
      </c>
      <c r="AH47" s="1053">
        <v>14.11</v>
      </c>
      <c r="AI47" s="1053">
        <v>14.11</v>
      </c>
      <c r="AJ47" s="1053">
        <v>14.11</v>
      </c>
      <c r="AK47" s="1053">
        <v>14.11</v>
      </c>
      <c r="AL47" s="1053">
        <v>14.11</v>
      </c>
      <c r="AM47" s="1053">
        <v>14.11</v>
      </c>
      <c r="AN47" s="1053">
        <v>14.11</v>
      </c>
      <c r="AO47" s="1053">
        <v>14.11</v>
      </c>
      <c r="AP47" s="1053">
        <v>14.11</v>
      </c>
      <c r="AQ47" s="1053">
        <v>14.11</v>
      </c>
      <c r="AR47" s="1053">
        <v>14.11</v>
      </c>
      <c r="AS47" s="1053">
        <v>14.11</v>
      </c>
      <c r="AT47" s="1053">
        <v>14.11</v>
      </c>
      <c r="AU47" s="1053">
        <v>14.11</v>
      </c>
      <c r="AV47" s="1053">
        <v>14.11</v>
      </c>
      <c r="AW47" s="1053">
        <v>14.11</v>
      </c>
      <c r="AX47" s="1053">
        <v>14.11</v>
      </c>
      <c r="AY47" s="1053">
        <v>14.11</v>
      </c>
      <c r="AZ47" s="1053">
        <v>14.11</v>
      </c>
      <c r="BA47" s="1053">
        <v>14.11</v>
      </c>
      <c r="BB47" s="1053">
        <v>14.11</v>
      </c>
      <c r="BC47" s="1053">
        <v>14.11</v>
      </c>
      <c r="BD47" s="1053">
        <v>14.11</v>
      </c>
      <c r="BE47" s="1053">
        <v>14.11</v>
      </c>
      <c r="BF47" s="1053">
        <v>14.11</v>
      </c>
      <c r="BG47" s="1053">
        <v>14.11</v>
      </c>
      <c r="BH47" s="1053">
        <v>14.11</v>
      </c>
      <c r="BI47" s="1053">
        <v>14.11</v>
      </c>
      <c r="BJ47" s="1053">
        <v>14.11</v>
      </c>
      <c r="BK47" s="1053">
        <v>14.11</v>
      </c>
      <c r="BL47" s="1053">
        <v>14.11</v>
      </c>
      <c r="BM47" s="1053">
        <v>14.11</v>
      </c>
      <c r="BN47" s="1053">
        <v>14.11</v>
      </c>
      <c r="BO47" s="1053">
        <v>14.11</v>
      </c>
      <c r="BP47" s="1053">
        <v>14.11</v>
      </c>
      <c r="BQ47" s="1053">
        <v>14.11</v>
      </c>
      <c r="BR47" s="1053">
        <v>14.11</v>
      </c>
      <c r="BS47" s="1053">
        <v>14.11</v>
      </c>
      <c r="BT47" s="1053">
        <v>14.11</v>
      </c>
      <c r="BU47" s="1053">
        <v>14.11</v>
      </c>
      <c r="BV47" s="1055">
        <v>14.11</v>
      </c>
    </row>
    <row r="48" spans="1:106" s="1047" customFormat="1" x14ac:dyDescent="0.25">
      <c r="A48" s="1052" t="s">
        <v>311</v>
      </c>
      <c r="B48" s="1049"/>
      <c r="C48" s="1050"/>
      <c r="D48" s="1247"/>
      <c r="E48" s="1050"/>
      <c r="F48" s="1049"/>
      <c r="G48" s="1049"/>
      <c r="H48" s="1049"/>
      <c r="I48" s="1049"/>
      <c r="J48" s="1049"/>
      <c r="K48" s="1049"/>
      <c r="L48" s="1049"/>
      <c r="M48" s="1049"/>
      <c r="N48" s="1053">
        <v>23.6</v>
      </c>
      <c r="O48" s="1053">
        <v>23.6</v>
      </c>
      <c r="P48" s="1053">
        <v>23.6</v>
      </c>
      <c r="Q48" s="1053">
        <v>23.6</v>
      </c>
      <c r="R48" s="1053">
        <v>23.6</v>
      </c>
      <c r="S48" s="1053">
        <v>23.6</v>
      </c>
      <c r="T48" s="1053">
        <v>23.6</v>
      </c>
      <c r="U48" s="1053">
        <v>23.6</v>
      </c>
      <c r="V48" s="1053">
        <v>23.6</v>
      </c>
      <c r="W48" s="1053">
        <v>23.6</v>
      </c>
      <c r="X48" s="1053">
        <v>23.6</v>
      </c>
      <c r="Y48" s="1053">
        <v>23.6</v>
      </c>
      <c r="Z48" s="1053">
        <v>23.6</v>
      </c>
      <c r="AA48" s="1053">
        <v>23.6</v>
      </c>
      <c r="AB48" s="1053">
        <v>23.6</v>
      </c>
      <c r="AC48" s="1053">
        <v>23.6</v>
      </c>
      <c r="AD48" s="1053">
        <v>23.6</v>
      </c>
      <c r="AE48" s="1053">
        <v>23.6</v>
      </c>
      <c r="AF48" s="1053">
        <v>23.6</v>
      </c>
      <c r="AG48" s="1053">
        <v>23.6</v>
      </c>
      <c r="AH48" s="1053">
        <v>23.6</v>
      </c>
      <c r="AI48" s="1053">
        <v>23.6</v>
      </c>
      <c r="AJ48" s="1053">
        <v>23.6</v>
      </c>
      <c r="AK48" s="1053">
        <v>23.6</v>
      </c>
      <c r="AL48" s="1053">
        <v>23.6</v>
      </c>
      <c r="AM48" s="1053">
        <v>23.6</v>
      </c>
      <c r="AN48" s="1053">
        <v>23.6</v>
      </c>
      <c r="AO48" s="1053">
        <v>23.6</v>
      </c>
      <c r="AP48" s="1053">
        <v>23.6</v>
      </c>
      <c r="AQ48" s="1053">
        <v>23.6</v>
      </c>
      <c r="AR48" s="1053">
        <v>23.6</v>
      </c>
      <c r="AS48" s="1053">
        <v>23.6</v>
      </c>
      <c r="AT48" s="1053">
        <v>23.6</v>
      </c>
      <c r="AU48" s="1053">
        <v>23.6</v>
      </c>
      <c r="AV48" s="1053">
        <v>23.6</v>
      </c>
      <c r="AW48" s="1053">
        <v>23.6</v>
      </c>
      <c r="AX48" s="1053">
        <v>23.6</v>
      </c>
      <c r="AY48" s="1053">
        <v>23.6</v>
      </c>
      <c r="AZ48" s="1053">
        <v>23.6</v>
      </c>
      <c r="BA48" s="1053">
        <v>23.6</v>
      </c>
      <c r="BB48" s="1053">
        <v>23.6</v>
      </c>
      <c r="BC48" s="1053">
        <v>23.6</v>
      </c>
      <c r="BD48" s="1053">
        <v>23.6</v>
      </c>
      <c r="BE48" s="1053">
        <v>23.6</v>
      </c>
      <c r="BF48" s="1053">
        <v>23.6</v>
      </c>
      <c r="BG48" s="1053">
        <v>23.6</v>
      </c>
      <c r="BH48" s="1053">
        <v>23.6</v>
      </c>
      <c r="BI48" s="1053">
        <v>23.6</v>
      </c>
      <c r="BJ48" s="1053">
        <v>23.6</v>
      </c>
      <c r="BK48" s="1053">
        <v>23.6</v>
      </c>
      <c r="BL48" s="1053">
        <v>23.6</v>
      </c>
      <c r="BM48" s="1053">
        <v>23.6</v>
      </c>
      <c r="BN48" s="1053">
        <v>23.6</v>
      </c>
      <c r="BO48" s="1053">
        <v>23.6</v>
      </c>
      <c r="BP48" s="1053">
        <v>23.6</v>
      </c>
      <c r="BQ48" s="1053">
        <v>23.6</v>
      </c>
      <c r="BR48" s="1053">
        <v>23.6</v>
      </c>
      <c r="BS48" s="1053">
        <v>23.6</v>
      </c>
      <c r="BT48" s="1053">
        <v>23.6</v>
      </c>
      <c r="BU48" s="1053">
        <v>23.6</v>
      </c>
      <c r="BV48" s="1055">
        <v>23.6</v>
      </c>
    </row>
    <row r="49" spans="1:104" s="1047" customFormat="1" x14ac:dyDescent="0.25">
      <c r="A49" s="1054" t="s">
        <v>1110</v>
      </c>
      <c r="B49" s="1049"/>
      <c r="C49" s="1050"/>
      <c r="D49" s="1247"/>
      <c r="E49" s="1050"/>
      <c r="F49" s="1049"/>
      <c r="G49" s="1049"/>
      <c r="H49" s="1049"/>
      <c r="I49" s="1049"/>
      <c r="J49" s="1049"/>
      <c r="K49" s="1049"/>
      <c r="L49" s="1049"/>
      <c r="M49" s="1049"/>
      <c r="N49" s="1053">
        <v>25.561684</v>
      </c>
      <c r="O49" s="1053">
        <v>25.303816000000001</v>
      </c>
      <c r="P49" s="1053">
        <v>33.642014000000003</v>
      </c>
      <c r="Q49" s="1053">
        <v>31.120284999999999</v>
      </c>
      <c r="R49" s="1053">
        <v>24.805427999999999</v>
      </c>
      <c r="S49" s="1053">
        <v>24.941547</v>
      </c>
      <c r="T49" s="1053">
        <v>24.510408000000002</v>
      </c>
      <c r="U49" s="1053">
        <v>24.773121</v>
      </c>
      <c r="V49" s="1053">
        <v>25.840997999999999</v>
      </c>
      <c r="W49" s="1053">
        <v>26.808551999999999</v>
      </c>
      <c r="X49" s="1053">
        <v>29.644617</v>
      </c>
      <c r="Y49" s="1053">
        <v>29.383793000000001</v>
      </c>
      <c r="Z49" s="1053">
        <v>28.224442</v>
      </c>
      <c r="AA49" s="1053">
        <v>28.253482999999999</v>
      </c>
      <c r="AB49" s="1053">
        <v>27.145426</v>
      </c>
      <c r="AC49" s="1053">
        <v>27.272445999999999</v>
      </c>
      <c r="AD49" s="1053">
        <v>27.519344</v>
      </c>
      <c r="AE49" s="1053">
        <v>26.363682000000001</v>
      </c>
      <c r="AF49" s="1053">
        <v>26.241467</v>
      </c>
      <c r="AG49" s="1053">
        <v>26.599018000000001</v>
      </c>
      <c r="AH49" s="1053">
        <v>26.941008</v>
      </c>
      <c r="AI49" s="1053">
        <v>27.294556</v>
      </c>
      <c r="AJ49" s="1053">
        <v>27.667862</v>
      </c>
      <c r="AK49" s="1053">
        <v>28.194492</v>
      </c>
      <c r="AL49" s="1053">
        <v>28.632065000000001</v>
      </c>
      <c r="AM49" s="1053">
        <v>29.186733</v>
      </c>
      <c r="AN49" s="1053">
        <v>29.790071000000001</v>
      </c>
      <c r="AO49" s="1053">
        <v>30.397635000000001</v>
      </c>
      <c r="AP49" s="1053">
        <v>30.990224999999999</v>
      </c>
      <c r="AQ49" s="1053">
        <v>31.671036000000001</v>
      </c>
      <c r="AR49" s="1053">
        <v>30.576360999999999</v>
      </c>
      <c r="AS49" s="1049"/>
      <c r="AT49" s="1049"/>
      <c r="AU49" s="1049"/>
      <c r="AV49" s="1049"/>
      <c r="AW49" s="1049"/>
      <c r="AX49" s="1049"/>
      <c r="AY49" s="1049"/>
      <c r="AZ49" s="1049"/>
      <c r="BA49" s="1049"/>
      <c r="BB49" s="1049"/>
      <c r="BC49" s="1049"/>
      <c r="BD49" s="1049"/>
      <c r="BE49" s="1049"/>
      <c r="BF49" s="1049"/>
      <c r="BG49" s="1049"/>
      <c r="BH49" s="1049"/>
      <c r="BI49" s="1049"/>
      <c r="BJ49" s="1049"/>
      <c r="BK49" s="1049"/>
      <c r="BL49" s="1049"/>
      <c r="BM49" s="1049"/>
      <c r="BN49" s="1049"/>
      <c r="BO49" s="1049"/>
      <c r="BP49" s="1049"/>
      <c r="BQ49" s="1049"/>
      <c r="BR49" s="1049"/>
      <c r="BS49" s="1049"/>
      <c r="BT49" s="1049"/>
      <c r="BU49" s="1049"/>
      <c r="BV49" s="1051"/>
    </row>
    <row r="50" spans="1:104" s="1047" customFormat="1" x14ac:dyDescent="0.25">
      <c r="A50" s="1052" t="s">
        <v>1086</v>
      </c>
      <c r="B50" s="1049"/>
      <c r="C50" s="1050"/>
      <c r="D50" s="1247"/>
      <c r="E50" s="1050"/>
      <c r="F50" s="1049"/>
      <c r="G50" s="1049"/>
      <c r="H50" s="1049"/>
      <c r="I50" s="1049"/>
      <c r="J50" s="1049"/>
      <c r="K50" s="1049"/>
      <c r="L50" s="1049"/>
      <c r="M50" s="1049"/>
      <c r="N50" s="1053">
        <v>2.2979889999999998</v>
      </c>
      <c r="O50" s="1053">
        <v>2.38</v>
      </c>
      <c r="P50" s="1053">
        <v>2.4052739999999999</v>
      </c>
      <c r="Q50" s="1053">
        <v>2.3369110000000002</v>
      </c>
      <c r="R50" s="1053">
        <v>2.3950149999999999</v>
      </c>
      <c r="S50" s="1053">
        <v>2.3961070000000002</v>
      </c>
      <c r="T50" s="1053">
        <v>2.4583050000000002</v>
      </c>
      <c r="U50" s="1053">
        <v>2.472283</v>
      </c>
      <c r="V50" s="1053">
        <v>2.4802620000000002</v>
      </c>
      <c r="W50" s="1053">
        <v>2.4838239999999998</v>
      </c>
      <c r="X50" s="1053">
        <v>2.516057</v>
      </c>
      <c r="Y50" s="1053">
        <v>2.5464560000000001</v>
      </c>
      <c r="Z50" s="1053">
        <v>2.591459</v>
      </c>
      <c r="AA50" s="1053">
        <v>2.6280779999999999</v>
      </c>
      <c r="AB50" s="1053">
        <v>2.6593969999999998</v>
      </c>
      <c r="AC50" s="1053">
        <v>2.691643</v>
      </c>
      <c r="AD50" s="1053">
        <v>2.7285810000000001</v>
      </c>
      <c r="AE50" s="1053">
        <v>2.7618779999999998</v>
      </c>
      <c r="AF50" s="1053">
        <v>2.7919909999999999</v>
      </c>
      <c r="AG50" s="1053">
        <v>2.8282630000000002</v>
      </c>
      <c r="AH50" s="1053">
        <v>2.8670900000000001</v>
      </c>
      <c r="AI50" s="1053">
        <v>2.8969999999999998</v>
      </c>
      <c r="AJ50" s="1053">
        <v>2.9238430000000002</v>
      </c>
      <c r="AK50" s="1053">
        <v>2.954224</v>
      </c>
      <c r="AL50" s="1053">
        <v>2.98759</v>
      </c>
      <c r="AM50" s="1053">
        <v>3.030205</v>
      </c>
      <c r="AN50" s="1053">
        <v>3.0670109999999999</v>
      </c>
      <c r="AO50" s="1053">
        <v>3.1012659999999999</v>
      </c>
      <c r="AP50" s="1053">
        <v>3.134995</v>
      </c>
      <c r="AQ50" s="1053">
        <v>3.169994</v>
      </c>
      <c r="AR50" s="1053">
        <v>3.2015440000000002</v>
      </c>
      <c r="AS50" s="1049"/>
      <c r="AT50" s="1049"/>
      <c r="AU50" s="1049"/>
      <c r="AV50" s="1049"/>
      <c r="AW50" s="1049"/>
      <c r="AX50" s="1049"/>
      <c r="AY50" s="1049"/>
      <c r="AZ50" s="1049"/>
      <c r="BA50" s="1049"/>
      <c r="BB50" s="1049"/>
      <c r="BC50" s="1049"/>
      <c r="BD50" s="1049"/>
      <c r="BE50" s="1049"/>
      <c r="BF50" s="1049"/>
      <c r="BG50" s="1049"/>
      <c r="BH50" s="1049"/>
      <c r="BI50" s="1049"/>
      <c r="BJ50" s="1049"/>
      <c r="BK50" s="1049"/>
      <c r="BL50" s="1049"/>
      <c r="BM50" s="1049"/>
      <c r="BN50" s="1049"/>
      <c r="BO50" s="1049"/>
      <c r="BP50" s="1049"/>
      <c r="BQ50" s="1049"/>
      <c r="BR50" s="1049"/>
      <c r="BS50" s="1049"/>
      <c r="BT50" s="1049"/>
      <c r="BU50" s="1049"/>
      <c r="BV50" s="1051"/>
    </row>
    <row r="51" spans="1:104" s="1047" customFormat="1" x14ac:dyDescent="0.25">
      <c r="A51" s="1052" t="s">
        <v>683</v>
      </c>
      <c r="B51" s="1049"/>
      <c r="C51" s="1050"/>
      <c r="D51" s="1247"/>
      <c r="E51" s="1050"/>
      <c r="F51" s="1049"/>
      <c r="G51" s="1049"/>
      <c r="H51" s="1049"/>
      <c r="I51" s="1049"/>
      <c r="J51" s="1049"/>
      <c r="K51" s="1049"/>
      <c r="L51" s="1049"/>
      <c r="M51" s="1049"/>
      <c r="N51" s="1053">
        <v>30.492578999999999</v>
      </c>
      <c r="O51" s="1053">
        <v>29.980651999999999</v>
      </c>
      <c r="P51" s="1053">
        <v>28.463469</v>
      </c>
      <c r="Q51" s="1053">
        <v>27.770492999999998</v>
      </c>
      <c r="R51" s="1053">
        <v>27.844252000000001</v>
      </c>
      <c r="S51" s="1053">
        <v>27.733993999999999</v>
      </c>
      <c r="T51" s="1053">
        <v>28.230274000000001</v>
      </c>
      <c r="U51" s="1053">
        <v>28.517765000000001</v>
      </c>
      <c r="V51" s="1053">
        <v>28.644997</v>
      </c>
      <c r="W51" s="1053">
        <v>28.576813000000001</v>
      </c>
      <c r="X51" s="1053">
        <v>28.566559000000002</v>
      </c>
      <c r="Y51" s="1053">
        <v>28.675744999999999</v>
      </c>
      <c r="Z51" s="1053">
        <v>28.66461</v>
      </c>
      <c r="AA51" s="1053">
        <v>28.628443000000001</v>
      </c>
      <c r="AB51" s="1053">
        <v>28.632759</v>
      </c>
      <c r="AC51" s="1053">
        <v>28.485842000000002</v>
      </c>
      <c r="AD51" s="1053">
        <v>28.378672000000002</v>
      </c>
      <c r="AE51" s="1053">
        <v>28.369689999999999</v>
      </c>
      <c r="AF51" s="1053">
        <v>28.482963999999999</v>
      </c>
      <c r="AG51" s="1053">
        <v>28.577332999999999</v>
      </c>
      <c r="AH51" s="1053">
        <v>28.652301999999999</v>
      </c>
      <c r="AI51" s="1053">
        <v>28.781072999999999</v>
      </c>
      <c r="AJ51" s="1053">
        <v>28.912566999999999</v>
      </c>
      <c r="AK51" s="1053">
        <v>29.081726</v>
      </c>
      <c r="AL51" s="1053">
        <v>29.271111999999999</v>
      </c>
      <c r="AM51" s="1053">
        <v>29.658476</v>
      </c>
      <c r="AN51" s="1053">
        <v>30.101704000000002</v>
      </c>
      <c r="AO51" s="1053">
        <v>30.503069</v>
      </c>
      <c r="AP51" s="1053">
        <v>30.944068999999999</v>
      </c>
      <c r="AQ51" s="1053">
        <v>31.476562000000001</v>
      </c>
      <c r="AR51" s="1053">
        <v>31.747146999999998</v>
      </c>
      <c r="AS51" s="1049"/>
      <c r="AT51" s="1049"/>
      <c r="AU51" s="1049"/>
      <c r="AV51" s="1049"/>
      <c r="AW51" s="1049"/>
      <c r="AX51" s="1049"/>
      <c r="AY51" s="1049"/>
      <c r="AZ51" s="1049"/>
      <c r="BA51" s="1049"/>
      <c r="BB51" s="1049"/>
      <c r="BC51" s="1049"/>
      <c r="BD51" s="1049"/>
      <c r="BE51" s="1049"/>
      <c r="BF51" s="1049"/>
      <c r="BG51" s="1049"/>
      <c r="BH51" s="1049"/>
      <c r="BI51" s="1049"/>
      <c r="BJ51" s="1049"/>
      <c r="BK51" s="1049"/>
      <c r="BL51" s="1049"/>
      <c r="BM51" s="1049"/>
      <c r="BN51" s="1049"/>
      <c r="BO51" s="1049"/>
      <c r="BP51" s="1049"/>
      <c r="BQ51" s="1049"/>
      <c r="BR51" s="1049"/>
      <c r="BS51" s="1049"/>
      <c r="BT51" s="1049"/>
      <c r="BU51" s="1049"/>
      <c r="BV51" s="1051"/>
    </row>
    <row r="52" spans="1:104" s="1047" customFormat="1" x14ac:dyDescent="0.25">
      <c r="A52" s="1052" t="s">
        <v>698</v>
      </c>
      <c r="B52" s="1049"/>
      <c r="C52" s="1050"/>
      <c r="D52" s="1247"/>
      <c r="E52" s="1050"/>
      <c r="F52" s="1049"/>
      <c r="G52" s="1049"/>
      <c r="H52" s="1049"/>
      <c r="I52" s="1049"/>
      <c r="J52" s="1049"/>
      <c r="K52" s="1049"/>
      <c r="L52" s="1049"/>
      <c r="M52" s="1049"/>
      <c r="N52" s="1053">
        <v>20.260442999999999</v>
      </c>
      <c r="O52" s="1053">
        <v>19.975739999999998</v>
      </c>
      <c r="P52" s="1053">
        <v>18.436015999999999</v>
      </c>
      <c r="Q52" s="1053">
        <v>18.142965</v>
      </c>
      <c r="R52" s="1053">
        <v>18.046112000000001</v>
      </c>
      <c r="S52" s="1053">
        <v>17.884491000000001</v>
      </c>
      <c r="T52" s="1053">
        <v>18.368113000000001</v>
      </c>
      <c r="U52" s="1053">
        <v>18.636278000000001</v>
      </c>
      <c r="V52" s="1053">
        <v>18.783104000000002</v>
      </c>
      <c r="W52" s="1053">
        <v>18.727132999999998</v>
      </c>
      <c r="X52" s="1053">
        <v>18.720291</v>
      </c>
      <c r="Y52" s="1053">
        <v>18.854441000000001</v>
      </c>
      <c r="Z52" s="1053">
        <v>18.961594000000002</v>
      </c>
      <c r="AA52" s="1053">
        <v>19.089853000000002</v>
      </c>
      <c r="AB52" s="1053">
        <v>19.158766</v>
      </c>
      <c r="AC52" s="1053">
        <v>19.181961000000001</v>
      </c>
      <c r="AD52" s="1053">
        <v>19.274345</v>
      </c>
      <c r="AE52" s="1053">
        <v>19.362473000000001</v>
      </c>
      <c r="AF52" s="1053">
        <v>19.467001</v>
      </c>
      <c r="AG52" s="1053">
        <v>19.610374</v>
      </c>
      <c r="AH52" s="1053">
        <v>19.726358000000001</v>
      </c>
      <c r="AI52" s="1053">
        <v>19.866886000000001</v>
      </c>
      <c r="AJ52" s="1053">
        <v>20.029399999999999</v>
      </c>
      <c r="AK52" s="1053">
        <v>20.204810999999999</v>
      </c>
      <c r="AL52" s="1053">
        <v>20.42868</v>
      </c>
      <c r="AM52" s="1053">
        <v>20.795019</v>
      </c>
      <c r="AN52" s="1053">
        <v>21.263971000000002</v>
      </c>
      <c r="AO52" s="1053">
        <v>21.670811</v>
      </c>
      <c r="AP52" s="1053">
        <v>22.067454999999999</v>
      </c>
      <c r="AQ52" s="1053">
        <v>22.488647</v>
      </c>
      <c r="AR52" s="1053">
        <v>22.744430999999999</v>
      </c>
      <c r="AS52" s="1049"/>
      <c r="AT52" s="1049"/>
      <c r="AU52" s="1049"/>
      <c r="AV52" s="1049"/>
      <c r="AW52" s="1049"/>
      <c r="AX52" s="1049"/>
      <c r="AY52" s="1049"/>
      <c r="AZ52" s="1049"/>
      <c r="BA52" s="1049"/>
      <c r="BB52" s="1049"/>
      <c r="BC52" s="1049"/>
      <c r="BD52" s="1049"/>
      <c r="BE52" s="1049"/>
      <c r="BF52" s="1049"/>
      <c r="BG52" s="1049"/>
      <c r="BH52" s="1049"/>
      <c r="BI52" s="1049"/>
      <c r="BJ52" s="1049"/>
      <c r="BK52" s="1049"/>
      <c r="BL52" s="1049"/>
      <c r="BM52" s="1049"/>
      <c r="BN52" s="1049"/>
      <c r="BO52" s="1049"/>
      <c r="BP52" s="1049"/>
      <c r="BQ52" s="1049"/>
      <c r="BR52" s="1049"/>
      <c r="BS52" s="1049"/>
      <c r="BT52" s="1049"/>
      <c r="BU52" s="1049"/>
      <c r="BV52" s="1051"/>
    </row>
    <row r="53" spans="1:104" s="1047" customFormat="1" ht="13" thickBot="1" x14ac:dyDescent="0.3">
      <c r="A53" s="1056" t="s">
        <v>684</v>
      </c>
      <c r="B53" s="1057"/>
      <c r="C53" s="1058"/>
      <c r="D53" s="1248"/>
      <c r="E53" s="1058"/>
      <c r="F53" s="1057"/>
      <c r="G53" s="1057"/>
      <c r="H53" s="1057"/>
      <c r="I53" s="1057"/>
      <c r="J53" s="1057"/>
      <c r="K53" s="1057"/>
      <c r="L53" s="1057"/>
      <c r="M53" s="1057"/>
      <c r="N53" s="1059">
        <v>34.522823000000002</v>
      </c>
      <c r="O53" s="1059">
        <v>34.335875999999999</v>
      </c>
      <c r="P53" s="1059">
        <v>33.266716000000002</v>
      </c>
      <c r="Q53" s="1059">
        <v>32.549408</v>
      </c>
      <c r="R53" s="1059">
        <v>33.007488000000002</v>
      </c>
      <c r="S53" s="1059">
        <v>33.062362999999998</v>
      </c>
      <c r="T53" s="1059">
        <v>33.578304000000003</v>
      </c>
      <c r="U53" s="1059">
        <v>33.826259999999998</v>
      </c>
      <c r="V53" s="1059">
        <v>33.834632999999997</v>
      </c>
      <c r="W53" s="1059">
        <v>33.642589999999998</v>
      </c>
      <c r="X53" s="1059">
        <v>33.615443999999997</v>
      </c>
      <c r="Y53" s="1059">
        <v>33.658813000000002</v>
      </c>
      <c r="Z53" s="1059">
        <v>33.691249999999997</v>
      </c>
      <c r="AA53" s="1059">
        <v>33.703487000000003</v>
      </c>
      <c r="AB53" s="1059">
        <v>33.839970000000001</v>
      </c>
      <c r="AC53" s="1059">
        <v>33.959377000000003</v>
      </c>
      <c r="AD53" s="1059">
        <v>34.126075999999998</v>
      </c>
      <c r="AE53" s="1059">
        <v>34.265704999999997</v>
      </c>
      <c r="AF53" s="1059">
        <v>34.413651000000002</v>
      </c>
      <c r="AG53" s="1059">
        <v>34.510967000000001</v>
      </c>
      <c r="AH53" s="1059">
        <v>34.561591999999997</v>
      </c>
      <c r="AI53" s="1059">
        <v>34.686400999999996</v>
      </c>
      <c r="AJ53" s="1059">
        <v>34.807406999999998</v>
      </c>
      <c r="AK53" s="1059">
        <v>34.923721</v>
      </c>
      <c r="AL53" s="1059">
        <v>35.082526999999999</v>
      </c>
      <c r="AM53" s="1059">
        <v>35.421287999999997</v>
      </c>
      <c r="AN53" s="1059">
        <v>35.835976000000002</v>
      </c>
      <c r="AO53" s="1059">
        <v>36.175975999999999</v>
      </c>
      <c r="AP53" s="1059">
        <v>36.502800000000001</v>
      </c>
      <c r="AQ53" s="1059">
        <v>36.906086000000002</v>
      </c>
      <c r="AR53" s="1059">
        <v>37.098595000000003</v>
      </c>
      <c r="AS53" s="1057"/>
      <c r="AT53" s="1057"/>
      <c r="AU53" s="1057"/>
      <c r="AV53" s="1057"/>
      <c r="AW53" s="1057"/>
      <c r="AX53" s="1057"/>
      <c r="AY53" s="1057"/>
      <c r="AZ53" s="1057"/>
      <c r="BA53" s="1057"/>
      <c r="BB53" s="1057"/>
      <c r="BC53" s="1057"/>
      <c r="BD53" s="1057"/>
      <c r="BE53" s="1057"/>
      <c r="BF53" s="1057"/>
      <c r="BG53" s="1057"/>
      <c r="BH53" s="1057"/>
      <c r="BI53" s="1057"/>
      <c r="BJ53" s="1057"/>
      <c r="BK53" s="1057"/>
      <c r="BL53" s="1057"/>
      <c r="BM53" s="1057"/>
      <c r="BN53" s="1057"/>
      <c r="BO53" s="1057"/>
      <c r="BP53" s="1057"/>
      <c r="BQ53" s="1057"/>
      <c r="BR53" s="1057"/>
      <c r="BS53" s="1057"/>
      <c r="BT53" s="1057"/>
      <c r="BU53" s="1057"/>
      <c r="BV53" s="1060"/>
    </row>
    <row r="54" spans="1:104" x14ac:dyDescent="0.25">
      <c r="A54" s="874"/>
      <c r="B54" s="260"/>
      <c r="C54" s="871"/>
      <c r="D54" s="1245"/>
      <c r="E54" s="871"/>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3"/>
    </row>
    <row r="55" spans="1:104" ht="13" thickBot="1" x14ac:dyDescent="0.3">
      <c r="A55" s="874"/>
      <c r="B55" s="260"/>
      <c r="C55" s="871"/>
      <c r="D55" s="1245"/>
      <c r="E55" s="878"/>
      <c r="F55" s="877"/>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3"/>
    </row>
    <row r="56" spans="1:104" ht="13.5" thickTop="1" x14ac:dyDescent="0.3">
      <c r="A56" s="864" t="s">
        <v>1105</v>
      </c>
      <c r="B56" s="865" t="str">
        <f>"Prices are in $(" &amp; ref_year&amp;")/GJ LHV"</f>
        <v>Prices are in $(2016)/GJ LHV</v>
      </c>
      <c r="C56" s="865"/>
      <c r="D56" s="1249"/>
      <c r="E56" s="865"/>
      <c r="F56" s="866"/>
      <c r="G56" s="866"/>
      <c r="H56" s="866"/>
      <c r="I56" s="866"/>
      <c r="J56" s="866"/>
      <c r="K56" s="866"/>
      <c r="L56" s="866"/>
      <c r="M56" s="866"/>
      <c r="N56" s="866"/>
      <c r="O56" s="866"/>
      <c r="P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N56" s="866"/>
      <c r="AO56" s="866"/>
      <c r="AP56" s="866"/>
      <c r="AQ56" s="866"/>
      <c r="AR56" s="866"/>
      <c r="AS56" s="879" t="s">
        <v>772</v>
      </c>
      <c r="AT56" s="880"/>
      <c r="AU56" s="880"/>
      <c r="AV56" s="880"/>
      <c r="AW56" s="880"/>
      <c r="AX56" s="880"/>
      <c r="AY56" s="880"/>
      <c r="AZ56" s="880"/>
      <c r="BA56" s="880"/>
      <c r="BB56" s="880"/>
      <c r="BC56" s="880"/>
      <c r="BD56" s="880"/>
      <c r="BE56" s="880"/>
      <c r="BF56" s="880"/>
      <c r="BG56" s="880"/>
      <c r="BH56" s="880"/>
      <c r="BI56" s="880"/>
      <c r="BJ56" s="880"/>
      <c r="BK56" s="880"/>
      <c r="BL56" s="880"/>
      <c r="BM56" s="880"/>
      <c r="BN56" s="880"/>
      <c r="BO56" s="880"/>
      <c r="BP56" s="880"/>
      <c r="BQ56" s="880"/>
      <c r="BR56" s="880"/>
      <c r="BS56" s="880"/>
      <c r="BT56" s="880"/>
      <c r="BU56" s="880"/>
      <c r="BV56" s="881"/>
    </row>
    <row r="57" spans="1:104" ht="39.5" thickBot="1" x14ac:dyDescent="0.35">
      <c r="A57" s="1116" t="s">
        <v>1083</v>
      </c>
      <c r="B57" s="1117" t="s">
        <v>678</v>
      </c>
      <c r="C57" s="1117" t="s">
        <v>679</v>
      </c>
      <c r="D57" s="1250" t="s">
        <v>690</v>
      </c>
      <c r="E57" s="1117" t="s">
        <v>691</v>
      </c>
      <c r="F57" s="1118" t="s">
        <v>680</v>
      </c>
      <c r="G57" s="1118" t="s">
        <v>692</v>
      </c>
      <c r="H57" s="1061">
        <v>2004</v>
      </c>
      <c r="I57" s="1061">
        <v>2005</v>
      </c>
      <c r="J57" s="1061">
        <v>2006</v>
      </c>
      <c r="K57" s="1061">
        <v>2007</v>
      </c>
      <c r="L57" s="1061">
        <v>2008</v>
      </c>
      <c r="M57" s="1061">
        <v>2009</v>
      </c>
      <c r="N57" s="1118">
        <v>2010</v>
      </c>
      <c r="O57" s="1118">
        <v>2011</v>
      </c>
      <c r="P57" s="1118">
        <v>2012</v>
      </c>
      <c r="Q57" s="1118">
        <v>2013</v>
      </c>
      <c r="R57" s="1118">
        <v>2014</v>
      </c>
      <c r="S57" s="1118">
        <v>2015</v>
      </c>
      <c r="T57" s="1118">
        <v>2016</v>
      </c>
      <c r="U57" s="1118">
        <v>2017</v>
      </c>
      <c r="V57" s="1118">
        <v>2018</v>
      </c>
      <c r="W57" s="1118">
        <v>2019</v>
      </c>
      <c r="X57" s="1118">
        <v>2020</v>
      </c>
      <c r="Y57" s="1118">
        <v>2021</v>
      </c>
      <c r="Z57" s="1118">
        <v>2022</v>
      </c>
      <c r="AA57" s="1118">
        <v>2023</v>
      </c>
      <c r="AB57" s="1118">
        <v>2024</v>
      </c>
      <c r="AC57" s="1118">
        <v>2025</v>
      </c>
      <c r="AD57" s="1118">
        <v>2026</v>
      </c>
      <c r="AE57" s="1118">
        <v>2027</v>
      </c>
      <c r="AF57" s="1118">
        <v>2028</v>
      </c>
      <c r="AG57" s="1118">
        <v>2029</v>
      </c>
      <c r="AH57" s="1118">
        <v>2030</v>
      </c>
      <c r="AI57" s="1118">
        <v>2031</v>
      </c>
      <c r="AJ57" s="1118">
        <v>2032</v>
      </c>
      <c r="AK57" s="1118">
        <v>2033</v>
      </c>
      <c r="AL57" s="1118">
        <v>2034</v>
      </c>
      <c r="AM57" s="1118">
        <v>2035</v>
      </c>
      <c r="AN57" s="1118">
        <v>2036</v>
      </c>
      <c r="AO57" s="1118">
        <v>2037</v>
      </c>
      <c r="AP57" s="1118">
        <v>2038</v>
      </c>
      <c r="AQ57" s="1118">
        <v>2039</v>
      </c>
      <c r="AR57" s="1118">
        <v>2040</v>
      </c>
      <c r="AS57" s="1118">
        <v>2041</v>
      </c>
      <c r="AT57" s="1118">
        <v>2042</v>
      </c>
      <c r="AU57" s="1118">
        <v>2043</v>
      </c>
      <c r="AV57" s="1118">
        <v>2044</v>
      </c>
      <c r="AW57" s="1118">
        <v>2045</v>
      </c>
      <c r="AX57" s="1118">
        <v>2046</v>
      </c>
      <c r="AY57" s="1118">
        <v>2047</v>
      </c>
      <c r="AZ57" s="1118">
        <v>2048</v>
      </c>
      <c r="BA57" s="1118">
        <v>2049</v>
      </c>
      <c r="BB57" s="1118">
        <v>2050</v>
      </c>
      <c r="BC57" s="1118">
        <v>2051</v>
      </c>
      <c r="BD57" s="1118">
        <v>2052</v>
      </c>
      <c r="BE57" s="1118">
        <v>2053</v>
      </c>
      <c r="BF57" s="1118">
        <v>2054</v>
      </c>
      <c r="BG57" s="1118">
        <v>2055</v>
      </c>
      <c r="BH57" s="1118">
        <v>2056</v>
      </c>
      <c r="BI57" s="1118">
        <v>2057</v>
      </c>
      <c r="BJ57" s="1118">
        <v>2058</v>
      </c>
      <c r="BK57" s="1118">
        <v>2059</v>
      </c>
      <c r="BL57" s="1118">
        <v>2060</v>
      </c>
      <c r="BM57" s="1118">
        <v>2061</v>
      </c>
      <c r="BN57" s="1118">
        <v>2062</v>
      </c>
      <c r="BO57" s="1118">
        <v>2063</v>
      </c>
      <c r="BP57" s="1118">
        <v>2064</v>
      </c>
      <c r="BQ57" s="1118">
        <v>2065</v>
      </c>
      <c r="BR57" s="1118">
        <v>2066</v>
      </c>
      <c r="BS57" s="1118">
        <v>2067</v>
      </c>
      <c r="BT57" s="1118">
        <v>2068</v>
      </c>
      <c r="BU57" s="1118">
        <v>2069</v>
      </c>
      <c r="BV57" s="1119">
        <v>2070</v>
      </c>
      <c r="BW57" s="1392">
        <f t="shared" ref="BW57" si="130">+BV57+1</f>
        <v>2071</v>
      </c>
      <c r="BX57" s="1392">
        <f t="shared" ref="BX57" si="131">+BW57+1</f>
        <v>2072</v>
      </c>
      <c r="BY57" s="1392">
        <f t="shared" ref="BY57" si="132">+BX57+1</f>
        <v>2073</v>
      </c>
      <c r="BZ57" s="1392">
        <f t="shared" ref="BZ57" si="133">+BY57+1</f>
        <v>2074</v>
      </c>
      <c r="CA57" s="1392">
        <f t="shared" ref="CA57" si="134">+BZ57+1</f>
        <v>2075</v>
      </c>
      <c r="CB57" s="1392">
        <f t="shared" ref="CB57" si="135">+CA57+1</f>
        <v>2076</v>
      </c>
      <c r="CC57" s="1392">
        <f t="shared" ref="CC57" si="136">+CB57+1</f>
        <v>2077</v>
      </c>
      <c r="CD57" s="1392">
        <f t="shared" ref="CD57" si="137">+CC57+1</f>
        <v>2078</v>
      </c>
      <c r="CE57" s="1392">
        <f t="shared" ref="CE57" si="138">+CD57+1</f>
        <v>2079</v>
      </c>
      <c r="CF57" s="1392">
        <f t="shared" ref="CF57" si="139">+CE57+1</f>
        <v>2080</v>
      </c>
      <c r="CG57" s="1392">
        <f t="shared" ref="CG57" si="140">+CF57+1</f>
        <v>2081</v>
      </c>
      <c r="CH57" s="1392">
        <f t="shared" ref="CH57" si="141">+CG57+1</f>
        <v>2082</v>
      </c>
      <c r="CI57" s="1392">
        <f t="shared" ref="CI57" si="142">+CH57+1</f>
        <v>2083</v>
      </c>
      <c r="CJ57" s="1392">
        <f t="shared" ref="CJ57" si="143">+CI57+1</f>
        <v>2084</v>
      </c>
      <c r="CK57" s="1392">
        <f t="shared" ref="CK57" si="144">+CJ57+1</f>
        <v>2085</v>
      </c>
      <c r="CL57" s="1392">
        <f t="shared" ref="CL57" si="145">+CK57+1</f>
        <v>2086</v>
      </c>
      <c r="CM57" s="1392">
        <f t="shared" ref="CM57" si="146">+CL57+1</f>
        <v>2087</v>
      </c>
      <c r="CN57" s="1392">
        <f t="shared" ref="CN57" si="147">+CM57+1</f>
        <v>2088</v>
      </c>
      <c r="CO57" s="1392">
        <f t="shared" ref="CO57" si="148">+CN57+1</f>
        <v>2089</v>
      </c>
      <c r="CP57" s="1392">
        <f t="shared" ref="CP57" si="149">+CO57+1</f>
        <v>2090</v>
      </c>
      <c r="CQ57" s="1392">
        <f t="shared" ref="CQ57" si="150">+CP57+1</f>
        <v>2091</v>
      </c>
      <c r="CR57" s="1392">
        <f t="shared" ref="CR57" si="151">+CQ57+1</f>
        <v>2092</v>
      </c>
      <c r="CS57" s="1392">
        <f t="shared" ref="CS57" si="152">+CR57+1</f>
        <v>2093</v>
      </c>
      <c r="CT57" s="1392">
        <f t="shared" ref="CT57" si="153">+CS57+1</f>
        <v>2094</v>
      </c>
      <c r="CU57" s="1392">
        <f t="shared" ref="CU57" si="154">+CT57+1</f>
        <v>2095</v>
      </c>
      <c r="CV57" s="1392">
        <f t="shared" ref="CV57" si="155">+CU57+1</f>
        <v>2096</v>
      </c>
      <c r="CW57" s="1392">
        <f t="shared" ref="CW57" si="156">+CV57+1</f>
        <v>2097</v>
      </c>
      <c r="CX57" s="1392">
        <f t="shared" ref="CX57" si="157">+CW57+1</f>
        <v>2098</v>
      </c>
      <c r="CY57" s="1392">
        <f t="shared" ref="CY57" si="158">+CX57+1</f>
        <v>2099</v>
      </c>
      <c r="CZ57" s="1392">
        <f t="shared" ref="CZ57" si="159">+CY57+1</f>
        <v>2100</v>
      </c>
    </row>
    <row r="58" spans="1:104" ht="13" thickBot="1" x14ac:dyDescent="0.3">
      <c r="A58" s="867" t="s">
        <v>1089</v>
      </c>
      <c r="B58" s="868"/>
      <c r="C58" s="868"/>
      <c r="D58" s="1251"/>
      <c r="E58" s="868"/>
      <c r="F58" s="868"/>
      <c r="G58" s="868"/>
      <c r="H58" s="868"/>
      <c r="I58" s="868"/>
      <c r="J58" s="868"/>
      <c r="K58" s="868"/>
      <c r="L58" s="868"/>
      <c r="M58" s="868"/>
      <c r="N58" s="868"/>
      <c r="O58" s="868"/>
      <c r="P58" s="868"/>
      <c r="Q58" s="868"/>
      <c r="R58" s="868"/>
      <c r="S58" s="868"/>
      <c r="T58" s="868"/>
      <c r="U58" s="868"/>
      <c r="V58" s="868"/>
      <c r="W58" s="868"/>
      <c r="X58" s="868"/>
      <c r="Y58" s="868"/>
      <c r="Z58" s="868"/>
      <c r="AA58" s="868"/>
      <c r="AB58" s="868"/>
      <c r="AC58" s="868"/>
      <c r="AD58" s="868"/>
      <c r="AE58" s="868"/>
      <c r="AF58" s="868"/>
      <c r="AG58" s="868"/>
      <c r="AH58" s="868"/>
      <c r="AI58" s="868"/>
      <c r="AJ58" s="868"/>
      <c r="AK58" s="868"/>
      <c r="AL58" s="868"/>
      <c r="AM58" s="868"/>
      <c r="AN58" s="868"/>
      <c r="AO58" s="868"/>
      <c r="AP58" s="868"/>
      <c r="AQ58" s="868"/>
      <c r="AR58" s="868"/>
      <c r="AS58" s="868"/>
      <c r="AT58" s="868"/>
      <c r="AU58" s="868"/>
      <c r="AV58" s="868"/>
      <c r="AW58" s="868"/>
      <c r="AX58" s="868"/>
      <c r="AY58" s="868"/>
      <c r="AZ58" s="868"/>
      <c r="BA58" s="868"/>
      <c r="BB58" s="868"/>
      <c r="BC58" s="868"/>
      <c r="BD58" s="868"/>
      <c r="BE58" s="868"/>
      <c r="BF58" s="868"/>
      <c r="BG58" s="868"/>
      <c r="BH58" s="868"/>
      <c r="BI58" s="868"/>
      <c r="BJ58" s="868"/>
      <c r="BK58" s="868"/>
      <c r="BL58" s="868"/>
      <c r="BM58" s="868"/>
      <c r="BN58" s="868"/>
      <c r="BO58" s="868"/>
      <c r="BP58" s="868"/>
      <c r="BQ58" s="868"/>
      <c r="BR58" s="868"/>
      <c r="BS58" s="868"/>
      <c r="BT58" s="868"/>
      <c r="BU58" s="868"/>
      <c r="BV58" s="869"/>
    </row>
    <row r="59" spans="1:104" ht="13" x14ac:dyDescent="0.3">
      <c r="A59" s="870" t="str">
        <f>'HyARC Physical Property Data'!A73</f>
        <v>Residential Natural Gas</v>
      </c>
      <c r="B59" s="260">
        <v>2011</v>
      </c>
      <c r="C59" s="871">
        <f>VLOOKUP(ref_year,DeflatorTable,2,FALSE)/VLOOKUP(B59,DeflatorTable,2,FALSE)</f>
        <v>1.0784554773635862</v>
      </c>
      <c r="D59" s="1252" t="str">
        <f>'HyARC Physical Property Data'!H73</f>
        <v>mmBtu</v>
      </c>
      <c r="E59" s="871" t="s">
        <v>1057</v>
      </c>
      <c r="F59" s="260">
        <f>'HyARC Physical Property Data'!$E$6</f>
        <v>47.141269049911173</v>
      </c>
      <c r="G59" s="260">
        <f>'HyARC Physical Property Data'!$I$6</f>
        <v>52.224661236371581</v>
      </c>
      <c r="H59" s="1063">
        <v>13.568796522291001</v>
      </c>
      <c r="I59" s="1063">
        <v>13.568796522291001</v>
      </c>
      <c r="J59" s="1063">
        <v>13.568796522291001</v>
      </c>
      <c r="K59" s="1063">
        <v>12.569562315288914</v>
      </c>
      <c r="L59" s="1063">
        <v>12.891154499364562</v>
      </c>
      <c r="M59" s="1063">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4">
        <f t="shared" si="160"/>
        <v>16.116906877885302</v>
      </c>
      <c r="AJ59" s="954">
        <f t="shared" si="160"/>
        <v>16.508795790382088</v>
      </c>
      <c r="AK59" s="954">
        <f t="shared" si="160"/>
        <v>16.937809113598334</v>
      </c>
      <c r="AL59" s="954">
        <f t="shared" si="160"/>
        <v>17.381004274269273</v>
      </c>
      <c r="AM59" s="954">
        <f t="shared" si="160"/>
        <v>17.788911879634913</v>
      </c>
      <c r="AN59" s="954">
        <f t="shared" si="160"/>
        <v>18.311687498791546</v>
      </c>
      <c r="AO59" s="954">
        <f t="shared" si="160"/>
        <v>18.65334373828842</v>
      </c>
      <c r="AP59" s="954">
        <f t="shared" si="160"/>
        <v>19.195162859691969</v>
      </c>
      <c r="AQ59" s="954">
        <f t="shared" si="160"/>
        <v>19.682735858288098</v>
      </c>
      <c r="AR59" s="954">
        <f t="shared" si="160"/>
        <v>20.015032288908259</v>
      </c>
      <c r="AS59" s="954">
        <f>($BB59-$AR59)/10+AR59</f>
        <v>20.01518684253227</v>
      </c>
      <c r="AT59" s="954">
        <f t="shared" ref="AT59:BA59" si="161">($BB59-$AR59)/10+AS59</f>
        <v>20.01534139615628</v>
      </c>
      <c r="AU59" s="954">
        <f t="shared" si="161"/>
        <v>20.015495949780291</v>
      </c>
      <c r="AV59" s="954">
        <f t="shared" si="161"/>
        <v>20.015650503404302</v>
      </c>
      <c r="AW59" s="954">
        <f t="shared" si="161"/>
        <v>20.015805057028313</v>
      </c>
      <c r="AX59" s="954">
        <f t="shared" si="161"/>
        <v>20.015959610652324</v>
      </c>
      <c r="AY59" s="954">
        <f t="shared" si="161"/>
        <v>20.016114164276335</v>
      </c>
      <c r="AZ59" s="954">
        <f t="shared" si="161"/>
        <v>20.016268717900346</v>
      </c>
      <c r="BA59" s="954">
        <f t="shared" si="161"/>
        <v>20.016423271524356</v>
      </c>
      <c r="BB59" s="956">
        <f>'AEO Data'!$B$30*AM59</f>
        <v>20.01657782514836</v>
      </c>
      <c r="BC59" s="954">
        <f>($BQ59-$BB59)/15+BB59</f>
        <v>20.179679524085394</v>
      </c>
      <c r="BD59" s="954">
        <f t="shared" ref="BD59:BP62" si="162">($BQ59-$BB59)/15+BC59</f>
        <v>20.342781223022428</v>
      </c>
      <c r="BE59" s="954">
        <f t="shared" si="162"/>
        <v>20.505882921959461</v>
      </c>
      <c r="BF59" s="954">
        <f t="shared" si="162"/>
        <v>20.668984620896495</v>
      </c>
      <c r="BG59" s="954">
        <f t="shared" si="162"/>
        <v>20.832086319833529</v>
      </c>
      <c r="BH59" s="954">
        <f t="shared" si="162"/>
        <v>20.995188018770563</v>
      </c>
      <c r="BI59" s="954">
        <f t="shared" si="162"/>
        <v>21.158289717707596</v>
      </c>
      <c r="BJ59" s="954">
        <f t="shared" si="162"/>
        <v>21.32139141664463</v>
      </c>
      <c r="BK59" s="954">
        <f t="shared" si="162"/>
        <v>21.484493115581664</v>
      </c>
      <c r="BL59" s="954">
        <f t="shared" si="162"/>
        <v>21.647594814518698</v>
      </c>
      <c r="BM59" s="954">
        <f t="shared" si="162"/>
        <v>21.810696513455731</v>
      </c>
      <c r="BN59" s="954">
        <f t="shared" si="162"/>
        <v>21.973798212392765</v>
      </c>
      <c r="BO59" s="954">
        <f t="shared" si="162"/>
        <v>22.136899911329799</v>
      </c>
      <c r="BP59" s="954">
        <f t="shared" si="162"/>
        <v>22.300001610266833</v>
      </c>
      <c r="BQ59" s="956">
        <f>'AEO Data'!$C$30*BB59</f>
        <v>22.463103309203859</v>
      </c>
      <c r="BR59" s="953">
        <f>($BV59-$BQ59)/5+BQ59</f>
        <v>22.591499473992489</v>
      </c>
      <c r="BS59" s="954">
        <f t="shared" ref="BS59:BU62" si="163">($BV59-$BQ59)/5+BR59</f>
        <v>22.719895638781118</v>
      </c>
      <c r="BT59" s="954">
        <f t="shared" si="163"/>
        <v>22.848291803569747</v>
      </c>
      <c r="BU59" s="954">
        <f t="shared" si="163"/>
        <v>22.976687968358377</v>
      </c>
      <c r="BV59" s="957">
        <f>'AEO Data'!$D$30*BQ59</f>
        <v>23.105084133146999</v>
      </c>
      <c r="BW59" s="1391">
        <f>+BV59*BW$133/BV$133</f>
        <v>23.181799806296944</v>
      </c>
      <c r="BX59" s="1391">
        <f t="shared" ref="BX59:CZ59" si="164">+BW59*BX$133/BW$133</f>
        <v>23.258770198039247</v>
      </c>
      <c r="BY59" s="1391">
        <f t="shared" si="164"/>
        <v>23.335996154114543</v>
      </c>
      <c r="BZ59" s="1391">
        <f t="shared" si="164"/>
        <v>23.413478523071561</v>
      </c>
      <c r="CA59" s="1391">
        <f t="shared" si="164"/>
        <v>23.491218156276457</v>
      </c>
      <c r="CB59" s="1391">
        <f t="shared" si="164"/>
        <v>23.541346730111329</v>
      </c>
      <c r="CC59" s="1391">
        <f t="shared" si="164"/>
        <v>23.591582274725578</v>
      </c>
      <c r="CD59" s="1391">
        <f t="shared" si="164"/>
        <v>23.641925018387173</v>
      </c>
      <c r="CE59" s="1391">
        <f t="shared" si="164"/>
        <v>23.692375189851191</v>
      </c>
      <c r="CF59" s="1391">
        <f t="shared" si="164"/>
        <v>23.742933018360848</v>
      </c>
      <c r="CG59" s="1391">
        <f t="shared" si="164"/>
        <v>23.759348824569351</v>
      </c>
      <c r="CH59" s="1391">
        <f t="shared" si="164"/>
        <v>23.775775980626385</v>
      </c>
      <c r="CI59" s="1391">
        <f t="shared" si="164"/>
        <v>23.792214494379209</v>
      </c>
      <c r="CJ59" s="1391">
        <f t="shared" si="164"/>
        <v>23.808664373680507</v>
      </c>
      <c r="CK59" s="1391">
        <f t="shared" si="164"/>
        <v>23.825125626388392</v>
      </c>
      <c r="CL59" s="1391">
        <f t="shared" si="164"/>
        <v>23.830705260336195</v>
      </c>
      <c r="CM59" s="1391">
        <f t="shared" si="164"/>
        <v>23.836286200984979</v>
      </c>
      <c r="CN59" s="1391">
        <f t="shared" si="164"/>
        <v>23.841868448640763</v>
      </c>
      <c r="CO59" s="1391">
        <f t="shared" si="164"/>
        <v>23.847452003609632</v>
      </c>
      <c r="CP59" s="1391">
        <f t="shared" si="164"/>
        <v>23.853036866197748</v>
      </c>
      <c r="CQ59" s="1391">
        <f t="shared" si="164"/>
        <v>23.861501261663879</v>
      </c>
      <c r="CR59" s="1391">
        <f t="shared" si="164"/>
        <v>23.869968660772315</v>
      </c>
      <c r="CS59" s="1391">
        <f t="shared" si="164"/>
        <v>23.878439064588914</v>
      </c>
      <c r="CT59" s="1391">
        <f t="shared" si="164"/>
        <v>23.886912474179919</v>
      </c>
      <c r="CU59" s="1391">
        <f t="shared" si="164"/>
        <v>23.89538889061194</v>
      </c>
      <c r="CV59" s="1391">
        <f t="shared" si="164"/>
        <v>23.908434131387597</v>
      </c>
      <c r="CW59" s="1391">
        <f t="shared" si="164"/>
        <v>23.921486493968537</v>
      </c>
      <c r="CX59" s="1391">
        <f t="shared" si="164"/>
        <v>23.934545982242778</v>
      </c>
      <c r="CY59" s="1391">
        <f t="shared" si="164"/>
        <v>23.947612600100459</v>
      </c>
      <c r="CZ59" s="1391">
        <f t="shared" si="164"/>
        <v>23.960686351433843</v>
      </c>
    </row>
    <row r="60" spans="1:104" ht="13" x14ac:dyDescent="0.3">
      <c r="A60" s="870" t="str">
        <f>'HyARC Physical Property Data'!A71</f>
        <v>Commercial Natural Gas</v>
      </c>
      <c r="B60" s="260">
        <v>2011</v>
      </c>
      <c r="C60" s="871">
        <f t="shared" ref="C60:C68" si="165">VLOOKUP(ref_year,DeflatorTable,2,FALSE)/VLOOKUP(B60,DeflatorTable,2,FALSE)</f>
        <v>1.0784554773635862</v>
      </c>
      <c r="D60" s="1252" t="str">
        <f>'HyARC Physical Property Data'!H71</f>
        <v>mmBtu</v>
      </c>
      <c r="E60" s="871" t="s">
        <v>1057</v>
      </c>
      <c r="F60" s="260">
        <f>'HyARC Physical Property Data'!$E$6</f>
        <v>47.141269049911173</v>
      </c>
      <c r="G60" s="260">
        <f>'HyARC Physical Property Data'!$I$6</f>
        <v>52.224661236371581</v>
      </c>
      <c r="H60" s="1063">
        <v>11.78211597551449</v>
      </c>
      <c r="I60" s="1063">
        <v>11.78211597551449</v>
      </c>
      <c r="J60" s="1063">
        <v>11.78211597551449</v>
      </c>
      <c r="K60" s="1063">
        <v>10.884547954455588</v>
      </c>
      <c r="L60" s="1063">
        <v>11.412186165255939</v>
      </c>
      <c r="M60" s="1063">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4">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4">
        <f>'AEO Data'!$C$30*BB60</f>
        <v>18.227834176141503</v>
      </c>
      <c r="BR60" s="870">
        <f>($BV60-$BQ60)/5+BQ60</f>
        <v>18.332022095700271</v>
      </c>
      <c r="BS60" s="260">
        <f t="shared" si="163"/>
        <v>18.436210015259039</v>
      </c>
      <c r="BT60" s="260">
        <f t="shared" si="163"/>
        <v>18.540397934817808</v>
      </c>
      <c r="BU60" s="260">
        <f t="shared" si="163"/>
        <v>18.644585854376576</v>
      </c>
      <c r="BV60" s="958">
        <f>'AEO Data'!$D$30*BQ60</f>
        <v>18.748773773935348</v>
      </c>
      <c r="BW60" s="1391">
        <f>+BV60*BW$134/BV$134</f>
        <v>18.811025215761521</v>
      </c>
      <c r="BX60" s="1391">
        <f t="shared" ref="BX60:CZ60" si="168">+BW60*BX$134/BW$134</f>
        <v>18.873483350678995</v>
      </c>
      <c r="BY60" s="1391">
        <f t="shared" si="168"/>
        <v>18.93614886496961</v>
      </c>
      <c r="BZ60" s="1391">
        <f t="shared" si="168"/>
        <v>18.999022447193862</v>
      </c>
      <c r="CA60" s="1391">
        <f t="shared" si="168"/>
        <v>19.062104788198472</v>
      </c>
      <c r="CB60" s="1391">
        <f t="shared" si="168"/>
        <v>19.102781951935423</v>
      </c>
      <c r="CC60" s="1391">
        <f t="shared" si="168"/>
        <v>19.143545917820827</v>
      </c>
      <c r="CD60" s="1391">
        <f t="shared" si="168"/>
        <v>19.184396871084243</v>
      </c>
      <c r="CE60" s="1391">
        <f t="shared" si="168"/>
        <v>19.22533499735049</v>
      </c>
      <c r="CF60" s="1391">
        <f t="shared" si="168"/>
        <v>19.266360482640504</v>
      </c>
      <c r="CG60" s="1391">
        <f t="shared" si="168"/>
        <v>19.279681197473067</v>
      </c>
      <c r="CH60" s="1391">
        <f t="shared" si="168"/>
        <v>19.293011122215507</v>
      </c>
      <c r="CI60" s="1391">
        <f t="shared" si="168"/>
        <v>19.306350263235526</v>
      </c>
      <c r="CJ60" s="1391">
        <f t="shared" si="168"/>
        <v>19.319698626905243</v>
      </c>
      <c r="CK60" s="1391">
        <f t="shared" si="168"/>
        <v>19.333056219601172</v>
      </c>
      <c r="CL60" s="1391">
        <f t="shared" si="168"/>
        <v>19.337583850577364</v>
      </c>
      <c r="CM60" s="1391">
        <f t="shared" si="168"/>
        <v>19.342112541884731</v>
      </c>
      <c r="CN60" s="1391">
        <f t="shared" si="168"/>
        <v>19.346642293771598</v>
      </c>
      <c r="CO60" s="1391">
        <f t="shared" si="168"/>
        <v>19.351173106486343</v>
      </c>
      <c r="CP60" s="1391">
        <f t="shared" si="168"/>
        <v>19.355704980277398</v>
      </c>
      <c r="CQ60" s="1391">
        <f t="shared" si="168"/>
        <v>19.362573470122019</v>
      </c>
      <c r="CR60" s="1391">
        <f t="shared" si="168"/>
        <v>19.369444397292106</v>
      </c>
      <c r="CS60" s="1391">
        <f t="shared" si="168"/>
        <v>19.376317762652565</v>
      </c>
      <c r="CT60" s="1391">
        <f t="shared" si="168"/>
        <v>19.383193567068602</v>
      </c>
      <c r="CU60" s="1391">
        <f t="shared" si="168"/>
        <v>19.390071811405733</v>
      </c>
      <c r="CV60" s="1391">
        <f t="shared" si="168"/>
        <v>19.400657458561128</v>
      </c>
      <c r="CW60" s="1391">
        <f t="shared" si="168"/>
        <v>19.411248884752663</v>
      </c>
      <c r="CX60" s="1391">
        <f t="shared" si="168"/>
        <v>19.42184609313529</v>
      </c>
      <c r="CY60" s="1391">
        <f t="shared" si="168"/>
        <v>19.432449086865692</v>
      </c>
      <c r="CZ60" s="1391">
        <f t="shared" si="168"/>
        <v>19.443057869102269</v>
      </c>
    </row>
    <row r="61" spans="1:104" ht="13" x14ac:dyDescent="0.3">
      <c r="A61" s="870" t="str">
        <f>'HyARC Physical Property Data'!A72</f>
        <v>Industrial Natural Gas</v>
      </c>
      <c r="B61" s="260">
        <v>2011</v>
      </c>
      <c r="C61" s="871">
        <f t="shared" si="165"/>
        <v>1.0784554773635862</v>
      </c>
      <c r="D61" s="1252" t="str">
        <f>'HyARC Physical Property Data'!H72</f>
        <v>mmBtu</v>
      </c>
      <c r="E61" s="871" t="s">
        <v>1057</v>
      </c>
      <c r="F61" s="260">
        <f>'HyARC Physical Property Data'!$E$6</f>
        <v>47.141269049911173</v>
      </c>
      <c r="G61" s="260">
        <f>'HyARC Physical Property Data'!$I$6</f>
        <v>52.224661236371581</v>
      </c>
      <c r="H61" s="1063">
        <v>7.8800725307970341</v>
      </c>
      <c r="I61" s="1063">
        <v>7.8800725307970341</v>
      </c>
      <c r="J61" s="1063">
        <v>7.8800725307970341</v>
      </c>
      <c r="K61" s="1063">
        <v>7.4431315976064605</v>
      </c>
      <c r="L61" s="1063">
        <v>8.8750360136942668</v>
      </c>
      <c r="M61" s="1063">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4">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4">
        <f>'AEO Data'!$C$30*BB61</f>
        <v>12.19817897537731</v>
      </c>
      <c r="BR61" s="870">
        <f>($BV61-$BQ61)/5+BQ61</f>
        <v>12.26790217329369</v>
      </c>
      <c r="BS61" s="260">
        <f t="shared" si="163"/>
        <v>12.33762537121007</v>
      </c>
      <c r="BT61" s="260">
        <f t="shared" si="163"/>
        <v>12.40734856912645</v>
      </c>
      <c r="BU61" s="260">
        <f t="shared" si="163"/>
        <v>12.47707176704283</v>
      </c>
      <c r="BV61" s="958">
        <f>'AEO Data'!$D$30*BQ61</f>
        <v>12.546794964959213</v>
      </c>
      <c r="BW61" s="1391">
        <f>+BV61*BW$135/BV$135</f>
        <v>12.588454013507333</v>
      </c>
      <c r="BX61" s="1391">
        <f t="shared" ref="BX61:CZ61" si="171">+BW61*BX$135/BW$135</f>
        <v>12.630251382346072</v>
      </c>
      <c r="BY61" s="1391">
        <f t="shared" si="171"/>
        <v>12.672187530739475</v>
      </c>
      <c r="BZ61" s="1391">
        <f t="shared" si="171"/>
        <v>12.714262919476461</v>
      </c>
      <c r="CA61" s="1391">
        <f t="shared" si="171"/>
        <v>12.75647801087592</v>
      </c>
      <c r="CB61" s="1391">
        <f t="shared" si="171"/>
        <v>12.78369941955669</v>
      </c>
      <c r="CC61" s="1391">
        <f t="shared" si="171"/>
        <v>12.810978916770198</v>
      </c>
      <c r="CD61" s="1391">
        <f t="shared" si="171"/>
        <v>12.838316626473205</v>
      </c>
      <c r="CE61" s="1391">
        <f t="shared" si="171"/>
        <v>12.865712672886987</v>
      </c>
      <c r="CF61" s="1391">
        <f t="shared" si="171"/>
        <v>12.893167180497899</v>
      </c>
      <c r="CG61" s="1391">
        <f t="shared" si="171"/>
        <v>12.90208148496421</v>
      </c>
      <c r="CH61" s="1391">
        <f t="shared" si="171"/>
        <v>12.911001952758973</v>
      </c>
      <c r="CI61" s="1391">
        <f t="shared" si="171"/>
        <v>12.919928588143499</v>
      </c>
      <c r="CJ61" s="1391">
        <f t="shared" si="171"/>
        <v>12.928861395382043</v>
      </c>
      <c r="CK61" s="1391">
        <f t="shared" si="171"/>
        <v>12.937800378741811</v>
      </c>
      <c r="CL61" s="1391">
        <f t="shared" si="171"/>
        <v>12.940830297296499</v>
      </c>
      <c r="CM61" s="1391">
        <f t="shared" si="171"/>
        <v>12.943860925431345</v>
      </c>
      <c r="CN61" s="1391">
        <f t="shared" si="171"/>
        <v>12.946892263312527</v>
      </c>
      <c r="CO61" s="1391">
        <f t="shared" si="171"/>
        <v>12.949924311106264</v>
      </c>
      <c r="CP61" s="1391">
        <f t="shared" si="171"/>
        <v>12.952957068978808</v>
      </c>
      <c r="CQ61" s="1391">
        <f t="shared" si="171"/>
        <v>12.957553504715802</v>
      </c>
      <c r="CR61" s="1391">
        <f t="shared" si="171"/>
        <v>12.962151571526023</v>
      </c>
      <c r="CS61" s="1391">
        <f t="shared" si="171"/>
        <v>12.966751269988269</v>
      </c>
      <c r="CT61" s="1391">
        <f t="shared" si="171"/>
        <v>12.971352600681538</v>
      </c>
      <c r="CU61" s="1391">
        <f t="shared" si="171"/>
        <v>12.975955564185037</v>
      </c>
      <c r="CV61" s="1391">
        <f t="shared" si="171"/>
        <v>12.983039544504583</v>
      </c>
      <c r="CW61" s="1391">
        <f t="shared" si="171"/>
        <v>12.990127392190731</v>
      </c>
      <c r="CX61" s="1391">
        <f t="shared" si="171"/>
        <v>12.997219109354795</v>
      </c>
      <c r="CY61" s="1391">
        <f t="shared" si="171"/>
        <v>13.004314698109246</v>
      </c>
      <c r="CZ61" s="1391">
        <f t="shared" si="171"/>
        <v>13.011414160567707</v>
      </c>
    </row>
    <row r="62" spans="1:104" ht="13" x14ac:dyDescent="0.3">
      <c r="A62" s="870" t="str">
        <f>'HyARC Physical Property Data'!A74</f>
        <v>Electric Utility Natural Gas</v>
      </c>
      <c r="B62" s="260">
        <v>2011</v>
      </c>
      <c r="C62" s="871">
        <f t="shared" si="165"/>
        <v>1.0784554773635862</v>
      </c>
      <c r="D62" s="1252" t="str">
        <f>'HyARC Physical Property Data'!H74</f>
        <v>mmBtu</v>
      </c>
      <c r="E62" s="871" t="s">
        <v>1057</v>
      </c>
      <c r="F62" s="260">
        <f>'HyARC Physical Property Data'!$E$6</f>
        <v>47.141269049911173</v>
      </c>
      <c r="G62" s="260">
        <f>'HyARC Physical Property Data'!$I$6</f>
        <v>52.224661236371581</v>
      </c>
      <c r="H62" s="1063">
        <v>6.9870463159656619</v>
      </c>
      <c r="I62" s="1063">
        <v>6.9870463159656619</v>
      </c>
      <c r="J62" s="1063">
        <v>6.9870463159656619</v>
      </c>
      <c r="K62" s="1063">
        <v>6.9519071777354364</v>
      </c>
      <c r="L62" s="1063">
        <v>9.0904707383294223</v>
      </c>
      <c r="M62" s="1063">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4">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4">
        <f>'AEO Data'!$C$30*BB62</f>
        <v>11.301159689909367</v>
      </c>
      <c r="BR62" s="870">
        <f>($BV62-$BQ62)/5+BQ62</f>
        <v>11.365755642742549</v>
      </c>
      <c r="BS62" s="260">
        <f t="shared" si="163"/>
        <v>11.430351595575731</v>
      </c>
      <c r="BT62" s="260">
        <f t="shared" si="163"/>
        <v>11.494947548408913</v>
      </c>
      <c r="BU62" s="260">
        <f t="shared" si="163"/>
        <v>11.559543501242095</v>
      </c>
      <c r="BV62" s="958">
        <f>'AEO Data'!$D$30*BQ62</f>
        <v>11.624139454075273</v>
      </c>
      <c r="BW62" s="1391">
        <f>+BV62*BW$136/BV$136</f>
        <v>11.662735015029273</v>
      </c>
      <c r="BX62" s="1391">
        <f t="shared" ref="BX62:CZ63" si="174">+BW62*BX$136/BW$136</f>
        <v>11.701458724594294</v>
      </c>
      <c r="BY62" s="1391">
        <f t="shared" si="174"/>
        <v>11.740311008261404</v>
      </c>
      <c r="BZ62" s="1391">
        <f t="shared" si="174"/>
        <v>11.779292292934432</v>
      </c>
      <c r="CA62" s="1391">
        <f t="shared" si="174"/>
        <v>11.818403006934647</v>
      </c>
      <c r="CB62" s="1391">
        <f t="shared" si="174"/>
        <v>11.843622630872503</v>
      </c>
      <c r="CC62" s="1391">
        <f t="shared" si="174"/>
        <v>11.868896071678103</v>
      </c>
      <c r="CD62" s="1391">
        <f t="shared" si="174"/>
        <v>11.894223444192779</v>
      </c>
      <c r="CE62" s="1391">
        <f t="shared" si="174"/>
        <v>11.919604863502929</v>
      </c>
      <c r="CF62" s="1391">
        <f t="shared" si="174"/>
        <v>11.94504044494054</v>
      </c>
      <c r="CG62" s="1391">
        <f t="shared" si="174"/>
        <v>11.95329921688524</v>
      </c>
      <c r="CH62" s="1391">
        <f t="shared" si="174"/>
        <v>11.961563698924795</v>
      </c>
      <c r="CI62" s="1391">
        <f t="shared" si="174"/>
        <v>11.969833895007156</v>
      </c>
      <c r="CJ62" s="1391">
        <f t="shared" si="174"/>
        <v>11.978109809082998</v>
      </c>
      <c r="CK62" s="1391">
        <f t="shared" si="174"/>
        <v>11.986391445105726</v>
      </c>
      <c r="CL62" s="1391">
        <f t="shared" si="174"/>
        <v>11.98919855209301</v>
      </c>
      <c r="CM62" s="1391">
        <f t="shared" si="174"/>
        <v>11.992006316479953</v>
      </c>
      <c r="CN62" s="1391">
        <f t="shared" si="174"/>
        <v>11.994814738420512</v>
      </c>
      <c r="CO62" s="1391">
        <f t="shared" si="174"/>
        <v>11.99762381806868</v>
      </c>
      <c r="CP62" s="1391">
        <f t="shared" si="174"/>
        <v>12.000433555578486</v>
      </c>
      <c r="CQ62" s="1391">
        <f t="shared" si="174"/>
        <v>12.00469198254312</v>
      </c>
      <c r="CR62" s="1391">
        <f t="shared" si="174"/>
        <v>12.008951920636509</v>
      </c>
      <c r="CS62" s="1391">
        <f t="shared" si="174"/>
        <v>12.013213370394887</v>
      </c>
      <c r="CT62" s="1391">
        <f t="shared" si="174"/>
        <v>12.017476332354676</v>
      </c>
      <c r="CU62" s="1391">
        <f t="shared" si="174"/>
        <v>12.021740807052488</v>
      </c>
      <c r="CV62" s="1391">
        <f t="shared" si="174"/>
        <v>12.028303851667012</v>
      </c>
      <c r="CW62" s="1391">
        <f t="shared" si="174"/>
        <v>12.034870479253032</v>
      </c>
      <c r="CX62" s="1391">
        <f t="shared" si="174"/>
        <v>12.041440691766601</v>
      </c>
      <c r="CY62" s="1391">
        <f t="shared" si="174"/>
        <v>12.048014491164842</v>
      </c>
      <c r="CZ62" s="1391">
        <f t="shared" si="174"/>
        <v>12.054591879405951</v>
      </c>
    </row>
    <row r="63" spans="1:104" ht="13" x14ac:dyDescent="0.3">
      <c r="A63" s="870" t="str">
        <f>'HyARC Physical Property Data'!A75</f>
        <v>Bio Methane</v>
      </c>
      <c r="B63" s="260">
        <v>2007</v>
      </c>
      <c r="C63" s="871">
        <f t="shared" si="165"/>
        <v>1.1446359956438654</v>
      </c>
      <c r="D63" s="1255" t="str">
        <f>'HyARC Physical Property Data'!H75</f>
        <v>mmBtu</v>
      </c>
      <c r="E63" s="871" t="s">
        <v>1057</v>
      </c>
      <c r="F63" s="260">
        <f>'HyARC Physical Property Data'!$E$6</f>
        <v>47.141269049911173</v>
      </c>
      <c r="G63" s="260">
        <f>'HyARC Physical Property Data'!$I$6</f>
        <v>52.224661236371581</v>
      </c>
      <c r="H63" s="1063">
        <v>12.42654028436019</v>
      </c>
      <c r="I63" s="1063">
        <v>12.42654028436019</v>
      </c>
      <c r="J63" s="1063">
        <v>12.42654028436019</v>
      </c>
      <c r="K63" s="1063">
        <v>12.42654028436019</v>
      </c>
      <c r="L63" s="1063">
        <v>12.42654028436019</v>
      </c>
      <c r="M63" s="1063">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0">
        <f t="shared" si="176"/>
        <v>14.223865310797228</v>
      </c>
      <c r="BS63" s="260">
        <f t="shared" si="176"/>
        <v>14.223865310797228</v>
      </c>
      <c r="BT63" s="260">
        <f t="shared" si="176"/>
        <v>14.223865310797228</v>
      </c>
      <c r="BU63" s="260">
        <f t="shared" si="176"/>
        <v>14.223865310797228</v>
      </c>
      <c r="BV63" s="873">
        <f t="shared" si="176"/>
        <v>14.223865310797228</v>
      </c>
      <c r="BW63" s="1391">
        <f>+BV63*BW$136/BV$136</f>
        <v>14.271092726019944</v>
      </c>
      <c r="BX63" s="1391">
        <f t="shared" si="174"/>
        <v>14.318476950147966</v>
      </c>
      <c r="BY63" s="1391">
        <f t="shared" si="174"/>
        <v>14.366018503832969</v>
      </c>
      <c r="BZ63" s="1391">
        <f t="shared" si="174"/>
        <v>14.413717909455341</v>
      </c>
      <c r="CA63" s="1391">
        <f t="shared" si="174"/>
        <v>14.461575691129934</v>
      </c>
      <c r="CB63" s="1391">
        <f t="shared" si="174"/>
        <v>14.49243565590395</v>
      </c>
      <c r="CC63" s="1391">
        <f t="shared" si="174"/>
        <v>14.523361473628309</v>
      </c>
      <c r="CD63" s="1391">
        <f t="shared" si="174"/>
        <v>14.554353284828478</v>
      </c>
      <c r="CE63" s="1391">
        <f t="shared" si="174"/>
        <v>14.585411230329802</v>
      </c>
      <c r="CF63" s="1391">
        <f t="shared" si="174"/>
        <v>14.616535451258134</v>
      </c>
      <c r="CG63" s="1391">
        <f t="shared" si="174"/>
        <v>14.626641288360148</v>
      </c>
      <c r="CH63" s="1391">
        <f t="shared" si="174"/>
        <v>14.636754112613382</v>
      </c>
      <c r="CI63" s="1391">
        <f t="shared" si="174"/>
        <v>14.646873928848736</v>
      </c>
      <c r="CJ63" s="1391">
        <f t="shared" si="174"/>
        <v>14.657000741900452</v>
      </c>
      <c r="CK63" s="1391">
        <f t="shared" si="174"/>
        <v>14.667134556606111</v>
      </c>
      <c r="CL63" s="1391">
        <f t="shared" si="174"/>
        <v>14.670569469948116</v>
      </c>
      <c r="CM63" s="1391">
        <f t="shared" si="174"/>
        <v>14.674005187716483</v>
      </c>
      <c r="CN63" s="1391">
        <f t="shared" si="174"/>
        <v>14.6774417100996</v>
      </c>
      <c r="CO63" s="1391">
        <f t="shared" si="174"/>
        <v>14.6808790372859</v>
      </c>
      <c r="CP63" s="1391">
        <f t="shared" si="174"/>
        <v>14.684317169463862</v>
      </c>
      <c r="CQ63" s="1391">
        <f t="shared" si="174"/>
        <v>14.689527988881515</v>
      </c>
      <c r="CR63" s="1391">
        <f t="shared" si="174"/>
        <v>14.69474065739019</v>
      </c>
      <c r="CS63" s="1391">
        <f t="shared" si="174"/>
        <v>14.699955175646044</v>
      </c>
      <c r="CT63" s="1391">
        <f t="shared" si="174"/>
        <v>14.705171544305472</v>
      </c>
      <c r="CU63" s="1391">
        <f t="shared" si="174"/>
        <v>14.710389764025104</v>
      </c>
      <c r="CV63" s="1391">
        <f t="shared" si="174"/>
        <v>14.718420626266095</v>
      </c>
      <c r="CW63" s="1391">
        <f t="shared" si="174"/>
        <v>14.726455872806168</v>
      </c>
      <c r="CX63" s="1391">
        <f t="shared" si="174"/>
        <v>14.734495506038849</v>
      </c>
      <c r="CY63" s="1391">
        <f t="shared" si="174"/>
        <v>14.74253952835897</v>
      </c>
      <c r="CZ63" s="1391">
        <f t="shared" si="174"/>
        <v>14.750587942162673</v>
      </c>
    </row>
    <row r="64" spans="1:104" ht="13" x14ac:dyDescent="0.3">
      <c r="A64" s="959" t="str">
        <f>'HyARC Physical Property Data'!A85</f>
        <v>Woody Biomass</v>
      </c>
      <c r="B64" s="260">
        <v>2005</v>
      </c>
      <c r="C64" s="871">
        <f>VLOOKUP(ref_year,DeflatorTable,2,FALSE)/VLOOKUP(B64,DeflatorTable,2,FALSE)</f>
        <v>1.2112501494873942</v>
      </c>
      <c r="D64" s="1254" t="str">
        <f>+'HyARC Physical Property Data'!$H$85</f>
        <v>kg</v>
      </c>
      <c r="E64" s="898" t="s">
        <v>1051</v>
      </c>
      <c r="F64" s="260">
        <f>'HyARC Physical Property Data'!$E$45</f>
        <v>19.551069237418005</v>
      </c>
      <c r="G64" s="260">
        <f>'HyARC Physical Property Data'!$I$45</f>
        <v>20.588656379262464</v>
      </c>
      <c r="H64" s="1063">
        <v>1.3438238843289665</v>
      </c>
      <c r="I64" s="1063">
        <v>1.3438238843289665</v>
      </c>
      <c r="J64" s="1063">
        <v>1.3438238843289665</v>
      </c>
      <c r="K64" s="1063">
        <v>1.3438238843289665</v>
      </c>
      <c r="L64" s="1063">
        <v>1.3438238843289665</v>
      </c>
      <c r="M64" s="1063">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0">
        <f>4.71*($C$64)</f>
        <v>5.7049882040856268</v>
      </c>
      <c r="BS64" s="260">
        <f>4.78*($C$64)</f>
        <v>5.7897757145497444</v>
      </c>
      <c r="BT64" s="260">
        <f>4.85*($C$64)</f>
        <v>5.8745632250138611</v>
      </c>
      <c r="BU64" s="260">
        <f>4.92*($C$64)</f>
        <v>5.9593507354779796</v>
      </c>
      <c r="BV64" s="873">
        <f>4.99*($C$64)</f>
        <v>6.0441382459420971</v>
      </c>
      <c r="BW64" s="1391">
        <f>+BV64*BW$137/BV$137</f>
        <v>6.0586659764672328</v>
      </c>
      <c r="BX64" s="1391">
        <f t="shared" ref="BX64:CZ64" si="177">+BW64*BX$137/BW$137</f>
        <v>6.0732286259412112</v>
      </c>
      <c r="BY64" s="1391">
        <f t="shared" si="177"/>
        <v>6.0878262782954495</v>
      </c>
      <c r="BZ64" s="1391">
        <f t="shared" si="177"/>
        <v>6.1024590176630999</v>
      </c>
      <c r="CA64" s="1391">
        <f t="shared" si="177"/>
        <v>6.1171269283795393</v>
      </c>
      <c r="CB64" s="1391">
        <f t="shared" si="177"/>
        <v>6.1299667153690152</v>
      </c>
      <c r="CC64" s="1391">
        <f t="shared" si="177"/>
        <v>6.1428334529403346</v>
      </c>
      <c r="CD64" s="1391">
        <f t="shared" si="177"/>
        <v>6.155727197662495</v>
      </c>
      <c r="CE64" s="1391">
        <f t="shared" si="177"/>
        <v>6.1686480062232301</v>
      </c>
      <c r="CF64" s="1391">
        <f t="shared" si="177"/>
        <v>6.18159593542926</v>
      </c>
      <c r="CG64" s="1391">
        <f t="shared" si="177"/>
        <v>6.197524392005751</v>
      </c>
      <c r="CH64" s="1391">
        <f t="shared" si="177"/>
        <v>6.2134938923080965</v>
      </c>
      <c r="CI64" s="1391">
        <f t="shared" si="177"/>
        <v>6.229504542095909</v>
      </c>
      <c r="CJ64" s="1391">
        <f t="shared" si="177"/>
        <v>6.245556447401321</v>
      </c>
      <c r="CK64" s="1391">
        <f t="shared" si="177"/>
        <v>6.2616497145296828</v>
      </c>
      <c r="CL64" s="1391">
        <f t="shared" si="177"/>
        <v>6.2750522655841658</v>
      </c>
      <c r="CM64" s="1391">
        <f t="shared" si="177"/>
        <v>6.2884835037072264</v>
      </c>
      <c r="CN64" s="1391">
        <f t="shared" si="177"/>
        <v>6.3019434903011975</v>
      </c>
      <c r="CO64" s="1391">
        <f t="shared" si="177"/>
        <v>6.3154322868998385</v>
      </c>
      <c r="CP64" s="1391">
        <f t="shared" si="177"/>
        <v>6.3289499551686168</v>
      </c>
      <c r="CQ64" s="1391">
        <f t="shared" si="177"/>
        <v>6.3413225489579119</v>
      </c>
      <c r="CR64" s="1391">
        <f t="shared" si="177"/>
        <v>6.3537193301840116</v>
      </c>
      <c r="CS64" s="1391">
        <f t="shared" si="177"/>
        <v>6.3661403461314299</v>
      </c>
      <c r="CT64" s="1391">
        <f t="shared" si="177"/>
        <v>6.3785856441771198</v>
      </c>
      <c r="CU64" s="1391">
        <f t="shared" si="177"/>
        <v>6.3910552717906537</v>
      </c>
      <c r="CV64" s="1391">
        <f t="shared" si="177"/>
        <v>6.4057772391562917</v>
      </c>
      <c r="CW64" s="1391">
        <f t="shared" si="177"/>
        <v>6.4205331189689208</v>
      </c>
      <c r="CX64" s="1391">
        <f t="shared" si="177"/>
        <v>6.4353229893467718</v>
      </c>
      <c r="CY64" s="1391">
        <f t="shared" si="177"/>
        <v>6.4501469285880244</v>
      </c>
      <c r="CZ64" s="1391">
        <f t="shared" si="177"/>
        <v>6.4650050151712186</v>
      </c>
    </row>
    <row r="65" spans="1:104" ht="13" x14ac:dyDescent="0.3">
      <c r="A65" s="905" t="str">
        <f>'HyARC Physical Property Data'!A79</f>
        <v>Electric Utility Steam Coal</v>
      </c>
      <c r="B65" s="260">
        <v>2011</v>
      </c>
      <c r="C65" s="871">
        <f>VLOOKUP(ref_year,DeflatorTable,2,FALSE)/VLOOKUP(B65,DeflatorTable,2,FALSE)</f>
        <v>1.0784554773635862</v>
      </c>
      <c r="D65" s="1254" t="str">
        <f>+'HyARC Physical Property Data'!$H$79</f>
        <v>kg</v>
      </c>
      <c r="E65" s="898" t="s">
        <v>1051</v>
      </c>
      <c r="F65" s="260">
        <f>'HyARC Physical Property Data'!$E$42</f>
        <v>22.7322030001394</v>
      </c>
      <c r="G65" s="260">
        <f>'HyARC Physical Property Data'!$I$42</f>
        <v>23.967615189707661</v>
      </c>
      <c r="H65" s="1063">
        <v>1.6359074751967535</v>
      </c>
      <c r="I65" s="1063">
        <v>1.6359074751967535</v>
      </c>
      <c r="J65" s="1063">
        <v>1.6359074751967535</v>
      </c>
      <c r="K65" s="1063">
        <v>1.6778298347292193</v>
      </c>
      <c r="L65" s="1063">
        <v>1.8315470257945772</v>
      </c>
      <c r="M65" s="1063">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4">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4">
        <f>('AEO Data'!$C$28*BB65)</f>
        <v>3.8250538787983337</v>
      </c>
      <c r="BR65" s="870">
        <f t="shared" ref="BR65:BU68" si="181">($BV65-$BQ65)/5+BQ65</f>
        <v>3.8373166225762918</v>
      </c>
      <c r="BS65" s="260">
        <f t="shared" si="181"/>
        <v>3.8495793663542499</v>
      </c>
      <c r="BT65" s="260">
        <f t="shared" si="181"/>
        <v>3.861842110132208</v>
      </c>
      <c r="BU65" s="260">
        <f t="shared" si="181"/>
        <v>3.8741048539101661</v>
      </c>
      <c r="BV65" s="958">
        <f>('AEO Data'!$D$28*BQ65)</f>
        <v>3.8863675976881238</v>
      </c>
      <c r="BW65" s="1391">
        <f>+BV65*BW$138/BV$138</f>
        <v>3.8995072326040932</v>
      </c>
      <c r="BX65" s="1391">
        <f t="shared" ref="BX65:CZ65" si="182">+BW65*BX$138/BW$138</f>
        <v>3.9126912920376582</v>
      </c>
      <c r="BY65" s="1391">
        <f t="shared" si="182"/>
        <v>3.9259199261861233</v>
      </c>
      <c r="BZ65" s="1391">
        <f t="shared" si="182"/>
        <v>3.9391932857546061</v>
      </c>
      <c r="CA65" s="1391">
        <f t="shared" si="182"/>
        <v>3.9525115219577494</v>
      </c>
      <c r="CB65" s="1391">
        <f t="shared" si="182"/>
        <v>3.9638281829885078</v>
      </c>
      <c r="CC65" s="1391">
        <f t="shared" si="182"/>
        <v>3.9751772453965106</v>
      </c>
      <c r="CD65" s="1391">
        <f t="shared" si="182"/>
        <v>3.9865588019519875</v>
      </c>
      <c r="CE65" s="1391">
        <f t="shared" si="182"/>
        <v>3.9979729456907847</v>
      </c>
      <c r="CF65" s="1391">
        <f t="shared" si="182"/>
        <v>4.0094197699151231</v>
      </c>
      <c r="CG65" s="1391">
        <f t="shared" si="182"/>
        <v>4.0181594321320722</v>
      </c>
      <c r="CH65" s="1391">
        <f t="shared" si="182"/>
        <v>4.0269181449099625</v>
      </c>
      <c r="CI65" s="1391">
        <f t="shared" si="182"/>
        <v>4.0356959497748699</v>
      </c>
      <c r="CJ65" s="1391">
        <f t="shared" si="182"/>
        <v>4.0444928883433882</v>
      </c>
      <c r="CK65" s="1391">
        <f t="shared" si="182"/>
        <v>4.0533090023228242</v>
      </c>
      <c r="CL65" s="1391">
        <f t="shared" si="182"/>
        <v>4.0592855925032651</v>
      </c>
      <c r="CM65" s="1391">
        <f t="shared" si="182"/>
        <v>4.0652709951453678</v>
      </c>
      <c r="CN65" s="1391">
        <f t="shared" si="182"/>
        <v>4.0712652232430759</v>
      </c>
      <c r="CO65" s="1391">
        <f t="shared" si="182"/>
        <v>4.0772682898094939</v>
      </c>
      <c r="CP65" s="1391">
        <f t="shared" si="182"/>
        <v>4.0832802078769133</v>
      </c>
      <c r="CQ65" s="1391">
        <f t="shared" si="182"/>
        <v>4.0852935052227286</v>
      </c>
      <c r="CR65" s="1391">
        <f t="shared" si="182"/>
        <v>4.0873077952425705</v>
      </c>
      <c r="CS65" s="1391">
        <f t="shared" si="182"/>
        <v>4.0893230784258847</v>
      </c>
      <c r="CT65" s="1391">
        <f t="shared" si="182"/>
        <v>4.0913393552623587</v>
      </c>
      <c r="CU65" s="1391">
        <f t="shared" si="182"/>
        <v>4.0933566262419232</v>
      </c>
      <c r="CV65" s="1391">
        <f t="shared" si="182"/>
        <v>4.0904573728021916</v>
      </c>
      <c r="CW65" s="1391">
        <f t="shared" si="182"/>
        <v>4.0875601728533422</v>
      </c>
      <c r="CX65" s="1391">
        <f t="shared" si="182"/>
        <v>4.0846650249409233</v>
      </c>
      <c r="CY65" s="1391">
        <f t="shared" si="182"/>
        <v>4.081771927611511</v>
      </c>
      <c r="CZ65" s="1391">
        <f t="shared" si="182"/>
        <v>4.0788808794127149</v>
      </c>
    </row>
    <row r="66" spans="1:104" ht="13" x14ac:dyDescent="0.3">
      <c r="A66" s="874" t="str">
        <f>'HyARC Physical Property Data'!A76</f>
        <v>Commercial Electricity</v>
      </c>
      <c r="B66" s="260">
        <v>2011</v>
      </c>
      <c r="C66" s="871">
        <f t="shared" si="165"/>
        <v>1.0784554773635862</v>
      </c>
      <c r="D66" s="1254" t="str">
        <f>'HyARC Physical Property Data'!$H$76</f>
        <v>kWh</v>
      </c>
      <c r="E66" s="871" t="s">
        <v>1070</v>
      </c>
      <c r="F66" s="875"/>
      <c r="G66" s="871"/>
      <c r="H66" s="1063">
        <v>26.764062885406638</v>
      </c>
      <c r="I66" s="1063">
        <v>26.764062885406638</v>
      </c>
      <c r="J66" s="1063">
        <v>26.764062885406638</v>
      </c>
      <c r="K66" s="1063">
        <v>26.478521097803213</v>
      </c>
      <c r="L66" s="1063">
        <v>27.879470162766175</v>
      </c>
      <c r="M66" s="1063">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4">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4">
        <f>'AEO Data'!$C$33*BB66</f>
        <v>33.192415256010214</v>
      </c>
      <c r="BR66" s="870">
        <f t="shared" si="181"/>
        <v>33.170065135939467</v>
      </c>
      <c r="BS66" s="260">
        <f t="shared" si="181"/>
        <v>33.147715015868719</v>
      </c>
      <c r="BT66" s="260">
        <f t="shared" si="181"/>
        <v>33.125364895797972</v>
      </c>
      <c r="BU66" s="260">
        <f t="shared" si="181"/>
        <v>33.103014775727225</v>
      </c>
      <c r="BV66" s="958">
        <f>'AEO Data'!$D$33*BQ66</f>
        <v>33.080664655656477</v>
      </c>
      <c r="BW66" s="1391">
        <f>+BV66*BW$139/BV$139</f>
        <v>33.066099114275488</v>
      </c>
      <c r="BX66" s="1391">
        <f t="shared" ref="BX66:CZ66" si="185">+BW66*BX$139/BW$139</f>
        <v>33.051539986157294</v>
      </c>
      <c r="BY66" s="1391">
        <f t="shared" si="185"/>
        <v>33.0369872684781</v>
      </c>
      <c r="BZ66" s="1391">
        <f t="shared" si="185"/>
        <v>33.022440958415373</v>
      </c>
      <c r="CA66" s="1391">
        <f t="shared" si="185"/>
        <v>33.007901053147819</v>
      </c>
      <c r="CB66" s="1391">
        <f t="shared" si="185"/>
        <v>32.98146223987488</v>
      </c>
      <c r="CC66" s="1391">
        <f t="shared" si="185"/>
        <v>32.955044603678495</v>
      </c>
      <c r="CD66" s="1391">
        <f t="shared" si="185"/>
        <v>32.928648127596141</v>
      </c>
      <c r="CE66" s="1391">
        <f t="shared" si="185"/>
        <v>32.902272794678915</v>
      </c>
      <c r="CF66" s="1391">
        <f t="shared" si="185"/>
        <v>32.875918587991457</v>
      </c>
      <c r="CG66" s="1391">
        <f t="shared" si="185"/>
        <v>32.839614191376278</v>
      </c>
      <c r="CH66" s="1391">
        <f t="shared" si="185"/>
        <v>32.803349885175919</v>
      </c>
      <c r="CI66" s="1391">
        <f t="shared" si="185"/>
        <v>32.767125625119114</v>
      </c>
      <c r="CJ66" s="1391">
        <f t="shared" si="185"/>
        <v>32.730941366983494</v>
      </c>
      <c r="CK66" s="1391">
        <f t="shared" si="185"/>
        <v>32.69479706659552</v>
      </c>
      <c r="CL66" s="1391">
        <f t="shared" si="185"/>
        <v>32.65539094584242</v>
      </c>
      <c r="CM66" s="1391">
        <f t="shared" si="185"/>
        <v>32.616032320180047</v>
      </c>
      <c r="CN66" s="1391">
        <f t="shared" si="185"/>
        <v>32.576721132363886</v>
      </c>
      <c r="CO66" s="1391">
        <f t="shared" si="185"/>
        <v>32.537457325218448</v>
      </c>
      <c r="CP66" s="1391">
        <f t="shared" si="185"/>
        <v>32.498240841637141</v>
      </c>
      <c r="CQ66" s="1391">
        <f t="shared" si="185"/>
        <v>32.452817913303896</v>
      </c>
      <c r="CR66" s="1391">
        <f t="shared" si="185"/>
        <v>32.407458472789216</v>
      </c>
      <c r="CS66" s="1391">
        <f t="shared" si="185"/>
        <v>32.362162431355912</v>
      </c>
      <c r="CT66" s="1391">
        <f t="shared" si="185"/>
        <v>32.31692970039083</v>
      </c>
      <c r="CU66" s="1391">
        <f t="shared" si="185"/>
        <v>32.271760191404653</v>
      </c>
      <c r="CV66" s="1391">
        <f t="shared" si="185"/>
        <v>32.22766670904133</v>
      </c>
      <c r="CW66" s="1391">
        <f t="shared" si="185"/>
        <v>32.183633472390525</v>
      </c>
      <c r="CX66" s="1391">
        <f t="shared" si="185"/>
        <v>32.139660399137448</v>
      </c>
      <c r="CY66" s="1391">
        <f t="shared" si="185"/>
        <v>32.09574740707977</v>
      </c>
      <c r="CZ66" s="1391">
        <f t="shared" si="185"/>
        <v>32.051894414127482</v>
      </c>
    </row>
    <row r="67" spans="1:104" ht="13" x14ac:dyDescent="0.3">
      <c r="A67" s="874" t="str">
        <f>'HyARC Physical Property Data'!A77</f>
        <v>Industrial Electricity</v>
      </c>
      <c r="B67" s="260">
        <v>2011</v>
      </c>
      <c r="C67" s="871">
        <f t="shared" si="165"/>
        <v>1.0784554773635862</v>
      </c>
      <c r="D67" s="1242" t="str">
        <f>'HyARC Physical Property Data'!$H$77</f>
        <v>kWh</v>
      </c>
      <c r="E67" s="871" t="s">
        <v>1070</v>
      </c>
      <c r="F67" s="882"/>
      <c r="G67" s="222"/>
      <c r="H67" s="1066">
        <v>17.365230901091444</v>
      </c>
      <c r="I67" s="1066">
        <v>17.365230901091444</v>
      </c>
      <c r="J67" s="1066">
        <v>17.365230901091444</v>
      </c>
      <c r="K67" s="1066">
        <v>17.575551809904887</v>
      </c>
      <c r="L67" s="1066">
        <v>19.530121721487372</v>
      </c>
      <c r="M67" s="1066">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4">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4">
        <f>'AEO Data'!$C$33*BB67</f>
        <v>23.45233216522044</v>
      </c>
      <c r="BR67" s="870">
        <f t="shared" si="181"/>
        <v>23.436540532228719</v>
      </c>
      <c r="BS67" s="260">
        <f t="shared" si="181"/>
        <v>23.420748899236997</v>
      </c>
      <c r="BT67" s="260">
        <f t="shared" si="181"/>
        <v>23.404957266245276</v>
      </c>
      <c r="BU67" s="260">
        <f t="shared" si="181"/>
        <v>23.389165633253555</v>
      </c>
      <c r="BV67" s="958">
        <f>'AEO Data'!$D$33*BQ67</f>
        <v>23.373374000261833</v>
      </c>
      <c r="BW67" s="1391">
        <f>+BV67*BW$140/BV$140</f>
        <v>23.380436490829396</v>
      </c>
      <c r="BX67" s="1391">
        <f t="shared" ref="BX67:CZ67" si="188">+BW67*BX$140/BW$140</f>
        <v>23.387501115396649</v>
      </c>
      <c r="BY67" s="1391">
        <f t="shared" si="188"/>
        <v>23.394567874608409</v>
      </c>
      <c r="BZ67" s="1391">
        <f t="shared" si="188"/>
        <v>23.401636769109679</v>
      </c>
      <c r="CA67" s="1391">
        <f t="shared" si="188"/>
        <v>23.408707799545656</v>
      </c>
      <c r="CB67" s="1391">
        <f t="shared" si="188"/>
        <v>23.406060454578945</v>
      </c>
      <c r="CC67" s="1391">
        <f t="shared" si="188"/>
        <v>23.403413409006607</v>
      </c>
      <c r="CD67" s="1391">
        <f t="shared" si="188"/>
        <v>23.40076666279478</v>
      </c>
      <c r="CE67" s="1391">
        <f t="shared" si="188"/>
        <v>23.398120215909611</v>
      </c>
      <c r="CF67" s="1391">
        <f t="shared" si="188"/>
        <v>23.395474068317245</v>
      </c>
      <c r="CG67" s="1391">
        <f t="shared" si="188"/>
        <v>23.384861674186023</v>
      </c>
      <c r="CH67" s="1391">
        <f t="shared" si="188"/>
        <v>23.374254093930716</v>
      </c>
      <c r="CI67" s="1391">
        <f t="shared" si="188"/>
        <v>23.363651325367709</v>
      </c>
      <c r="CJ67" s="1391">
        <f t="shared" si="188"/>
        <v>23.353053366314384</v>
      </c>
      <c r="CK67" s="1391">
        <f t="shared" si="188"/>
        <v>23.342460214589092</v>
      </c>
      <c r="CL67" s="1391">
        <f t="shared" si="188"/>
        <v>23.329464593323419</v>
      </c>
      <c r="CM67" s="1391">
        <f t="shared" si="188"/>
        <v>23.316476207206502</v>
      </c>
      <c r="CN67" s="1391">
        <f t="shared" si="188"/>
        <v>23.303495052210266</v>
      </c>
      <c r="CO67" s="1391">
        <f t="shared" si="188"/>
        <v>23.290521124308881</v>
      </c>
      <c r="CP67" s="1391">
        <f t="shared" si="188"/>
        <v>23.277554419478744</v>
      </c>
      <c r="CQ67" s="1391">
        <f t="shared" si="188"/>
        <v>23.259789388655847</v>
      </c>
      <c r="CR67" s="1391">
        <f t="shared" si="188"/>
        <v>23.242037915800186</v>
      </c>
      <c r="CS67" s="1391">
        <f t="shared" si="188"/>
        <v>23.224299990564553</v>
      </c>
      <c r="CT67" s="1391">
        <f t="shared" si="188"/>
        <v>23.206575602609636</v>
      </c>
      <c r="CU67" s="1391">
        <f t="shared" si="188"/>
        <v>23.188864741604011</v>
      </c>
      <c r="CV67" s="1391">
        <f t="shared" si="188"/>
        <v>23.17221317404951</v>
      </c>
      <c r="CW67" s="1391">
        <f t="shared" si="188"/>
        <v>23.155573563729877</v>
      </c>
      <c r="CX67" s="1391">
        <f t="shared" si="188"/>
        <v>23.138945902058804</v>
      </c>
      <c r="CY67" s="1391">
        <f t="shared" si="188"/>
        <v>23.122330180456149</v>
      </c>
      <c r="CZ67" s="1391">
        <f t="shared" si="188"/>
        <v>23.105726390347936</v>
      </c>
    </row>
    <row r="68" spans="1:104" ht="13.5" thickBot="1" x14ac:dyDescent="0.35">
      <c r="A68" s="876" t="str">
        <f>'HyARC Physical Property Data'!A78</f>
        <v>Residential Electricity</v>
      </c>
      <c r="B68" s="877">
        <v>2011</v>
      </c>
      <c r="C68" s="878">
        <f t="shared" si="165"/>
        <v>1.0784554773635862</v>
      </c>
      <c r="D68" s="1243" t="str">
        <f>'HyARC Physical Property Data'!$H$78</f>
        <v>kWh</v>
      </c>
      <c r="E68" s="878" t="s">
        <v>1070</v>
      </c>
      <c r="F68" s="883"/>
      <c r="G68" s="566"/>
      <c r="H68" s="1067">
        <v>29.433773538887177</v>
      </c>
      <c r="I68" s="1067">
        <v>29.433773538887177</v>
      </c>
      <c r="J68" s="1067">
        <v>29.433773538887177</v>
      </c>
      <c r="K68" s="1067">
        <v>29.415861064534436</v>
      </c>
      <c r="L68" s="1067">
        <v>30.500905105766051</v>
      </c>
      <c r="M68" s="1067">
        <v>30.574559070308627</v>
      </c>
      <c r="N68" s="566">
        <f t="shared" si="186"/>
        <v>37.231327558403592</v>
      </c>
      <c r="O68" s="566">
        <f t="shared" si="183"/>
        <v>37.029713542276902</v>
      </c>
      <c r="P68" s="566">
        <f t="shared" si="183"/>
        <v>35.904219072357151</v>
      </c>
      <c r="Q68" s="566">
        <f t="shared" si="183"/>
        <v>35.115964100941852</v>
      </c>
      <c r="R68" s="566">
        <f t="shared" si="183"/>
        <v>35.969434353528804</v>
      </c>
      <c r="S68" s="566">
        <f t="shared" si="183"/>
        <v>36.116413815172251</v>
      </c>
      <c r="T68" s="566">
        <f t="shared" si="183"/>
        <v>36.717853336521245</v>
      </c>
      <c r="U68" s="566">
        <f t="shared" si="183"/>
        <v>37.019523216471292</v>
      </c>
      <c r="V68" s="566">
        <f t="shared" si="183"/>
        <v>36.994572070547008</v>
      </c>
      <c r="W68" s="566">
        <f t="shared" si="183"/>
        <v>36.749885621109897</v>
      </c>
      <c r="X68" s="566">
        <f t="shared" si="183"/>
        <v>36.78085131323143</v>
      </c>
      <c r="Y68" s="566">
        <f t="shared" si="183"/>
        <v>36.866643524911183</v>
      </c>
      <c r="Z68" s="566">
        <f t="shared" si="183"/>
        <v>36.980382831831335</v>
      </c>
      <c r="AA68" s="566">
        <f t="shared" si="183"/>
        <v>37.011953537475684</v>
      </c>
      <c r="AB68" s="566">
        <f t="shared" si="183"/>
        <v>37.116621955375727</v>
      </c>
      <c r="AC68" s="566">
        <f t="shared" si="183"/>
        <v>37.450882759851702</v>
      </c>
      <c r="AD68" s="566">
        <f t="shared" si="183"/>
        <v>37.642585770141416</v>
      </c>
      <c r="AE68" s="566">
        <f t="shared" si="183"/>
        <v>37.813937247117813</v>
      </c>
      <c r="AF68" s="566">
        <f t="shared" si="183"/>
        <v>37.937612364350912</v>
      </c>
      <c r="AG68" s="566">
        <f t="shared" si="183"/>
        <v>38.109761898380555</v>
      </c>
      <c r="AH68" s="566">
        <f t="shared" si="183"/>
        <v>38.292401568838507</v>
      </c>
      <c r="AI68" s="566">
        <f t="shared" si="183"/>
        <v>38.52845390372385</v>
      </c>
      <c r="AJ68" s="566">
        <f t="shared" si="183"/>
        <v>38.699570277406174</v>
      </c>
      <c r="AK68" s="566">
        <f t="shared" si="183"/>
        <v>38.991412192591014</v>
      </c>
      <c r="AL68" s="566">
        <f t="shared" si="183"/>
        <v>39.480914506122524</v>
      </c>
      <c r="AM68" s="566">
        <f t="shared" si="183"/>
        <v>39.991294639240323</v>
      </c>
      <c r="AN68" s="566">
        <f t="shared" si="183"/>
        <v>40.444338686904082</v>
      </c>
      <c r="AO68" s="566">
        <f t="shared" si="183"/>
        <v>40.811228161847694</v>
      </c>
      <c r="AP68" s="566">
        <f t="shared" si="183"/>
        <v>41.155489483965269</v>
      </c>
      <c r="AQ68" s="566">
        <f t="shared" si="183"/>
        <v>41.648278929791786</v>
      </c>
      <c r="AR68" s="566">
        <f t="shared" si="183"/>
        <v>41.89880413718334</v>
      </c>
      <c r="AS68" s="877">
        <f t="shared" ref="AS68:BA68" si="189">($BB68-$AR68)/10+AR68</f>
        <v>41.608361021177913</v>
      </c>
      <c r="AT68" s="877">
        <f t="shared" si="189"/>
        <v>41.317917905172486</v>
      </c>
      <c r="AU68" s="877">
        <f t="shared" si="189"/>
        <v>41.027474789167059</v>
      </c>
      <c r="AV68" s="877">
        <f t="shared" si="189"/>
        <v>40.737031673161631</v>
      </c>
      <c r="AW68" s="877">
        <f t="shared" si="189"/>
        <v>40.446588557156204</v>
      </c>
      <c r="AX68" s="877">
        <f t="shared" si="189"/>
        <v>40.156145441150777</v>
      </c>
      <c r="AY68" s="877">
        <f t="shared" si="189"/>
        <v>39.86570232514535</v>
      </c>
      <c r="AZ68" s="877">
        <f t="shared" si="189"/>
        <v>39.575259209139922</v>
      </c>
      <c r="BA68" s="877">
        <f t="shared" si="189"/>
        <v>39.284816093134495</v>
      </c>
      <c r="BB68" s="963">
        <f>'AEO Data'!$B$33*AM68</f>
        <v>38.994372977129068</v>
      </c>
      <c r="BC68" s="877">
        <f>($BQ68-$BB68)/15+BB68</f>
        <v>39.017092027346592</v>
      </c>
      <c r="BD68" s="877">
        <f t="shared" si="180"/>
        <v>39.039811077564117</v>
      </c>
      <c r="BE68" s="877">
        <f t="shared" si="180"/>
        <v>39.062530127781642</v>
      </c>
      <c r="BF68" s="877">
        <f t="shared" si="180"/>
        <v>39.085249177999167</v>
      </c>
      <c r="BG68" s="877">
        <f t="shared" si="180"/>
        <v>39.107968228216691</v>
      </c>
      <c r="BH68" s="877">
        <f t="shared" si="180"/>
        <v>39.130687278434216</v>
      </c>
      <c r="BI68" s="877">
        <f t="shared" si="180"/>
        <v>39.153406328651741</v>
      </c>
      <c r="BJ68" s="877">
        <f t="shared" si="180"/>
        <v>39.176125378869266</v>
      </c>
      <c r="BK68" s="877">
        <f t="shared" si="180"/>
        <v>39.19884442908679</v>
      </c>
      <c r="BL68" s="877">
        <f t="shared" si="180"/>
        <v>39.221563479304315</v>
      </c>
      <c r="BM68" s="877">
        <f t="shared" si="180"/>
        <v>39.24428252952184</v>
      </c>
      <c r="BN68" s="877">
        <f t="shared" si="180"/>
        <v>39.267001579739365</v>
      </c>
      <c r="BO68" s="877">
        <f t="shared" si="180"/>
        <v>39.289720629956889</v>
      </c>
      <c r="BP68" s="877">
        <f t="shared" si="180"/>
        <v>39.312439680174414</v>
      </c>
      <c r="BQ68" s="963">
        <f>'AEO Data'!$C$33*BB68</f>
        <v>39.335158730391903</v>
      </c>
      <c r="BR68" s="971">
        <f t="shared" si="181"/>
        <v>39.30867239265946</v>
      </c>
      <c r="BS68" s="877">
        <f t="shared" si="181"/>
        <v>39.282186054927017</v>
      </c>
      <c r="BT68" s="877">
        <f t="shared" si="181"/>
        <v>39.255699717194574</v>
      </c>
      <c r="BU68" s="877">
        <f t="shared" si="181"/>
        <v>39.229213379462131</v>
      </c>
      <c r="BV68" s="964">
        <f>'AEO Data'!$D$33*BQ68</f>
        <v>39.202727041729688</v>
      </c>
      <c r="BW68" s="1391">
        <f>+BV68*BW$141/BV$141</f>
        <v>39.185465933196419</v>
      </c>
      <c r="BX68" s="1391">
        <f t="shared" ref="BX68:CZ68" si="190">+BW68*BX$141/BW$141</f>
        <v>39.168212424794326</v>
      </c>
      <c r="BY68" s="1391">
        <f t="shared" si="190"/>
        <v>39.150966513177039</v>
      </c>
      <c r="BZ68" s="1391">
        <f t="shared" si="190"/>
        <v>39.133728194999662</v>
      </c>
      <c r="CA68" s="1391">
        <f t="shared" si="190"/>
        <v>39.11649746691878</v>
      </c>
      <c r="CB68" s="1391">
        <f t="shared" si="190"/>
        <v>39.085165763313817</v>
      </c>
      <c r="CC68" s="1391">
        <f t="shared" si="190"/>
        <v>39.053859155914154</v>
      </c>
      <c r="CD68" s="1391">
        <f t="shared" si="190"/>
        <v>39.022577624618116</v>
      </c>
      <c r="CE68" s="1391">
        <f t="shared" si="190"/>
        <v>38.991321149340131</v>
      </c>
      <c r="CF68" s="1391">
        <f t="shared" si="190"/>
        <v>38.960089710010728</v>
      </c>
      <c r="CG68" s="1391">
        <f t="shared" si="190"/>
        <v>38.917066652108652</v>
      </c>
      <c r="CH68" s="1391">
        <f t="shared" si="190"/>
        <v>38.874091103940906</v>
      </c>
      <c r="CI68" s="1391">
        <f t="shared" si="190"/>
        <v>38.831163013043174</v>
      </c>
      <c r="CJ68" s="1391">
        <f t="shared" si="190"/>
        <v>38.788282327009078</v>
      </c>
      <c r="CK68" s="1391">
        <f t="shared" si="190"/>
        <v>38.745448993490129</v>
      </c>
      <c r="CL68" s="1391">
        <f t="shared" si="190"/>
        <v>38.698750191886909</v>
      </c>
      <c r="CM68" s="1391">
        <f t="shared" si="190"/>
        <v>38.652107675037847</v>
      </c>
      <c r="CN68" s="1391">
        <f t="shared" si="190"/>
        <v>38.605521375104502</v>
      </c>
      <c r="CO68" s="1391">
        <f t="shared" si="190"/>
        <v>38.558991224330207</v>
      </c>
      <c r="CP68" s="1391">
        <f t="shared" si="190"/>
        <v>38.512517155039959</v>
      </c>
      <c r="CQ68" s="1391">
        <f t="shared" si="190"/>
        <v>38.45868804732946</v>
      </c>
      <c r="CR68" s="1391">
        <f t="shared" si="190"/>
        <v>38.404934176789915</v>
      </c>
      <c r="CS68" s="1391">
        <f t="shared" si="190"/>
        <v>38.351255438262001</v>
      </c>
      <c r="CT68" s="1391">
        <f t="shared" si="190"/>
        <v>38.297651726733392</v>
      </c>
      <c r="CU68" s="1391">
        <f t="shared" si="190"/>
        <v>38.244122937338538</v>
      </c>
      <c r="CV68" s="1391">
        <f t="shared" si="190"/>
        <v>38.191869309081618</v>
      </c>
      <c r="CW68" s="1391">
        <f t="shared" si="190"/>
        <v>38.139687075890301</v>
      </c>
      <c r="CX68" s="1391">
        <f t="shared" si="190"/>
        <v>38.087576140216228</v>
      </c>
      <c r="CY68" s="1391">
        <f t="shared" si="190"/>
        <v>38.03553640464434</v>
      </c>
      <c r="CZ68" s="1391">
        <f t="shared" si="190"/>
        <v>37.983567771892652</v>
      </c>
    </row>
    <row r="69" spans="1:104" ht="13" thickTop="1" x14ac:dyDescent="0.25">
      <c r="D69" s="1090"/>
    </row>
    <row r="70" spans="1:104" ht="13" thickBot="1" x14ac:dyDescent="0.3">
      <c r="D70" s="1090"/>
      <c r="E70" s="970"/>
    </row>
    <row r="71" spans="1:104" s="1047" customFormat="1" ht="13" x14ac:dyDescent="0.3">
      <c r="A71" s="1043" t="s">
        <v>1111</v>
      </c>
      <c r="B71" s="1044"/>
      <c r="C71" s="1045"/>
      <c r="D71" s="1246"/>
      <c r="E71" s="1045"/>
      <c r="F71" s="1044"/>
      <c r="G71" s="1044"/>
      <c r="H71" s="1044"/>
      <c r="I71" s="1044"/>
      <c r="J71" s="1044"/>
      <c r="K71" s="1044"/>
      <c r="L71" s="1044"/>
      <c r="M71" s="1044"/>
      <c r="N71" s="1044"/>
      <c r="O71" s="1044"/>
      <c r="P71" s="1044"/>
      <c r="Q71" s="1044"/>
      <c r="R71" s="1044"/>
      <c r="S71" s="1044"/>
      <c r="T71" s="1044"/>
      <c r="U71" s="1044"/>
      <c r="V71" s="1044"/>
      <c r="W71" s="1044"/>
      <c r="X71" s="1044"/>
      <c r="Y71" s="1044"/>
      <c r="Z71" s="1044"/>
      <c r="AA71" s="1044"/>
      <c r="AB71" s="1044"/>
      <c r="AC71" s="1044"/>
      <c r="AD71" s="1044"/>
      <c r="AE71" s="1044"/>
      <c r="AF71" s="1044"/>
      <c r="AG71" s="1044"/>
      <c r="AH71" s="1044"/>
      <c r="AI71" s="1044"/>
      <c r="AJ71" s="1044"/>
      <c r="AK71" s="1044"/>
      <c r="AL71" s="1044"/>
      <c r="AM71" s="1044"/>
      <c r="AN71" s="1044"/>
      <c r="AO71" s="1044"/>
      <c r="AP71" s="1044"/>
      <c r="AQ71" s="1044"/>
      <c r="AR71" s="1044"/>
      <c r="AS71" s="1044"/>
      <c r="AT71" s="1044"/>
      <c r="AU71" s="1044"/>
      <c r="AV71" s="1044"/>
      <c r="AW71" s="1044"/>
      <c r="AX71" s="1044"/>
      <c r="AY71" s="1044"/>
      <c r="AZ71" s="1044"/>
      <c r="BA71" s="1044"/>
      <c r="BB71" s="1044"/>
      <c r="BC71" s="1044"/>
      <c r="BD71" s="1044"/>
      <c r="BE71" s="1044"/>
      <c r="BF71" s="1044"/>
      <c r="BG71" s="1044"/>
      <c r="BH71" s="1044"/>
      <c r="BI71" s="1044"/>
      <c r="BJ71" s="1044"/>
      <c r="BK71" s="1044"/>
      <c r="BL71" s="1044"/>
      <c r="BM71" s="1044"/>
      <c r="BN71" s="1044"/>
      <c r="BO71" s="1044"/>
      <c r="BP71" s="1044"/>
      <c r="BQ71" s="1044"/>
      <c r="BR71" s="1044"/>
      <c r="BS71" s="1044"/>
      <c r="BT71" s="1044"/>
      <c r="BU71" s="1044"/>
      <c r="BV71" s="1046"/>
    </row>
    <row r="72" spans="1:104" s="1047" customFormat="1" ht="13" x14ac:dyDescent="0.3">
      <c r="A72" s="1048" t="s">
        <v>1108</v>
      </c>
      <c r="B72" s="1049"/>
      <c r="C72" s="1050"/>
      <c r="D72" s="1247"/>
      <c r="E72" s="1050"/>
      <c r="F72" s="1049"/>
      <c r="G72" s="1049"/>
      <c r="H72" s="1049"/>
      <c r="I72" s="1049"/>
      <c r="J72" s="1049"/>
      <c r="K72" s="1049"/>
      <c r="L72" s="1049"/>
      <c r="M72" s="1049"/>
      <c r="N72" s="1049"/>
      <c r="O72" s="1049"/>
      <c r="P72" s="1049"/>
      <c r="Q72" s="1049"/>
      <c r="R72" s="1049"/>
      <c r="S72" s="1049"/>
      <c r="T72" s="1049"/>
      <c r="U72" s="1049"/>
      <c r="V72" s="1049"/>
      <c r="W72" s="1049"/>
      <c r="X72" s="1049"/>
      <c r="Y72" s="1049"/>
      <c r="Z72" s="1049"/>
      <c r="AA72" s="1049"/>
      <c r="AB72" s="1049"/>
      <c r="AC72" s="1049"/>
      <c r="AD72" s="1049"/>
      <c r="AE72" s="1049"/>
      <c r="AF72" s="1049"/>
      <c r="AG72" s="1049"/>
      <c r="AH72" s="1049"/>
      <c r="AI72" s="1049"/>
      <c r="AJ72" s="1049"/>
      <c r="AK72" s="1049"/>
      <c r="AL72" s="1049"/>
      <c r="AM72" s="1049"/>
      <c r="AN72" s="1049"/>
      <c r="AO72" s="1049"/>
      <c r="AP72" s="1049"/>
      <c r="AQ72" s="1049"/>
      <c r="AR72" s="1049"/>
      <c r="AS72" s="1049"/>
      <c r="AT72" s="1049"/>
      <c r="AU72" s="1049"/>
      <c r="AV72" s="1049"/>
      <c r="AW72" s="1049"/>
      <c r="AX72" s="1049"/>
      <c r="AY72" s="1049"/>
      <c r="AZ72" s="1049"/>
      <c r="BA72" s="1049"/>
      <c r="BB72" s="1049"/>
      <c r="BC72" s="1049"/>
      <c r="BD72" s="1049"/>
      <c r="BE72" s="1049"/>
      <c r="BF72" s="1049"/>
      <c r="BG72" s="1049"/>
      <c r="BH72" s="1049"/>
      <c r="BI72" s="1049"/>
      <c r="BJ72" s="1049"/>
      <c r="BK72" s="1049"/>
      <c r="BL72" s="1049"/>
      <c r="BM72" s="1049"/>
      <c r="BN72" s="1049"/>
      <c r="BO72" s="1049"/>
      <c r="BP72" s="1049"/>
      <c r="BQ72" s="1049"/>
      <c r="BR72" s="1049"/>
      <c r="BS72" s="1049"/>
      <c r="BT72" s="1049"/>
      <c r="BU72" s="1049"/>
      <c r="BV72" s="1051"/>
    </row>
    <row r="73" spans="1:104" s="1047" customFormat="1" x14ac:dyDescent="0.25">
      <c r="A73" s="1052"/>
      <c r="B73" s="1049"/>
      <c r="C73" s="1050"/>
      <c r="D73" s="1247"/>
      <c r="E73" s="1068"/>
      <c r="F73" s="1049"/>
      <c r="G73" s="1049"/>
      <c r="H73" s="1049"/>
      <c r="I73" s="1049"/>
      <c r="J73" s="1049"/>
      <c r="K73" s="1049"/>
      <c r="L73" s="1049"/>
      <c r="M73" s="1049"/>
      <c r="N73" s="1049"/>
      <c r="O73" s="1049"/>
      <c r="P73" s="1049"/>
      <c r="Q73" s="1049"/>
      <c r="R73" s="1049"/>
      <c r="S73" s="1049"/>
      <c r="T73" s="1049"/>
      <c r="U73" s="1049"/>
      <c r="V73" s="1049"/>
      <c r="W73" s="1049"/>
      <c r="X73" s="1049"/>
      <c r="Y73" s="1049"/>
      <c r="Z73" s="1049"/>
      <c r="AA73" s="1049"/>
      <c r="AB73" s="1049"/>
      <c r="AC73" s="1049"/>
      <c r="AD73" s="1049"/>
      <c r="AE73" s="1049"/>
      <c r="AF73" s="1049"/>
      <c r="AG73" s="1049"/>
      <c r="AH73" s="1049"/>
      <c r="AI73" s="1049"/>
      <c r="AJ73" s="1049"/>
      <c r="AK73" s="1049"/>
      <c r="AL73" s="1049"/>
      <c r="AM73" s="1049"/>
      <c r="AN73" s="1049"/>
      <c r="AO73" s="1049"/>
      <c r="AP73" s="1049"/>
      <c r="AQ73" s="1049"/>
      <c r="AR73" s="1049"/>
      <c r="AS73" s="1049"/>
      <c r="AT73" s="1049"/>
      <c r="AU73" s="1049"/>
      <c r="AV73" s="1049"/>
      <c r="AW73" s="1049"/>
      <c r="AX73" s="1049"/>
      <c r="AY73" s="1049"/>
      <c r="AZ73" s="1049"/>
      <c r="BA73" s="1049"/>
      <c r="BB73" s="1049"/>
      <c r="BC73" s="1049"/>
      <c r="BD73" s="1049"/>
      <c r="BE73" s="1049"/>
      <c r="BF73" s="1049"/>
      <c r="BG73" s="1049"/>
      <c r="BH73" s="1049"/>
      <c r="BI73" s="1049"/>
      <c r="BJ73" s="1049"/>
      <c r="BK73" s="1049"/>
      <c r="BL73" s="1049"/>
      <c r="BM73" s="1049"/>
      <c r="BN73" s="1049"/>
      <c r="BO73" s="1049"/>
      <c r="BP73" s="1049"/>
      <c r="BQ73" s="1049"/>
      <c r="BR73" s="1049"/>
      <c r="BS73" s="1049"/>
      <c r="BT73" s="1049"/>
      <c r="BU73" s="1049"/>
      <c r="BV73" s="1051"/>
    </row>
    <row r="74" spans="1:104" s="1047" customFormat="1" x14ac:dyDescent="0.25">
      <c r="A74" s="1052" t="s">
        <v>681</v>
      </c>
      <c r="B74" s="1049"/>
      <c r="C74" s="1050"/>
      <c r="D74" s="1247"/>
      <c r="E74" s="1050"/>
      <c r="F74" s="1049"/>
      <c r="G74" s="1049"/>
      <c r="H74" s="1049"/>
      <c r="I74" s="1049"/>
      <c r="J74" s="1049"/>
      <c r="K74" s="1049"/>
      <c r="L74" s="1049"/>
      <c r="M74" s="1049"/>
      <c r="N74" s="1053">
        <v>11.359373</v>
      </c>
      <c r="O74" s="1053">
        <v>10.802343</v>
      </c>
      <c r="P74" s="1053">
        <v>10.473763999999999</v>
      </c>
      <c r="Q74" s="1053">
        <v>10.501935</v>
      </c>
      <c r="R74" s="1053">
        <v>10.334021999999999</v>
      </c>
      <c r="S74" s="1053">
        <v>10.229792</v>
      </c>
      <c r="T74" s="1053">
        <v>10.748874000000001</v>
      </c>
      <c r="U74" s="1053">
        <v>11.092333999999999</v>
      </c>
      <c r="V74" s="1053">
        <v>11.515472000000001</v>
      </c>
      <c r="W74" s="1053">
        <v>11.774895000000001</v>
      </c>
      <c r="X74" s="1053">
        <v>11.996413</v>
      </c>
      <c r="Y74" s="1053">
        <v>12.209519999999999</v>
      </c>
      <c r="Z74" s="1053">
        <v>12.479982</v>
      </c>
      <c r="AA74" s="1053">
        <v>12.729352</v>
      </c>
      <c r="AB74" s="1053">
        <v>12.853237999999999</v>
      </c>
      <c r="AC74" s="1053">
        <v>13.018173000000001</v>
      </c>
      <c r="AD74" s="1053">
        <v>13.212711000000001</v>
      </c>
      <c r="AE74" s="1053">
        <v>13.366512</v>
      </c>
      <c r="AF74" s="1053">
        <v>13.603230999999999</v>
      </c>
      <c r="AG74" s="1053">
        <v>13.784504</v>
      </c>
      <c r="AH74" s="1053">
        <v>13.991047</v>
      </c>
      <c r="AI74" s="1053">
        <v>14.231726</v>
      </c>
      <c r="AJ74" s="1053">
        <v>14.577776</v>
      </c>
      <c r="AK74" s="1053">
        <v>14.956607999999999</v>
      </c>
      <c r="AL74" s="1053">
        <v>15.347963</v>
      </c>
      <c r="AM74" s="1053">
        <v>15.708157999999999</v>
      </c>
      <c r="AN74" s="1053">
        <v>16.169785000000001</v>
      </c>
      <c r="AO74" s="1053">
        <v>16.471478000000001</v>
      </c>
      <c r="AP74" s="1053">
        <v>16.949921</v>
      </c>
      <c r="AQ74" s="1053">
        <v>17.380462999999999</v>
      </c>
      <c r="AR74" s="1053">
        <v>17.673891000000001</v>
      </c>
      <c r="AS74" s="1049"/>
      <c r="AT74" s="1049"/>
      <c r="AU74" s="1049"/>
      <c r="AV74" s="1049"/>
      <c r="AW74" s="1049"/>
      <c r="AX74" s="1049"/>
      <c r="AY74" s="1049"/>
      <c r="AZ74" s="1049"/>
      <c r="BA74" s="1049"/>
      <c r="BB74" s="1049"/>
      <c r="BC74" s="1049"/>
      <c r="BD74" s="1049"/>
      <c r="BE74" s="1049"/>
      <c r="BF74" s="1049"/>
      <c r="BG74" s="1049"/>
      <c r="BH74" s="1049"/>
      <c r="BI74" s="1049"/>
      <c r="BJ74" s="1049"/>
      <c r="BK74" s="1049"/>
      <c r="BL74" s="1049"/>
      <c r="BM74" s="1049"/>
      <c r="BN74" s="1049"/>
      <c r="BO74" s="1049"/>
      <c r="BP74" s="1049"/>
      <c r="BQ74" s="1049"/>
      <c r="BR74" s="1049"/>
      <c r="BS74" s="1049"/>
      <c r="BT74" s="1049"/>
      <c r="BU74" s="1049"/>
      <c r="BV74" s="1051"/>
    </row>
    <row r="75" spans="1:104" s="1047" customFormat="1" x14ac:dyDescent="0.25">
      <c r="A75" s="1052" t="s">
        <v>1084</v>
      </c>
      <c r="B75" s="1049"/>
      <c r="C75" s="1050"/>
      <c r="D75" s="1247"/>
      <c r="E75" s="1050"/>
      <c r="F75" s="1049"/>
      <c r="G75" s="1049"/>
      <c r="H75" s="1049"/>
      <c r="I75" s="1049"/>
      <c r="J75" s="1049"/>
      <c r="K75" s="1049"/>
      <c r="L75" s="1049"/>
      <c r="M75" s="1049"/>
      <c r="N75" s="1053">
        <v>9.3969749999999994</v>
      </c>
      <c r="O75" s="1053">
        <v>8.8368559999999992</v>
      </c>
      <c r="P75" s="1053">
        <v>8.081448</v>
      </c>
      <c r="Q75" s="1053">
        <v>8.4844790000000003</v>
      </c>
      <c r="R75" s="1053">
        <v>8.3155520000000003</v>
      </c>
      <c r="S75" s="1053">
        <v>8.1773039999999995</v>
      </c>
      <c r="T75" s="1053">
        <v>8.6431299999999993</v>
      </c>
      <c r="U75" s="1053">
        <v>8.9205120000000004</v>
      </c>
      <c r="V75" s="1053">
        <v>9.2811249999999994</v>
      </c>
      <c r="W75" s="1053">
        <v>9.4920469999999995</v>
      </c>
      <c r="X75" s="1053">
        <v>9.6757190000000008</v>
      </c>
      <c r="Y75" s="1053">
        <v>9.8498520000000003</v>
      </c>
      <c r="Z75" s="1053">
        <v>10.083444999999999</v>
      </c>
      <c r="AA75" s="1053">
        <v>10.292596</v>
      </c>
      <c r="AB75" s="1053">
        <v>10.386177</v>
      </c>
      <c r="AC75" s="1053">
        <v>10.522978999999999</v>
      </c>
      <c r="AD75" s="1053">
        <v>10.688981999999999</v>
      </c>
      <c r="AE75" s="1053">
        <v>10.803459999999999</v>
      </c>
      <c r="AF75" s="1053">
        <v>10.994071</v>
      </c>
      <c r="AG75" s="1053">
        <v>11.132752999999999</v>
      </c>
      <c r="AH75" s="1053">
        <v>11.290343</v>
      </c>
      <c r="AI75" s="1053">
        <v>11.483471</v>
      </c>
      <c r="AJ75" s="1053">
        <v>11.774739</v>
      </c>
      <c r="AK75" s="1053">
        <v>12.104623999999999</v>
      </c>
      <c r="AL75" s="1053">
        <v>12.443429</v>
      </c>
      <c r="AM75" s="1053">
        <v>12.746489</v>
      </c>
      <c r="AN75" s="1053">
        <v>13.159888</v>
      </c>
      <c r="AO75" s="1053">
        <v>13.417020000000001</v>
      </c>
      <c r="AP75" s="1053">
        <v>13.853782000000001</v>
      </c>
      <c r="AQ75" s="1053">
        <v>14.239846</v>
      </c>
      <c r="AR75" s="1053">
        <v>14.480893</v>
      </c>
      <c r="AS75" s="1049"/>
      <c r="AT75" s="1049"/>
      <c r="AU75" s="1049"/>
      <c r="AV75" s="1049"/>
      <c r="AW75" s="1049"/>
      <c r="AX75" s="1049"/>
      <c r="AY75" s="1049"/>
      <c r="AZ75" s="1049"/>
      <c r="BA75" s="1049"/>
      <c r="BB75" s="1049"/>
      <c r="BC75" s="1049"/>
      <c r="BD75" s="1049"/>
      <c r="BE75" s="1049"/>
      <c r="BF75" s="1049"/>
      <c r="BG75" s="1049"/>
      <c r="BH75" s="1049"/>
      <c r="BI75" s="1049"/>
      <c r="BJ75" s="1049"/>
      <c r="BK75" s="1049"/>
      <c r="BL75" s="1049"/>
      <c r="BM75" s="1049"/>
      <c r="BN75" s="1049"/>
      <c r="BO75" s="1049"/>
      <c r="BP75" s="1049"/>
      <c r="BQ75" s="1049"/>
      <c r="BR75" s="1049"/>
      <c r="BS75" s="1049"/>
      <c r="BT75" s="1049"/>
      <c r="BU75" s="1049"/>
      <c r="BV75" s="1051"/>
    </row>
    <row r="76" spans="1:104" s="1047" customFormat="1" x14ac:dyDescent="0.25">
      <c r="A76" s="1052" t="s">
        <v>283</v>
      </c>
      <c r="B76" s="1049"/>
      <c r="C76" s="1050"/>
      <c r="D76" s="1247"/>
      <c r="E76" s="1050"/>
      <c r="F76" s="1049"/>
      <c r="G76" s="1049"/>
      <c r="H76" s="1049"/>
      <c r="I76" s="1049"/>
      <c r="J76" s="1049"/>
      <c r="K76" s="1049"/>
      <c r="L76" s="1049"/>
      <c r="M76" s="1049"/>
      <c r="N76" s="1053">
        <v>5.4839570000000002</v>
      </c>
      <c r="O76" s="1053">
        <v>4.8889880000000003</v>
      </c>
      <c r="P76" s="1053">
        <v>3.7668759999999999</v>
      </c>
      <c r="Q76" s="1053">
        <v>4.3500249999999996</v>
      </c>
      <c r="R76" s="1053">
        <v>4.4161510000000002</v>
      </c>
      <c r="S76" s="1053">
        <v>4.4533610000000001</v>
      </c>
      <c r="T76" s="1053">
        <v>4.916512</v>
      </c>
      <c r="U76" s="1053">
        <v>5.1321560000000002</v>
      </c>
      <c r="V76" s="1053">
        <v>5.3872429999999998</v>
      </c>
      <c r="W76" s="1053">
        <v>5.5533659999999996</v>
      </c>
      <c r="X76" s="1053">
        <v>5.6994189999999998</v>
      </c>
      <c r="Y76" s="1053">
        <v>5.84443</v>
      </c>
      <c r="Z76" s="1053">
        <v>6.055364</v>
      </c>
      <c r="AA76" s="1053">
        <v>6.2505249999999997</v>
      </c>
      <c r="AB76" s="1053">
        <v>6.3249610000000001</v>
      </c>
      <c r="AC76" s="1053">
        <v>6.4443630000000001</v>
      </c>
      <c r="AD76" s="1053">
        <v>6.5689469999999996</v>
      </c>
      <c r="AE76" s="1053">
        <v>6.6624569999999999</v>
      </c>
      <c r="AF76" s="1053">
        <v>6.8533949999999999</v>
      </c>
      <c r="AG76" s="1053">
        <v>6.9821</v>
      </c>
      <c r="AH76" s="1053">
        <v>7.1203779999999997</v>
      </c>
      <c r="AI76" s="1053">
        <v>7.3037179999999999</v>
      </c>
      <c r="AJ76" s="1053">
        <v>7.5896039999999996</v>
      </c>
      <c r="AK76" s="1053">
        <v>7.9110909999999999</v>
      </c>
      <c r="AL76" s="1053">
        <v>8.2410040000000002</v>
      </c>
      <c r="AM76" s="1053">
        <v>8.5300290000000007</v>
      </c>
      <c r="AN76" s="1053">
        <v>8.90123</v>
      </c>
      <c r="AO76" s="1053">
        <v>9.1114479999999993</v>
      </c>
      <c r="AP76" s="1053">
        <v>9.4914550000000002</v>
      </c>
      <c r="AQ76" s="1053">
        <v>9.8126739999999995</v>
      </c>
      <c r="AR76" s="1053">
        <v>10.012231</v>
      </c>
      <c r="AS76" s="1049"/>
      <c r="AT76" s="1049"/>
      <c r="AU76" s="1049"/>
      <c r="AV76" s="1049"/>
      <c r="AW76" s="1049"/>
      <c r="AX76" s="1049"/>
      <c r="AY76" s="1049"/>
      <c r="AZ76" s="1049"/>
      <c r="BA76" s="1049"/>
      <c r="BB76" s="1049"/>
      <c r="BC76" s="1049"/>
      <c r="BD76" s="1049"/>
      <c r="BE76" s="1049"/>
      <c r="BF76" s="1049"/>
      <c r="BG76" s="1049"/>
      <c r="BH76" s="1049"/>
      <c r="BI76" s="1049"/>
      <c r="BJ76" s="1049"/>
      <c r="BK76" s="1049"/>
      <c r="BL76" s="1049"/>
      <c r="BM76" s="1049"/>
      <c r="BN76" s="1049"/>
      <c r="BO76" s="1049"/>
      <c r="BP76" s="1049"/>
      <c r="BQ76" s="1049"/>
      <c r="BR76" s="1049"/>
      <c r="BS76" s="1049"/>
      <c r="BT76" s="1049"/>
      <c r="BU76" s="1049"/>
      <c r="BV76" s="1051"/>
    </row>
    <row r="77" spans="1:104" s="1047" customFormat="1" x14ac:dyDescent="0.25">
      <c r="A77" s="1054" t="str">
        <f>'HyARC Physical Property Data'!$A$74</f>
        <v>Electric Utility Natural Gas</v>
      </c>
      <c r="B77" s="1049"/>
      <c r="C77" s="1050"/>
      <c r="D77" s="1247"/>
      <c r="E77" s="1050"/>
      <c r="F77" s="1049"/>
      <c r="G77" s="1049"/>
      <c r="H77" s="1049"/>
      <c r="I77" s="1049"/>
      <c r="J77" s="1049"/>
      <c r="K77" s="1049"/>
      <c r="L77" s="1049"/>
      <c r="M77" s="1049"/>
      <c r="N77" s="1053">
        <v>5.2581660000000001</v>
      </c>
      <c r="O77" s="1053">
        <v>4.7747140000000003</v>
      </c>
      <c r="P77" s="1053">
        <v>3.3280129999999999</v>
      </c>
      <c r="Q77" s="1053">
        <v>3.7262059999999999</v>
      </c>
      <c r="R77" s="1053">
        <v>3.8342619999999998</v>
      </c>
      <c r="S77" s="1053">
        <v>3.9162499999999998</v>
      </c>
      <c r="T77" s="1053">
        <v>4.3469340000000001</v>
      </c>
      <c r="U77" s="1053">
        <v>4.5235139999999996</v>
      </c>
      <c r="V77" s="1053">
        <v>4.7720750000000001</v>
      </c>
      <c r="W77" s="1053">
        <v>4.9304030000000001</v>
      </c>
      <c r="X77" s="1053">
        <v>5.0667330000000002</v>
      </c>
      <c r="Y77" s="1053">
        <v>5.2030240000000001</v>
      </c>
      <c r="Z77" s="1053">
        <v>5.4141339999999998</v>
      </c>
      <c r="AA77" s="1053">
        <v>5.6120320000000001</v>
      </c>
      <c r="AB77" s="1053">
        <v>5.7180549999999997</v>
      </c>
      <c r="AC77" s="1053">
        <v>5.8497880000000002</v>
      </c>
      <c r="AD77" s="1053">
        <v>5.9964360000000001</v>
      </c>
      <c r="AE77" s="1053">
        <v>6.1136410000000003</v>
      </c>
      <c r="AF77" s="1053">
        <v>6.2808900000000003</v>
      </c>
      <c r="AG77" s="1053">
        <v>6.4099190000000004</v>
      </c>
      <c r="AH77" s="1053">
        <v>6.5488220000000004</v>
      </c>
      <c r="AI77" s="1053">
        <v>6.7307620000000004</v>
      </c>
      <c r="AJ77" s="1053">
        <v>7.0166529999999998</v>
      </c>
      <c r="AK77" s="1053">
        <v>7.3227570000000002</v>
      </c>
      <c r="AL77" s="1053">
        <v>7.6342280000000002</v>
      </c>
      <c r="AM77" s="1053">
        <v>7.902755</v>
      </c>
      <c r="AN77" s="1053">
        <v>8.2651950000000003</v>
      </c>
      <c r="AO77" s="1053">
        <v>8.4774010000000004</v>
      </c>
      <c r="AP77" s="1053">
        <v>8.8551400000000005</v>
      </c>
      <c r="AQ77" s="1053">
        <v>9.1715459999999993</v>
      </c>
      <c r="AR77" s="1053">
        <v>9.3359030000000001</v>
      </c>
      <c r="AS77" s="1049"/>
      <c r="AT77" s="1049"/>
      <c r="AU77" s="1049"/>
      <c r="AV77" s="1049"/>
      <c r="AW77" s="1049"/>
      <c r="AX77" s="1049"/>
      <c r="AY77" s="1049"/>
      <c r="AZ77" s="1049"/>
      <c r="BA77" s="1049"/>
      <c r="BB77" s="1049"/>
      <c r="BC77" s="1049"/>
      <c r="BD77" s="1049"/>
      <c r="BE77" s="1049"/>
      <c r="BF77" s="1049"/>
      <c r="BG77" s="1049"/>
      <c r="BH77" s="1049"/>
      <c r="BI77" s="1049"/>
      <c r="BJ77" s="1049"/>
      <c r="BK77" s="1049"/>
      <c r="BL77" s="1049"/>
      <c r="BM77" s="1049"/>
      <c r="BN77" s="1049"/>
      <c r="BO77" s="1049"/>
      <c r="BP77" s="1049"/>
      <c r="BQ77" s="1049"/>
      <c r="BR77" s="1049"/>
      <c r="BS77" s="1049"/>
      <c r="BT77" s="1049"/>
      <c r="BU77" s="1049"/>
      <c r="BV77" s="1051"/>
    </row>
    <row r="78" spans="1:104" s="1047" customFormat="1" x14ac:dyDescent="0.25">
      <c r="A78" s="1054" t="s">
        <v>1080</v>
      </c>
      <c r="B78" s="1049"/>
      <c r="C78" s="1050"/>
      <c r="D78" s="1247"/>
      <c r="E78" s="1050"/>
      <c r="F78" s="1049"/>
      <c r="G78" s="1049"/>
      <c r="H78" s="1049"/>
      <c r="I78" s="1049"/>
      <c r="J78" s="1049"/>
      <c r="K78" s="1049"/>
      <c r="L78" s="1049"/>
      <c r="M78" s="1049"/>
      <c r="N78" s="1053"/>
      <c r="O78" s="1053"/>
      <c r="P78" s="1053"/>
      <c r="Q78" s="1053"/>
      <c r="R78" s="1053"/>
      <c r="S78" s="1053"/>
      <c r="T78" s="1053"/>
      <c r="U78" s="1053"/>
      <c r="V78" s="1053"/>
      <c r="W78" s="1053"/>
      <c r="X78" s="1053"/>
      <c r="Y78" s="1053"/>
      <c r="Z78" s="1053"/>
      <c r="AA78" s="1053"/>
      <c r="AB78" s="1053"/>
      <c r="AC78" s="1053"/>
      <c r="AD78" s="1053"/>
      <c r="AE78" s="1053"/>
      <c r="AF78" s="1053"/>
      <c r="AG78" s="1053"/>
      <c r="AH78" s="1053"/>
      <c r="AI78" s="1053"/>
      <c r="AJ78" s="1053"/>
      <c r="AK78" s="1053"/>
      <c r="AL78" s="1053"/>
      <c r="AM78" s="1053"/>
      <c r="AN78" s="1053"/>
      <c r="AO78" s="1053"/>
      <c r="AP78" s="1053"/>
      <c r="AQ78" s="1053"/>
      <c r="AR78" s="1053"/>
      <c r="AS78" s="1049"/>
      <c r="AT78" s="1049"/>
      <c r="AU78" s="1049"/>
      <c r="AV78" s="1049"/>
      <c r="AW78" s="1049"/>
      <c r="AX78" s="1049"/>
      <c r="AY78" s="1049"/>
      <c r="AZ78" s="1049"/>
      <c r="BA78" s="1049"/>
      <c r="BB78" s="1049"/>
      <c r="BC78" s="1049"/>
      <c r="BD78" s="1049"/>
      <c r="BE78" s="1049"/>
      <c r="BF78" s="1049"/>
      <c r="BG78" s="1049"/>
      <c r="BH78" s="1049"/>
      <c r="BI78" s="1049"/>
      <c r="BJ78" s="1049"/>
      <c r="BK78" s="1049"/>
      <c r="BL78" s="1049"/>
      <c r="BM78" s="1049"/>
      <c r="BN78" s="1049"/>
      <c r="BO78" s="1049"/>
      <c r="BP78" s="1049"/>
      <c r="BQ78" s="1049"/>
      <c r="BR78" s="1049"/>
      <c r="BS78" s="1049"/>
      <c r="BT78" s="1049"/>
      <c r="BU78" s="1049"/>
      <c r="BV78" s="1051"/>
    </row>
    <row r="79" spans="1:104" s="1047" customFormat="1" x14ac:dyDescent="0.25">
      <c r="A79" s="1052" t="s">
        <v>1086</v>
      </c>
      <c r="B79" s="1049"/>
      <c r="C79" s="1050"/>
      <c r="D79" s="1247"/>
      <c r="E79" s="1050"/>
      <c r="F79" s="1049"/>
      <c r="G79" s="1049"/>
      <c r="H79" s="1049"/>
      <c r="I79" s="1049"/>
      <c r="J79" s="1049"/>
      <c r="K79" s="1049"/>
      <c r="L79" s="1049"/>
      <c r="M79" s="1049"/>
      <c r="N79" s="1053">
        <v>2.2979889999999998</v>
      </c>
      <c r="O79" s="1053">
        <v>2.38</v>
      </c>
      <c r="P79" s="1053">
        <v>2.414561</v>
      </c>
      <c r="Q79" s="1053">
        <v>2.3313350000000002</v>
      </c>
      <c r="R79" s="1053">
        <v>2.4666779999999999</v>
      </c>
      <c r="S79" s="1053">
        <v>2.490294</v>
      </c>
      <c r="T79" s="1053">
        <v>2.5700569999999998</v>
      </c>
      <c r="U79" s="1053">
        <v>2.5762320000000001</v>
      </c>
      <c r="V79" s="1053">
        <v>2.594992</v>
      </c>
      <c r="W79" s="1053">
        <v>2.6086049999999998</v>
      </c>
      <c r="X79" s="1053">
        <v>2.6433580000000001</v>
      </c>
      <c r="Y79" s="1053">
        <v>2.6708150000000002</v>
      </c>
      <c r="Z79" s="1053">
        <v>2.7142179999999998</v>
      </c>
      <c r="AA79" s="1053">
        <v>2.74918</v>
      </c>
      <c r="AB79" s="1053">
        <v>2.7884579999999999</v>
      </c>
      <c r="AC79" s="1053">
        <v>2.8318759999999998</v>
      </c>
      <c r="AD79" s="1053">
        <v>2.8692139999999999</v>
      </c>
      <c r="AE79" s="1053">
        <v>2.899435</v>
      </c>
      <c r="AF79" s="1053">
        <v>2.9368029999999998</v>
      </c>
      <c r="AG79" s="1053">
        <v>2.9781219999999999</v>
      </c>
      <c r="AH79" s="1053">
        <v>3.0179510000000001</v>
      </c>
      <c r="AI79" s="1053">
        <v>3.0527350000000002</v>
      </c>
      <c r="AJ79" s="1053">
        <v>3.090319</v>
      </c>
      <c r="AK79" s="1053">
        <v>3.1298509999999999</v>
      </c>
      <c r="AL79" s="1053">
        <v>3.1705510000000001</v>
      </c>
      <c r="AM79" s="1053">
        <v>3.2163840000000001</v>
      </c>
      <c r="AN79" s="1053">
        <v>3.2516949999999998</v>
      </c>
      <c r="AO79" s="1053">
        <v>3.2783180000000001</v>
      </c>
      <c r="AP79" s="1053">
        <v>3.3114089999999998</v>
      </c>
      <c r="AQ79" s="1053">
        <v>3.3562150000000002</v>
      </c>
      <c r="AR79" s="1053">
        <v>3.398895</v>
      </c>
      <c r="AS79" s="1049"/>
      <c r="AT79" s="1049"/>
      <c r="AU79" s="1049"/>
      <c r="AV79" s="1049"/>
      <c r="AW79" s="1049"/>
      <c r="AX79" s="1049"/>
      <c r="AY79" s="1049"/>
      <c r="AZ79" s="1049"/>
      <c r="BA79" s="1049"/>
      <c r="BB79" s="1049"/>
      <c r="BC79" s="1049"/>
      <c r="BD79" s="1049"/>
      <c r="BE79" s="1049"/>
      <c r="BF79" s="1049"/>
      <c r="BG79" s="1049"/>
      <c r="BH79" s="1049"/>
      <c r="BI79" s="1049"/>
      <c r="BJ79" s="1049"/>
      <c r="BK79" s="1049"/>
      <c r="BL79" s="1049"/>
      <c r="BM79" s="1049"/>
      <c r="BN79" s="1049"/>
      <c r="BO79" s="1049"/>
      <c r="BP79" s="1049"/>
      <c r="BQ79" s="1049"/>
      <c r="BR79" s="1049"/>
      <c r="BS79" s="1049"/>
      <c r="BT79" s="1049"/>
      <c r="BU79" s="1049"/>
      <c r="BV79" s="1051"/>
    </row>
    <row r="80" spans="1:104" s="1047" customFormat="1" x14ac:dyDescent="0.25">
      <c r="A80" s="1052" t="s">
        <v>683</v>
      </c>
      <c r="B80" s="1049"/>
      <c r="C80" s="1050"/>
      <c r="D80" s="1247"/>
      <c r="E80" s="1050"/>
      <c r="F80" s="1049"/>
      <c r="G80" s="1049"/>
      <c r="H80" s="1049"/>
      <c r="I80" s="1049"/>
      <c r="J80" s="1049"/>
      <c r="K80" s="1049"/>
      <c r="L80" s="1049"/>
      <c r="M80" s="1049"/>
      <c r="N80" s="1053">
        <v>30.492578999999999</v>
      </c>
      <c r="O80" s="1053">
        <v>29.980651999999999</v>
      </c>
      <c r="P80" s="1053">
        <v>28.501187999999999</v>
      </c>
      <c r="Q80" s="1053">
        <v>27.791989999999998</v>
      </c>
      <c r="R80" s="1053">
        <v>28.177313000000002</v>
      </c>
      <c r="S80" s="1053">
        <v>28.139455999999999</v>
      </c>
      <c r="T80" s="1053">
        <v>28.689319999999999</v>
      </c>
      <c r="U80" s="1053">
        <v>29.024557000000001</v>
      </c>
      <c r="V80" s="1053">
        <v>29.108899999999998</v>
      </c>
      <c r="W80" s="1053">
        <v>28.975003999999998</v>
      </c>
      <c r="X80" s="1053">
        <v>29.041111000000001</v>
      </c>
      <c r="Y80" s="1053">
        <v>29.162209000000001</v>
      </c>
      <c r="Z80" s="1053">
        <v>29.247681</v>
      </c>
      <c r="AA80" s="1053">
        <v>29.196009</v>
      </c>
      <c r="AB80" s="1053">
        <v>29.115604000000001</v>
      </c>
      <c r="AC80" s="1053">
        <v>29.201962000000002</v>
      </c>
      <c r="AD80" s="1053">
        <v>29.178121999999998</v>
      </c>
      <c r="AE80" s="1053">
        <v>29.212776000000002</v>
      </c>
      <c r="AF80" s="1053">
        <v>29.214404999999999</v>
      </c>
      <c r="AG80" s="1053">
        <v>29.344874999999998</v>
      </c>
      <c r="AH80" s="1053">
        <v>29.550170999999999</v>
      </c>
      <c r="AI80" s="1053">
        <v>29.794819</v>
      </c>
      <c r="AJ80" s="1053">
        <v>29.957190000000001</v>
      </c>
      <c r="AK80" s="1053">
        <v>30.275618000000001</v>
      </c>
      <c r="AL80" s="1053">
        <v>30.801399</v>
      </c>
      <c r="AM80" s="1053">
        <v>31.291125999999998</v>
      </c>
      <c r="AN80" s="1053">
        <v>31.806963</v>
      </c>
      <c r="AO80" s="1053">
        <v>32.268535999999997</v>
      </c>
      <c r="AP80" s="1053">
        <v>32.667476999999998</v>
      </c>
      <c r="AQ80" s="1053">
        <v>33.223427000000001</v>
      </c>
      <c r="AR80" s="1053">
        <v>33.577624999999998</v>
      </c>
      <c r="AS80" s="1049"/>
      <c r="AT80" s="1049"/>
      <c r="AU80" s="1049"/>
      <c r="AV80" s="1049"/>
      <c r="AW80" s="1049"/>
      <c r="AX80" s="1049"/>
      <c r="AY80" s="1049"/>
      <c r="AZ80" s="1049"/>
      <c r="BA80" s="1049"/>
      <c r="BB80" s="1049"/>
      <c r="BC80" s="1049"/>
      <c r="BD80" s="1049"/>
      <c r="BE80" s="1049"/>
      <c r="BF80" s="1049"/>
      <c r="BG80" s="1049"/>
      <c r="BH80" s="1049"/>
      <c r="BI80" s="1049"/>
      <c r="BJ80" s="1049"/>
      <c r="BK80" s="1049"/>
      <c r="BL80" s="1049"/>
      <c r="BM80" s="1049"/>
      <c r="BN80" s="1049"/>
      <c r="BO80" s="1049"/>
      <c r="BP80" s="1049"/>
      <c r="BQ80" s="1049"/>
      <c r="BR80" s="1049"/>
      <c r="BS80" s="1049"/>
      <c r="BT80" s="1049"/>
      <c r="BU80" s="1049"/>
      <c r="BV80" s="1051"/>
    </row>
    <row r="81" spans="1:104" s="1047" customFormat="1" x14ac:dyDescent="0.25">
      <c r="A81" s="1052" t="s">
        <v>698</v>
      </c>
      <c r="B81" s="1049"/>
      <c r="C81" s="1050"/>
      <c r="D81" s="1247"/>
      <c r="E81" s="1050"/>
      <c r="F81" s="1049"/>
      <c r="G81" s="1049"/>
      <c r="H81" s="1049"/>
      <c r="I81" s="1049"/>
      <c r="J81" s="1049"/>
      <c r="K81" s="1049"/>
      <c r="L81" s="1049"/>
      <c r="M81" s="1049"/>
      <c r="N81" s="1053">
        <v>20.260445000000001</v>
      </c>
      <c r="O81" s="1053">
        <v>19.975721</v>
      </c>
      <c r="P81" s="1053">
        <v>18.454588000000001</v>
      </c>
      <c r="Q81" s="1053">
        <v>18.157667</v>
      </c>
      <c r="R81" s="1053">
        <v>18.271274999999999</v>
      </c>
      <c r="S81" s="1053">
        <v>18.191776000000001</v>
      </c>
      <c r="T81" s="1053">
        <v>18.703628999999999</v>
      </c>
      <c r="U81" s="1053">
        <v>19.002967999999999</v>
      </c>
      <c r="V81" s="1053">
        <v>19.096264000000001</v>
      </c>
      <c r="W81" s="1053">
        <v>19.050228000000001</v>
      </c>
      <c r="X81" s="1053">
        <v>19.095860999999999</v>
      </c>
      <c r="Y81" s="1053">
        <v>19.252116999999998</v>
      </c>
      <c r="Z81" s="1053">
        <v>19.422526999999999</v>
      </c>
      <c r="AA81" s="1053">
        <v>19.539289</v>
      </c>
      <c r="AB81" s="1053">
        <v>19.565339999999999</v>
      </c>
      <c r="AC81" s="1053">
        <v>19.722131999999998</v>
      </c>
      <c r="AD81" s="1053">
        <v>19.810991000000001</v>
      </c>
      <c r="AE81" s="1053">
        <v>19.943812999999999</v>
      </c>
      <c r="AF81" s="1053">
        <v>20.046423000000001</v>
      </c>
      <c r="AG81" s="1053">
        <v>20.238405</v>
      </c>
      <c r="AH81" s="1053">
        <v>20.421748999999998</v>
      </c>
      <c r="AI81" s="1053">
        <v>20.607520999999998</v>
      </c>
      <c r="AJ81" s="1053">
        <v>20.839410999999998</v>
      </c>
      <c r="AK81" s="1053">
        <v>21.176966</v>
      </c>
      <c r="AL81" s="1053">
        <v>21.628757</v>
      </c>
      <c r="AM81" s="1053">
        <v>22.108962999999999</v>
      </c>
      <c r="AN81" s="1053">
        <v>22.567038</v>
      </c>
      <c r="AO81" s="1053">
        <v>22.990486000000001</v>
      </c>
      <c r="AP81" s="1053">
        <v>23.379736000000001</v>
      </c>
      <c r="AQ81" s="1053">
        <v>23.871493999999998</v>
      </c>
      <c r="AR81" s="1053">
        <v>24.167221000000001</v>
      </c>
      <c r="AS81" s="1049"/>
      <c r="AT81" s="1049"/>
      <c r="AU81" s="1049"/>
      <c r="AV81" s="1049"/>
      <c r="AW81" s="1049"/>
      <c r="AX81" s="1049"/>
      <c r="AY81" s="1049"/>
      <c r="AZ81" s="1049"/>
      <c r="BA81" s="1049"/>
      <c r="BB81" s="1049"/>
      <c r="BC81" s="1049"/>
      <c r="BD81" s="1049"/>
      <c r="BE81" s="1049"/>
      <c r="BF81" s="1049"/>
      <c r="BG81" s="1049"/>
      <c r="BH81" s="1049"/>
      <c r="BI81" s="1049"/>
      <c r="BJ81" s="1049"/>
      <c r="BK81" s="1049"/>
      <c r="BL81" s="1049"/>
      <c r="BM81" s="1049"/>
      <c r="BN81" s="1049"/>
      <c r="BO81" s="1049"/>
      <c r="BP81" s="1049"/>
      <c r="BQ81" s="1049"/>
      <c r="BR81" s="1049"/>
      <c r="BS81" s="1049"/>
      <c r="BT81" s="1049"/>
      <c r="BU81" s="1049"/>
      <c r="BV81" s="1051"/>
    </row>
    <row r="82" spans="1:104" s="1047" customFormat="1" ht="13" thickBot="1" x14ac:dyDescent="0.3">
      <c r="A82" s="1056" t="s">
        <v>684</v>
      </c>
      <c r="B82" s="1057"/>
      <c r="C82" s="1058"/>
      <c r="D82" s="1248"/>
      <c r="E82" s="1058"/>
      <c r="F82" s="1057"/>
      <c r="G82" s="1057"/>
      <c r="H82" s="1057"/>
      <c r="I82" s="1057"/>
      <c r="J82" s="1057"/>
      <c r="K82" s="1057"/>
      <c r="L82" s="1057"/>
      <c r="M82" s="1057"/>
      <c r="N82" s="1059">
        <v>34.522823000000002</v>
      </c>
      <c r="O82" s="1059">
        <v>34.335875999999999</v>
      </c>
      <c r="P82" s="1059">
        <v>33.292259000000001</v>
      </c>
      <c r="Q82" s="1059">
        <v>32.561348000000002</v>
      </c>
      <c r="R82" s="1059">
        <v>33.352730000000001</v>
      </c>
      <c r="S82" s="1059">
        <v>33.489016999999997</v>
      </c>
      <c r="T82" s="1059">
        <v>34.046703000000001</v>
      </c>
      <c r="U82" s="1059">
        <v>34.326427000000002</v>
      </c>
      <c r="V82" s="1059">
        <v>34.303291000000002</v>
      </c>
      <c r="W82" s="1059">
        <v>34.076405000000001</v>
      </c>
      <c r="X82" s="1059">
        <v>34.105117999999997</v>
      </c>
      <c r="Y82" s="1059">
        <v>34.184669</v>
      </c>
      <c r="Z82" s="1059">
        <v>34.290134000000002</v>
      </c>
      <c r="AA82" s="1059">
        <v>34.319408000000003</v>
      </c>
      <c r="AB82" s="1059">
        <v>34.416462000000003</v>
      </c>
      <c r="AC82" s="1059">
        <v>34.726405999999997</v>
      </c>
      <c r="AD82" s="1059">
        <v>34.904162999999997</v>
      </c>
      <c r="AE82" s="1059">
        <v>35.063048999999999</v>
      </c>
      <c r="AF82" s="1059">
        <v>35.177726999999997</v>
      </c>
      <c r="AG82" s="1059">
        <v>35.337353</v>
      </c>
      <c r="AH82" s="1059">
        <v>35.506706000000001</v>
      </c>
      <c r="AI82" s="1059">
        <v>35.725586</v>
      </c>
      <c r="AJ82" s="1059">
        <v>35.884253999999999</v>
      </c>
      <c r="AK82" s="1059">
        <v>36.154865000000001</v>
      </c>
      <c r="AL82" s="1059">
        <v>36.608756999999997</v>
      </c>
      <c r="AM82" s="1059">
        <v>37.082008000000002</v>
      </c>
      <c r="AN82" s="1059">
        <v>37.502094</v>
      </c>
      <c r="AO82" s="1059">
        <v>37.842292999999998</v>
      </c>
      <c r="AP82" s="1059">
        <v>38.16151</v>
      </c>
      <c r="AQ82" s="1059">
        <v>38.618450000000003</v>
      </c>
      <c r="AR82" s="1059">
        <v>38.850749999999998</v>
      </c>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60"/>
    </row>
    <row r="83" spans="1:104" x14ac:dyDescent="0.25">
      <c r="D83" s="1090"/>
      <c r="E83" s="970"/>
    </row>
    <row r="84" spans="1:104" x14ac:dyDescent="0.25">
      <c r="D84" s="1090"/>
    </row>
    <row r="85" spans="1:104" ht="13" thickBot="1" x14ac:dyDescent="0.3">
      <c r="D85" s="1090"/>
    </row>
    <row r="86" spans="1:104" ht="13.5" thickTop="1" x14ac:dyDescent="0.3">
      <c r="A86" s="864" t="s">
        <v>1106</v>
      </c>
      <c r="B86" s="865" t="str">
        <f>"Prices are in $(" &amp; ref_year&amp;")/GJ LHV"</f>
        <v>Prices are in $(2016)/GJ LHV</v>
      </c>
      <c r="C86" s="865"/>
      <c r="D86" s="1249"/>
      <c r="E86" s="865"/>
      <c r="F86" s="866"/>
      <c r="G86" s="866"/>
      <c r="H86" s="866"/>
      <c r="I86" s="866"/>
      <c r="J86" s="866"/>
      <c r="K86" s="866"/>
      <c r="L86" s="866"/>
      <c r="M86" s="866"/>
      <c r="N86" s="866"/>
      <c r="O86" s="866"/>
      <c r="P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N86" s="866"/>
      <c r="AO86" s="866"/>
      <c r="AP86" s="866"/>
      <c r="AQ86" s="866"/>
      <c r="AR86" s="866"/>
      <c r="AS86" s="879" t="s">
        <v>772</v>
      </c>
      <c r="AT86" s="880"/>
      <c r="AU86" s="880"/>
      <c r="AV86" s="880"/>
      <c r="AW86" s="880"/>
      <c r="AX86" s="880"/>
      <c r="AY86" s="880"/>
      <c r="AZ86" s="880"/>
      <c r="BA86" s="880"/>
      <c r="BB86" s="880"/>
      <c r="BC86" s="880"/>
      <c r="BD86" s="880"/>
      <c r="BE86" s="880"/>
      <c r="BF86" s="880"/>
      <c r="BG86" s="880"/>
      <c r="BH86" s="880"/>
      <c r="BI86" s="880"/>
      <c r="BJ86" s="880"/>
      <c r="BK86" s="880"/>
      <c r="BL86" s="880"/>
      <c r="BM86" s="880"/>
      <c r="BN86" s="880"/>
      <c r="BO86" s="880"/>
      <c r="BP86" s="880"/>
      <c r="BQ86" s="880"/>
      <c r="BR86" s="880"/>
      <c r="BS86" s="880"/>
      <c r="BT86" s="880"/>
      <c r="BU86" s="880"/>
      <c r="BV86" s="881"/>
    </row>
    <row r="87" spans="1:104" ht="39.5" thickBot="1" x14ac:dyDescent="0.35">
      <c r="A87" s="1116" t="s">
        <v>1083</v>
      </c>
      <c r="B87" s="1117" t="s">
        <v>678</v>
      </c>
      <c r="C87" s="1117" t="s">
        <v>679</v>
      </c>
      <c r="D87" s="1250" t="s">
        <v>690</v>
      </c>
      <c r="E87" s="1117" t="s">
        <v>691</v>
      </c>
      <c r="F87" s="1118" t="s">
        <v>680</v>
      </c>
      <c r="G87" s="1118" t="s">
        <v>692</v>
      </c>
      <c r="H87" s="886">
        <v>2004</v>
      </c>
      <c r="I87" s="886">
        <v>2005</v>
      </c>
      <c r="J87" s="886">
        <v>2006</v>
      </c>
      <c r="K87" s="886">
        <v>2007</v>
      </c>
      <c r="L87" s="886">
        <v>2008</v>
      </c>
      <c r="M87" s="886">
        <v>2009</v>
      </c>
      <c r="N87" s="886">
        <v>2010</v>
      </c>
      <c r="O87" s="886">
        <v>2011</v>
      </c>
      <c r="P87" s="886">
        <v>2012</v>
      </c>
      <c r="Q87" s="886">
        <v>2013</v>
      </c>
      <c r="R87" s="886">
        <v>2014</v>
      </c>
      <c r="S87" s="886">
        <v>2015</v>
      </c>
      <c r="T87" s="886">
        <v>2016</v>
      </c>
      <c r="U87" s="886">
        <v>2017</v>
      </c>
      <c r="V87" s="886">
        <v>2018</v>
      </c>
      <c r="W87" s="886">
        <v>2019</v>
      </c>
      <c r="X87" s="886">
        <v>2020</v>
      </c>
      <c r="Y87" s="886">
        <v>2021</v>
      </c>
      <c r="Z87" s="886">
        <v>2022</v>
      </c>
      <c r="AA87" s="886">
        <v>2023</v>
      </c>
      <c r="AB87" s="886">
        <v>2024</v>
      </c>
      <c r="AC87" s="886">
        <v>2025</v>
      </c>
      <c r="AD87" s="886">
        <v>2026</v>
      </c>
      <c r="AE87" s="886">
        <v>2027</v>
      </c>
      <c r="AF87" s="886">
        <v>2028</v>
      </c>
      <c r="AG87" s="886">
        <v>2029</v>
      </c>
      <c r="AH87" s="886">
        <v>2030</v>
      </c>
      <c r="AI87" s="886">
        <v>2031</v>
      </c>
      <c r="AJ87" s="886">
        <v>2032</v>
      </c>
      <c r="AK87" s="886">
        <v>2033</v>
      </c>
      <c r="AL87" s="886">
        <v>2034</v>
      </c>
      <c r="AM87" s="886">
        <v>2035</v>
      </c>
      <c r="AN87" s="886">
        <v>2036</v>
      </c>
      <c r="AO87" s="886">
        <v>2037</v>
      </c>
      <c r="AP87" s="886">
        <v>2038</v>
      </c>
      <c r="AQ87" s="886">
        <v>2039</v>
      </c>
      <c r="AR87" s="886">
        <v>2040</v>
      </c>
      <c r="AS87" s="886">
        <v>2041</v>
      </c>
      <c r="AT87" s="886">
        <v>2042</v>
      </c>
      <c r="AU87" s="886">
        <v>2043</v>
      </c>
      <c r="AV87" s="886">
        <v>2044</v>
      </c>
      <c r="AW87" s="886">
        <v>2045</v>
      </c>
      <c r="AX87" s="886">
        <v>2046</v>
      </c>
      <c r="AY87" s="886">
        <v>2047</v>
      </c>
      <c r="AZ87" s="886">
        <v>2048</v>
      </c>
      <c r="BA87" s="886">
        <v>2049</v>
      </c>
      <c r="BB87" s="886">
        <v>2050</v>
      </c>
      <c r="BC87" s="886">
        <v>2051</v>
      </c>
      <c r="BD87" s="886">
        <v>2052</v>
      </c>
      <c r="BE87" s="886">
        <v>2053</v>
      </c>
      <c r="BF87" s="886">
        <v>2054</v>
      </c>
      <c r="BG87" s="886">
        <v>2055</v>
      </c>
      <c r="BH87" s="886">
        <v>2056</v>
      </c>
      <c r="BI87" s="886">
        <v>2057</v>
      </c>
      <c r="BJ87" s="886">
        <v>2058</v>
      </c>
      <c r="BK87" s="886">
        <v>2059</v>
      </c>
      <c r="BL87" s="886">
        <v>2060</v>
      </c>
      <c r="BM87" s="886">
        <v>2061</v>
      </c>
      <c r="BN87" s="886">
        <v>2062</v>
      </c>
      <c r="BO87" s="886">
        <v>2063</v>
      </c>
      <c r="BP87" s="886">
        <v>2064</v>
      </c>
      <c r="BQ87" s="886">
        <v>2065</v>
      </c>
      <c r="BR87" s="886">
        <v>2066</v>
      </c>
      <c r="BS87" s="886">
        <v>2067</v>
      </c>
      <c r="BT87" s="886">
        <v>2068</v>
      </c>
      <c r="BU87" s="886">
        <v>2069</v>
      </c>
      <c r="BV87" s="887">
        <v>2070</v>
      </c>
      <c r="BW87" s="1392">
        <f t="shared" ref="BW87" si="191">+BV87+1</f>
        <v>2071</v>
      </c>
      <c r="BX87" s="1392">
        <f t="shared" ref="BX87" si="192">+BW87+1</f>
        <v>2072</v>
      </c>
      <c r="BY87" s="1392">
        <f t="shared" ref="BY87" si="193">+BX87+1</f>
        <v>2073</v>
      </c>
      <c r="BZ87" s="1392">
        <f t="shared" ref="BZ87" si="194">+BY87+1</f>
        <v>2074</v>
      </c>
      <c r="CA87" s="1392">
        <f t="shared" ref="CA87" si="195">+BZ87+1</f>
        <v>2075</v>
      </c>
      <c r="CB87" s="1392">
        <f t="shared" ref="CB87" si="196">+CA87+1</f>
        <v>2076</v>
      </c>
      <c r="CC87" s="1392">
        <f t="shared" ref="CC87" si="197">+CB87+1</f>
        <v>2077</v>
      </c>
      <c r="CD87" s="1392">
        <f t="shared" ref="CD87" si="198">+CC87+1</f>
        <v>2078</v>
      </c>
      <c r="CE87" s="1392">
        <f t="shared" ref="CE87" si="199">+CD87+1</f>
        <v>2079</v>
      </c>
      <c r="CF87" s="1392">
        <f t="shared" ref="CF87" si="200">+CE87+1</f>
        <v>2080</v>
      </c>
      <c r="CG87" s="1392">
        <f t="shared" ref="CG87" si="201">+CF87+1</f>
        <v>2081</v>
      </c>
      <c r="CH87" s="1392">
        <f t="shared" ref="CH87" si="202">+CG87+1</f>
        <v>2082</v>
      </c>
      <c r="CI87" s="1392">
        <f t="shared" ref="CI87" si="203">+CH87+1</f>
        <v>2083</v>
      </c>
      <c r="CJ87" s="1392">
        <f t="shared" ref="CJ87" si="204">+CI87+1</f>
        <v>2084</v>
      </c>
      <c r="CK87" s="1392">
        <f t="shared" ref="CK87" si="205">+CJ87+1</f>
        <v>2085</v>
      </c>
      <c r="CL87" s="1392">
        <f t="shared" ref="CL87" si="206">+CK87+1</f>
        <v>2086</v>
      </c>
      <c r="CM87" s="1392">
        <f t="shared" ref="CM87" si="207">+CL87+1</f>
        <v>2087</v>
      </c>
      <c r="CN87" s="1392">
        <f t="shared" ref="CN87" si="208">+CM87+1</f>
        <v>2088</v>
      </c>
      <c r="CO87" s="1392">
        <f t="shared" ref="CO87" si="209">+CN87+1</f>
        <v>2089</v>
      </c>
      <c r="CP87" s="1392">
        <f t="shared" ref="CP87" si="210">+CO87+1</f>
        <v>2090</v>
      </c>
      <c r="CQ87" s="1392">
        <f t="shared" ref="CQ87" si="211">+CP87+1</f>
        <v>2091</v>
      </c>
      <c r="CR87" s="1392">
        <f t="shared" ref="CR87" si="212">+CQ87+1</f>
        <v>2092</v>
      </c>
      <c r="CS87" s="1392">
        <f t="shared" ref="CS87" si="213">+CR87+1</f>
        <v>2093</v>
      </c>
      <c r="CT87" s="1392">
        <f t="shared" ref="CT87" si="214">+CS87+1</f>
        <v>2094</v>
      </c>
      <c r="CU87" s="1392">
        <f t="shared" ref="CU87" si="215">+CT87+1</f>
        <v>2095</v>
      </c>
      <c r="CV87" s="1392">
        <f t="shared" ref="CV87" si="216">+CU87+1</f>
        <v>2096</v>
      </c>
      <c r="CW87" s="1392">
        <f t="shared" ref="CW87" si="217">+CV87+1</f>
        <v>2097</v>
      </c>
      <c r="CX87" s="1392">
        <f t="shared" ref="CX87" si="218">+CW87+1</f>
        <v>2098</v>
      </c>
      <c r="CY87" s="1392">
        <f t="shared" ref="CY87" si="219">+CX87+1</f>
        <v>2099</v>
      </c>
      <c r="CZ87" s="1392">
        <f t="shared" ref="CZ87" si="220">+CY87+1</f>
        <v>2100</v>
      </c>
    </row>
    <row r="88" spans="1:104" ht="13" thickBot="1" x14ac:dyDescent="0.3">
      <c r="A88" s="867" t="s">
        <v>1089</v>
      </c>
      <c r="B88" s="868"/>
      <c r="C88" s="868"/>
      <c r="D88" s="1251"/>
      <c r="E88" s="868"/>
      <c r="F88" s="868"/>
      <c r="G88" s="868"/>
      <c r="H88" s="954"/>
      <c r="I88" s="954"/>
      <c r="J88" s="954"/>
      <c r="K88" s="954"/>
      <c r="L88" s="954"/>
      <c r="M88" s="954"/>
      <c r="N88" s="954"/>
      <c r="O88" s="954"/>
      <c r="P88" s="954"/>
      <c r="Q88" s="954"/>
      <c r="R88" s="954"/>
      <c r="S88" s="954"/>
      <c r="T88" s="954"/>
      <c r="U88" s="954"/>
      <c r="V88" s="954"/>
      <c r="W88" s="954"/>
      <c r="X88" s="954"/>
      <c r="Y88" s="954"/>
      <c r="Z88" s="954"/>
      <c r="AA88" s="954"/>
      <c r="AB88" s="954"/>
      <c r="AC88" s="954"/>
      <c r="AD88" s="954"/>
      <c r="AE88" s="954"/>
      <c r="AF88" s="954"/>
      <c r="AG88" s="954"/>
      <c r="AH88" s="954"/>
      <c r="AI88" s="954"/>
      <c r="AJ88" s="954"/>
      <c r="AK88" s="954"/>
      <c r="AL88" s="954"/>
      <c r="AM88" s="954"/>
      <c r="AN88" s="954"/>
      <c r="AO88" s="954"/>
      <c r="AP88" s="954"/>
      <c r="AQ88" s="954"/>
      <c r="AR88" s="954"/>
      <c r="AS88" s="954"/>
      <c r="AT88" s="954"/>
      <c r="AU88" s="954"/>
      <c r="AV88" s="954"/>
      <c r="AW88" s="954"/>
      <c r="AX88" s="954"/>
      <c r="AY88" s="954"/>
      <c r="AZ88" s="954"/>
      <c r="BA88" s="954"/>
      <c r="BC88" s="954"/>
      <c r="BD88" s="954"/>
      <c r="BE88" s="954"/>
      <c r="BF88" s="954"/>
      <c r="BG88" s="954"/>
      <c r="BH88" s="954"/>
      <c r="BI88" s="954"/>
      <c r="BJ88" s="954"/>
      <c r="BK88" s="954"/>
      <c r="BL88" s="954"/>
      <c r="BM88" s="954"/>
      <c r="BN88" s="954"/>
      <c r="BO88" s="954"/>
      <c r="BP88" s="954"/>
      <c r="BR88" s="954"/>
      <c r="BS88" s="954"/>
      <c r="BT88" s="954"/>
      <c r="BU88" s="954"/>
    </row>
    <row r="89" spans="1:104" ht="13" x14ac:dyDescent="0.3">
      <c r="A89" s="870" t="str">
        <f>'HyARC Physical Property Data'!A73</f>
        <v>Residential Natural Gas</v>
      </c>
      <c r="B89" s="260">
        <v>2012</v>
      </c>
      <c r="C89" s="871">
        <f t="shared" ref="C89:C100" si="221">VLOOKUP(ref_year,DeflatorTable,2,FALSE)/VLOOKUP(B89,DeflatorTable,2,FALSE)</f>
        <v>1.0589185747008452</v>
      </c>
      <c r="D89" s="1252" t="str">
        <f>'HyARC Physical Property Data'!H73</f>
        <v>mmBtu</v>
      </c>
      <c r="E89" s="871" t="s">
        <v>1057</v>
      </c>
      <c r="F89" s="260">
        <f>'HyARC Physical Property Data'!$E$6</f>
        <v>47.141269049911173</v>
      </c>
      <c r="G89" s="260">
        <f>'HyARC Physical Property Data'!$I$6</f>
        <v>52.224661236371581</v>
      </c>
      <c r="H89" s="1062">
        <v>12.595706345448797</v>
      </c>
      <c r="I89" s="1062">
        <v>12.595706345448797</v>
      </c>
      <c r="J89" s="1062">
        <v>12.595706345448797</v>
      </c>
      <c r="K89" s="1062">
        <v>12.595706345448797</v>
      </c>
      <c r="L89" s="1062">
        <v>13.121338604068761</v>
      </c>
      <c r="M89" s="1062">
        <v>11.086947084595193</v>
      </c>
      <c r="N89" s="1062">
        <v>10.600250548835966</v>
      </c>
      <c r="O89" s="954">
        <f t="shared" ref="O89:AR89" si="222">O106*($C89/mmBTU_to_GJ*$G89/$F89)</f>
        <v>12.2087929242581</v>
      </c>
      <c r="P89" s="954">
        <f t="shared" si="222"/>
        <v>11.62926676611875</v>
      </c>
      <c r="Q89" s="954">
        <f t="shared" si="222"/>
        <v>11.549569006878718</v>
      </c>
      <c r="R89" s="954">
        <f t="shared" si="222"/>
        <v>12.451077492669647</v>
      </c>
      <c r="S89" s="954">
        <f t="shared" si="222"/>
        <v>12.228661210695314</v>
      </c>
      <c r="T89" s="954">
        <f t="shared" si="222"/>
        <v>11.880721569489316</v>
      </c>
      <c r="U89" s="954">
        <f t="shared" si="222"/>
        <v>12.243181027367417</v>
      </c>
      <c r="V89" s="954">
        <f t="shared" si="222"/>
        <v>12.738447103720736</v>
      </c>
      <c r="W89" s="954">
        <f t="shared" si="222"/>
        <v>12.928721417497503</v>
      </c>
      <c r="X89" s="954">
        <f t="shared" si="222"/>
        <v>12.889662020940529</v>
      </c>
      <c r="Y89" s="954">
        <f t="shared" si="222"/>
        <v>13.126157788188424</v>
      </c>
      <c r="Z89" s="954">
        <f t="shared" si="222"/>
        <v>13.227924378910403</v>
      </c>
      <c r="AA89" s="954">
        <f t="shared" si="222"/>
        <v>13.406700038666168</v>
      </c>
      <c r="AB89" s="954">
        <f t="shared" si="222"/>
        <v>13.682684414389822</v>
      </c>
      <c r="AC89" s="954">
        <f t="shared" si="222"/>
        <v>13.872072505629625</v>
      </c>
      <c r="AD89" s="954">
        <f t="shared" si="222"/>
        <v>13.98822325537062</v>
      </c>
      <c r="AE89" s="954">
        <f t="shared" si="222"/>
        <v>14.139968571775018</v>
      </c>
      <c r="AF89" s="954">
        <f t="shared" si="222"/>
        <v>14.341810480347306</v>
      </c>
      <c r="AG89" s="954">
        <f t="shared" si="222"/>
        <v>14.660154514221039</v>
      </c>
      <c r="AH89" s="954">
        <f t="shared" si="222"/>
        <v>15.014507871353267</v>
      </c>
      <c r="AI89" s="954">
        <f t="shared" si="222"/>
        <v>15.178056515524123</v>
      </c>
      <c r="AJ89" s="954">
        <f t="shared" si="222"/>
        <v>15.247180761459282</v>
      </c>
      <c r="AK89" s="954">
        <f t="shared" si="222"/>
        <v>15.504403238981952</v>
      </c>
      <c r="AL89" s="954">
        <f t="shared" si="222"/>
        <v>15.944730189731404</v>
      </c>
      <c r="AM89" s="954">
        <f t="shared" si="222"/>
        <v>16.240765211360355</v>
      </c>
      <c r="AN89" s="954">
        <f t="shared" si="222"/>
        <v>16.673418609126639</v>
      </c>
      <c r="AO89" s="954">
        <f t="shared" si="222"/>
        <v>16.84862158003515</v>
      </c>
      <c r="AP89" s="954">
        <f t="shared" si="222"/>
        <v>16.990523932954982</v>
      </c>
      <c r="AQ89" s="954">
        <f t="shared" si="222"/>
        <v>17.36681602365595</v>
      </c>
      <c r="AR89" s="954">
        <f t="shared" si="222"/>
        <v>17.766490156398653</v>
      </c>
      <c r="AS89" s="954">
        <f>($BB89-$AR89)/10+AR89</f>
        <v>17.817297159388684</v>
      </c>
      <c r="AT89" s="954">
        <f t="shared" ref="AT89:BA89" si="223">($BB89-$AR89)/10+AS89</f>
        <v>17.868104162378714</v>
      </c>
      <c r="AU89" s="954">
        <f t="shared" si="223"/>
        <v>17.918911165368744</v>
      </c>
      <c r="AV89" s="954">
        <f t="shared" si="223"/>
        <v>17.969718168358774</v>
      </c>
      <c r="AW89" s="954">
        <f t="shared" si="223"/>
        <v>18.020525171348805</v>
      </c>
      <c r="AX89" s="954">
        <f t="shared" si="223"/>
        <v>18.071332174338835</v>
      </c>
      <c r="AY89" s="954">
        <f t="shared" si="223"/>
        <v>18.122139177328865</v>
      </c>
      <c r="AZ89" s="954">
        <f t="shared" si="223"/>
        <v>18.172946180318895</v>
      </c>
      <c r="BA89" s="954">
        <f t="shared" si="223"/>
        <v>18.223753183308926</v>
      </c>
      <c r="BB89" s="956">
        <f>'AEO Data'!$B$30*AM89</f>
        <v>18.274560186298949</v>
      </c>
      <c r="BC89" s="954">
        <f t="shared" ref="BC89:BP92" si="224">($BQ89-$BB89)/15+BB89</f>
        <v>18.423467349139123</v>
      </c>
      <c r="BD89" s="954">
        <f t="shared" si="224"/>
        <v>18.572374511979298</v>
      </c>
      <c r="BE89" s="954">
        <f t="shared" si="224"/>
        <v>18.721281674819473</v>
      </c>
      <c r="BF89" s="954">
        <f t="shared" si="224"/>
        <v>18.870188837659647</v>
      </c>
      <c r="BG89" s="954">
        <f t="shared" si="224"/>
        <v>19.019096000499822</v>
      </c>
      <c r="BH89" s="954">
        <f t="shared" si="224"/>
        <v>19.168003163339996</v>
      </c>
      <c r="BI89" s="954">
        <f t="shared" si="224"/>
        <v>19.316910326180171</v>
      </c>
      <c r="BJ89" s="954">
        <f t="shared" si="224"/>
        <v>19.465817489020345</v>
      </c>
      <c r="BK89" s="954">
        <f t="shared" si="224"/>
        <v>19.61472465186052</v>
      </c>
      <c r="BL89" s="954">
        <f t="shared" si="224"/>
        <v>19.763631814700695</v>
      </c>
      <c r="BM89" s="954">
        <f t="shared" si="224"/>
        <v>19.912538977540869</v>
      </c>
      <c r="BN89" s="954">
        <f t="shared" si="224"/>
        <v>20.061446140381044</v>
      </c>
      <c r="BO89" s="954">
        <f t="shared" si="224"/>
        <v>20.210353303221218</v>
      </c>
      <c r="BP89" s="954">
        <f t="shared" si="224"/>
        <v>20.359260466061393</v>
      </c>
      <c r="BQ89" s="956">
        <f>'AEO Data'!$C$30*BB89</f>
        <v>20.508167628901592</v>
      </c>
      <c r="BR89" s="954">
        <f t="shared" ref="BR89:BU92" si="225">($BV89-$BQ89)/5+BQ89</f>
        <v>20.62538963666017</v>
      </c>
      <c r="BS89" s="954">
        <f t="shared" si="225"/>
        <v>20.742611644418748</v>
      </c>
      <c r="BT89" s="954">
        <f t="shared" si="225"/>
        <v>20.859833652177326</v>
      </c>
      <c r="BU89" s="954">
        <f t="shared" si="225"/>
        <v>20.977055659935903</v>
      </c>
      <c r="BV89" s="957">
        <f>'AEO Data'!$D$30*BQ89</f>
        <v>21.094277667694488</v>
      </c>
      <c r="BW89" s="1391">
        <f>+BV89*BW$133/BV$133</f>
        <v>21.164316872120814</v>
      </c>
      <c r="BX89" s="1391">
        <f t="shared" ref="BX89:CZ89" si="226">+BW89*BX$133/BW$133</f>
        <v>21.234588627300191</v>
      </c>
      <c r="BY89" s="1391">
        <f t="shared" si="226"/>
        <v>21.305093705369501</v>
      </c>
      <c r="BZ89" s="1391">
        <f t="shared" si="226"/>
        <v>21.375832881029339</v>
      </c>
      <c r="CA89" s="1391">
        <f t="shared" si="226"/>
        <v>21.446806931552544</v>
      </c>
      <c r="CB89" s="1391">
        <f t="shared" si="226"/>
        <v>21.492572878539132</v>
      </c>
      <c r="CC89" s="1391">
        <f t="shared" si="226"/>
        <v>21.538436486772465</v>
      </c>
      <c r="CD89" s="1391">
        <f t="shared" si="226"/>
        <v>21.584397964654634</v>
      </c>
      <c r="CE89" s="1391">
        <f t="shared" si="226"/>
        <v>21.630457521032444</v>
      </c>
      <c r="CF89" s="1391">
        <f t="shared" si="226"/>
        <v>21.676615365198366</v>
      </c>
      <c r="CG89" s="1391">
        <f t="shared" si="226"/>
        <v>21.691602524401322</v>
      </c>
      <c r="CH89" s="1391">
        <f t="shared" si="226"/>
        <v>21.706600045689747</v>
      </c>
      <c r="CI89" s="1391">
        <f t="shared" si="226"/>
        <v>21.721607936227954</v>
      </c>
      <c r="CJ89" s="1391">
        <f t="shared" si="226"/>
        <v>21.736626203185217</v>
      </c>
      <c r="CK89" s="1391">
        <f t="shared" si="226"/>
        <v>21.751654853735772</v>
      </c>
      <c r="CL89" s="1391">
        <f t="shared" si="226"/>
        <v>21.756748899145897</v>
      </c>
      <c r="CM89" s="1391">
        <f t="shared" si="226"/>
        <v>21.76184413753646</v>
      </c>
      <c r="CN89" s="1391">
        <f t="shared" si="226"/>
        <v>21.766940569186843</v>
      </c>
      <c r="CO89" s="1391">
        <f t="shared" si="226"/>
        <v>21.772038194376496</v>
      </c>
      <c r="CP89" s="1391">
        <f t="shared" si="226"/>
        <v>21.777137013384934</v>
      </c>
      <c r="CQ89" s="1391">
        <f t="shared" si="226"/>
        <v>21.784864763140046</v>
      </c>
      <c r="CR89" s="1391">
        <f t="shared" si="226"/>
        <v>21.792595255134241</v>
      </c>
      <c r="CS89" s="1391">
        <f t="shared" si="226"/>
        <v>21.800328490340622</v>
      </c>
      <c r="CT89" s="1391">
        <f t="shared" si="226"/>
        <v>21.808064469732635</v>
      </c>
      <c r="CU89" s="1391">
        <f t="shared" si="226"/>
        <v>21.815803194284069</v>
      </c>
      <c r="CV89" s="1391">
        <f t="shared" si="226"/>
        <v>21.827713124132313</v>
      </c>
      <c r="CW89" s="1391">
        <f t="shared" si="226"/>
        <v>21.839629555984068</v>
      </c>
      <c r="CX89" s="1391">
        <f t="shared" si="226"/>
        <v>21.851552493388983</v>
      </c>
      <c r="CY89" s="1391">
        <f t="shared" si="226"/>
        <v>21.863481939898644</v>
      </c>
      <c r="CZ89" s="1391">
        <f t="shared" si="226"/>
        <v>21.875417899066573</v>
      </c>
    </row>
    <row r="90" spans="1:104" ht="13" x14ac:dyDescent="0.3">
      <c r="A90" s="870" t="str">
        <f>'HyARC Physical Property Data'!A71</f>
        <v>Commercial Natural Gas</v>
      </c>
      <c r="B90" s="260">
        <v>2012</v>
      </c>
      <c r="C90" s="871">
        <f t="shared" si="221"/>
        <v>1.0589185747008452</v>
      </c>
      <c r="D90" s="1252" t="str">
        <f>'HyARC Physical Property Data'!H71</f>
        <v>mmBtu</v>
      </c>
      <c r="E90" s="871" t="s">
        <v>1057</v>
      </c>
      <c r="F90" s="260">
        <f>'HyARC Physical Property Data'!$E$6</f>
        <v>47.141269049911173</v>
      </c>
      <c r="G90" s="260">
        <f>'HyARC Physical Property Data'!$I$6</f>
        <v>52.224661236371581</v>
      </c>
      <c r="H90" s="1063">
        <v>10.902002401006685</v>
      </c>
      <c r="I90" s="1063">
        <v>10.902002401006685</v>
      </c>
      <c r="J90" s="1063">
        <v>10.902002401006685</v>
      </c>
      <c r="K90" s="1063">
        <v>10.902002401006685</v>
      </c>
      <c r="L90" s="1063">
        <v>11.622313273930342</v>
      </c>
      <c r="M90" s="1063">
        <v>8.8092072972420112</v>
      </c>
      <c r="N90" s="1063">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4">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4">
        <f>'AEO Data'!$C$30*BB90</f>
        <v>16.784073860837033</v>
      </c>
      <c r="BR90" s="260">
        <f t="shared" si="225"/>
        <v>16.880009434991543</v>
      </c>
      <c r="BS90" s="260">
        <f t="shared" si="225"/>
        <v>16.975945009146052</v>
      </c>
      <c r="BT90" s="260">
        <f t="shared" si="225"/>
        <v>17.071880583300562</v>
      </c>
      <c r="BU90" s="260">
        <f t="shared" si="225"/>
        <v>17.167816157455071</v>
      </c>
      <c r="BV90" s="958">
        <f>'AEO Data'!$D$30*BQ90</f>
        <v>17.263751731609581</v>
      </c>
      <c r="BW90" s="1391">
        <f>+BV90*BW$134/BV$134</f>
        <v>17.321072463598775</v>
      </c>
      <c r="BX90" s="1391">
        <f t="shared" ref="BX90:CZ90" si="229">+BW90*BX$134/BW$134</f>
        <v>17.378583517272784</v>
      </c>
      <c r="BY90" s="1391">
        <f t="shared" si="229"/>
        <v>17.436285524555561</v>
      </c>
      <c r="BZ90" s="1391">
        <f t="shared" si="229"/>
        <v>17.494179119469241</v>
      </c>
      <c r="CA90" s="1391">
        <f t="shared" si="229"/>
        <v>17.552264938141089</v>
      </c>
      <c r="CB90" s="1391">
        <f t="shared" si="229"/>
        <v>17.589720211982893</v>
      </c>
      <c r="CC90" s="1391">
        <f t="shared" si="229"/>
        <v>17.627255412691312</v>
      </c>
      <c r="CD90" s="1391">
        <f t="shared" si="229"/>
        <v>17.664870710824552</v>
      </c>
      <c r="CE90" s="1391">
        <f t="shared" si="229"/>
        <v>17.702566277304761</v>
      </c>
      <c r="CF90" s="1391">
        <f t="shared" si="229"/>
        <v>17.740342283418837</v>
      </c>
      <c r="CG90" s="1391">
        <f t="shared" si="229"/>
        <v>17.752607912975723</v>
      </c>
      <c r="CH90" s="1391">
        <f t="shared" si="229"/>
        <v>17.764882022959085</v>
      </c>
      <c r="CI90" s="1391">
        <f t="shared" si="229"/>
        <v>17.77716461923227</v>
      </c>
      <c r="CJ90" s="1391">
        <f t="shared" si="229"/>
        <v>17.789455707662682</v>
      </c>
      <c r="CK90" s="1391">
        <f t="shared" si="229"/>
        <v>17.801755294121772</v>
      </c>
      <c r="CL90" s="1391">
        <f t="shared" si="229"/>
        <v>17.805924307948906</v>
      </c>
      <c r="CM90" s="1391">
        <f t="shared" si="229"/>
        <v>17.810094298122248</v>
      </c>
      <c r="CN90" s="1391">
        <f t="shared" si="229"/>
        <v>17.81426526487045</v>
      </c>
      <c r="CO90" s="1391">
        <f t="shared" si="229"/>
        <v>17.818437208422218</v>
      </c>
      <c r="CP90" s="1391">
        <f t="shared" si="229"/>
        <v>17.822610129006311</v>
      </c>
      <c r="CQ90" s="1391">
        <f t="shared" si="229"/>
        <v>17.828934590801964</v>
      </c>
      <c r="CR90" s="1391">
        <f t="shared" si="229"/>
        <v>17.835261296871419</v>
      </c>
      <c r="CS90" s="1391">
        <f t="shared" si="229"/>
        <v>17.84159024801107</v>
      </c>
      <c r="CT90" s="1391">
        <f t="shared" si="229"/>
        <v>17.847921445017597</v>
      </c>
      <c r="CU90" s="1391">
        <f t="shared" si="229"/>
        <v>17.854254888687954</v>
      </c>
      <c r="CV90" s="1391">
        <f t="shared" si="229"/>
        <v>17.864002085310659</v>
      </c>
      <c r="CW90" s="1391">
        <f t="shared" si="229"/>
        <v>17.873754603233113</v>
      </c>
      <c r="CX90" s="1391">
        <f t="shared" si="229"/>
        <v>17.883512445360374</v>
      </c>
      <c r="CY90" s="1391">
        <f t="shared" si="229"/>
        <v>17.893275614599098</v>
      </c>
      <c r="CZ90" s="1391">
        <f t="shared" si="229"/>
        <v>17.903044113857518</v>
      </c>
    </row>
    <row r="91" spans="1:104" ht="13" x14ac:dyDescent="0.3">
      <c r="A91" s="870" t="str">
        <f>'HyARC Physical Property Data'!A72</f>
        <v>Industrial Natural Gas</v>
      </c>
      <c r="B91" s="260">
        <v>2012</v>
      </c>
      <c r="C91" s="871">
        <f t="shared" si="221"/>
        <v>1.0589185747008452</v>
      </c>
      <c r="D91" s="1252" t="str">
        <f>'HyARC Physical Property Data'!H72</f>
        <v>mmBtu</v>
      </c>
      <c r="E91" s="871" t="s">
        <v>1057</v>
      </c>
      <c r="F91" s="260">
        <f>'HyARC Physical Property Data'!$E$6</f>
        <v>47.141269049911173</v>
      </c>
      <c r="G91" s="260">
        <f>'HyARC Physical Property Data'!$I$6</f>
        <v>52.224661236371581</v>
      </c>
      <c r="H91" s="1063">
        <v>7.3783194821098821</v>
      </c>
      <c r="I91" s="1063">
        <v>7.3783194821098821</v>
      </c>
      <c r="J91" s="1063">
        <v>7.3783194821098821</v>
      </c>
      <c r="K91" s="1063">
        <v>7.3783194821098821</v>
      </c>
      <c r="L91" s="1063">
        <v>8.8676108815331158</v>
      </c>
      <c r="M91" s="1063">
        <v>4.0882509003775072</v>
      </c>
      <c r="N91" s="1063">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4">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4">
        <f>'AEO Data'!$C$30*BB91</f>
        <v>10.892608287193402</v>
      </c>
      <c r="BR91" s="260">
        <f t="shared" si="225"/>
        <v>10.954869013566299</v>
      </c>
      <c r="BS91" s="260">
        <f t="shared" si="225"/>
        <v>11.017129739939195</v>
      </c>
      <c r="BT91" s="260">
        <f t="shared" si="225"/>
        <v>11.079390466312091</v>
      </c>
      <c r="BU91" s="260">
        <f t="shared" si="225"/>
        <v>11.141651192684987</v>
      </c>
      <c r="BV91" s="958">
        <f>'AEO Data'!$D$30*BQ91</f>
        <v>11.203911919057887</v>
      </c>
      <c r="BW91" s="1391">
        <f>+BV91*BW$135/BV$135</f>
        <v>11.241112201031763</v>
      </c>
      <c r="BX91" s="1391">
        <f t="shared" ref="BX91:CZ91" si="232">+BW91*BX$135/BW$135</f>
        <v>11.278435998880177</v>
      </c>
      <c r="BY91" s="1391">
        <f t="shared" si="232"/>
        <v>11.315883722712151</v>
      </c>
      <c r="BZ91" s="1391">
        <f t="shared" si="232"/>
        <v>11.35345578399839</v>
      </c>
      <c r="CA91" s="1391">
        <f t="shared" si="232"/>
        <v>11.391152595575804</v>
      </c>
      <c r="CB91" s="1391">
        <f t="shared" si="232"/>
        <v>11.415460497794959</v>
      </c>
      <c r="CC91" s="1391">
        <f t="shared" si="232"/>
        <v>11.439820271333133</v>
      </c>
      <c r="CD91" s="1391">
        <f t="shared" si="232"/>
        <v>11.464232026880003</v>
      </c>
      <c r="CE91" s="1391">
        <f t="shared" si="232"/>
        <v>11.488695875361442</v>
      </c>
      <c r="CF91" s="1391">
        <f t="shared" si="232"/>
        <v>11.513211927940032</v>
      </c>
      <c r="CG91" s="1391">
        <f t="shared" si="232"/>
        <v>11.521172134697148</v>
      </c>
      <c r="CH91" s="1391">
        <f t="shared" si="232"/>
        <v>11.529137845121877</v>
      </c>
      <c r="CI91" s="1391">
        <f t="shared" si="232"/>
        <v>11.537109063019443</v>
      </c>
      <c r="CJ91" s="1391">
        <f t="shared" si="232"/>
        <v>11.545085792197696</v>
      </c>
      <c r="CK91" s="1391">
        <f t="shared" si="232"/>
        <v>11.553068036467128</v>
      </c>
      <c r="CL91" s="1391">
        <f t="shared" si="232"/>
        <v>11.55577366294014</v>
      </c>
      <c r="CM91" s="1391">
        <f t="shared" si="232"/>
        <v>11.558479923046971</v>
      </c>
      <c r="CN91" s="1391">
        <f t="shared" si="232"/>
        <v>11.56118681693601</v>
      </c>
      <c r="CO91" s="1391">
        <f t="shared" si="232"/>
        <v>11.563894344755685</v>
      </c>
      <c r="CP91" s="1391">
        <f t="shared" si="232"/>
        <v>11.566602506654455</v>
      </c>
      <c r="CQ91" s="1391">
        <f t="shared" si="232"/>
        <v>11.570706986028089</v>
      </c>
      <c r="CR91" s="1391">
        <f t="shared" si="232"/>
        <v>11.574812921901238</v>
      </c>
      <c r="CS91" s="1391">
        <f t="shared" si="232"/>
        <v>11.578920314790748</v>
      </c>
      <c r="CT91" s="1391">
        <f t="shared" si="232"/>
        <v>11.583029165213651</v>
      </c>
      <c r="CU91" s="1391">
        <f t="shared" si="232"/>
        <v>11.587139473687161</v>
      </c>
      <c r="CV91" s="1391">
        <f t="shared" si="232"/>
        <v>11.593465255829788</v>
      </c>
      <c r="CW91" s="1391">
        <f t="shared" si="232"/>
        <v>11.599794491414899</v>
      </c>
      <c r="CX91" s="1391">
        <f t="shared" si="232"/>
        <v>11.606127182327835</v>
      </c>
      <c r="CY91" s="1391">
        <f t="shared" si="232"/>
        <v>11.612463330454966</v>
      </c>
      <c r="CZ91" s="1391">
        <f t="shared" si="232"/>
        <v>11.618802937683697</v>
      </c>
    </row>
    <row r="92" spans="1:104" ht="13" x14ac:dyDescent="0.3">
      <c r="A92" s="870" t="str">
        <f>'HyARC Physical Property Data'!A74</f>
        <v>Electric Utility Natural Gas</v>
      </c>
      <c r="B92" s="260">
        <v>2012</v>
      </c>
      <c r="C92" s="871">
        <f t="shared" si="221"/>
        <v>1.0589185747008452</v>
      </c>
      <c r="D92" s="1252" t="str">
        <f>'HyARC Physical Property Data'!H74</f>
        <v>mmBtu</v>
      </c>
      <c r="E92" s="871" t="s">
        <v>1057</v>
      </c>
      <c r="F92" s="260">
        <f>'HyARC Physical Property Data'!$E$6</f>
        <v>47.141269049911173</v>
      </c>
      <c r="G92" s="260">
        <f>'HyARC Physical Property Data'!$I$6</f>
        <v>52.224661236371581</v>
      </c>
      <c r="H92" s="1063">
        <v>7.0668336992239764</v>
      </c>
      <c r="I92" s="1063">
        <v>7.0668336992239764</v>
      </c>
      <c r="J92" s="1063">
        <v>7.0668336992239764</v>
      </c>
      <c r="K92" s="1063">
        <v>7.0668336992239764</v>
      </c>
      <c r="L92" s="1063">
        <v>8.8481430201027482</v>
      </c>
      <c r="M92" s="1063">
        <v>4.0298473160863999</v>
      </c>
      <c r="N92" s="1063">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4">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4">
        <f>'AEO Data'!$C$30*BB92</f>
        <v>10.231578547272965</v>
      </c>
      <c r="BR92" s="260">
        <f t="shared" si="225"/>
        <v>10.2900609139843</v>
      </c>
      <c r="BS92" s="260">
        <f t="shared" si="225"/>
        <v>10.348543280695635</v>
      </c>
      <c r="BT92" s="260">
        <f t="shared" si="225"/>
        <v>10.40702564740697</v>
      </c>
      <c r="BU92" s="260">
        <f t="shared" si="225"/>
        <v>10.465508014118305</v>
      </c>
      <c r="BV92" s="958">
        <f>'AEO Data'!$D$30*BQ92</f>
        <v>10.523990380829638</v>
      </c>
      <c r="BW92" s="1391">
        <f>+BV92*BW$136/BV$136</f>
        <v>10.558933123372203</v>
      </c>
      <c r="BX92" s="1391">
        <f t="shared" ref="BX92:CZ92" si="235">+BW92*BX$136/BW$136</f>
        <v>10.593991886094585</v>
      </c>
      <c r="BY92" s="1391">
        <f t="shared" si="235"/>
        <v>10.6291670542179</v>
      </c>
      <c r="BZ92" s="1391">
        <f t="shared" si="235"/>
        <v>10.664459014242302</v>
      </c>
      <c r="CA92" s="1391">
        <f t="shared" si="235"/>
        <v>10.699868153951249</v>
      </c>
      <c r="CB92" s="1391">
        <f t="shared" si="235"/>
        <v>10.722700904777984</v>
      </c>
      <c r="CC92" s="1391">
        <f t="shared" si="235"/>
        <v>10.745582379056525</v>
      </c>
      <c r="CD92" s="1391">
        <f t="shared" si="235"/>
        <v>10.768512680759219</v>
      </c>
      <c r="CE92" s="1391">
        <f t="shared" si="235"/>
        <v>10.791491914080288</v>
      </c>
      <c r="CF92" s="1391">
        <f t="shared" si="235"/>
        <v>10.814520183436294</v>
      </c>
      <c r="CG92" s="1391">
        <f t="shared" si="235"/>
        <v>10.82199731641864</v>
      </c>
      <c r="CH92" s="1391">
        <f t="shared" si="235"/>
        <v>10.829479619072567</v>
      </c>
      <c r="CI92" s="1391">
        <f t="shared" si="235"/>
        <v>10.836967094972369</v>
      </c>
      <c r="CJ92" s="1391">
        <f t="shared" si="235"/>
        <v>10.84445974769482</v>
      </c>
      <c r="CK92" s="1391">
        <f t="shared" si="235"/>
        <v>10.851957580819162</v>
      </c>
      <c r="CL92" s="1391">
        <f t="shared" si="235"/>
        <v>10.854499013417151</v>
      </c>
      <c r="CM92" s="1391">
        <f t="shared" si="235"/>
        <v>10.857041041196203</v>
      </c>
      <c r="CN92" s="1391">
        <f t="shared" si="235"/>
        <v>10.859583664295704</v>
      </c>
      <c r="CO92" s="1391">
        <f t="shared" si="235"/>
        <v>10.862126882855071</v>
      </c>
      <c r="CP92" s="1391">
        <f t="shared" si="235"/>
        <v>10.864670697013759</v>
      </c>
      <c r="CQ92" s="1391">
        <f t="shared" si="235"/>
        <v>10.868526091607942</v>
      </c>
      <c r="CR92" s="1391">
        <f t="shared" si="235"/>
        <v>10.872382854312388</v>
      </c>
      <c r="CS92" s="1391">
        <f t="shared" si="235"/>
        <v>10.876240985612579</v>
      </c>
      <c r="CT92" s="1391">
        <f t="shared" si="235"/>
        <v>10.88010048599417</v>
      </c>
      <c r="CU92" s="1391">
        <f t="shared" si="235"/>
        <v>10.883961355942985</v>
      </c>
      <c r="CV92" s="1391">
        <f t="shared" si="235"/>
        <v>10.889903251140053</v>
      </c>
      <c r="CW92" s="1391">
        <f t="shared" si="235"/>
        <v>10.895848390203703</v>
      </c>
      <c r="CX92" s="1391">
        <f t="shared" si="235"/>
        <v>10.901796774904867</v>
      </c>
      <c r="CY92" s="1391">
        <f t="shared" si="235"/>
        <v>10.907748407015436</v>
      </c>
      <c r="CZ92" s="1391">
        <f t="shared" si="235"/>
        <v>10.913703288308273</v>
      </c>
    </row>
    <row r="93" spans="1:104" ht="13" x14ac:dyDescent="0.3">
      <c r="A93" s="870" t="str">
        <f>'HyARC Physical Property Data'!A75</f>
        <v>Bio Methane</v>
      </c>
      <c r="B93" s="260">
        <v>2007</v>
      </c>
      <c r="C93" s="871">
        <f t="shared" si="221"/>
        <v>1.1446359956438654</v>
      </c>
      <c r="D93" s="1252" t="str">
        <f>'HyARC Physical Property Data'!H75</f>
        <v>mmBtu</v>
      </c>
      <c r="E93" s="871" t="s">
        <v>1057</v>
      </c>
      <c r="F93" s="260">
        <f>'HyARC Physical Property Data'!$E$6</f>
        <v>47.141269049911173</v>
      </c>
      <c r="G93" s="260">
        <f>'HyARC Physical Property Data'!$I$6</f>
        <v>52.224661236371581</v>
      </c>
      <c r="H93" s="1063">
        <v>12.42654028436019</v>
      </c>
      <c r="I93" s="1063">
        <v>12.42654028436019</v>
      </c>
      <c r="J93" s="1063">
        <v>12.42654028436019</v>
      </c>
      <c r="K93" s="1063">
        <v>12.42654028436019</v>
      </c>
      <c r="L93" s="1063">
        <v>12.42654028436019</v>
      </c>
      <c r="M93" s="1063">
        <v>12.42654028436019</v>
      </c>
      <c r="N93" s="1063">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3">
        <f t="shared" si="237"/>
        <v>14.223865310797228</v>
      </c>
      <c r="BW93" s="1391">
        <f>+BV93*BW$136/BV$136</f>
        <v>14.271092726019944</v>
      </c>
      <c r="BX93" s="1391">
        <f t="shared" ref="BX93:CZ93" si="238">+BW93*BX$136/BW$136</f>
        <v>14.318476950147966</v>
      </c>
      <c r="BY93" s="1391">
        <f t="shared" si="238"/>
        <v>14.366018503832969</v>
      </c>
      <c r="BZ93" s="1391">
        <f t="shared" si="238"/>
        <v>14.413717909455341</v>
      </c>
      <c r="CA93" s="1391">
        <f t="shared" si="238"/>
        <v>14.461575691129934</v>
      </c>
      <c r="CB93" s="1391">
        <f t="shared" si="238"/>
        <v>14.49243565590395</v>
      </c>
      <c r="CC93" s="1391">
        <f t="shared" si="238"/>
        <v>14.523361473628309</v>
      </c>
      <c r="CD93" s="1391">
        <f t="shared" si="238"/>
        <v>14.554353284828478</v>
      </c>
      <c r="CE93" s="1391">
        <f t="shared" si="238"/>
        <v>14.585411230329802</v>
      </c>
      <c r="CF93" s="1391">
        <f t="shared" si="238"/>
        <v>14.616535451258134</v>
      </c>
      <c r="CG93" s="1391">
        <f t="shared" si="238"/>
        <v>14.626641288360148</v>
      </c>
      <c r="CH93" s="1391">
        <f t="shared" si="238"/>
        <v>14.636754112613382</v>
      </c>
      <c r="CI93" s="1391">
        <f t="shared" si="238"/>
        <v>14.646873928848736</v>
      </c>
      <c r="CJ93" s="1391">
        <f t="shared" si="238"/>
        <v>14.657000741900452</v>
      </c>
      <c r="CK93" s="1391">
        <f t="shared" si="238"/>
        <v>14.667134556606111</v>
      </c>
      <c r="CL93" s="1391">
        <f t="shared" si="238"/>
        <v>14.670569469948116</v>
      </c>
      <c r="CM93" s="1391">
        <f t="shared" si="238"/>
        <v>14.674005187716483</v>
      </c>
      <c r="CN93" s="1391">
        <f t="shared" si="238"/>
        <v>14.6774417100996</v>
      </c>
      <c r="CO93" s="1391">
        <f t="shared" si="238"/>
        <v>14.6808790372859</v>
      </c>
      <c r="CP93" s="1391">
        <f t="shared" si="238"/>
        <v>14.684317169463862</v>
      </c>
      <c r="CQ93" s="1391">
        <f t="shared" si="238"/>
        <v>14.689527988881515</v>
      </c>
      <c r="CR93" s="1391">
        <f t="shared" si="238"/>
        <v>14.69474065739019</v>
      </c>
      <c r="CS93" s="1391">
        <f t="shared" si="238"/>
        <v>14.699955175646044</v>
      </c>
      <c r="CT93" s="1391">
        <f t="shared" si="238"/>
        <v>14.705171544305472</v>
      </c>
      <c r="CU93" s="1391">
        <f t="shared" si="238"/>
        <v>14.710389764025104</v>
      </c>
      <c r="CV93" s="1391">
        <f t="shared" si="238"/>
        <v>14.718420626266095</v>
      </c>
      <c r="CW93" s="1391">
        <f t="shared" si="238"/>
        <v>14.726455872806168</v>
      </c>
      <c r="CX93" s="1391">
        <f t="shared" si="238"/>
        <v>14.734495506038849</v>
      </c>
      <c r="CY93" s="1391">
        <f t="shared" si="238"/>
        <v>14.74253952835897</v>
      </c>
      <c r="CZ93" s="1391">
        <f t="shared" si="238"/>
        <v>14.750587942162673</v>
      </c>
    </row>
    <row r="94" spans="1:104" ht="13" x14ac:dyDescent="0.3">
      <c r="A94" s="959" t="str">
        <f>'HyARC Physical Property Data'!A85</f>
        <v>Woody Biomass</v>
      </c>
      <c r="B94" s="260">
        <v>2005</v>
      </c>
      <c r="C94" s="871">
        <f t="shared" si="221"/>
        <v>1.2112501494873942</v>
      </c>
      <c r="D94" s="1254" t="str">
        <f>+'HyARC Physical Property Data'!$H$85</f>
        <v>kg</v>
      </c>
      <c r="E94" s="871" t="s">
        <v>1057</v>
      </c>
      <c r="F94" s="260">
        <f>'HyARC Physical Property Data'!$E$45</f>
        <v>19.551069237418005</v>
      </c>
      <c r="G94" s="260">
        <f>'HyARC Physical Property Data'!$I$45</f>
        <v>20.588656379262464</v>
      </c>
      <c r="H94" s="1063">
        <v>1.3438238843289665</v>
      </c>
      <c r="I94" s="1063">
        <v>1.3438238843289665</v>
      </c>
      <c r="J94" s="1063">
        <v>1.3438238843289665</v>
      </c>
      <c r="K94" s="1063">
        <v>1.3438238843289665</v>
      </c>
      <c r="L94" s="1063">
        <v>1.3438238843289665</v>
      </c>
      <c r="M94" s="1063">
        <v>1.3438238843289665</v>
      </c>
      <c r="N94" s="1063">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3">
        <f>4.99*($C$94)</f>
        <v>6.0441382459420971</v>
      </c>
      <c r="BW94" s="1391">
        <f>+BV94*BW$137/BV$137</f>
        <v>6.0586659764672328</v>
      </c>
      <c r="BX94" s="1391">
        <f t="shared" ref="BX94:CZ94" si="239">+BW94*BX$137/BW$137</f>
        <v>6.0732286259412112</v>
      </c>
      <c r="BY94" s="1391">
        <f t="shared" si="239"/>
        <v>6.0878262782954495</v>
      </c>
      <c r="BZ94" s="1391">
        <f t="shared" si="239"/>
        <v>6.1024590176630999</v>
      </c>
      <c r="CA94" s="1391">
        <f t="shared" si="239"/>
        <v>6.1171269283795393</v>
      </c>
      <c r="CB94" s="1391">
        <f t="shared" si="239"/>
        <v>6.1299667153690152</v>
      </c>
      <c r="CC94" s="1391">
        <f t="shared" si="239"/>
        <v>6.1428334529403346</v>
      </c>
      <c r="CD94" s="1391">
        <f t="shared" si="239"/>
        <v>6.155727197662495</v>
      </c>
      <c r="CE94" s="1391">
        <f t="shared" si="239"/>
        <v>6.1686480062232301</v>
      </c>
      <c r="CF94" s="1391">
        <f t="shared" si="239"/>
        <v>6.18159593542926</v>
      </c>
      <c r="CG94" s="1391">
        <f t="shared" si="239"/>
        <v>6.197524392005751</v>
      </c>
      <c r="CH94" s="1391">
        <f t="shared" si="239"/>
        <v>6.2134938923080965</v>
      </c>
      <c r="CI94" s="1391">
        <f t="shared" si="239"/>
        <v>6.229504542095909</v>
      </c>
      <c r="CJ94" s="1391">
        <f t="shared" si="239"/>
        <v>6.245556447401321</v>
      </c>
      <c r="CK94" s="1391">
        <f t="shared" si="239"/>
        <v>6.2616497145296828</v>
      </c>
      <c r="CL94" s="1391">
        <f t="shared" si="239"/>
        <v>6.2750522655841658</v>
      </c>
      <c r="CM94" s="1391">
        <f t="shared" si="239"/>
        <v>6.2884835037072264</v>
      </c>
      <c r="CN94" s="1391">
        <f t="shared" si="239"/>
        <v>6.3019434903011975</v>
      </c>
      <c r="CO94" s="1391">
        <f t="shared" si="239"/>
        <v>6.3154322868998385</v>
      </c>
      <c r="CP94" s="1391">
        <f t="shared" si="239"/>
        <v>6.3289499551686168</v>
      </c>
      <c r="CQ94" s="1391">
        <f t="shared" si="239"/>
        <v>6.3413225489579119</v>
      </c>
      <c r="CR94" s="1391">
        <f t="shared" si="239"/>
        <v>6.3537193301840116</v>
      </c>
      <c r="CS94" s="1391">
        <f t="shared" si="239"/>
        <v>6.3661403461314299</v>
      </c>
      <c r="CT94" s="1391">
        <f t="shared" si="239"/>
        <v>6.3785856441771198</v>
      </c>
      <c r="CU94" s="1391">
        <f t="shared" si="239"/>
        <v>6.3910552717906537</v>
      </c>
      <c r="CV94" s="1391">
        <f t="shared" si="239"/>
        <v>6.4057772391562917</v>
      </c>
      <c r="CW94" s="1391">
        <f t="shared" si="239"/>
        <v>6.4205331189689208</v>
      </c>
      <c r="CX94" s="1391">
        <f t="shared" si="239"/>
        <v>6.4353229893467718</v>
      </c>
      <c r="CY94" s="1391">
        <f t="shared" si="239"/>
        <v>6.4501469285880244</v>
      </c>
      <c r="CZ94" s="1391">
        <f t="shared" si="239"/>
        <v>6.4650050151712186</v>
      </c>
    </row>
    <row r="95" spans="1:104" ht="13" x14ac:dyDescent="0.3">
      <c r="A95" s="905" t="str">
        <f>'HyARC Physical Property Data'!A80</f>
        <v>Metallurgical Coal</v>
      </c>
      <c r="B95" s="260">
        <v>2012</v>
      </c>
      <c r="C95" s="871">
        <f t="shared" si="221"/>
        <v>1.0589185747008452</v>
      </c>
      <c r="D95" s="1253" t="str">
        <f>+'HyARC Physical Property Data'!H80</f>
        <v>kg</v>
      </c>
      <c r="E95" s="898" t="s">
        <v>1051</v>
      </c>
      <c r="F95" s="260">
        <f>'HyARC Physical Property Data'!$E$44</f>
        <v>28.610197070281195</v>
      </c>
      <c r="G95" s="260">
        <f>'HyARC Physical Property Data'!$I$44</f>
        <v>29.865267156269461</v>
      </c>
      <c r="H95" s="1064">
        <v>3.3844321322674711</v>
      </c>
      <c r="I95" s="1064">
        <v>3.3844321322674711</v>
      </c>
      <c r="J95" s="1064">
        <v>3.3844321322674711</v>
      </c>
      <c r="K95" s="1064">
        <v>3.3844321322674711</v>
      </c>
      <c r="L95" s="1064">
        <v>4.1181843560652975</v>
      </c>
      <c r="M95" s="1064">
        <v>4.3291381204071717</v>
      </c>
      <c r="N95" s="1064">
        <v>4.4025133427869543</v>
      </c>
      <c r="O95" s="960">
        <f t="shared" ref="O95:AR95" si="240">O111*($C95/mmBTU_to_GJ*$G95/$F95)</f>
        <v>7.4754647098413036</v>
      </c>
      <c r="P95" s="960">
        <f t="shared" si="240"/>
        <v>7.5961523788362539</v>
      </c>
      <c r="Q95" s="960">
        <f t="shared" si="240"/>
        <v>7.7888515723825718</v>
      </c>
      <c r="R95" s="960">
        <f t="shared" si="240"/>
        <v>7.8710115565120651</v>
      </c>
      <c r="S95" s="960">
        <f t="shared" si="240"/>
        <v>8.1298664269345355</v>
      </c>
      <c r="T95" s="960">
        <f t="shared" si="240"/>
        <v>8.3275528874219908</v>
      </c>
      <c r="U95" s="960">
        <f t="shared" si="240"/>
        <v>8.4326459175194799</v>
      </c>
      <c r="V95" s="960">
        <f t="shared" si="240"/>
        <v>8.5820072281905144</v>
      </c>
      <c r="W95" s="960">
        <f t="shared" si="240"/>
        <v>8.6973241555173413</v>
      </c>
      <c r="X95" s="960">
        <f t="shared" si="240"/>
        <v>8.8306675382480098</v>
      </c>
      <c r="Y95" s="960">
        <f t="shared" si="240"/>
        <v>8.9332721736007059</v>
      </c>
      <c r="Z95" s="960">
        <f t="shared" si="240"/>
        <v>9.0455694993887992</v>
      </c>
      <c r="AA95" s="960">
        <f t="shared" si="240"/>
        <v>9.1556508441725821</v>
      </c>
      <c r="AB95" s="960">
        <f t="shared" si="240"/>
        <v>9.2678109153452777</v>
      </c>
      <c r="AC95" s="960">
        <f t="shared" si="240"/>
        <v>9.379158984022304</v>
      </c>
      <c r="AD95" s="960">
        <f t="shared" si="240"/>
        <v>9.4759674931736608</v>
      </c>
      <c r="AE95" s="960">
        <f t="shared" si="240"/>
        <v>9.5858141430425672</v>
      </c>
      <c r="AF95" s="960">
        <f t="shared" si="240"/>
        <v>9.7090321165885385</v>
      </c>
      <c r="AG95" s="960">
        <f t="shared" si="240"/>
        <v>9.8280622527471682</v>
      </c>
      <c r="AH95" s="960">
        <f t="shared" si="240"/>
        <v>9.9673233001172399</v>
      </c>
      <c r="AI95" s="960">
        <f t="shared" si="240"/>
        <v>10.050780392749491</v>
      </c>
      <c r="AJ95" s="960">
        <f t="shared" si="240"/>
        <v>10.135476967900939</v>
      </c>
      <c r="AK95" s="960">
        <f t="shared" si="240"/>
        <v>10.225183860386949</v>
      </c>
      <c r="AL95" s="960">
        <f t="shared" si="240"/>
        <v>10.307087146953293</v>
      </c>
      <c r="AM95" s="960">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4">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4">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58">
        <f>('AEO Data'!$D$28*BQ95)</f>
        <v>11.669767881573351</v>
      </c>
      <c r="BW95" s="1391">
        <f t="shared" ref="BW95:CZ95" si="244">+BV95*BW$138/BV$138</f>
        <v>11.709222844508201</v>
      </c>
      <c r="BX95" s="1391">
        <f t="shared" si="244"/>
        <v>11.748811202906952</v>
      </c>
      <c r="BY95" s="1391">
        <f t="shared" si="244"/>
        <v>11.788533407773697</v>
      </c>
      <c r="BZ95" s="1391">
        <f t="shared" si="244"/>
        <v>11.828389911637355</v>
      </c>
      <c r="CA95" s="1391">
        <f t="shared" si="244"/>
        <v>11.868381168556825</v>
      </c>
      <c r="CB95" s="1391">
        <f t="shared" si="244"/>
        <v>11.902362207175498</v>
      </c>
      <c r="CC95" s="1391">
        <f t="shared" si="244"/>
        <v>11.936440538842751</v>
      </c>
      <c r="CD95" s="1391">
        <f t="shared" si="244"/>
        <v>11.970616442123857</v>
      </c>
      <c r="CE95" s="1391">
        <f t="shared" si="244"/>
        <v>12.004890196381666</v>
      </c>
      <c r="CF95" s="1391">
        <f t="shared" si="244"/>
        <v>12.039262081778887</v>
      </c>
      <c r="CG95" s="1391">
        <f t="shared" si="244"/>
        <v>12.065505052077379</v>
      </c>
      <c r="CH95" s="1391">
        <f t="shared" si="244"/>
        <v>12.091805226337826</v>
      </c>
      <c r="CI95" s="1391">
        <f t="shared" si="244"/>
        <v>12.118162729252409</v>
      </c>
      <c r="CJ95" s="1391">
        <f t="shared" si="244"/>
        <v>12.144577685785119</v>
      </c>
      <c r="CK95" s="1391">
        <f t="shared" si="244"/>
        <v>12.171050221172331</v>
      </c>
      <c r="CL95" s="1391">
        <f t="shared" si="244"/>
        <v>12.188996392854733</v>
      </c>
      <c r="CM95" s="1391">
        <f t="shared" si="244"/>
        <v>12.206969026105547</v>
      </c>
      <c r="CN95" s="1391">
        <f t="shared" si="244"/>
        <v>12.224968159942263</v>
      </c>
      <c r="CO95" s="1391">
        <f t="shared" si="244"/>
        <v>12.242993833439904</v>
      </c>
      <c r="CP95" s="1391">
        <f t="shared" si="244"/>
        <v>12.261046085731108</v>
      </c>
      <c r="CQ95" s="1391">
        <f t="shared" si="244"/>
        <v>12.267091502720543</v>
      </c>
      <c r="CR95" s="1391">
        <f t="shared" si="244"/>
        <v>12.273139900456183</v>
      </c>
      <c r="CS95" s="1391">
        <f t="shared" si="244"/>
        <v>12.27919128040771</v>
      </c>
      <c r="CT95" s="1391">
        <f t="shared" si="244"/>
        <v>12.285245644045531</v>
      </c>
      <c r="CU95" s="1391">
        <f t="shared" si="244"/>
        <v>12.291302992840782</v>
      </c>
      <c r="CV95" s="1391">
        <f t="shared" si="244"/>
        <v>12.282597276301862</v>
      </c>
      <c r="CW95" s="1391">
        <f t="shared" si="244"/>
        <v>12.273897725870841</v>
      </c>
      <c r="CX95" s="1391">
        <f t="shared" si="244"/>
        <v>12.26520433718037</v>
      </c>
      <c r="CY95" s="1391">
        <f t="shared" si="244"/>
        <v>12.256517105866193</v>
      </c>
      <c r="CZ95" s="1391">
        <f t="shared" si="244"/>
        <v>12.247836027567152</v>
      </c>
    </row>
    <row r="96" spans="1:104" ht="13" x14ac:dyDescent="0.3">
      <c r="A96" s="905" t="str">
        <f>'HyARC Physical Property Data'!A81</f>
        <v>Other Industrial Coal</v>
      </c>
      <c r="B96" s="260">
        <v>2012</v>
      </c>
      <c r="C96" s="871">
        <f t="shared" si="221"/>
        <v>1.0589185747008452</v>
      </c>
      <c r="D96" s="1253" t="str">
        <f>+'HyARC Physical Property Data'!H81</f>
        <v>kg</v>
      </c>
      <c r="E96" s="898" t="s">
        <v>1051</v>
      </c>
      <c r="F96" s="260">
        <f>'HyARC Physical Property Data'!$E$42</f>
        <v>22.7322030001394</v>
      </c>
      <c r="G96" s="260">
        <f>'HyARC Physical Property Data'!$I$42</f>
        <v>23.967615189707661</v>
      </c>
      <c r="H96" s="1064">
        <v>1.7045706620386931</v>
      </c>
      <c r="I96" s="1064">
        <v>1.7045706620386931</v>
      </c>
      <c r="J96" s="1064">
        <v>1.7045706620386931</v>
      </c>
      <c r="K96" s="1064">
        <v>1.7045706620386931</v>
      </c>
      <c r="L96" s="1064">
        <v>1.9454339077615519</v>
      </c>
      <c r="M96" s="1064">
        <v>2.0288096466656182</v>
      </c>
      <c r="N96" s="1064">
        <v>1.8805861108361666</v>
      </c>
      <c r="O96" s="960">
        <f t="shared" ref="O96:AR96" si="245">O112*($C96/mmBTU_to_GJ*$G96/$F96)</f>
        <v>3.5000719734406505</v>
      </c>
      <c r="P96" s="960">
        <f t="shared" si="245"/>
        <v>3.4283630486034649</v>
      </c>
      <c r="Q96" s="960">
        <f t="shared" si="245"/>
        <v>3.5082354103172322</v>
      </c>
      <c r="R96" s="960">
        <f t="shared" si="245"/>
        <v>3.4729360065765973</v>
      </c>
      <c r="S96" s="960">
        <f t="shared" si="245"/>
        <v>3.5728444520840283</v>
      </c>
      <c r="T96" s="960">
        <f t="shared" si="245"/>
        <v>3.6374683095257363</v>
      </c>
      <c r="U96" s="960">
        <f t="shared" si="245"/>
        <v>3.6626327333639828</v>
      </c>
      <c r="V96" s="960">
        <f t="shared" si="245"/>
        <v>3.7258057129267965</v>
      </c>
      <c r="W96" s="960">
        <f t="shared" si="245"/>
        <v>3.7685626924606996</v>
      </c>
      <c r="X96" s="960">
        <f t="shared" si="245"/>
        <v>3.8026038220962977</v>
      </c>
      <c r="Y96" s="960">
        <f t="shared" si="245"/>
        <v>3.8249701999011396</v>
      </c>
      <c r="Z96" s="960">
        <f t="shared" si="245"/>
        <v>3.8516352399554865</v>
      </c>
      <c r="AA96" s="960">
        <f t="shared" si="245"/>
        <v>3.8787257015323093</v>
      </c>
      <c r="AB96" s="960">
        <f t="shared" si="245"/>
        <v>3.9124059636575477</v>
      </c>
      <c r="AC96" s="960">
        <f t="shared" si="245"/>
        <v>3.9446681540411968</v>
      </c>
      <c r="AD96" s="960">
        <f t="shared" si="245"/>
        <v>3.9749376361491651</v>
      </c>
      <c r="AE96" s="960">
        <f t="shared" si="245"/>
        <v>4.0052642644317942</v>
      </c>
      <c r="AF96" s="960">
        <f t="shared" si="245"/>
        <v>4.0387455732082129</v>
      </c>
      <c r="AG96" s="960">
        <f t="shared" si="245"/>
        <v>4.0690235214161303</v>
      </c>
      <c r="AH96" s="960">
        <f t="shared" si="245"/>
        <v>4.1108047829308205</v>
      </c>
      <c r="AI96" s="960">
        <f t="shared" si="245"/>
        <v>4.1436733577233733</v>
      </c>
      <c r="AJ96" s="960">
        <f t="shared" si="245"/>
        <v>4.1746317687147547</v>
      </c>
      <c r="AK96" s="960">
        <f t="shared" si="245"/>
        <v>4.2078082978929805</v>
      </c>
      <c r="AL96" s="960">
        <f t="shared" si="245"/>
        <v>4.2335251347529512</v>
      </c>
      <c r="AM96" s="960">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4">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4">
        <f>('AEO Data'!$C$28*BB96)</f>
        <v>4.705145808410248</v>
      </c>
      <c r="BR96" s="260">
        <f t="shared" si="243"/>
        <v>4.7202300397216757</v>
      </c>
      <c r="BS96" s="260">
        <f t="shared" si="243"/>
        <v>4.7353142710331033</v>
      </c>
      <c r="BT96" s="260">
        <f t="shared" si="243"/>
        <v>4.750398502344531</v>
      </c>
      <c r="BU96" s="260">
        <f t="shared" si="243"/>
        <v>4.7654827336559586</v>
      </c>
      <c r="BV96" s="958">
        <f>('AEO Data'!$D$28*BQ96)</f>
        <v>4.7805669649673872</v>
      </c>
      <c r="BW96" s="1391">
        <f t="shared" ref="BW96:CZ96" si="248">+BV96*BW$138/BV$138</f>
        <v>4.7967298479248255</v>
      </c>
      <c r="BX96" s="1391">
        <f t="shared" si="248"/>
        <v>4.8129473768661839</v>
      </c>
      <c r="BY96" s="1391">
        <f t="shared" si="248"/>
        <v>4.8292197365470884</v>
      </c>
      <c r="BZ96" s="1391">
        <f t="shared" si="248"/>
        <v>4.8455471123478153</v>
      </c>
      <c r="CA96" s="1391">
        <f t="shared" si="248"/>
        <v>4.8619296902754039</v>
      </c>
      <c r="CB96" s="1391">
        <f t="shared" si="248"/>
        <v>4.8758501583004978</v>
      </c>
      <c r="CC96" s="1391">
        <f t="shared" si="248"/>
        <v>4.8898104828110576</v>
      </c>
      <c r="CD96" s="1391">
        <f t="shared" si="248"/>
        <v>4.9038107779224589</v>
      </c>
      <c r="CE96" s="1391">
        <f t="shared" si="248"/>
        <v>4.9178511580768074</v>
      </c>
      <c r="CF96" s="1391">
        <f t="shared" si="248"/>
        <v>4.9319317380438736</v>
      </c>
      <c r="CG96" s="1391">
        <f t="shared" si="248"/>
        <v>4.9426822755134054</v>
      </c>
      <c r="CH96" s="1391">
        <f t="shared" si="248"/>
        <v>4.9534562468141461</v>
      </c>
      <c r="CI96" s="1391">
        <f t="shared" si="248"/>
        <v>4.9642537030267464</v>
      </c>
      <c r="CJ96" s="1391">
        <f t="shared" si="248"/>
        <v>4.9750746953432019</v>
      </c>
      <c r="CK96" s="1391">
        <f t="shared" si="248"/>
        <v>4.9859192750670944</v>
      </c>
      <c r="CL96" s="1391">
        <f t="shared" si="248"/>
        <v>4.993270995886494</v>
      </c>
      <c r="CM96" s="1391">
        <f t="shared" si="248"/>
        <v>5.0006335567929519</v>
      </c>
      <c r="CN96" s="1391">
        <f t="shared" si="248"/>
        <v>5.0080069737701391</v>
      </c>
      <c r="CO96" s="1391">
        <f t="shared" si="248"/>
        <v>5.015391262825295</v>
      </c>
      <c r="CP96" s="1391">
        <f t="shared" si="248"/>
        <v>5.0227864399892601</v>
      </c>
      <c r="CQ96" s="1391">
        <f t="shared" si="248"/>
        <v>5.0252629691749675</v>
      </c>
      <c r="CR96" s="1391">
        <f t="shared" si="248"/>
        <v>5.0277407194352479</v>
      </c>
      <c r="CS96" s="1391">
        <f t="shared" si="248"/>
        <v>5.0302196913721628</v>
      </c>
      <c r="CT96" s="1391">
        <f t="shared" si="248"/>
        <v>5.0326998855880705</v>
      </c>
      <c r="CU96" s="1391">
        <f t="shared" si="248"/>
        <v>5.0351813026856274</v>
      </c>
      <c r="CV96" s="1391">
        <f t="shared" si="248"/>
        <v>5.0316149711771789</v>
      </c>
      <c r="CW96" s="1391">
        <f t="shared" si="248"/>
        <v>5.0280511656394289</v>
      </c>
      <c r="CX96" s="1391">
        <f t="shared" si="248"/>
        <v>5.024489884283275</v>
      </c>
      <c r="CY96" s="1391">
        <f t="shared" si="248"/>
        <v>5.0209311253208835</v>
      </c>
      <c r="CZ96" s="1391">
        <f t="shared" si="248"/>
        <v>5.0173748869656869</v>
      </c>
    </row>
    <row r="97" spans="1:104" ht="13" x14ac:dyDescent="0.3">
      <c r="A97" s="905" t="str">
        <f>'HyARC Physical Property Data'!A79</f>
        <v>Electric Utility Steam Coal</v>
      </c>
      <c r="B97" s="260">
        <v>2012</v>
      </c>
      <c r="C97" s="871">
        <f t="shared" si="221"/>
        <v>1.0589185747008452</v>
      </c>
      <c r="D97" s="1254" t="str">
        <f>+'HyARC Physical Property Data'!$H$79</f>
        <v>kg</v>
      </c>
      <c r="E97" s="898" t="s">
        <v>1051</v>
      </c>
      <c r="F97" s="260">
        <f>'HyARC Physical Property Data'!$E$42</f>
        <v>22.7322030001394</v>
      </c>
      <c r="G97" s="260">
        <f>'HyARC Physical Property Data'!$I$42</f>
        <v>23.967615189707661</v>
      </c>
      <c r="H97" s="1063">
        <v>1.6675147780813302</v>
      </c>
      <c r="I97" s="1063">
        <v>1.6675147780813302</v>
      </c>
      <c r="J97" s="1063">
        <v>1.6675147780813302</v>
      </c>
      <c r="K97" s="1063">
        <v>1.6675147780813302</v>
      </c>
      <c r="L97" s="1063">
        <v>1.899114052814848</v>
      </c>
      <c r="M97" s="1063">
        <v>1.9917537627082553</v>
      </c>
      <c r="N97" s="1063">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4">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4">
        <f>('AEO Data'!$C$28*BB97)</f>
        <v>3.5615609910697135</v>
      </c>
      <c r="BR97" s="260">
        <f t="shared" si="243"/>
        <v>3.5729790027545003</v>
      </c>
      <c r="BS97" s="260">
        <f t="shared" si="243"/>
        <v>3.5843970144392872</v>
      </c>
      <c r="BT97" s="260">
        <f t="shared" si="243"/>
        <v>3.595815026124074</v>
      </c>
      <c r="BU97" s="260">
        <f t="shared" si="243"/>
        <v>3.6072330378088608</v>
      </c>
      <c r="BV97" s="958">
        <f>('AEO Data'!$D$28*BQ97)</f>
        <v>3.6186510494936472</v>
      </c>
      <c r="BW97" s="1391">
        <f t="shared" ref="BW97:CZ97" si="252">+BV97*BW$138/BV$138</f>
        <v>3.6308855467416481</v>
      </c>
      <c r="BX97" s="1391">
        <f t="shared" si="252"/>
        <v>3.6431614082772978</v>
      </c>
      <c r="BY97" s="1391">
        <f t="shared" si="252"/>
        <v>3.6554787739514016</v>
      </c>
      <c r="BZ97" s="1391">
        <f t="shared" si="252"/>
        <v>3.6678377840875944</v>
      </c>
      <c r="CA97" s="1391">
        <f t="shared" si="252"/>
        <v>3.6802385794839378</v>
      </c>
      <c r="CB97" s="1391">
        <f t="shared" si="252"/>
        <v>3.6907756803336049</v>
      </c>
      <c r="CC97" s="1391">
        <f t="shared" si="252"/>
        <v>3.701342950557327</v>
      </c>
      <c r="CD97" s="1391">
        <f t="shared" si="252"/>
        <v>3.7119404765347586</v>
      </c>
      <c r="CE97" s="1391">
        <f t="shared" si="252"/>
        <v>3.7225683448928724</v>
      </c>
      <c r="CF97" s="1391">
        <f t="shared" si="252"/>
        <v>3.7332266425066685</v>
      </c>
      <c r="CG97" s="1391">
        <f t="shared" si="252"/>
        <v>3.7413642638352314</v>
      </c>
      <c r="CH97" s="1391">
        <f t="shared" si="252"/>
        <v>3.7495196234066683</v>
      </c>
      <c r="CI97" s="1391">
        <f t="shared" si="252"/>
        <v>3.7576927598864862</v>
      </c>
      <c r="CJ97" s="1391">
        <f t="shared" si="252"/>
        <v>3.7658837120244759</v>
      </c>
      <c r="CK97" s="1391">
        <f t="shared" si="252"/>
        <v>3.7740925186548933</v>
      </c>
      <c r="CL97" s="1391">
        <f t="shared" si="252"/>
        <v>3.7796574050906777</v>
      </c>
      <c r="CM97" s="1391">
        <f t="shared" si="252"/>
        <v>3.785230496932368</v>
      </c>
      <c r="CN97" s="1391">
        <f t="shared" si="252"/>
        <v>3.7908118062788079</v>
      </c>
      <c r="CO97" s="1391">
        <f t="shared" si="252"/>
        <v>3.7964013452466796</v>
      </c>
      <c r="CP97" s="1391">
        <f t="shared" si="252"/>
        <v>3.8019991259705304</v>
      </c>
      <c r="CQ97" s="1391">
        <f t="shared" si="252"/>
        <v>3.803873735196305</v>
      </c>
      <c r="CR97" s="1391">
        <f t="shared" si="252"/>
        <v>3.8057492687147039</v>
      </c>
      <c r="CS97" s="1391">
        <f t="shared" si="252"/>
        <v>3.807625726981458</v>
      </c>
      <c r="CT97" s="1391">
        <f t="shared" si="252"/>
        <v>3.8095031104525217</v>
      </c>
      <c r="CU97" s="1391">
        <f t="shared" si="252"/>
        <v>3.8113814195840758</v>
      </c>
      <c r="CV97" s="1391">
        <f t="shared" si="252"/>
        <v>3.808681884288271</v>
      </c>
      <c r="CW97" s="1391">
        <f t="shared" si="252"/>
        <v>3.8059842610264538</v>
      </c>
      <c r="CX97" s="1391">
        <f t="shared" si="252"/>
        <v>3.8032885484443635</v>
      </c>
      <c r="CY97" s="1391">
        <f t="shared" si="252"/>
        <v>3.8005947451886986</v>
      </c>
      <c r="CZ97" s="1391">
        <f t="shared" si="252"/>
        <v>3.7979028499071168</v>
      </c>
    </row>
    <row r="98" spans="1:104" ht="13" x14ac:dyDescent="0.3">
      <c r="A98" s="874" t="str">
        <f>'HyARC Physical Property Data'!A76</f>
        <v>Commercial Electricity</v>
      </c>
      <c r="B98" s="260">
        <v>2012</v>
      </c>
      <c r="C98" s="871">
        <f t="shared" si="221"/>
        <v>1.0589185747008452</v>
      </c>
      <c r="D98" s="1242" t="str">
        <f>'HyARC Physical Property Data'!$H$76</f>
        <v>kWh</v>
      </c>
      <c r="E98" s="871" t="s">
        <v>1070</v>
      </c>
      <c r="F98" s="875"/>
      <c r="G98" s="871"/>
      <c r="H98" s="1063">
        <v>26.706046857142852</v>
      </c>
      <c r="I98" s="1063">
        <v>26.706046857142852</v>
      </c>
      <c r="J98" s="1063">
        <v>26.706046857142852</v>
      </c>
      <c r="K98" s="1063">
        <v>26.706046857142852</v>
      </c>
      <c r="L98" s="1063">
        <v>28.244819428571425</v>
      </c>
      <c r="M98" s="1063">
        <v>26.82655314285714</v>
      </c>
      <c r="N98" s="1063">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4">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4">
        <f>'AEO Data'!$C$33*BB98</f>
        <v>33.312642882218888</v>
      </c>
      <c r="BR98" s="260">
        <f t="shared" si="243"/>
        <v>33.29021180684974</v>
      </c>
      <c r="BS98" s="260">
        <f t="shared" si="243"/>
        <v>33.267780731480592</v>
      </c>
      <c r="BT98" s="260">
        <f t="shared" si="243"/>
        <v>33.245349656111443</v>
      </c>
      <c r="BU98" s="260">
        <f t="shared" si="243"/>
        <v>33.222918580742295</v>
      </c>
      <c r="BV98" s="958">
        <f>'AEO Data'!$D$33*BQ98</f>
        <v>33.200487505373161</v>
      </c>
      <c r="BW98" s="1391">
        <f>+BV98*BW$139/BV$139</f>
        <v>33.185869205539639</v>
      </c>
      <c r="BX98" s="1391">
        <f t="shared" ref="BX98:CZ98" si="256">+BW98*BX$139/BW$139</f>
        <v>33.171257342198651</v>
      </c>
      <c r="BY98" s="1391">
        <f t="shared" si="256"/>
        <v>33.156651912516189</v>
      </c>
      <c r="BZ98" s="1391">
        <f t="shared" si="256"/>
        <v>33.142052913659484</v>
      </c>
      <c r="CA98" s="1391">
        <f t="shared" si="256"/>
        <v>33.127460342797029</v>
      </c>
      <c r="CB98" s="1391">
        <f t="shared" si="256"/>
        <v>33.100925764400195</v>
      </c>
      <c r="CC98" s="1391">
        <f t="shared" si="256"/>
        <v>33.074412439786272</v>
      </c>
      <c r="CD98" s="1391">
        <f t="shared" si="256"/>
        <v>33.047920351931317</v>
      </c>
      <c r="CE98" s="1391">
        <f t="shared" si="256"/>
        <v>33.021449483825023</v>
      </c>
      <c r="CF98" s="1391">
        <f t="shared" si="256"/>
        <v>32.994999818470696</v>
      </c>
      <c r="CG98" s="1391">
        <f t="shared" si="256"/>
        <v>32.958563922192354</v>
      </c>
      <c r="CH98" s="1391">
        <f t="shared" si="256"/>
        <v>32.922168261541977</v>
      </c>
      <c r="CI98" s="1391">
        <f t="shared" si="256"/>
        <v>32.885812792087954</v>
      </c>
      <c r="CJ98" s="1391">
        <f t="shared" si="256"/>
        <v>32.849497469447741</v>
      </c>
      <c r="CK98" s="1391">
        <f t="shared" si="256"/>
        <v>32.81322224928779</v>
      </c>
      <c r="CL98" s="1391">
        <f t="shared" si="256"/>
        <v>32.773673393987664</v>
      </c>
      <c r="CM98" s="1391">
        <f t="shared" si="256"/>
        <v>32.734172205812207</v>
      </c>
      <c r="CN98" s="1391">
        <f t="shared" si="256"/>
        <v>32.694718627309562</v>
      </c>
      <c r="CO98" s="1391">
        <f t="shared" si="256"/>
        <v>32.65531260109713</v>
      </c>
      <c r="CP98" s="1391">
        <f t="shared" si="256"/>
        <v>32.615954069861473</v>
      </c>
      <c r="CQ98" s="1391">
        <f t="shared" si="256"/>
        <v>32.57036661325251</v>
      </c>
      <c r="CR98" s="1391">
        <f t="shared" si="256"/>
        <v>32.524842874423982</v>
      </c>
      <c r="CS98" s="1391">
        <f t="shared" si="256"/>
        <v>32.479382764317279</v>
      </c>
      <c r="CT98" s="1391">
        <f t="shared" si="256"/>
        <v>32.433986193998265</v>
      </c>
      <c r="CU98" s="1391">
        <f t="shared" si="256"/>
        <v>32.388653074657114</v>
      </c>
      <c r="CV98" s="1391">
        <f t="shared" si="256"/>
        <v>32.344399879459552</v>
      </c>
      <c r="CW98" s="1391">
        <f t="shared" si="256"/>
        <v>32.300207148193003</v>
      </c>
      <c r="CX98" s="1391">
        <f t="shared" si="256"/>
        <v>32.256074798244526</v>
      </c>
      <c r="CY98" s="1391">
        <f t="shared" si="256"/>
        <v>32.212002747114042</v>
      </c>
      <c r="CZ98" s="1391">
        <f t="shared" si="256"/>
        <v>32.167990912414197</v>
      </c>
    </row>
    <row r="99" spans="1:104" ht="13" x14ac:dyDescent="0.3">
      <c r="A99" s="874" t="str">
        <f>'HyARC Physical Property Data'!A77</f>
        <v>Industrial Electricity</v>
      </c>
      <c r="B99" s="260">
        <v>2012</v>
      </c>
      <c r="C99" s="871">
        <f t="shared" si="221"/>
        <v>1.0589185747008452</v>
      </c>
      <c r="D99" s="1242" t="str">
        <f>'HyARC Physical Property Data'!$H$77</f>
        <v>kWh</v>
      </c>
      <c r="E99" s="871" t="s">
        <v>1070</v>
      </c>
      <c r="F99" s="882"/>
      <c r="G99" s="222"/>
      <c r="H99" s="1063">
        <v>17.630996571428568</v>
      </c>
      <c r="I99" s="1063">
        <v>17.630996571428568</v>
      </c>
      <c r="J99" s="1063">
        <v>17.630996571428568</v>
      </c>
      <c r="K99" s="1063">
        <v>17.630996571428568</v>
      </c>
      <c r="L99" s="1063">
        <v>18.734092571428569</v>
      </c>
      <c r="M99" s="1063">
        <v>18.576507428571425</v>
      </c>
      <c r="N99" s="1063">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4">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4">
        <f>'AEO Data'!$C$33*BB99</f>
        <v>23.863725395110453</v>
      </c>
      <c r="BR99" s="260">
        <f t="shared" si="243"/>
        <v>23.847656750397427</v>
      </c>
      <c r="BS99" s="260">
        <f t="shared" si="243"/>
        <v>23.8315881056844</v>
      </c>
      <c r="BT99" s="260">
        <f t="shared" si="243"/>
        <v>23.815519460971373</v>
      </c>
      <c r="BU99" s="260">
        <f t="shared" si="243"/>
        <v>23.799450816258346</v>
      </c>
      <c r="BV99" s="958">
        <f>'AEO Data'!$D$33*BQ99</f>
        <v>23.783382171545323</v>
      </c>
      <c r="BW99" s="1391">
        <f>+BV99*BW$140/BV$140</f>
        <v>23.79056855003947</v>
      </c>
      <c r="BX99" s="1391">
        <f t="shared" ref="BX99:CZ99" si="260">+BW99*BX$140/BW$140</f>
        <v>23.797757099967246</v>
      </c>
      <c r="BY99" s="1391">
        <f t="shared" si="260"/>
        <v>23.804947821984772</v>
      </c>
      <c r="BZ99" s="1391">
        <f t="shared" si="260"/>
        <v>23.812140716748367</v>
      </c>
      <c r="CA99" s="1391">
        <f t="shared" si="260"/>
        <v>23.819335784914539</v>
      </c>
      <c r="CB99" s="1391">
        <f t="shared" si="260"/>
        <v>23.816642001078176</v>
      </c>
      <c r="CC99" s="1391">
        <f t="shared" si="260"/>
        <v>23.813948521888062</v>
      </c>
      <c r="CD99" s="1391">
        <f t="shared" si="260"/>
        <v>23.811255347309746</v>
      </c>
      <c r="CE99" s="1391">
        <f t="shared" si="260"/>
        <v>23.808562477308776</v>
      </c>
      <c r="CF99" s="1391">
        <f t="shared" si="260"/>
        <v>23.805869911850717</v>
      </c>
      <c r="CG99" s="1391">
        <f t="shared" si="260"/>
        <v>23.795071358532098</v>
      </c>
      <c r="CH99" s="1391">
        <f t="shared" si="260"/>
        <v>23.784277703532847</v>
      </c>
      <c r="CI99" s="1391">
        <f t="shared" si="260"/>
        <v>23.773488944631048</v>
      </c>
      <c r="CJ99" s="1391">
        <f t="shared" si="260"/>
        <v>23.762705079605791</v>
      </c>
      <c r="CK99" s="1391">
        <f t="shared" si="260"/>
        <v>23.751926106237168</v>
      </c>
      <c r="CL99" s="1391">
        <f t="shared" si="260"/>
        <v>23.738702519984074</v>
      </c>
      <c r="CM99" s="1391">
        <f t="shared" si="260"/>
        <v>23.725486295796383</v>
      </c>
      <c r="CN99" s="1391">
        <f t="shared" si="260"/>
        <v>23.712277429575355</v>
      </c>
      <c r="CO99" s="1391">
        <f t="shared" si="260"/>
        <v>23.699075917224537</v>
      </c>
      <c r="CP99" s="1391">
        <f t="shared" si="260"/>
        <v>23.685881754649749</v>
      </c>
      <c r="CQ99" s="1391">
        <f t="shared" si="260"/>
        <v>23.667805095398695</v>
      </c>
      <c r="CR99" s="1391">
        <f t="shared" si="260"/>
        <v>23.649742231944352</v>
      </c>
      <c r="CS99" s="1391">
        <f t="shared" si="260"/>
        <v>23.631693153758011</v>
      </c>
      <c r="CT99" s="1391">
        <f t="shared" si="260"/>
        <v>23.613657850318987</v>
      </c>
      <c r="CU99" s="1391">
        <f t="shared" si="260"/>
        <v>23.595636311114628</v>
      </c>
      <c r="CV99" s="1391">
        <f t="shared" si="260"/>
        <v>23.578692647144699</v>
      </c>
      <c r="CW99" s="1391">
        <f t="shared" si="260"/>
        <v>23.561761150159583</v>
      </c>
      <c r="CX99" s="1391">
        <f t="shared" si="260"/>
        <v>23.544841811422359</v>
      </c>
      <c r="CY99" s="1391">
        <f t="shared" si="260"/>
        <v>23.527934622202373</v>
      </c>
      <c r="CZ99" s="1391">
        <f t="shared" si="260"/>
        <v>23.511039573775246</v>
      </c>
    </row>
    <row r="100" spans="1:104" ht="13.5" thickBot="1" x14ac:dyDescent="0.35">
      <c r="A100" s="876" t="str">
        <f>'HyARC Physical Property Data'!A78</f>
        <v>Residential Electricity</v>
      </c>
      <c r="B100" s="877">
        <v>2012</v>
      </c>
      <c r="C100" s="878">
        <f t="shared" si="221"/>
        <v>1.0589185747008452</v>
      </c>
      <c r="D100" s="1243" t="str">
        <f>'HyARC Physical Property Data'!$H$78</f>
        <v>kWh</v>
      </c>
      <c r="E100" s="878" t="s">
        <v>1070</v>
      </c>
      <c r="F100" s="883"/>
      <c r="G100" s="566"/>
      <c r="H100" s="1065">
        <v>29.496230857142855</v>
      </c>
      <c r="I100" s="1065">
        <v>29.496230857142855</v>
      </c>
      <c r="J100" s="1065">
        <v>29.496230857142855</v>
      </c>
      <c r="K100" s="1065">
        <v>29.496230857142855</v>
      </c>
      <c r="L100" s="1065">
        <v>30.858878857142852</v>
      </c>
      <c r="M100" s="1065">
        <v>29.96898628571428</v>
      </c>
      <c r="N100" s="1065">
        <v>28.680495999999998</v>
      </c>
      <c r="O100" s="877">
        <f t="shared" ref="O100:AR100" si="261">O116*($C100)</f>
        <v>37.012259165882554</v>
      </c>
      <c r="P100" s="877">
        <f t="shared" si="261"/>
        <v>36.883387716422881</v>
      </c>
      <c r="Q100" s="877">
        <f t="shared" si="261"/>
        <v>36.020153058652454</v>
      </c>
      <c r="R100" s="877">
        <f t="shared" si="261"/>
        <v>36.437036594489285</v>
      </c>
      <c r="S100" s="877">
        <f t="shared" si="261"/>
        <v>37.000471284308979</v>
      </c>
      <c r="T100" s="877">
        <f t="shared" si="261"/>
        <v>37.234901031887702</v>
      </c>
      <c r="U100" s="877">
        <f t="shared" si="261"/>
        <v>37.611895105015549</v>
      </c>
      <c r="V100" s="877">
        <f t="shared" si="261"/>
        <v>38.029256213129564</v>
      </c>
      <c r="W100" s="877">
        <f t="shared" si="261"/>
        <v>38.30980398247366</v>
      </c>
      <c r="X100" s="877">
        <f t="shared" si="261"/>
        <v>38.276616415423959</v>
      </c>
      <c r="Y100" s="877">
        <f t="shared" si="261"/>
        <v>38.186511974984086</v>
      </c>
      <c r="Z100" s="877">
        <f t="shared" si="261"/>
        <v>37.913659366922346</v>
      </c>
      <c r="AA100" s="877">
        <f t="shared" si="261"/>
        <v>37.798756112381561</v>
      </c>
      <c r="AB100" s="877">
        <f t="shared" si="261"/>
        <v>38.164246094113849</v>
      </c>
      <c r="AC100" s="877">
        <f t="shared" si="261"/>
        <v>38.270815659471751</v>
      </c>
      <c r="AD100" s="877">
        <f t="shared" si="261"/>
        <v>38.382554865311334</v>
      </c>
      <c r="AE100" s="877">
        <f t="shared" si="261"/>
        <v>38.619545078003675</v>
      </c>
      <c r="AF100" s="877">
        <f t="shared" si="261"/>
        <v>38.734851780521424</v>
      </c>
      <c r="AG100" s="877">
        <f t="shared" si="261"/>
        <v>38.88910974389097</v>
      </c>
      <c r="AH100" s="877">
        <f t="shared" si="261"/>
        <v>39.160747772347534</v>
      </c>
      <c r="AI100" s="877">
        <f t="shared" si="261"/>
        <v>39.451321382756888</v>
      </c>
      <c r="AJ100" s="877">
        <f t="shared" si="261"/>
        <v>39.535438697575401</v>
      </c>
      <c r="AK100" s="877">
        <f t="shared" si="261"/>
        <v>39.570735630425908</v>
      </c>
      <c r="AL100" s="877">
        <f t="shared" si="261"/>
        <v>39.780803897275057</v>
      </c>
      <c r="AM100" s="877">
        <f t="shared" si="261"/>
        <v>40.046078884016239</v>
      </c>
      <c r="AN100" s="877">
        <f t="shared" si="261"/>
        <v>40.326008244912707</v>
      </c>
      <c r="AO100" s="877">
        <f t="shared" si="261"/>
        <v>40.555429307633098</v>
      </c>
      <c r="AP100" s="877">
        <f t="shared" si="261"/>
        <v>40.630021649872177</v>
      </c>
      <c r="AQ100" s="877">
        <f t="shared" si="261"/>
        <v>40.855427293357288</v>
      </c>
      <c r="AR100" s="877">
        <f t="shared" si="261"/>
        <v>41.122689870263187</v>
      </c>
      <c r="AS100" s="877">
        <f t="shared" ref="AS100:BA100" si="262">($BB100-$AR100)/10+AR100</f>
        <v>40.915200036704469</v>
      </c>
      <c r="AT100" s="877">
        <f t="shared" si="262"/>
        <v>40.707710203145751</v>
      </c>
      <c r="AU100" s="877">
        <f t="shared" si="262"/>
        <v>40.500220369587034</v>
      </c>
      <c r="AV100" s="877">
        <f t="shared" si="262"/>
        <v>40.292730536028316</v>
      </c>
      <c r="AW100" s="877">
        <f t="shared" si="262"/>
        <v>40.085240702469598</v>
      </c>
      <c r="AX100" s="877">
        <f t="shared" si="262"/>
        <v>39.87775086891088</v>
      </c>
      <c r="AY100" s="877">
        <f t="shared" si="262"/>
        <v>39.670261035352162</v>
      </c>
      <c r="AZ100" s="877">
        <f t="shared" si="262"/>
        <v>39.462771201793444</v>
      </c>
      <c r="BA100" s="877">
        <f t="shared" si="262"/>
        <v>39.255281368234726</v>
      </c>
      <c r="BB100" s="963">
        <f>'AEO Data'!$B$33*AM100</f>
        <v>39.047791534675994</v>
      </c>
      <c r="BC100" s="877">
        <f t="shared" ref="BC100:BP100" si="263">($BQ100-$BB100)/15+BB100</f>
        <v>39.070541707817128</v>
      </c>
      <c r="BD100" s="877">
        <f t="shared" si="263"/>
        <v>39.093291880958262</v>
      </c>
      <c r="BE100" s="877">
        <f t="shared" si="263"/>
        <v>39.116042054099395</v>
      </c>
      <c r="BF100" s="877">
        <f t="shared" si="263"/>
        <v>39.138792227240529</v>
      </c>
      <c r="BG100" s="877">
        <f t="shared" si="263"/>
        <v>39.161542400381663</v>
      </c>
      <c r="BH100" s="877">
        <f t="shared" si="263"/>
        <v>39.184292573522796</v>
      </c>
      <c r="BI100" s="877">
        <f t="shared" si="263"/>
        <v>39.20704274666393</v>
      </c>
      <c r="BJ100" s="877">
        <f t="shared" si="263"/>
        <v>39.229792919805064</v>
      </c>
      <c r="BK100" s="877">
        <f t="shared" si="263"/>
        <v>39.252543092946198</v>
      </c>
      <c r="BL100" s="877">
        <f t="shared" si="263"/>
        <v>39.275293266087331</v>
      </c>
      <c r="BM100" s="877">
        <f t="shared" si="263"/>
        <v>39.298043439228465</v>
      </c>
      <c r="BN100" s="877">
        <f t="shared" si="263"/>
        <v>39.320793612369599</v>
      </c>
      <c r="BO100" s="877">
        <f t="shared" si="263"/>
        <v>39.343543785510732</v>
      </c>
      <c r="BP100" s="877">
        <f t="shared" si="263"/>
        <v>39.366293958651866</v>
      </c>
      <c r="BQ100" s="963">
        <f>'AEO Data'!$C$33*BB100</f>
        <v>39.389044131793007</v>
      </c>
      <c r="BR100" s="877">
        <f t="shared" si="243"/>
        <v>39.362521510313748</v>
      </c>
      <c r="BS100" s="877">
        <f t="shared" si="243"/>
        <v>39.335998888834489</v>
      </c>
      <c r="BT100" s="877">
        <f t="shared" si="243"/>
        <v>39.30947626735523</v>
      </c>
      <c r="BU100" s="877">
        <f t="shared" si="243"/>
        <v>39.28295364587597</v>
      </c>
      <c r="BV100" s="964">
        <f>'AEO Data'!$D$33*BQ100</f>
        <v>39.256431024396711</v>
      </c>
      <c r="BW100" s="1391">
        <f>+BV100*BW$141/BV$141</f>
        <v>39.239146269797381</v>
      </c>
      <c r="BX100" s="1391">
        <f t="shared" ref="BX100:CZ100" si="264">+BW100*BX$141/BW$141</f>
        <v>39.221869125740675</v>
      </c>
      <c r="BY100" s="1391">
        <f t="shared" si="264"/>
        <v>39.204599588875645</v>
      </c>
      <c r="BZ100" s="1391">
        <f t="shared" si="264"/>
        <v>39.187337655852808</v>
      </c>
      <c r="CA100" s="1391">
        <f t="shared" si="264"/>
        <v>39.170083323324171</v>
      </c>
      <c r="CB100" s="1391">
        <f t="shared" si="264"/>
        <v>39.138708698285058</v>
      </c>
      <c r="CC100" s="1391">
        <f t="shared" si="264"/>
        <v>39.107359203830633</v>
      </c>
      <c r="CD100" s="1391">
        <f t="shared" si="264"/>
        <v>39.076034819831698</v>
      </c>
      <c r="CE100" s="1391">
        <f t="shared" si="264"/>
        <v>39.044735526175167</v>
      </c>
      <c r="CF100" s="1391">
        <f t="shared" si="264"/>
        <v>39.013461302764064</v>
      </c>
      <c r="CG100" s="1391">
        <f t="shared" si="264"/>
        <v>38.970379307391816</v>
      </c>
      <c r="CH100" s="1391">
        <f t="shared" si="264"/>
        <v>38.927344886837673</v>
      </c>
      <c r="CI100" s="1391">
        <f t="shared" si="264"/>
        <v>38.884357988565462</v>
      </c>
      <c r="CJ100" s="1391">
        <f t="shared" si="264"/>
        <v>38.841418560097019</v>
      </c>
      <c r="CK100" s="1391">
        <f t="shared" si="264"/>
        <v>38.798526549012138</v>
      </c>
      <c r="CL100" s="1391">
        <f t="shared" si="264"/>
        <v>38.751763774521798</v>
      </c>
      <c r="CM100" s="1391">
        <f t="shared" si="264"/>
        <v>38.70505736189034</v>
      </c>
      <c r="CN100" s="1391">
        <f t="shared" si="264"/>
        <v>38.658407243186389</v>
      </c>
      <c r="CO100" s="1391">
        <f t="shared" si="264"/>
        <v>38.61181335056046</v>
      </c>
      <c r="CP100" s="1391">
        <f t="shared" si="264"/>
        <v>38.565275616244847</v>
      </c>
      <c r="CQ100" s="1391">
        <f t="shared" si="264"/>
        <v>38.511372767810535</v>
      </c>
      <c r="CR100" s="1391">
        <f t="shared" si="264"/>
        <v>38.457545259614896</v>
      </c>
      <c r="CS100" s="1391">
        <f t="shared" si="264"/>
        <v>38.403792986354553</v>
      </c>
      <c r="CT100" s="1391">
        <f t="shared" si="264"/>
        <v>38.350115842873322</v>
      </c>
      <c r="CU100" s="1391">
        <f t="shared" si="264"/>
        <v>38.296513724162004</v>
      </c>
      <c r="CV100" s="1391">
        <f t="shared" si="264"/>
        <v>38.244188513437287</v>
      </c>
      <c r="CW100" s="1391">
        <f t="shared" si="264"/>
        <v>38.191934795582569</v>
      </c>
      <c r="CX100" s="1391">
        <f t="shared" si="264"/>
        <v>38.139752472915873</v>
      </c>
      <c r="CY100" s="1391">
        <f t="shared" si="264"/>
        <v>38.087641447888679</v>
      </c>
      <c r="CZ100" s="1391">
        <f t="shared" si="264"/>
        <v>38.035601623085753</v>
      </c>
    </row>
    <row r="101" spans="1:104" ht="13" thickTop="1" x14ac:dyDescent="0.25">
      <c r="D101" s="1090"/>
    </row>
    <row r="102" spans="1:104" ht="13" thickBot="1" x14ac:dyDescent="0.3">
      <c r="D102" s="1090"/>
    </row>
    <row r="103" spans="1:104" s="1047" customFormat="1" ht="13" x14ac:dyDescent="0.3">
      <c r="A103" s="1043" t="s">
        <v>1158</v>
      </c>
      <c r="B103" s="1044"/>
      <c r="C103" s="1045"/>
      <c r="D103" s="1246"/>
      <c r="E103" s="1045"/>
      <c r="F103" s="1044"/>
      <c r="G103" s="1044"/>
      <c r="H103" s="1044"/>
      <c r="I103" s="1044"/>
      <c r="J103" s="1044"/>
      <c r="K103" s="1044"/>
      <c r="L103" s="1044"/>
      <c r="M103" s="1044"/>
      <c r="N103" s="1044"/>
      <c r="O103" s="1044"/>
      <c r="P103" s="1044"/>
      <c r="Q103" s="1044"/>
      <c r="R103" s="1044"/>
      <c r="S103" s="1044"/>
      <c r="T103" s="1044"/>
      <c r="U103" s="1044"/>
      <c r="V103" s="1044"/>
      <c r="W103" s="1044"/>
      <c r="X103" s="1044"/>
      <c r="Y103" s="1044"/>
      <c r="Z103" s="1044"/>
      <c r="AA103" s="1044"/>
      <c r="AB103" s="1044"/>
      <c r="AC103" s="1044"/>
      <c r="AD103" s="1044"/>
      <c r="AE103" s="1044"/>
      <c r="AF103" s="1044"/>
      <c r="AG103" s="1044"/>
      <c r="AH103" s="1044"/>
      <c r="AI103" s="1044"/>
      <c r="AJ103" s="1044"/>
      <c r="AK103" s="1044"/>
      <c r="AL103" s="1044"/>
      <c r="AM103" s="1044"/>
      <c r="AN103" s="1044"/>
      <c r="AO103" s="1044"/>
      <c r="AP103" s="1044"/>
      <c r="AQ103" s="1044"/>
      <c r="AR103" s="1044"/>
      <c r="AS103" s="1044"/>
      <c r="AT103" s="1044"/>
      <c r="AU103" s="1044"/>
      <c r="AV103" s="1044"/>
      <c r="AW103" s="1044"/>
      <c r="AX103" s="1044"/>
      <c r="AY103" s="1044"/>
      <c r="AZ103" s="1044"/>
      <c r="BA103" s="1044"/>
      <c r="BB103" s="1044"/>
      <c r="BC103" s="1044"/>
      <c r="BD103" s="1044"/>
      <c r="BE103" s="1044"/>
      <c r="BF103" s="1044"/>
      <c r="BG103" s="1044"/>
      <c r="BH103" s="1044"/>
      <c r="BI103" s="1044"/>
      <c r="BJ103" s="1044"/>
      <c r="BK103" s="1044"/>
      <c r="BL103" s="1044"/>
      <c r="BM103" s="1044"/>
      <c r="BN103" s="1044"/>
      <c r="BO103" s="1044"/>
      <c r="BP103" s="1044"/>
      <c r="BQ103" s="1044"/>
      <c r="BR103" s="1044"/>
      <c r="BS103" s="1044"/>
      <c r="BT103" s="1044"/>
      <c r="BU103" s="1044"/>
      <c r="BV103" s="1046"/>
    </row>
    <row r="104" spans="1:104" s="1047" customFormat="1" ht="13" x14ac:dyDescent="0.3">
      <c r="A104" s="1048" t="s">
        <v>1112</v>
      </c>
      <c r="B104" s="1049"/>
      <c r="C104" s="1050"/>
      <c r="D104" s="1247"/>
      <c r="E104" s="1050"/>
      <c r="F104" s="1049"/>
      <c r="G104" s="1049"/>
      <c r="H104" s="1049"/>
      <c r="I104" s="1049"/>
      <c r="J104" s="1049"/>
      <c r="K104" s="1049"/>
      <c r="L104" s="1049"/>
      <c r="M104" s="1049"/>
      <c r="N104" s="1049"/>
      <c r="O104" s="1049"/>
      <c r="P104" s="1049"/>
      <c r="Q104" s="1049"/>
      <c r="R104" s="1049"/>
      <c r="S104" s="1049"/>
      <c r="T104" s="1049"/>
      <c r="U104" s="1049"/>
      <c r="V104" s="1049"/>
      <c r="W104" s="1049"/>
      <c r="X104" s="1049"/>
      <c r="Y104" s="1049"/>
      <c r="Z104" s="1049"/>
      <c r="AA104" s="1049"/>
      <c r="AB104" s="1049"/>
      <c r="AC104" s="1049"/>
      <c r="AD104" s="1049"/>
      <c r="AE104" s="1049"/>
      <c r="AF104" s="1049"/>
      <c r="AG104" s="1049"/>
      <c r="AH104" s="1049"/>
      <c r="AI104" s="1049"/>
      <c r="AJ104" s="1049"/>
      <c r="AK104" s="1049"/>
      <c r="AL104" s="1049"/>
      <c r="AM104" s="1049"/>
      <c r="AN104" s="1049"/>
      <c r="AO104" s="1049"/>
      <c r="AP104" s="1049"/>
      <c r="AQ104" s="1049"/>
      <c r="AR104" s="1049"/>
      <c r="AS104" s="1049"/>
      <c r="AT104" s="1049"/>
      <c r="AU104" s="1049"/>
      <c r="AV104" s="1049"/>
      <c r="AW104" s="1049"/>
      <c r="AX104" s="1049"/>
      <c r="AY104" s="1049"/>
      <c r="AZ104" s="1049"/>
      <c r="BA104" s="1049"/>
      <c r="BB104" s="1049"/>
      <c r="BC104" s="1049"/>
      <c r="BD104" s="1049"/>
      <c r="BE104" s="1049"/>
      <c r="BF104" s="1049"/>
      <c r="BG104" s="1049"/>
      <c r="BH104" s="1049"/>
      <c r="BI104" s="1049"/>
      <c r="BJ104" s="1049"/>
      <c r="BK104" s="1049"/>
      <c r="BL104" s="1049"/>
      <c r="BM104" s="1049"/>
      <c r="BN104" s="1049"/>
      <c r="BO104" s="1049"/>
      <c r="BP104" s="1049"/>
      <c r="BQ104" s="1049"/>
      <c r="BR104" s="1049"/>
      <c r="BS104" s="1049"/>
      <c r="BT104" s="1049"/>
      <c r="BU104" s="1049"/>
      <c r="BV104" s="1051"/>
    </row>
    <row r="105" spans="1:104" s="1047" customFormat="1" x14ac:dyDescent="0.25">
      <c r="A105" s="1052"/>
      <c r="B105" s="1049"/>
      <c r="C105" s="1050"/>
      <c r="D105" s="1247"/>
      <c r="E105" s="1050"/>
      <c r="F105" s="1049"/>
      <c r="G105" s="1049"/>
      <c r="H105" s="1049"/>
      <c r="I105" s="1049"/>
      <c r="J105" s="1049"/>
      <c r="K105" s="1049"/>
      <c r="L105" s="1049"/>
      <c r="M105" s="1049"/>
      <c r="N105" s="1049"/>
      <c r="O105" s="1049"/>
      <c r="P105" s="1049"/>
      <c r="Q105" s="1049"/>
      <c r="R105" s="1049"/>
      <c r="S105" s="1049"/>
      <c r="T105" s="1049"/>
      <c r="U105" s="1049"/>
      <c r="V105" s="1049"/>
      <c r="W105" s="1049"/>
      <c r="X105" s="1049"/>
      <c r="Y105" s="1049"/>
      <c r="Z105" s="1049"/>
      <c r="AA105" s="1049"/>
      <c r="AB105" s="1049"/>
      <c r="AC105" s="1049"/>
      <c r="AD105" s="1049"/>
      <c r="AE105" s="1049"/>
      <c r="AF105" s="1049"/>
      <c r="AG105" s="1049"/>
      <c r="AH105" s="1049"/>
      <c r="AI105" s="1049"/>
      <c r="AJ105" s="1049"/>
      <c r="AK105" s="1049"/>
      <c r="AL105" s="1049"/>
      <c r="AM105" s="1049"/>
      <c r="AN105" s="1049"/>
      <c r="AO105" s="1049"/>
      <c r="AP105" s="1049"/>
      <c r="AQ105" s="1049"/>
      <c r="AR105" s="1049"/>
      <c r="AS105" s="1049"/>
      <c r="AT105" s="1049"/>
      <c r="AU105" s="1049"/>
      <c r="AV105" s="1049"/>
      <c r="AW105" s="1049"/>
      <c r="AX105" s="1049"/>
      <c r="AY105" s="1049"/>
      <c r="AZ105" s="1049"/>
      <c r="BA105" s="1049"/>
      <c r="BB105" s="1049"/>
      <c r="BC105" s="1049"/>
      <c r="BD105" s="1049"/>
      <c r="BE105" s="1049"/>
      <c r="BF105" s="1049"/>
      <c r="BG105" s="1049"/>
      <c r="BH105" s="1049"/>
      <c r="BI105" s="1049"/>
      <c r="BJ105" s="1049"/>
      <c r="BK105" s="1049"/>
      <c r="BL105" s="1049"/>
      <c r="BM105" s="1049"/>
      <c r="BN105" s="1049"/>
      <c r="BO105" s="1049"/>
      <c r="BP105" s="1049"/>
      <c r="BQ105" s="1049"/>
      <c r="BR105" s="1049"/>
      <c r="BS105" s="1049"/>
      <c r="BT105" s="1049"/>
      <c r="BU105" s="1049"/>
      <c r="BV105" s="1051"/>
    </row>
    <row r="106" spans="1:104" s="1047" customFormat="1" x14ac:dyDescent="0.25">
      <c r="A106" s="1052" t="s">
        <v>681</v>
      </c>
      <c r="B106" s="1049"/>
      <c r="C106" s="1050"/>
      <c r="D106" s="1247"/>
      <c r="E106" s="1050"/>
      <c r="F106" s="1049"/>
      <c r="G106" s="1049"/>
      <c r="H106" s="1049"/>
      <c r="I106" s="1049"/>
      <c r="J106" s="1049"/>
      <c r="K106" s="1049"/>
      <c r="L106" s="1049"/>
      <c r="M106" s="1049"/>
      <c r="N106" s="1049"/>
      <c r="O106" s="1053">
        <v>10.979644</v>
      </c>
      <c r="P106" s="1053">
        <v>10.458463</v>
      </c>
      <c r="Q106" s="1053">
        <v>10.386789</v>
      </c>
      <c r="R106" s="1053">
        <v>11.197535999999999</v>
      </c>
      <c r="S106" s="1053">
        <v>10.997512</v>
      </c>
      <c r="T106" s="1053">
        <v>10.684602</v>
      </c>
      <c r="U106" s="1053">
        <v>11.01057</v>
      </c>
      <c r="V106" s="1053">
        <v>11.455973999999999</v>
      </c>
      <c r="W106" s="1053">
        <v>11.627091999999999</v>
      </c>
      <c r="X106" s="1053">
        <v>11.591965</v>
      </c>
      <c r="Y106" s="1053">
        <v>11.804651</v>
      </c>
      <c r="Z106" s="1053">
        <v>11.896172</v>
      </c>
      <c r="AA106" s="1053">
        <v>12.056948999999999</v>
      </c>
      <c r="AB106" s="1053">
        <v>12.305148000000001</v>
      </c>
      <c r="AC106" s="1053">
        <v>12.475469</v>
      </c>
      <c r="AD106" s="1053">
        <v>12.579926</v>
      </c>
      <c r="AE106" s="1053">
        <v>12.716393999999999</v>
      </c>
      <c r="AF106" s="1053">
        <v>12.897914999999999</v>
      </c>
      <c r="AG106" s="1053">
        <v>13.184208999999999</v>
      </c>
      <c r="AH106" s="1053">
        <v>13.502886999999999</v>
      </c>
      <c r="AI106" s="1053">
        <v>13.64997</v>
      </c>
      <c r="AJ106" s="1053">
        <v>13.712135</v>
      </c>
      <c r="AK106" s="1053">
        <v>13.943460999999999</v>
      </c>
      <c r="AL106" s="1053">
        <v>14.339456999999999</v>
      </c>
      <c r="AM106" s="1053">
        <v>14.605688000000001</v>
      </c>
      <c r="AN106" s="1053">
        <v>14.994783</v>
      </c>
      <c r="AO106" s="1053">
        <v>15.152347000000001</v>
      </c>
      <c r="AP106" s="1053">
        <v>15.279963</v>
      </c>
      <c r="AQ106" s="1053">
        <v>15.618371</v>
      </c>
      <c r="AR106" s="1053">
        <v>15.977807</v>
      </c>
      <c r="AS106" s="1049"/>
      <c r="AT106" s="1049"/>
      <c r="AU106" s="1049"/>
      <c r="AV106" s="1049"/>
      <c r="AW106" s="1049"/>
      <c r="AX106" s="1049"/>
      <c r="AY106" s="1049"/>
      <c r="AZ106" s="1049"/>
      <c r="BA106" s="1049"/>
      <c r="BB106" s="1049"/>
      <c r="BC106" s="1049"/>
      <c r="BD106" s="1049"/>
      <c r="BE106" s="1049"/>
      <c r="BF106" s="1049"/>
      <c r="BG106" s="1049"/>
      <c r="BH106" s="1049"/>
      <c r="BI106" s="1049"/>
      <c r="BJ106" s="1049"/>
      <c r="BK106" s="1049"/>
      <c r="BL106" s="1049"/>
      <c r="BM106" s="1049"/>
      <c r="BN106" s="1049"/>
      <c r="BO106" s="1049"/>
      <c r="BP106" s="1049"/>
      <c r="BQ106" s="1049"/>
      <c r="BR106" s="1049"/>
      <c r="BS106" s="1049"/>
      <c r="BT106" s="1049"/>
      <c r="BU106" s="1049"/>
      <c r="BV106" s="1051"/>
    </row>
    <row r="107" spans="1:104" s="1047" customFormat="1" x14ac:dyDescent="0.25">
      <c r="A107" s="1052" t="s">
        <v>1084</v>
      </c>
      <c r="B107" s="1049"/>
      <c r="C107" s="1050"/>
      <c r="D107" s="1247"/>
      <c r="E107" s="1050"/>
      <c r="F107" s="1049"/>
      <c r="G107" s="1049"/>
      <c r="H107" s="1049"/>
      <c r="I107" s="1049"/>
      <c r="J107" s="1049"/>
      <c r="K107" s="1049"/>
      <c r="L107" s="1049"/>
      <c r="M107" s="1049"/>
      <c r="N107" s="1049"/>
      <c r="O107" s="1053">
        <v>8.9608349999999994</v>
      </c>
      <c r="P107" s="1053">
        <v>8.1128640000000001</v>
      </c>
      <c r="Q107" s="1053">
        <v>8.3120530000000006</v>
      </c>
      <c r="R107" s="1053">
        <v>9.0860579999999995</v>
      </c>
      <c r="S107" s="1053">
        <v>8.9185510000000008</v>
      </c>
      <c r="T107" s="1053">
        <v>8.7230709999999991</v>
      </c>
      <c r="U107" s="1053">
        <v>9.0072580000000002</v>
      </c>
      <c r="V107" s="1053">
        <v>9.4091780000000007</v>
      </c>
      <c r="W107" s="1053">
        <v>9.5464699999999993</v>
      </c>
      <c r="X107" s="1053">
        <v>9.490774</v>
      </c>
      <c r="Y107" s="1053">
        <v>9.6849690000000006</v>
      </c>
      <c r="Z107" s="1053">
        <v>9.7584820000000008</v>
      </c>
      <c r="AA107" s="1053">
        <v>9.8987529999999992</v>
      </c>
      <c r="AB107" s="1053">
        <v>10.127039999999999</v>
      </c>
      <c r="AC107" s="1053">
        <v>10.286922000000001</v>
      </c>
      <c r="AD107" s="1053">
        <v>10.380953999999999</v>
      </c>
      <c r="AE107" s="1053">
        <v>10.496881999999999</v>
      </c>
      <c r="AF107" s="1053">
        <v>10.657225</v>
      </c>
      <c r="AG107" s="1053">
        <v>10.911016</v>
      </c>
      <c r="AH107" s="1053">
        <v>11.192325</v>
      </c>
      <c r="AI107" s="1053">
        <v>11.294316</v>
      </c>
      <c r="AJ107" s="1053">
        <v>11.292712999999999</v>
      </c>
      <c r="AK107" s="1053">
        <v>11.478382999999999</v>
      </c>
      <c r="AL107" s="1053">
        <v>11.747921</v>
      </c>
      <c r="AM107" s="1053">
        <v>11.953430000000001</v>
      </c>
      <c r="AN107" s="1053">
        <v>12.263629999999999</v>
      </c>
      <c r="AO107" s="1053">
        <v>12.368285999999999</v>
      </c>
      <c r="AP107" s="1053">
        <v>12.459205000000001</v>
      </c>
      <c r="AQ107" s="1053">
        <v>12.755896</v>
      </c>
      <c r="AR107" s="1053">
        <v>13.077387</v>
      </c>
      <c r="AS107" s="1049"/>
      <c r="AT107" s="1049"/>
      <c r="AU107" s="1049"/>
      <c r="AV107" s="1049"/>
      <c r="AW107" s="1049"/>
      <c r="AX107" s="1049"/>
      <c r="AY107" s="1049"/>
      <c r="AZ107" s="1049"/>
      <c r="BA107" s="1049"/>
      <c r="BB107" s="1049"/>
      <c r="BC107" s="1049"/>
      <c r="BD107" s="1049"/>
      <c r="BE107" s="1049"/>
      <c r="BF107" s="1049"/>
      <c r="BG107" s="1049"/>
      <c r="BH107" s="1049"/>
      <c r="BI107" s="1049"/>
      <c r="BJ107" s="1049"/>
      <c r="BK107" s="1049"/>
      <c r="BL107" s="1049"/>
      <c r="BM107" s="1049"/>
      <c r="BN107" s="1049"/>
      <c r="BO107" s="1049"/>
      <c r="BP107" s="1049"/>
      <c r="BQ107" s="1049"/>
      <c r="BR107" s="1049"/>
      <c r="BS107" s="1049"/>
      <c r="BT107" s="1049"/>
      <c r="BU107" s="1049"/>
      <c r="BV107" s="1051"/>
    </row>
    <row r="108" spans="1:104" s="1047" customFormat="1" x14ac:dyDescent="0.25">
      <c r="A108" s="1052" t="s">
        <v>283</v>
      </c>
      <c r="B108" s="1049"/>
      <c r="C108" s="1050"/>
      <c r="D108" s="1247"/>
      <c r="E108" s="1050"/>
      <c r="F108" s="1049"/>
      <c r="G108" s="1049"/>
      <c r="H108" s="1049"/>
      <c r="I108" s="1049"/>
      <c r="J108" s="1049"/>
      <c r="K108" s="1049"/>
      <c r="L108" s="1049"/>
      <c r="M108" s="1049"/>
      <c r="N108" s="1049"/>
      <c r="O108" s="1053">
        <v>5.093718</v>
      </c>
      <c r="P108" s="1053">
        <v>3.77142</v>
      </c>
      <c r="Q108" s="1053">
        <v>4.594805</v>
      </c>
      <c r="R108" s="1053">
        <v>4.7995720000000004</v>
      </c>
      <c r="S108" s="1053">
        <v>4.9392990000000001</v>
      </c>
      <c r="T108" s="1053">
        <v>5.148549</v>
      </c>
      <c r="U108" s="1053">
        <v>5.425808</v>
      </c>
      <c r="V108" s="1053">
        <v>5.8458810000000003</v>
      </c>
      <c r="W108" s="1053">
        <v>5.9476060000000004</v>
      </c>
      <c r="X108" s="1053">
        <v>5.7923239999999998</v>
      </c>
      <c r="Y108" s="1053">
        <v>5.9347989999999999</v>
      </c>
      <c r="Z108" s="1053">
        <v>5.9545320000000004</v>
      </c>
      <c r="AA108" s="1053">
        <v>6.0522600000000004</v>
      </c>
      <c r="AB108" s="1053">
        <v>6.2273719999999999</v>
      </c>
      <c r="AC108" s="1053">
        <v>6.3209530000000003</v>
      </c>
      <c r="AD108" s="1053">
        <v>6.356109</v>
      </c>
      <c r="AE108" s="1053">
        <v>6.4293370000000003</v>
      </c>
      <c r="AF108" s="1053">
        <v>6.531498</v>
      </c>
      <c r="AG108" s="1053">
        <v>6.7357209999999998</v>
      </c>
      <c r="AH108" s="1053">
        <v>6.9891050000000003</v>
      </c>
      <c r="AI108" s="1053">
        <v>7.1038509999999997</v>
      </c>
      <c r="AJ108" s="1053">
        <v>7.224164</v>
      </c>
      <c r="AK108" s="1053">
        <v>7.420331</v>
      </c>
      <c r="AL108" s="1053">
        <v>7.5726420000000001</v>
      </c>
      <c r="AM108" s="1053">
        <v>7.7575940000000001</v>
      </c>
      <c r="AN108" s="1053">
        <v>8.0432100000000002</v>
      </c>
      <c r="AO108" s="1053">
        <v>8.0942129999999999</v>
      </c>
      <c r="AP108" s="1053">
        <v>8.1302479999999999</v>
      </c>
      <c r="AQ108" s="1053">
        <v>8.3372609999999998</v>
      </c>
      <c r="AR108" s="1053">
        <v>8.5934050000000006</v>
      </c>
      <c r="AS108" s="1049"/>
      <c r="AT108" s="1049"/>
      <c r="AU108" s="1049"/>
      <c r="AV108" s="1049"/>
      <c r="AW108" s="1049"/>
      <c r="AX108" s="1049"/>
      <c r="AY108" s="1049"/>
      <c r="AZ108" s="1049"/>
      <c r="BA108" s="1049"/>
      <c r="BB108" s="1049"/>
      <c r="BC108" s="1049"/>
      <c r="BD108" s="1049"/>
      <c r="BE108" s="1049"/>
      <c r="BF108" s="1049"/>
      <c r="BG108" s="1049"/>
      <c r="BH108" s="1049"/>
      <c r="BI108" s="1049"/>
      <c r="BJ108" s="1049"/>
      <c r="BK108" s="1049"/>
      <c r="BL108" s="1049"/>
      <c r="BM108" s="1049"/>
      <c r="BN108" s="1049"/>
      <c r="BO108" s="1049"/>
      <c r="BP108" s="1049"/>
      <c r="BQ108" s="1049"/>
      <c r="BR108" s="1049"/>
      <c r="BS108" s="1049"/>
      <c r="BT108" s="1049"/>
      <c r="BU108" s="1049"/>
      <c r="BV108" s="1051"/>
    </row>
    <row r="109" spans="1:104" s="1047" customFormat="1" x14ac:dyDescent="0.25">
      <c r="A109" s="1054" t="str">
        <f>'HyARC Physical Property Data'!$A$74</f>
        <v>Electric Utility Natural Gas</v>
      </c>
      <c r="B109" s="1049"/>
      <c r="C109" s="1050"/>
      <c r="D109" s="1247"/>
      <c r="E109" s="1050"/>
      <c r="F109" s="1049"/>
      <c r="G109" s="1049"/>
      <c r="H109" s="1049"/>
      <c r="I109" s="1049"/>
      <c r="J109" s="1049"/>
      <c r="K109" s="1049"/>
      <c r="L109" s="1049"/>
      <c r="M109" s="1049"/>
      <c r="N109" s="1049"/>
      <c r="O109" s="1053">
        <v>4.881901</v>
      </c>
      <c r="P109" s="1053">
        <v>3.4378730000000002</v>
      </c>
      <c r="Q109" s="1053">
        <v>4.3206319999999998</v>
      </c>
      <c r="R109" s="1053">
        <v>4.4694140000000004</v>
      </c>
      <c r="S109" s="1053">
        <v>4.4284980000000003</v>
      </c>
      <c r="T109" s="1053">
        <v>4.4748020000000004</v>
      </c>
      <c r="U109" s="1053">
        <v>4.6905669999999997</v>
      </c>
      <c r="V109" s="1053">
        <v>5.0621029999999996</v>
      </c>
      <c r="W109" s="1053">
        <v>5.1794200000000004</v>
      </c>
      <c r="X109" s="1053">
        <v>5.0744109999999996</v>
      </c>
      <c r="Y109" s="1053">
        <v>5.242337</v>
      </c>
      <c r="Z109" s="1053">
        <v>5.2943420000000003</v>
      </c>
      <c r="AA109" s="1053">
        <v>5.4200609999999996</v>
      </c>
      <c r="AB109" s="1053">
        <v>5.622217</v>
      </c>
      <c r="AC109" s="1053">
        <v>5.7577170000000004</v>
      </c>
      <c r="AD109" s="1053">
        <v>5.8140010000000002</v>
      </c>
      <c r="AE109" s="1053">
        <v>5.9051999999999998</v>
      </c>
      <c r="AF109" s="1053">
        <v>6.0276690000000004</v>
      </c>
      <c r="AG109" s="1053">
        <v>6.2437040000000001</v>
      </c>
      <c r="AH109" s="1053">
        <v>6.4934279999999998</v>
      </c>
      <c r="AI109" s="1053">
        <v>6.6170710000000001</v>
      </c>
      <c r="AJ109" s="1053">
        <v>6.726566</v>
      </c>
      <c r="AK109" s="1053">
        <v>6.9305599999999998</v>
      </c>
      <c r="AL109" s="1053">
        <v>7.0909170000000001</v>
      </c>
      <c r="AM109" s="1053">
        <v>7.286816</v>
      </c>
      <c r="AN109" s="1053">
        <v>7.5708000000000002</v>
      </c>
      <c r="AO109" s="1053">
        <v>7.630439</v>
      </c>
      <c r="AP109" s="1053">
        <v>7.6782940000000002</v>
      </c>
      <c r="AQ109" s="1053">
        <v>7.8974500000000001</v>
      </c>
      <c r="AR109" s="1053">
        <v>8.1587669999999992</v>
      </c>
      <c r="AS109" s="1049"/>
      <c r="AT109" s="1049"/>
      <c r="AU109" s="1049"/>
      <c r="AV109" s="1049"/>
      <c r="AW109" s="1049"/>
      <c r="AX109" s="1049"/>
      <c r="AY109" s="1049"/>
      <c r="AZ109" s="1049"/>
      <c r="BA109" s="1049"/>
      <c r="BB109" s="1049"/>
      <c r="BC109" s="1049"/>
      <c r="BD109" s="1049"/>
      <c r="BE109" s="1049"/>
      <c r="BF109" s="1049"/>
      <c r="BG109" s="1049"/>
      <c r="BH109" s="1049"/>
      <c r="BI109" s="1049"/>
      <c r="BJ109" s="1049"/>
      <c r="BK109" s="1049"/>
      <c r="BL109" s="1049"/>
      <c r="BM109" s="1049"/>
      <c r="BN109" s="1049"/>
      <c r="BO109" s="1049"/>
      <c r="BP109" s="1049"/>
      <c r="BQ109" s="1049"/>
      <c r="BR109" s="1049"/>
      <c r="BS109" s="1049"/>
      <c r="BT109" s="1049"/>
      <c r="BU109" s="1049"/>
      <c r="BV109" s="1051"/>
    </row>
    <row r="110" spans="1:104" s="1047" customFormat="1" x14ac:dyDescent="0.25">
      <c r="A110" s="1049" t="s">
        <v>1080</v>
      </c>
      <c r="B110" s="1049"/>
      <c r="C110" s="1050"/>
      <c r="D110" s="1247"/>
      <c r="E110" s="1050"/>
      <c r="F110" s="1049"/>
      <c r="G110" s="1049"/>
      <c r="H110" s="1049"/>
      <c r="I110" s="1049"/>
      <c r="J110" s="1049"/>
      <c r="K110" s="1049"/>
      <c r="L110" s="1049"/>
      <c r="M110" s="1049"/>
      <c r="N110" s="1049"/>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c r="AL110" s="1053"/>
      <c r="AM110" s="1053"/>
      <c r="AN110" s="1053"/>
      <c r="AO110" s="1053"/>
      <c r="AP110" s="1053"/>
      <c r="AQ110" s="1053"/>
      <c r="AR110" s="1053"/>
      <c r="AS110" s="1049"/>
      <c r="AT110" s="1049"/>
      <c r="AU110" s="1049"/>
      <c r="AV110" s="1049"/>
      <c r="AW110" s="1049"/>
      <c r="AX110" s="1049"/>
      <c r="AY110" s="1049"/>
      <c r="AZ110" s="1049"/>
      <c r="BA110" s="1049"/>
      <c r="BB110" s="1049"/>
      <c r="BC110" s="1049"/>
      <c r="BD110" s="1049"/>
      <c r="BE110" s="1049"/>
      <c r="BF110" s="1049"/>
      <c r="BG110" s="1049"/>
      <c r="BH110" s="1049"/>
      <c r="BI110" s="1049"/>
      <c r="BJ110" s="1049"/>
      <c r="BK110" s="1049"/>
      <c r="BL110" s="1049"/>
      <c r="BM110" s="1049"/>
      <c r="BN110" s="1049"/>
      <c r="BO110" s="1049"/>
      <c r="BP110" s="1049"/>
      <c r="BQ110" s="1049"/>
      <c r="BR110" s="1049"/>
      <c r="BS110" s="1049"/>
      <c r="BT110" s="1049"/>
      <c r="BU110" s="1049"/>
      <c r="BV110" s="1051"/>
    </row>
    <row r="111" spans="1:104" s="1047" customFormat="1" x14ac:dyDescent="0.25">
      <c r="A111" s="1069" t="s">
        <v>716</v>
      </c>
      <c r="B111" s="1049"/>
      <c r="C111" s="1050"/>
      <c r="D111" s="1247"/>
      <c r="E111" s="1050"/>
      <c r="F111" s="1049"/>
      <c r="G111" s="1049"/>
      <c r="H111" s="1049"/>
      <c r="I111" s="1049"/>
      <c r="J111" s="1049"/>
      <c r="K111" s="1049"/>
      <c r="L111" s="1049"/>
      <c r="M111" s="1049"/>
      <c r="N111" s="1049"/>
      <c r="O111" s="1053">
        <v>7.1348120000000002</v>
      </c>
      <c r="P111" s="1053">
        <v>7.25</v>
      </c>
      <c r="Q111" s="1053">
        <v>7.4339180000000002</v>
      </c>
      <c r="R111" s="1053">
        <v>7.5123340000000001</v>
      </c>
      <c r="S111" s="1053">
        <v>7.7593930000000002</v>
      </c>
      <c r="T111" s="1053">
        <v>7.9480709999999997</v>
      </c>
      <c r="U111" s="1053">
        <v>8.0483750000000001</v>
      </c>
      <c r="V111" s="1053">
        <v>8.1909299999999998</v>
      </c>
      <c r="W111" s="1053">
        <v>8.3009920000000008</v>
      </c>
      <c r="X111" s="1053">
        <v>8.4282590000000006</v>
      </c>
      <c r="Y111" s="1053">
        <v>8.5261879999999994</v>
      </c>
      <c r="Z111" s="1053">
        <v>8.6333680000000008</v>
      </c>
      <c r="AA111" s="1053">
        <v>8.7384330000000006</v>
      </c>
      <c r="AB111" s="1053">
        <v>8.8454820000000005</v>
      </c>
      <c r="AC111" s="1053">
        <v>8.9517559999999996</v>
      </c>
      <c r="AD111" s="1053">
        <v>9.0441529999999997</v>
      </c>
      <c r="AE111" s="1053">
        <v>9.1489940000000001</v>
      </c>
      <c r="AF111" s="1053">
        <v>9.2665970000000009</v>
      </c>
      <c r="AG111" s="1053">
        <v>9.3802029999999998</v>
      </c>
      <c r="AH111" s="1053">
        <v>9.5131180000000004</v>
      </c>
      <c r="AI111" s="1053">
        <v>9.5927720000000001</v>
      </c>
      <c r="AJ111" s="1053">
        <v>9.6736090000000008</v>
      </c>
      <c r="AK111" s="1053">
        <v>9.7592280000000002</v>
      </c>
      <c r="AL111" s="1053">
        <v>9.8373989999999996</v>
      </c>
      <c r="AM111" s="1053">
        <v>9.9349030000000003</v>
      </c>
      <c r="AN111" s="1053">
        <v>10.012817</v>
      </c>
      <c r="AO111" s="1053">
        <v>10.10066</v>
      </c>
      <c r="AP111" s="1053">
        <v>10.107113</v>
      </c>
      <c r="AQ111" s="1053">
        <v>10.135842</v>
      </c>
      <c r="AR111" s="1053">
        <v>10.197044999999999</v>
      </c>
      <c r="AS111" s="1049"/>
      <c r="AT111" s="1049"/>
      <c r="AU111" s="1049"/>
      <c r="AV111" s="1049"/>
      <c r="AW111" s="1049"/>
      <c r="AX111" s="1049"/>
      <c r="AY111" s="1049"/>
      <c r="AZ111" s="1049"/>
      <c r="BA111" s="1049"/>
      <c r="BB111" s="1049"/>
      <c r="BC111" s="1049"/>
      <c r="BD111" s="1049"/>
      <c r="BE111" s="1049"/>
      <c r="BF111" s="1049"/>
      <c r="BG111" s="1049"/>
      <c r="BH111" s="1049"/>
      <c r="BI111" s="1049"/>
      <c r="BJ111" s="1049"/>
      <c r="BK111" s="1049"/>
      <c r="BL111" s="1049"/>
      <c r="BM111" s="1049"/>
      <c r="BN111" s="1049"/>
      <c r="BO111" s="1049"/>
      <c r="BP111" s="1049"/>
      <c r="BQ111" s="1049"/>
      <c r="BR111" s="1049"/>
      <c r="BS111" s="1049"/>
      <c r="BT111" s="1049"/>
      <c r="BU111" s="1049"/>
      <c r="BV111" s="1051"/>
    </row>
    <row r="112" spans="1:104" s="1047" customFormat="1" x14ac:dyDescent="0.25">
      <c r="A112" s="1069" t="s">
        <v>717</v>
      </c>
      <c r="B112" s="1049"/>
      <c r="C112" s="1050"/>
      <c r="D112" s="1247"/>
      <c r="E112" s="1050"/>
      <c r="F112" s="1049"/>
      <c r="G112" s="1049"/>
      <c r="H112" s="1049"/>
      <c r="I112" s="1049"/>
      <c r="J112" s="1049"/>
      <c r="K112" s="1049"/>
      <c r="L112" s="1049"/>
      <c r="M112" s="1049"/>
      <c r="N112" s="1049"/>
      <c r="O112" s="1053">
        <v>3.3073760000000001</v>
      </c>
      <c r="P112" s="1053">
        <v>3.2396150000000001</v>
      </c>
      <c r="Q112" s="1053">
        <v>3.3150900000000001</v>
      </c>
      <c r="R112" s="1053">
        <v>3.2817340000000002</v>
      </c>
      <c r="S112" s="1053">
        <v>3.3761420000000002</v>
      </c>
      <c r="T112" s="1053">
        <v>3.437208</v>
      </c>
      <c r="U112" s="1053">
        <v>3.4609869999999998</v>
      </c>
      <c r="V112" s="1053">
        <v>3.5206819999999999</v>
      </c>
      <c r="W112" s="1053">
        <v>3.5610849999999998</v>
      </c>
      <c r="X112" s="1053">
        <v>3.5932520000000001</v>
      </c>
      <c r="Y112" s="1053">
        <v>3.6143869999999998</v>
      </c>
      <c r="Z112" s="1053">
        <v>3.6395840000000002</v>
      </c>
      <c r="AA112" s="1053">
        <v>3.6651829999999999</v>
      </c>
      <c r="AB112" s="1053">
        <v>3.697009</v>
      </c>
      <c r="AC112" s="1053">
        <v>3.7274949999999998</v>
      </c>
      <c r="AD112" s="1053">
        <v>3.7560980000000002</v>
      </c>
      <c r="AE112" s="1053">
        <v>3.7847550000000001</v>
      </c>
      <c r="AF112" s="1053">
        <v>3.8163930000000001</v>
      </c>
      <c r="AG112" s="1053">
        <v>3.8450039999999999</v>
      </c>
      <c r="AH112" s="1053">
        <v>3.8844850000000002</v>
      </c>
      <c r="AI112" s="1053">
        <v>3.9155440000000001</v>
      </c>
      <c r="AJ112" s="1053">
        <v>3.944798</v>
      </c>
      <c r="AK112" s="1053">
        <v>3.9761479999999998</v>
      </c>
      <c r="AL112" s="1053">
        <v>4.0004489999999997</v>
      </c>
      <c r="AM112" s="1053">
        <v>4.0294249999999998</v>
      </c>
      <c r="AN112" s="1053">
        <v>4.0600360000000002</v>
      </c>
      <c r="AO112" s="1053">
        <v>4.0903939999999999</v>
      </c>
      <c r="AP112" s="1053">
        <v>4.1171660000000001</v>
      </c>
      <c r="AQ112" s="1053">
        <v>4.1493070000000003</v>
      </c>
      <c r="AR112" s="1053">
        <v>4.1898999999999997</v>
      </c>
      <c r="AS112" s="1049"/>
      <c r="AT112" s="1049"/>
      <c r="AU112" s="1049"/>
      <c r="AV112" s="1049"/>
      <c r="AW112" s="1049"/>
      <c r="AX112" s="1049"/>
      <c r="AY112" s="1049"/>
      <c r="AZ112" s="1049"/>
      <c r="BA112" s="1049"/>
      <c r="BB112" s="1049"/>
      <c r="BC112" s="1049"/>
      <c r="BD112" s="1049"/>
      <c r="BE112" s="1049"/>
      <c r="BF112" s="1049"/>
      <c r="BG112" s="1049"/>
      <c r="BH112" s="1049"/>
      <c r="BI112" s="1049"/>
      <c r="BJ112" s="1049"/>
      <c r="BK112" s="1049"/>
      <c r="BL112" s="1049"/>
      <c r="BM112" s="1049"/>
      <c r="BN112" s="1049"/>
      <c r="BO112" s="1049"/>
      <c r="BP112" s="1049"/>
      <c r="BQ112" s="1049"/>
      <c r="BR112" s="1049"/>
      <c r="BS112" s="1049"/>
      <c r="BT112" s="1049"/>
      <c r="BU112" s="1049"/>
      <c r="BV112" s="1051"/>
    </row>
    <row r="113" spans="1:74" s="1047" customFormat="1" x14ac:dyDescent="0.25">
      <c r="A113" s="1052" t="s">
        <v>1086</v>
      </c>
      <c r="B113" s="1049"/>
      <c r="C113" s="1050"/>
      <c r="D113" s="1247"/>
      <c r="E113" s="1050"/>
      <c r="F113" s="1049"/>
      <c r="G113" s="1049"/>
      <c r="H113" s="1049"/>
      <c r="I113" s="1049"/>
      <c r="J113" s="1049"/>
      <c r="K113" s="1049"/>
      <c r="L113" s="1049"/>
      <c r="M113" s="1049"/>
      <c r="N113" s="1049"/>
      <c r="O113" s="1053">
        <v>2.4223750000000002</v>
      </c>
      <c r="P113" s="1053">
        <v>2.39</v>
      </c>
      <c r="Q113" s="1053">
        <v>2.37385</v>
      </c>
      <c r="R113" s="1053">
        <v>2.329834</v>
      </c>
      <c r="S113" s="1053">
        <v>2.4039359999999999</v>
      </c>
      <c r="T113" s="1053">
        <v>2.422212</v>
      </c>
      <c r="U113" s="1053">
        <v>2.4863749999999998</v>
      </c>
      <c r="V113" s="1053">
        <v>2.5503130000000001</v>
      </c>
      <c r="W113" s="1053">
        <v>2.589102</v>
      </c>
      <c r="X113" s="1053">
        <v>2.6113439999999999</v>
      </c>
      <c r="Y113" s="1053">
        <v>2.6429999999999998</v>
      </c>
      <c r="Z113" s="1053">
        <v>2.675691</v>
      </c>
      <c r="AA113" s="1053">
        <v>2.7024710000000001</v>
      </c>
      <c r="AB113" s="1053">
        <v>2.7390279999999998</v>
      </c>
      <c r="AC113" s="1053">
        <v>2.7738589999999999</v>
      </c>
      <c r="AD113" s="1053">
        <v>2.807261</v>
      </c>
      <c r="AE113" s="1053">
        <v>2.8368190000000002</v>
      </c>
      <c r="AF113" s="1053">
        <v>2.8649870000000002</v>
      </c>
      <c r="AG113" s="1053">
        <v>2.8913859999999998</v>
      </c>
      <c r="AH113" s="1053">
        <v>2.9256030000000002</v>
      </c>
      <c r="AI113" s="1053">
        <v>2.9494180000000001</v>
      </c>
      <c r="AJ113" s="1053">
        <v>2.9743849999999998</v>
      </c>
      <c r="AK113" s="1053">
        <v>3.0006210000000002</v>
      </c>
      <c r="AL113" s="1053">
        <v>3.0244930000000001</v>
      </c>
      <c r="AM113" s="1053">
        <v>3.050074</v>
      </c>
      <c r="AN113" s="1053">
        <v>3.076149</v>
      </c>
      <c r="AO113" s="1053">
        <v>3.099027</v>
      </c>
      <c r="AP113" s="1053">
        <v>3.1208209999999998</v>
      </c>
      <c r="AQ113" s="1053">
        <v>3.153797</v>
      </c>
      <c r="AR113" s="1053">
        <v>3.1896749999999998</v>
      </c>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1049"/>
      <c r="BL113" s="1049"/>
      <c r="BM113" s="1049"/>
      <c r="BN113" s="1049"/>
      <c r="BO113" s="1049"/>
      <c r="BP113" s="1049"/>
      <c r="BQ113" s="1049"/>
      <c r="BR113" s="1049"/>
      <c r="BS113" s="1049"/>
      <c r="BT113" s="1049"/>
      <c r="BU113" s="1049"/>
      <c r="BV113" s="1051"/>
    </row>
    <row r="114" spans="1:74" s="1047" customFormat="1" x14ac:dyDescent="0.25">
      <c r="A114" s="1052" t="s">
        <v>683</v>
      </c>
      <c r="B114" s="1049"/>
      <c r="C114" s="1050"/>
      <c r="D114" s="1247"/>
      <c r="E114" s="1050"/>
      <c r="F114" s="1049"/>
      <c r="G114" s="1049"/>
      <c r="H114" s="1049"/>
      <c r="I114" s="1049"/>
      <c r="J114" s="1049"/>
      <c r="K114" s="1049"/>
      <c r="L114" s="1049"/>
      <c r="M114" s="1049"/>
      <c r="N114" s="1049"/>
      <c r="O114" s="1053">
        <v>30.531154999999998</v>
      </c>
      <c r="P114" s="1053">
        <v>29.553346999999999</v>
      </c>
      <c r="Q114" s="1053">
        <v>29.462689999999998</v>
      </c>
      <c r="R114" s="1053">
        <v>29.619807999999999</v>
      </c>
      <c r="S114" s="1053">
        <v>29.992000999999998</v>
      </c>
      <c r="T114" s="1053">
        <v>30.137812</v>
      </c>
      <c r="U114" s="1053">
        <v>30.368880999999998</v>
      </c>
      <c r="V114" s="1053">
        <v>30.723389000000001</v>
      </c>
      <c r="W114" s="1053">
        <v>31.014326000000001</v>
      </c>
      <c r="X114" s="1053">
        <v>30.799534000000001</v>
      </c>
      <c r="Y114" s="1053">
        <v>30.631943</v>
      </c>
      <c r="Z114" s="1053">
        <v>30.294862999999999</v>
      </c>
      <c r="AA114" s="1053">
        <v>30.159492</v>
      </c>
      <c r="AB114" s="1053">
        <v>30.497467</v>
      </c>
      <c r="AC114" s="1053">
        <v>30.549484</v>
      </c>
      <c r="AD114" s="1053">
        <v>30.628119000000002</v>
      </c>
      <c r="AE114" s="1053">
        <v>30.831617000000001</v>
      </c>
      <c r="AF114" s="1053">
        <v>30.906943999999999</v>
      </c>
      <c r="AG114" s="1053">
        <v>31.016119</v>
      </c>
      <c r="AH114" s="1053">
        <v>31.259630000000001</v>
      </c>
      <c r="AI114" s="1053">
        <v>31.506346000000001</v>
      </c>
      <c r="AJ114" s="1053">
        <v>31.548763000000001</v>
      </c>
      <c r="AK114" s="1053">
        <v>31.537307999999999</v>
      </c>
      <c r="AL114" s="1053">
        <v>31.727125000000001</v>
      </c>
      <c r="AM114" s="1053">
        <v>31.983875000000001</v>
      </c>
      <c r="AN114" s="1053">
        <v>32.252009999999999</v>
      </c>
      <c r="AO114" s="1053">
        <v>32.456364000000001</v>
      </c>
      <c r="AP114" s="1053">
        <v>32.526015999999998</v>
      </c>
      <c r="AQ114" s="1053">
        <v>32.747635000000002</v>
      </c>
      <c r="AR114" s="1053">
        <v>33.007354999999997</v>
      </c>
      <c r="AS114" s="1049"/>
      <c r="AT114" s="1049"/>
      <c r="AU114" s="1049"/>
      <c r="AV114" s="1049"/>
      <c r="AW114" s="1049"/>
      <c r="AX114" s="1049"/>
      <c r="AY114" s="1049"/>
      <c r="AZ114" s="1049"/>
      <c r="BA114" s="1049"/>
      <c r="BB114" s="1049"/>
      <c r="BC114" s="1049"/>
      <c r="BD114" s="1049"/>
      <c r="BE114" s="1049"/>
      <c r="BF114" s="1049"/>
      <c r="BG114" s="1049"/>
      <c r="BH114" s="1049"/>
      <c r="BI114" s="1049"/>
      <c r="BJ114" s="1049"/>
      <c r="BK114" s="1049"/>
      <c r="BL114" s="1049"/>
      <c r="BM114" s="1049"/>
      <c r="BN114" s="1049"/>
      <c r="BO114" s="1049"/>
      <c r="BP114" s="1049"/>
      <c r="BQ114" s="1049"/>
      <c r="BR114" s="1049"/>
      <c r="BS114" s="1049"/>
      <c r="BT114" s="1049"/>
      <c r="BU114" s="1049"/>
      <c r="BV114" s="1051"/>
    </row>
    <row r="115" spans="1:74" s="1047" customFormat="1" x14ac:dyDescent="0.25">
      <c r="A115" s="1052" t="s">
        <v>698</v>
      </c>
      <c r="B115" s="1049"/>
      <c r="C115" s="1050"/>
      <c r="D115" s="1247"/>
      <c r="E115" s="1050"/>
      <c r="F115" s="1049"/>
      <c r="G115" s="1049"/>
      <c r="H115" s="1049"/>
      <c r="I115" s="1049"/>
      <c r="J115" s="1049"/>
      <c r="K115" s="1049"/>
      <c r="L115" s="1049"/>
      <c r="M115" s="1049"/>
      <c r="N115" s="1049"/>
      <c r="O115" s="1053">
        <v>20.348036</v>
      </c>
      <c r="P115" s="1053">
        <v>19.495602000000002</v>
      </c>
      <c r="Q115" s="1053">
        <v>20.081951</v>
      </c>
      <c r="R115" s="1053">
        <v>19.872589000000001</v>
      </c>
      <c r="S115" s="1053">
        <v>20.106300000000001</v>
      </c>
      <c r="T115" s="1053">
        <v>20.110336</v>
      </c>
      <c r="U115" s="1053">
        <v>20.286434</v>
      </c>
      <c r="V115" s="1053">
        <v>20.591933999999998</v>
      </c>
      <c r="W115" s="1053">
        <v>20.859487999999999</v>
      </c>
      <c r="X115" s="1053">
        <v>20.769625000000001</v>
      </c>
      <c r="Y115" s="1053">
        <v>20.751276000000001</v>
      </c>
      <c r="Z115" s="1053">
        <v>20.654140000000002</v>
      </c>
      <c r="AA115" s="1053">
        <v>20.663025000000001</v>
      </c>
      <c r="AB115" s="1053">
        <v>20.946209</v>
      </c>
      <c r="AC115" s="1053">
        <v>21.079236999999999</v>
      </c>
      <c r="AD115" s="1053">
        <v>21.236912</v>
      </c>
      <c r="AE115" s="1053">
        <v>21.461658</v>
      </c>
      <c r="AF115" s="1053">
        <v>21.586451</v>
      </c>
      <c r="AG115" s="1053">
        <v>21.737777999999999</v>
      </c>
      <c r="AH115" s="1053">
        <v>21.988303999999999</v>
      </c>
      <c r="AI115" s="1053">
        <v>22.237325999999999</v>
      </c>
      <c r="AJ115" s="1053">
        <v>22.342414999999999</v>
      </c>
      <c r="AK115" s="1053">
        <v>22.437189</v>
      </c>
      <c r="AL115" s="1053">
        <v>22.654578999999998</v>
      </c>
      <c r="AM115" s="1053">
        <v>22.911854000000002</v>
      </c>
      <c r="AN115" s="1053">
        <v>23.191139</v>
      </c>
      <c r="AO115" s="1053">
        <v>23.409314999999999</v>
      </c>
      <c r="AP115" s="1053">
        <v>23.521646</v>
      </c>
      <c r="AQ115" s="1053">
        <v>23.76399</v>
      </c>
      <c r="AR115" s="1053">
        <v>24.052772999999998</v>
      </c>
      <c r="AS115" s="1049"/>
      <c r="AT115" s="1049"/>
      <c r="AU115" s="1049"/>
      <c r="AV115" s="1049"/>
      <c r="AW115" s="1049"/>
      <c r="AX115" s="1049"/>
      <c r="AY115" s="1049"/>
      <c r="AZ115" s="1049"/>
      <c r="BA115" s="1049"/>
      <c r="BB115" s="1049"/>
      <c r="BC115" s="1049"/>
      <c r="BD115" s="1049"/>
      <c r="BE115" s="1049"/>
      <c r="BF115" s="1049"/>
      <c r="BG115" s="1049"/>
      <c r="BH115" s="1049"/>
      <c r="BI115" s="1049"/>
      <c r="BJ115" s="1049"/>
      <c r="BK115" s="1049"/>
      <c r="BL115" s="1049"/>
      <c r="BM115" s="1049"/>
      <c r="BN115" s="1049"/>
      <c r="BO115" s="1049"/>
      <c r="BP115" s="1049"/>
      <c r="BQ115" s="1049"/>
      <c r="BR115" s="1049"/>
      <c r="BS115" s="1049"/>
      <c r="BT115" s="1049"/>
      <c r="BU115" s="1049"/>
      <c r="BV115" s="1051"/>
    </row>
    <row r="116" spans="1:74" s="1047" customFormat="1" ht="13" thickBot="1" x14ac:dyDescent="0.3">
      <c r="A116" s="1056" t="s">
        <v>684</v>
      </c>
      <c r="B116" s="1057"/>
      <c r="C116" s="1058"/>
      <c r="D116" s="1058"/>
      <c r="E116" s="1058"/>
      <c r="F116" s="1057"/>
      <c r="G116" s="1057"/>
      <c r="H116" s="1057"/>
      <c r="I116" s="1057"/>
      <c r="J116" s="1057"/>
      <c r="K116" s="1057"/>
      <c r="L116" s="1057"/>
      <c r="M116" s="1057"/>
      <c r="N116" s="1057"/>
      <c r="O116" s="1059">
        <v>34.952885000000002</v>
      </c>
      <c r="P116" s="1059">
        <v>34.831184</v>
      </c>
      <c r="Q116" s="1059">
        <v>34.015979999999999</v>
      </c>
      <c r="R116" s="1059">
        <v>34.409668000000003</v>
      </c>
      <c r="S116" s="1059">
        <v>34.941752999999999</v>
      </c>
      <c r="T116" s="1059">
        <v>35.163139000000001</v>
      </c>
      <c r="U116" s="1059">
        <v>35.519157</v>
      </c>
      <c r="V116" s="1059">
        <v>35.913296000000003</v>
      </c>
      <c r="W116" s="1059">
        <v>36.178234000000003</v>
      </c>
      <c r="X116" s="1059">
        <v>36.146892999999999</v>
      </c>
      <c r="Y116" s="1059">
        <v>36.061802</v>
      </c>
      <c r="Z116" s="1059">
        <v>35.804130999999998</v>
      </c>
      <c r="AA116" s="1059">
        <v>35.695621000000003</v>
      </c>
      <c r="AB116" s="1059">
        <v>36.040774999999996</v>
      </c>
      <c r="AC116" s="1059">
        <v>36.141415000000002</v>
      </c>
      <c r="AD116" s="1059">
        <v>36.246937000000003</v>
      </c>
      <c r="AE116" s="1059">
        <v>36.470740999999997</v>
      </c>
      <c r="AF116" s="1059">
        <v>36.579631999999997</v>
      </c>
      <c r="AG116" s="1059">
        <v>36.725307000000001</v>
      </c>
      <c r="AH116" s="1059">
        <v>36.981831</v>
      </c>
      <c r="AI116" s="1059">
        <v>37.256236999999999</v>
      </c>
      <c r="AJ116" s="1059">
        <v>37.335673999999997</v>
      </c>
      <c r="AK116" s="1059">
        <v>37.369007000000003</v>
      </c>
      <c r="AL116" s="1059">
        <v>37.567386999999997</v>
      </c>
      <c r="AM116" s="1059">
        <v>37.817901999999997</v>
      </c>
      <c r="AN116" s="1059">
        <v>38.082256000000001</v>
      </c>
      <c r="AO116" s="1059">
        <v>38.298912000000001</v>
      </c>
      <c r="AP116" s="1059">
        <v>38.369354000000001</v>
      </c>
      <c r="AQ116" s="1059">
        <v>38.582217999999997</v>
      </c>
      <c r="AR116" s="1059">
        <v>38.834609999999998</v>
      </c>
      <c r="AS116" s="1057"/>
      <c r="AT116" s="1057"/>
      <c r="AU116" s="1057"/>
      <c r="AV116" s="1057"/>
      <c r="AW116" s="1057"/>
      <c r="AX116" s="1057"/>
      <c r="AY116" s="1057"/>
      <c r="AZ116" s="1057"/>
      <c r="BA116" s="1057"/>
      <c r="BB116" s="1057"/>
      <c r="BC116" s="1057"/>
      <c r="BD116" s="1057"/>
      <c r="BE116" s="1057"/>
      <c r="BF116" s="1057"/>
      <c r="BG116" s="1057"/>
      <c r="BH116" s="1057"/>
      <c r="BI116" s="1057"/>
      <c r="BJ116" s="1057"/>
      <c r="BK116" s="1057"/>
      <c r="BL116" s="1057"/>
      <c r="BM116" s="1057"/>
      <c r="BN116" s="1057"/>
      <c r="BO116" s="1057"/>
      <c r="BP116" s="1057"/>
      <c r="BQ116" s="1057"/>
      <c r="BR116" s="1057"/>
      <c r="BS116" s="1057"/>
      <c r="BT116" s="1057"/>
      <c r="BU116" s="1057"/>
      <c r="BV116" s="1060"/>
    </row>
    <row r="129" spans="1:104" ht="13" thickBot="1" x14ac:dyDescent="0.3"/>
    <row r="130" spans="1:104" ht="13" x14ac:dyDescent="0.3">
      <c r="A130" s="1375" t="s">
        <v>1289</v>
      </c>
      <c r="B130" s="1376" t="str">
        <f>"Prices are in $(" &amp; ref_year&amp;")/GJ LHV"</f>
        <v>Prices are in $(2016)/GJ LHV</v>
      </c>
      <c r="C130" s="1376"/>
      <c r="D130" s="1377"/>
      <c r="E130" s="1376"/>
      <c r="F130" s="954"/>
      <c r="G130" s="954"/>
      <c r="H130" s="954"/>
      <c r="I130" s="954"/>
      <c r="J130" s="954"/>
      <c r="K130" s="954"/>
      <c r="L130" s="954"/>
      <c r="M130" s="954"/>
      <c r="N130" s="954"/>
      <c r="O130" s="954"/>
      <c r="P130" s="954"/>
      <c r="Q130" s="954"/>
      <c r="R130" s="954"/>
      <c r="S130" s="954"/>
      <c r="T130" s="954"/>
      <c r="U130" s="954"/>
      <c r="V130" s="954"/>
      <c r="W130" s="954"/>
      <c r="X130" s="954"/>
      <c r="Y130" s="954"/>
      <c r="Z130" s="954"/>
      <c r="AA130" s="954"/>
      <c r="AB130" s="954"/>
      <c r="AC130" s="954"/>
      <c r="AD130" s="954"/>
      <c r="AE130" s="954"/>
      <c r="AF130" s="954"/>
      <c r="AG130" s="954"/>
      <c r="AH130" s="954"/>
      <c r="AI130" s="954"/>
      <c r="AJ130" s="954"/>
      <c r="AK130" s="954"/>
      <c r="AL130" s="954"/>
      <c r="AM130" s="954"/>
      <c r="AN130" s="954"/>
      <c r="AO130" s="954"/>
      <c r="AP130" s="954"/>
      <c r="AQ130" s="954"/>
      <c r="AR130" s="954"/>
      <c r="AS130" s="1378"/>
      <c r="AT130" s="1378"/>
      <c r="AU130" s="1378"/>
      <c r="AV130" s="1378"/>
      <c r="AW130" s="1378"/>
      <c r="AX130" s="1378"/>
      <c r="AY130" s="1378"/>
      <c r="AZ130" s="1378"/>
      <c r="BA130" s="1378"/>
      <c r="BB130" s="1379" t="s">
        <v>1290</v>
      </c>
      <c r="BC130" s="1380"/>
      <c r="BD130" s="1380"/>
      <c r="BE130" s="1380"/>
      <c r="BF130" s="1380"/>
      <c r="BG130" s="1380"/>
      <c r="BH130" s="1380"/>
      <c r="BI130" s="1380"/>
      <c r="BJ130" s="1380"/>
      <c r="BK130" s="1380"/>
      <c r="BL130" s="1380"/>
      <c r="BM130" s="1380"/>
      <c r="BN130" s="1380"/>
      <c r="BO130" s="1380"/>
      <c r="BP130" s="1380"/>
      <c r="BQ130" s="1380"/>
      <c r="BR130" s="1380"/>
      <c r="BS130" s="1380"/>
      <c r="BT130" s="1380"/>
      <c r="BU130" s="1380"/>
      <c r="BV130" s="1380"/>
      <c r="BW130" s="1380"/>
      <c r="BX130" s="1380"/>
      <c r="BY130" s="1380"/>
      <c r="BZ130" s="1380"/>
      <c r="CA130" s="1380"/>
      <c r="CB130" s="1380"/>
      <c r="CC130" s="1380"/>
      <c r="CD130" s="1380"/>
      <c r="CE130" s="1380"/>
      <c r="CF130" s="1380"/>
      <c r="CG130" s="1380"/>
      <c r="CH130" s="1380"/>
      <c r="CI130" s="1380"/>
      <c r="CJ130" s="1380"/>
      <c r="CK130" s="1380"/>
      <c r="CL130" s="1380"/>
      <c r="CM130" s="1380"/>
      <c r="CN130" s="1380"/>
      <c r="CO130" s="1380"/>
      <c r="CP130" s="1380"/>
      <c r="CQ130" s="1380"/>
      <c r="CR130" s="1380"/>
      <c r="CS130" s="1380"/>
      <c r="CT130" s="1380"/>
      <c r="CU130" s="1380"/>
      <c r="CV130" s="1380"/>
      <c r="CW130" s="1380"/>
      <c r="CX130" s="1380"/>
      <c r="CY130" s="1380"/>
      <c r="CZ130" s="1381"/>
    </row>
    <row r="131" spans="1:104" ht="39.5" thickBot="1" x14ac:dyDescent="0.35">
      <c r="A131" s="1382" t="s">
        <v>1083</v>
      </c>
      <c r="B131" s="1117" t="s">
        <v>678</v>
      </c>
      <c r="C131" s="1117" t="s">
        <v>679</v>
      </c>
      <c r="D131" s="1250" t="s">
        <v>690</v>
      </c>
      <c r="E131" s="1117" t="s">
        <v>691</v>
      </c>
      <c r="F131" s="1118" t="s">
        <v>680</v>
      </c>
      <c r="G131" s="1118" t="s">
        <v>692</v>
      </c>
      <c r="H131" s="886">
        <v>2004</v>
      </c>
      <c r="I131" s="886">
        <f>+H131+1</f>
        <v>2005</v>
      </c>
      <c r="J131" s="886">
        <f t="shared" ref="J131:BU131" si="265">+I131+1</f>
        <v>2006</v>
      </c>
      <c r="K131" s="886">
        <f t="shared" si="265"/>
        <v>2007</v>
      </c>
      <c r="L131" s="886">
        <f t="shared" si="265"/>
        <v>2008</v>
      </c>
      <c r="M131" s="886">
        <f t="shared" si="265"/>
        <v>2009</v>
      </c>
      <c r="N131" s="886">
        <f t="shared" si="265"/>
        <v>2010</v>
      </c>
      <c r="O131" s="886">
        <f t="shared" si="265"/>
        <v>2011</v>
      </c>
      <c r="P131" s="886">
        <f t="shared" si="265"/>
        <v>2012</v>
      </c>
      <c r="Q131" s="886">
        <f t="shared" si="265"/>
        <v>2013</v>
      </c>
      <c r="R131" s="886">
        <f t="shared" si="265"/>
        <v>2014</v>
      </c>
      <c r="S131" s="886">
        <f t="shared" si="265"/>
        <v>2015</v>
      </c>
      <c r="T131" s="886">
        <f t="shared" si="265"/>
        <v>2016</v>
      </c>
      <c r="U131" s="886">
        <f t="shared" si="265"/>
        <v>2017</v>
      </c>
      <c r="V131" s="886">
        <f t="shared" si="265"/>
        <v>2018</v>
      </c>
      <c r="W131" s="886">
        <f t="shared" si="265"/>
        <v>2019</v>
      </c>
      <c r="X131" s="886">
        <f t="shared" si="265"/>
        <v>2020</v>
      </c>
      <c r="Y131" s="886">
        <f t="shared" si="265"/>
        <v>2021</v>
      </c>
      <c r="Z131" s="886">
        <f t="shared" si="265"/>
        <v>2022</v>
      </c>
      <c r="AA131" s="886">
        <f t="shared" si="265"/>
        <v>2023</v>
      </c>
      <c r="AB131" s="886">
        <f t="shared" si="265"/>
        <v>2024</v>
      </c>
      <c r="AC131" s="886">
        <f t="shared" si="265"/>
        <v>2025</v>
      </c>
      <c r="AD131" s="886">
        <f t="shared" si="265"/>
        <v>2026</v>
      </c>
      <c r="AE131" s="886">
        <f t="shared" si="265"/>
        <v>2027</v>
      </c>
      <c r="AF131" s="886">
        <f t="shared" si="265"/>
        <v>2028</v>
      </c>
      <c r="AG131" s="886">
        <f t="shared" si="265"/>
        <v>2029</v>
      </c>
      <c r="AH131" s="886">
        <f t="shared" si="265"/>
        <v>2030</v>
      </c>
      <c r="AI131" s="886">
        <f t="shared" si="265"/>
        <v>2031</v>
      </c>
      <c r="AJ131" s="886">
        <f t="shared" si="265"/>
        <v>2032</v>
      </c>
      <c r="AK131" s="886">
        <f t="shared" si="265"/>
        <v>2033</v>
      </c>
      <c r="AL131" s="886">
        <f t="shared" si="265"/>
        <v>2034</v>
      </c>
      <c r="AM131" s="886">
        <f t="shared" si="265"/>
        <v>2035</v>
      </c>
      <c r="AN131" s="886">
        <f t="shared" si="265"/>
        <v>2036</v>
      </c>
      <c r="AO131" s="886">
        <f t="shared" si="265"/>
        <v>2037</v>
      </c>
      <c r="AP131" s="886">
        <f t="shared" si="265"/>
        <v>2038</v>
      </c>
      <c r="AQ131" s="886">
        <f t="shared" si="265"/>
        <v>2039</v>
      </c>
      <c r="AR131" s="886">
        <f t="shared" si="265"/>
        <v>2040</v>
      </c>
      <c r="AS131" s="886">
        <f t="shared" si="265"/>
        <v>2041</v>
      </c>
      <c r="AT131" s="886">
        <f t="shared" si="265"/>
        <v>2042</v>
      </c>
      <c r="AU131" s="886">
        <f t="shared" si="265"/>
        <v>2043</v>
      </c>
      <c r="AV131" s="886">
        <f t="shared" si="265"/>
        <v>2044</v>
      </c>
      <c r="AW131" s="886">
        <f t="shared" si="265"/>
        <v>2045</v>
      </c>
      <c r="AX131" s="886">
        <f t="shared" si="265"/>
        <v>2046</v>
      </c>
      <c r="AY131" s="886">
        <f t="shared" si="265"/>
        <v>2047</v>
      </c>
      <c r="AZ131" s="886">
        <f t="shared" si="265"/>
        <v>2048</v>
      </c>
      <c r="BA131" s="886">
        <f t="shared" si="265"/>
        <v>2049</v>
      </c>
      <c r="BB131" s="886">
        <f t="shared" si="265"/>
        <v>2050</v>
      </c>
      <c r="BC131" s="886">
        <f t="shared" si="265"/>
        <v>2051</v>
      </c>
      <c r="BD131" s="886">
        <f t="shared" si="265"/>
        <v>2052</v>
      </c>
      <c r="BE131" s="886">
        <f t="shared" si="265"/>
        <v>2053</v>
      </c>
      <c r="BF131" s="886">
        <f t="shared" si="265"/>
        <v>2054</v>
      </c>
      <c r="BG131" s="886">
        <f t="shared" si="265"/>
        <v>2055</v>
      </c>
      <c r="BH131" s="886">
        <f t="shared" si="265"/>
        <v>2056</v>
      </c>
      <c r="BI131" s="886">
        <f t="shared" si="265"/>
        <v>2057</v>
      </c>
      <c r="BJ131" s="886">
        <f t="shared" si="265"/>
        <v>2058</v>
      </c>
      <c r="BK131" s="886">
        <f t="shared" si="265"/>
        <v>2059</v>
      </c>
      <c r="BL131" s="886">
        <f t="shared" si="265"/>
        <v>2060</v>
      </c>
      <c r="BM131" s="886">
        <f t="shared" si="265"/>
        <v>2061</v>
      </c>
      <c r="BN131" s="886">
        <f t="shared" si="265"/>
        <v>2062</v>
      </c>
      <c r="BO131" s="886">
        <f t="shared" si="265"/>
        <v>2063</v>
      </c>
      <c r="BP131" s="886">
        <f t="shared" si="265"/>
        <v>2064</v>
      </c>
      <c r="BQ131" s="886">
        <f t="shared" si="265"/>
        <v>2065</v>
      </c>
      <c r="BR131" s="886">
        <f t="shared" si="265"/>
        <v>2066</v>
      </c>
      <c r="BS131" s="886">
        <f t="shared" si="265"/>
        <v>2067</v>
      </c>
      <c r="BT131" s="886">
        <f t="shared" si="265"/>
        <v>2068</v>
      </c>
      <c r="BU131" s="886">
        <f t="shared" si="265"/>
        <v>2069</v>
      </c>
      <c r="BV131" s="886">
        <f t="shared" ref="BV131:CZ131" si="266">+BU131+1</f>
        <v>2070</v>
      </c>
      <c r="BW131" s="886">
        <f t="shared" si="266"/>
        <v>2071</v>
      </c>
      <c r="BX131" s="886">
        <f t="shared" si="266"/>
        <v>2072</v>
      </c>
      <c r="BY131" s="886">
        <f t="shared" si="266"/>
        <v>2073</v>
      </c>
      <c r="BZ131" s="886">
        <f t="shared" si="266"/>
        <v>2074</v>
      </c>
      <c r="CA131" s="886">
        <f t="shared" si="266"/>
        <v>2075</v>
      </c>
      <c r="CB131" s="886">
        <f t="shared" si="266"/>
        <v>2076</v>
      </c>
      <c r="CC131" s="886">
        <f t="shared" si="266"/>
        <v>2077</v>
      </c>
      <c r="CD131" s="886">
        <f t="shared" si="266"/>
        <v>2078</v>
      </c>
      <c r="CE131" s="886">
        <f t="shared" si="266"/>
        <v>2079</v>
      </c>
      <c r="CF131" s="886">
        <f t="shared" si="266"/>
        <v>2080</v>
      </c>
      <c r="CG131" s="886">
        <f t="shared" si="266"/>
        <v>2081</v>
      </c>
      <c r="CH131" s="886">
        <f t="shared" si="266"/>
        <v>2082</v>
      </c>
      <c r="CI131" s="886">
        <f t="shared" si="266"/>
        <v>2083</v>
      </c>
      <c r="CJ131" s="886">
        <f t="shared" si="266"/>
        <v>2084</v>
      </c>
      <c r="CK131" s="886">
        <f t="shared" si="266"/>
        <v>2085</v>
      </c>
      <c r="CL131" s="886">
        <f t="shared" si="266"/>
        <v>2086</v>
      </c>
      <c r="CM131" s="886">
        <f t="shared" si="266"/>
        <v>2087</v>
      </c>
      <c r="CN131" s="886">
        <f t="shared" si="266"/>
        <v>2088</v>
      </c>
      <c r="CO131" s="886">
        <f t="shared" si="266"/>
        <v>2089</v>
      </c>
      <c r="CP131" s="886">
        <f t="shared" si="266"/>
        <v>2090</v>
      </c>
      <c r="CQ131" s="886">
        <f t="shared" si="266"/>
        <v>2091</v>
      </c>
      <c r="CR131" s="886">
        <f t="shared" si="266"/>
        <v>2092</v>
      </c>
      <c r="CS131" s="886">
        <f t="shared" si="266"/>
        <v>2093</v>
      </c>
      <c r="CT131" s="886">
        <f t="shared" si="266"/>
        <v>2094</v>
      </c>
      <c r="CU131" s="886">
        <f t="shared" si="266"/>
        <v>2095</v>
      </c>
      <c r="CV131" s="886">
        <f t="shared" si="266"/>
        <v>2096</v>
      </c>
      <c r="CW131" s="886">
        <f t="shared" si="266"/>
        <v>2097</v>
      </c>
      <c r="CX131" s="886">
        <f t="shared" si="266"/>
        <v>2098</v>
      </c>
      <c r="CY131" s="886">
        <f t="shared" si="266"/>
        <v>2099</v>
      </c>
      <c r="CZ131" s="1383">
        <f t="shared" si="266"/>
        <v>2100</v>
      </c>
    </row>
    <row r="132" spans="1:104" ht="13" thickBot="1" x14ac:dyDescent="0.3">
      <c r="A132" s="1384" t="s">
        <v>1089</v>
      </c>
      <c r="B132" s="868"/>
      <c r="C132" s="868"/>
      <c r="D132" s="1251"/>
      <c r="E132" s="868"/>
      <c r="F132" s="868"/>
      <c r="G132" s="868"/>
      <c r="H132" s="954"/>
      <c r="I132" s="954"/>
      <c r="J132" s="954"/>
      <c r="K132" s="954"/>
      <c r="L132" s="954"/>
      <c r="M132" s="954"/>
      <c r="N132" s="954"/>
      <c r="O132" s="954"/>
      <c r="P132" s="954"/>
      <c r="Q132" s="954"/>
      <c r="R132" s="954"/>
      <c r="S132" s="954"/>
      <c r="T132" s="954"/>
      <c r="U132" s="954"/>
      <c r="V132" s="954"/>
      <c r="W132" s="954"/>
      <c r="X132" s="954"/>
      <c r="Y132" s="954"/>
      <c r="Z132" s="954"/>
      <c r="AA132" s="954"/>
      <c r="AB132" s="954"/>
      <c r="AC132" s="954"/>
      <c r="AD132" s="954"/>
      <c r="AE132" s="954"/>
      <c r="AF132" s="954"/>
      <c r="AG132" s="954"/>
      <c r="AH132" s="954"/>
      <c r="AI132" s="954"/>
      <c r="AJ132" s="954"/>
      <c r="AK132" s="954"/>
      <c r="AL132" s="954"/>
      <c r="AM132" s="954"/>
      <c r="AN132" s="954"/>
      <c r="AO132" s="954"/>
      <c r="AP132" s="954"/>
      <c r="AQ132" s="954"/>
      <c r="AR132" s="954"/>
      <c r="AS132" s="954"/>
      <c r="AT132" s="954"/>
      <c r="AU132" s="954"/>
      <c r="AV132" s="954"/>
      <c r="AW132" s="954"/>
      <c r="AX132" s="954"/>
      <c r="AY132" s="954"/>
      <c r="AZ132" s="954"/>
      <c r="BA132" s="954"/>
      <c r="BB132" s="954"/>
      <c r="BC132" s="954"/>
      <c r="BD132" s="954"/>
      <c r="BE132" s="954"/>
      <c r="BF132" s="954"/>
      <c r="BG132" s="954"/>
      <c r="BH132" s="954"/>
      <c r="BI132" s="954"/>
      <c r="BJ132" s="954"/>
      <c r="BK132" s="954"/>
      <c r="BL132" s="954"/>
      <c r="BM132" s="954"/>
      <c r="BN132" s="954"/>
      <c r="BO132" s="954"/>
      <c r="BP132" s="954"/>
      <c r="BQ132" s="954"/>
      <c r="BR132" s="954"/>
      <c r="BS132" s="954"/>
      <c r="BT132" s="954"/>
      <c r="BU132" s="954"/>
      <c r="BV132" s="954"/>
      <c r="BW132" s="954"/>
      <c r="BX132" s="954"/>
      <c r="BY132" s="954"/>
      <c r="BZ132" s="954"/>
      <c r="CA132" s="954"/>
      <c r="CB132" s="954"/>
      <c r="CC132" s="954"/>
      <c r="CD132" s="954"/>
      <c r="CE132" s="954"/>
      <c r="CF132" s="954"/>
      <c r="CG132" s="954"/>
      <c r="CH132" s="954"/>
      <c r="CI132" s="954"/>
      <c r="CJ132" s="954"/>
      <c r="CK132" s="954"/>
      <c r="CL132" s="954"/>
      <c r="CM132" s="954"/>
      <c r="CN132" s="954"/>
      <c r="CO132" s="954"/>
      <c r="CP132" s="954"/>
      <c r="CQ132" s="954"/>
      <c r="CR132" s="954"/>
      <c r="CS132" s="954"/>
      <c r="CT132" s="954"/>
      <c r="CU132" s="954"/>
      <c r="CV132" s="954"/>
      <c r="CW132" s="954"/>
      <c r="CX132" s="954"/>
      <c r="CY132" s="954"/>
      <c r="CZ132" s="1385"/>
    </row>
    <row r="133" spans="1:104" ht="13" x14ac:dyDescent="0.3">
      <c r="A133" s="1544" t="s">
        <v>681</v>
      </c>
      <c r="B133" s="260">
        <v>2016</v>
      </c>
      <c r="C133" s="871">
        <f t="shared" ref="C133:C141" si="267">VLOOKUP(ref_year,DeflatorTable,2,FALSE)/VLOOKUP(B133,DeflatorTable,2,FALSE)</f>
        <v>1</v>
      </c>
      <c r="D133" s="1252" t="s">
        <v>863</v>
      </c>
      <c r="E133" s="871" t="s">
        <v>1057</v>
      </c>
      <c r="F133" s="260">
        <v>47.141269049911173</v>
      </c>
      <c r="G133" s="260">
        <v>52.224661236371581</v>
      </c>
      <c r="H133" s="1062">
        <f>+H153*$C133</f>
        <v>13.604875014867702</v>
      </c>
      <c r="I133" s="1062">
        <f t="shared" ref="I133:BT141" si="268">+I153*$C133</f>
        <v>15.571757228276402</v>
      </c>
      <c r="J133" s="1062">
        <f t="shared" si="268"/>
        <v>16.331995797204218</v>
      </c>
      <c r="K133" s="1062">
        <f t="shared" si="268"/>
        <v>15.155672177020728</v>
      </c>
      <c r="L133" s="1062">
        <f t="shared" si="268"/>
        <v>15.783516201764996</v>
      </c>
      <c r="M133" s="1062">
        <f t="shared" si="268"/>
        <v>13.69149010361817</v>
      </c>
      <c r="N133" s="1062">
        <f t="shared" si="268"/>
        <v>12.691188457250465</v>
      </c>
      <c r="O133" s="954">
        <f t="shared" si="268"/>
        <v>12.04142243701838</v>
      </c>
      <c r="P133" s="954">
        <f t="shared" si="268"/>
        <v>11.415954621928984</v>
      </c>
      <c r="Q133" s="954">
        <f t="shared" si="268"/>
        <v>10.886628367710442</v>
      </c>
      <c r="R133" s="954">
        <f t="shared" si="268"/>
        <v>11.368469484946878</v>
      </c>
      <c r="S133" s="954">
        <f t="shared" si="268"/>
        <v>9.7183315387998359</v>
      </c>
      <c r="T133" s="954">
        <f t="shared" si="268"/>
        <v>9.390001099467705</v>
      </c>
      <c r="U133" s="954">
        <f t="shared" si="268"/>
        <v>10.023002570479671</v>
      </c>
      <c r="V133" s="954">
        <f t="shared" si="268"/>
        <v>10.033707215541167</v>
      </c>
      <c r="W133" s="954">
        <f t="shared" si="268"/>
        <v>10.158951752324048</v>
      </c>
      <c r="X133" s="954">
        <f t="shared" si="268"/>
        <v>10.289627280447673</v>
      </c>
      <c r="Y133" s="954">
        <f t="shared" si="268"/>
        <v>10.38663350570965</v>
      </c>
      <c r="Z133" s="954">
        <f t="shared" si="268"/>
        <v>10.458822090960101</v>
      </c>
      <c r="AA133" s="954">
        <f t="shared" si="268"/>
        <v>10.541361785535555</v>
      </c>
      <c r="AB133" s="954">
        <f t="shared" si="268"/>
        <v>10.671303703310535</v>
      </c>
      <c r="AC133" s="954">
        <f t="shared" si="268"/>
        <v>10.821196220864106</v>
      </c>
      <c r="AD133" s="954">
        <f t="shared" si="268"/>
        <v>10.961130973142659</v>
      </c>
      <c r="AE133" s="954">
        <f t="shared" si="268"/>
        <v>11.387951919139837</v>
      </c>
      <c r="AF133" s="954">
        <f t="shared" si="268"/>
        <v>11.524366479125279</v>
      </c>
      <c r="AG133" s="954">
        <f t="shared" si="268"/>
        <v>11.653679994237272</v>
      </c>
      <c r="AH133" s="954">
        <f t="shared" si="268"/>
        <v>11.727599293307653</v>
      </c>
      <c r="AI133" s="954">
        <f t="shared" si="268"/>
        <v>11.827238554162054</v>
      </c>
      <c r="AJ133" s="954">
        <f t="shared" si="268"/>
        <v>11.877874728924342</v>
      </c>
      <c r="AK133" s="954">
        <f t="shared" si="268"/>
        <v>11.891573527850655</v>
      </c>
      <c r="AL133" s="954">
        <f t="shared" si="268"/>
        <v>11.9827791131466</v>
      </c>
      <c r="AM133" s="954">
        <f t="shared" si="268"/>
        <v>12.163475682807357</v>
      </c>
      <c r="AN133" s="954">
        <f t="shared" si="268"/>
        <v>12.259449735369497</v>
      </c>
      <c r="AO133" s="954">
        <f t="shared" si="268"/>
        <v>12.356256919064013</v>
      </c>
      <c r="AP133" s="954">
        <f t="shared" si="268"/>
        <v>12.41256198723101</v>
      </c>
      <c r="AQ133" s="954">
        <f t="shared" si="268"/>
        <v>12.490714236969412</v>
      </c>
      <c r="AR133" s="954">
        <f t="shared" si="268"/>
        <v>12.496378391289182</v>
      </c>
      <c r="AS133" s="954">
        <f t="shared" si="268"/>
        <v>12.55376491863939</v>
      </c>
      <c r="AT133" s="954">
        <f t="shared" si="268"/>
        <v>12.651412816002184</v>
      </c>
      <c r="AU133" s="954">
        <f t="shared" si="268"/>
        <v>12.770777096192051</v>
      </c>
      <c r="AV133" s="954">
        <f t="shared" si="268"/>
        <v>12.886454368298935</v>
      </c>
      <c r="AW133" s="954">
        <f t="shared" si="268"/>
        <v>13.010888521557151</v>
      </c>
      <c r="AX133" s="954">
        <f t="shared" si="268"/>
        <v>13.118997475015544</v>
      </c>
      <c r="AY133" s="954">
        <f t="shared" si="268"/>
        <v>13.217679440712152</v>
      </c>
      <c r="AZ133" s="954">
        <f t="shared" si="268"/>
        <v>13.363983523149482</v>
      </c>
      <c r="BA133" s="954">
        <f t="shared" si="268"/>
        <v>13.453606254075613</v>
      </c>
      <c r="BB133" s="954">
        <f t="shared" si="268"/>
        <v>13.593337225701765</v>
      </c>
      <c r="BC133" s="954">
        <f t="shared" si="268"/>
        <v>13.668907227280409</v>
      </c>
      <c r="BD133" s="954">
        <f t="shared" si="268"/>
        <v>13.744897348292845</v>
      </c>
      <c r="BE133" s="954">
        <f t="shared" si="268"/>
        <v>13.821309924326409</v>
      </c>
      <c r="BF133" s="954">
        <f t="shared" si="268"/>
        <v>13.898147303952761</v>
      </c>
      <c r="BG133" s="954">
        <f t="shared" si="268"/>
        <v>13.975411848800078</v>
      </c>
      <c r="BH133" s="954">
        <f t="shared" si="268"/>
        <v>14.050424531225174</v>
      </c>
      <c r="BI133" s="954">
        <f t="shared" si="268"/>
        <v>14.12583984239463</v>
      </c>
      <c r="BJ133" s="954">
        <f t="shared" si="268"/>
        <v>14.201659943408417</v>
      </c>
      <c r="BK133" s="954">
        <f t="shared" si="268"/>
        <v>14.277887006966159</v>
      </c>
      <c r="BL133" s="954">
        <f t="shared" si="268"/>
        <v>14.354523217429389</v>
      </c>
      <c r="BM133" s="954">
        <f t="shared" si="268"/>
        <v>14.422221698840277</v>
      </c>
      <c r="BN133" s="954">
        <f t="shared" si="268"/>
        <v>14.490239458315362</v>
      </c>
      <c r="BO133" s="954">
        <f t="shared" si="268"/>
        <v>14.558578001626712</v>
      </c>
      <c r="BP133" s="954">
        <f t="shared" si="268"/>
        <v>14.627238841647882</v>
      </c>
      <c r="BQ133" s="954">
        <f t="shared" si="268"/>
        <v>14.696223498387408</v>
      </c>
      <c r="BR133" s="954">
        <f t="shared" si="268"/>
        <v>14.75529333521281</v>
      </c>
      <c r="BS133" s="954">
        <f t="shared" si="268"/>
        <v>14.814600596681556</v>
      </c>
      <c r="BT133" s="954">
        <f t="shared" si="268"/>
        <v>14.874146237095607</v>
      </c>
      <c r="BU133" s="954">
        <f t="shared" ref="BU133:CZ140" si="269">+BU153*$C133</f>
        <v>14.933931214592636</v>
      </c>
      <c r="BV133" s="954">
        <f t="shared" si="269"/>
        <v>14.993956491161448</v>
      </c>
      <c r="BW133" s="954">
        <f t="shared" si="269"/>
        <v>15.043740835540882</v>
      </c>
      <c r="BX133" s="954">
        <f t="shared" si="269"/>
        <v>15.093690478582264</v>
      </c>
      <c r="BY133" s="954">
        <f t="shared" si="269"/>
        <v>15.143805969125756</v>
      </c>
      <c r="BZ133" s="954">
        <f t="shared" si="269"/>
        <v>15.19408785783383</v>
      </c>
      <c r="CA133" s="954">
        <f t="shared" si="269"/>
        <v>15.244536697197322</v>
      </c>
      <c r="CB133" s="954">
        <f t="shared" si="269"/>
        <v>15.277067444573643</v>
      </c>
      <c r="CC133" s="954">
        <f t="shared" si="269"/>
        <v>15.309667610230484</v>
      </c>
      <c r="CD133" s="954">
        <f t="shared" si="269"/>
        <v>15.342337342301477</v>
      </c>
      <c r="CE133" s="954">
        <f t="shared" si="269"/>
        <v>15.375076789236356</v>
      </c>
      <c r="CF133" s="954">
        <f t="shared" si="269"/>
        <v>15.407886099801638</v>
      </c>
      <c r="CG133" s="954">
        <f t="shared" si="269"/>
        <v>15.41853907481957</v>
      </c>
      <c r="CH133" s="954">
        <f t="shared" si="269"/>
        <v>15.42919941527855</v>
      </c>
      <c r="CI133" s="954">
        <f t="shared" si="269"/>
        <v>15.439867126271025</v>
      </c>
      <c r="CJ133" s="954">
        <f t="shared" si="269"/>
        <v>15.450542212892964</v>
      </c>
      <c r="CK133" s="954">
        <f t="shared" si="269"/>
        <v>15.461224680243861</v>
      </c>
      <c r="CL133" s="954">
        <f t="shared" si="269"/>
        <v>15.464845562477739</v>
      </c>
      <c r="CM133" s="954">
        <f t="shared" si="269"/>
        <v>15.468467292690251</v>
      </c>
      <c r="CN133" s="954">
        <f t="shared" si="269"/>
        <v>15.472089871079984</v>
      </c>
      <c r="CO133" s="954">
        <f t="shared" si="269"/>
        <v>15.475713297845573</v>
      </c>
      <c r="CP133" s="954">
        <f t="shared" si="269"/>
        <v>15.479337573185701</v>
      </c>
      <c r="CQ133" s="954">
        <f t="shared" si="269"/>
        <v>15.484830510437597</v>
      </c>
      <c r="CR133" s="954">
        <f t="shared" si="269"/>
        <v>15.490325396891745</v>
      </c>
      <c r="CS133" s="954">
        <f t="shared" si="269"/>
        <v>15.49582223323983</v>
      </c>
      <c r="CT133" s="954">
        <f t="shared" si="269"/>
        <v>15.501321020173785</v>
      </c>
      <c r="CU133" s="954">
        <f t="shared" si="269"/>
        <v>15.506821758385787</v>
      </c>
      <c r="CV133" s="954">
        <f t="shared" si="269"/>
        <v>15.515287417782641</v>
      </c>
      <c r="CW133" s="954">
        <f t="shared" si="269"/>
        <v>15.523757698847955</v>
      </c>
      <c r="CX133" s="954">
        <f t="shared" si="269"/>
        <v>15.532232604104841</v>
      </c>
      <c r="CY133" s="954">
        <f t="shared" si="269"/>
        <v>15.540712136077792</v>
      </c>
      <c r="CZ133" s="1385">
        <f t="shared" si="269"/>
        <v>15.549196297292674</v>
      </c>
    </row>
    <row r="134" spans="1:104" ht="13" x14ac:dyDescent="0.3">
      <c r="A134" s="1544" t="s">
        <v>1084</v>
      </c>
      <c r="B134" s="260">
        <v>2016</v>
      </c>
      <c r="C134" s="871">
        <f t="shared" si="267"/>
        <v>1</v>
      </c>
      <c r="D134" s="1252" t="s">
        <v>863</v>
      </c>
      <c r="E134" s="871" t="s">
        <v>1057</v>
      </c>
      <c r="F134" s="260">
        <v>47.141269049911173</v>
      </c>
      <c r="G134" s="260">
        <v>52.224661236371581</v>
      </c>
      <c r="H134" s="1063">
        <f t="shared" ref="H134:BS137" si="270">+H154*$C134</f>
        <v>11.934322920018829</v>
      </c>
      <c r="I134" s="1063">
        <f t="shared" si="270"/>
        <v>13.90423046997279</v>
      </c>
      <c r="J134" s="1063">
        <f t="shared" si="270"/>
        <v>14.274140536522257</v>
      </c>
      <c r="K134" s="1063">
        <f t="shared" si="270"/>
        <v>13.139550648884942</v>
      </c>
      <c r="L134" s="1063">
        <f t="shared" si="270"/>
        <v>13.897221248926272</v>
      </c>
      <c r="M134" s="1063">
        <f t="shared" si="270"/>
        <v>11.345666428533674</v>
      </c>
      <c r="N134" s="1063">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6">
        <f t="shared" si="269"/>
        <v>13.30121559030755</v>
      </c>
    </row>
    <row r="135" spans="1:104" ht="13" x14ac:dyDescent="0.3">
      <c r="A135" s="1544" t="s">
        <v>283</v>
      </c>
      <c r="B135" s="260">
        <v>2016</v>
      </c>
      <c r="C135" s="871">
        <f t="shared" si="267"/>
        <v>1</v>
      </c>
      <c r="D135" s="1252" t="s">
        <v>863</v>
      </c>
      <c r="E135" s="871" t="s">
        <v>1057</v>
      </c>
      <c r="F135" s="260">
        <v>47.141269049911173</v>
      </c>
      <c r="G135" s="260">
        <v>52.224661236371581</v>
      </c>
      <c r="H135" s="1063">
        <f t="shared" si="270"/>
        <v>8.2641705904266125</v>
      </c>
      <c r="I135" s="1063">
        <f t="shared" si="270"/>
        <v>10.495609596381577</v>
      </c>
      <c r="J135" s="1063">
        <f t="shared" si="270"/>
        <v>9.3614571685358463</v>
      </c>
      <c r="K135" s="1063">
        <f t="shared" si="270"/>
        <v>8.8987432965993278</v>
      </c>
      <c r="L135" s="1063">
        <f t="shared" si="270"/>
        <v>10.965509816201024</v>
      </c>
      <c r="M135" s="1063">
        <f t="shared" si="270"/>
        <v>6.0111731674040234</v>
      </c>
      <c r="N135" s="1063">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6">
        <f t="shared" si="269"/>
        <v>7.1362712217729669</v>
      </c>
    </row>
    <row r="136" spans="1:104" ht="13" x14ac:dyDescent="0.3">
      <c r="A136" s="1544" t="s">
        <v>1085</v>
      </c>
      <c r="B136" s="260">
        <v>2016</v>
      </c>
      <c r="C136" s="871">
        <f t="shared" si="267"/>
        <v>1</v>
      </c>
      <c r="D136" s="1252" t="s">
        <v>863</v>
      </c>
      <c r="E136" s="871" t="s">
        <v>1057</v>
      </c>
      <c r="F136" s="260">
        <v>47.141269049911173</v>
      </c>
      <c r="G136" s="260">
        <v>52.224661236371581</v>
      </c>
      <c r="H136" s="1063">
        <f t="shared" si="270"/>
        <v>8.4160389626855991</v>
      </c>
      <c r="I136" s="1063">
        <f t="shared" si="270"/>
        <v>10.630483084185546</v>
      </c>
      <c r="J136" s="1063">
        <f t="shared" si="270"/>
        <v>10.241695834954719</v>
      </c>
      <c r="K136" s="1063">
        <f t="shared" si="270"/>
        <v>9.4549147526367854</v>
      </c>
      <c r="L136" s="1063">
        <f t="shared" si="270"/>
        <v>10.431438353650302</v>
      </c>
      <c r="M136" s="1063">
        <f t="shared" si="270"/>
        <v>7.3081429877632402</v>
      </c>
      <c r="N136" s="1063">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6">
        <f t="shared" si="269"/>
        <v>6.6468602842533091</v>
      </c>
    </row>
    <row r="137" spans="1:104" ht="13" x14ac:dyDescent="0.3">
      <c r="A137" s="1544" t="s">
        <v>1080</v>
      </c>
      <c r="B137" s="260">
        <v>2016</v>
      </c>
      <c r="C137" s="871">
        <f t="shared" si="267"/>
        <v>1</v>
      </c>
      <c r="D137" s="1254" t="s">
        <v>268</v>
      </c>
      <c r="E137" s="871" t="s">
        <v>1057</v>
      </c>
      <c r="F137" s="260">
        <v>19.551069237418005</v>
      </c>
      <c r="G137" s="260">
        <v>20.588656379262464</v>
      </c>
      <c r="H137" s="1063">
        <f t="shared" si="270"/>
        <v>5.0967849132778742</v>
      </c>
      <c r="I137" s="1063">
        <f t="shared" si="270"/>
        <v>5.0967849132778742</v>
      </c>
      <c r="J137" s="1063">
        <f t="shared" si="270"/>
        <v>5.0967849132778742</v>
      </c>
      <c r="K137" s="1063">
        <f t="shared" si="270"/>
        <v>5.0967849132778742</v>
      </c>
      <c r="L137" s="1063">
        <f t="shared" si="270"/>
        <v>5.0967849132778742</v>
      </c>
      <c r="M137" s="1063">
        <f t="shared" si="270"/>
        <v>5.0967849132778742</v>
      </c>
      <c r="N137" s="1063">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6">
        <f t="shared" si="269"/>
        <v>5.8102736396244499</v>
      </c>
    </row>
    <row r="138" spans="1:104" ht="13" x14ac:dyDescent="0.3">
      <c r="A138" s="1545" t="s">
        <v>1086</v>
      </c>
      <c r="B138" s="260">
        <v>2016</v>
      </c>
      <c r="C138" s="871">
        <f t="shared" si="267"/>
        <v>1</v>
      </c>
      <c r="D138" s="1254" t="s">
        <v>268</v>
      </c>
      <c r="E138" s="1546" t="s">
        <v>1051</v>
      </c>
      <c r="F138" s="260">
        <v>22.7322030001394</v>
      </c>
      <c r="G138" s="260">
        <v>23.967615189707661</v>
      </c>
      <c r="H138" s="1063" t="e">
        <f t="shared" ref="H138:BS141" si="272">+H158*$C138</f>
        <v>#N/A</v>
      </c>
      <c r="I138" s="1063" t="e">
        <f t="shared" si="272"/>
        <v>#N/A</v>
      </c>
      <c r="J138" s="1063" t="e">
        <f t="shared" si="272"/>
        <v>#N/A</v>
      </c>
      <c r="K138" s="1063" t="e">
        <f t="shared" si="272"/>
        <v>#N/A</v>
      </c>
      <c r="L138" s="1063">
        <f t="shared" si="272"/>
        <v>2.2148742453355847</v>
      </c>
      <c r="M138" s="1063">
        <f t="shared" si="272"/>
        <v>2.3408877437334223</v>
      </c>
      <c r="N138" s="1063">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6">
        <f t="shared" si="269"/>
        <v>2.555232924383334</v>
      </c>
    </row>
    <row r="139" spans="1:104" ht="13" x14ac:dyDescent="0.3">
      <c r="A139" s="1544" t="s">
        <v>683</v>
      </c>
      <c r="B139" s="260">
        <v>2016</v>
      </c>
      <c r="C139" s="871">
        <f t="shared" si="267"/>
        <v>1</v>
      </c>
      <c r="D139" s="1254" t="s">
        <v>296</v>
      </c>
      <c r="E139" s="871" t="s">
        <v>1070</v>
      </c>
      <c r="F139" s="875"/>
      <c r="G139" s="871"/>
      <c r="H139" s="1063">
        <f t="shared" si="272"/>
        <v>28.373013628420669</v>
      </c>
      <c r="I139" s="1063">
        <f t="shared" si="272"/>
        <v>29.17093293229123</v>
      </c>
      <c r="J139" s="1063">
        <f t="shared" si="272"/>
        <v>30.878569780545078</v>
      </c>
      <c r="K139" s="1063">
        <f t="shared" si="272"/>
        <v>30.682595180991225</v>
      </c>
      <c r="L139" s="1063">
        <f t="shared" si="272"/>
        <v>31.992353762541459</v>
      </c>
      <c r="M139" s="1063">
        <f t="shared" si="272"/>
        <v>31.4429334181984</v>
      </c>
      <c r="N139" s="1063">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6">
        <f t="shared" si="269"/>
        <v>31.1498233703682</v>
      </c>
    </row>
    <row r="140" spans="1:104" ht="13" x14ac:dyDescent="0.3">
      <c r="A140" s="1544" t="s">
        <v>698</v>
      </c>
      <c r="B140" s="260">
        <v>2016</v>
      </c>
      <c r="C140" s="871">
        <f t="shared" si="267"/>
        <v>1</v>
      </c>
      <c r="D140" s="1254" t="s">
        <v>296</v>
      </c>
      <c r="E140" s="871" t="s">
        <v>1070</v>
      </c>
      <c r="F140" s="882"/>
      <c r="G140" s="1543"/>
      <c r="H140" s="1063">
        <f t="shared" si="272"/>
        <v>18.232352698801531</v>
      </c>
      <c r="I140" s="1063">
        <f t="shared" si="272"/>
        <v>19.279059481202857</v>
      </c>
      <c r="J140" s="1063">
        <f t="shared" si="272"/>
        <v>20.106975671052609</v>
      </c>
      <c r="K140" s="1063">
        <f t="shared" si="272"/>
        <v>20.31728323383771</v>
      </c>
      <c r="L140" s="1063">
        <f t="shared" si="272"/>
        <v>21.702415417864383</v>
      </c>
      <c r="M140" s="1063">
        <f t="shared" si="272"/>
        <v>21.137326303769196</v>
      </c>
      <c r="N140" s="1063">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6">
        <f t="shared" ref="CZ140" si="273">+CZ160*$C140</f>
        <v>22.174736614534808</v>
      </c>
    </row>
    <row r="141" spans="1:104" ht="13.5" thickBot="1" x14ac:dyDescent="0.35">
      <c r="A141" s="1547" t="s">
        <v>684</v>
      </c>
      <c r="B141" s="440">
        <v>2016</v>
      </c>
      <c r="C141" s="1386">
        <f t="shared" si="267"/>
        <v>1</v>
      </c>
      <c r="D141" s="1548" t="s">
        <v>296</v>
      </c>
      <c r="E141" s="1386" t="s">
        <v>1070</v>
      </c>
      <c r="F141" s="1387"/>
      <c r="G141" s="1026"/>
      <c r="H141" s="1388">
        <f t="shared" si="272"/>
        <v>31.081820315099751</v>
      </c>
      <c r="I141" s="1388">
        <f t="shared" si="272"/>
        <v>31.795307521355493</v>
      </c>
      <c r="J141" s="1388">
        <f t="shared" si="272"/>
        <v>33.946842042036877</v>
      </c>
      <c r="K141" s="1388">
        <f t="shared" si="272"/>
        <v>33.862138723062856</v>
      </c>
      <c r="L141" s="1388">
        <f t="shared" si="272"/>
        <v>35.110516897292094</v>
      </c>
      <c r="M141" s="1388">
        <f t="shared" si="272"/>
        <v>35.620882248372396</v>
      </c>
      <c r="N141" s="1388">
        <f t="shared" si="272"/>
        <v>35.284315436843215</v>
      </c>
      <c r="O141" s="440">
        <f t="shared" si="272"/>
        <v>35.109707376782602</v>
      </c>
      <c r="P141" s="440">
        <f t="shared" si="272"/>
        <v>34.944303180720262</v>
      </c>
      <c r="Q141" s="440">
        <f t="shared" si="272"/>
        <v>35.113313940081568</v>
      </c>
      <c r="R141" s="440">
        <f t="shared" si="272"/>
        <v>35.603854676435802</v>
      </c>
      <c r="S141" s="440">
        <f t="shared" si="272"/>
        <v>35.586699324775935</v>
      </c>
      <c r="T141" s="440">
        <f t="shared" si="272"/>
        <v>34.861101349999998</v>
      </c>
      <c r="U141" s="440">
        <f t="shared" si="272"/>
        <v>34.664653819323334</v>
      </c>
      <c r="V141" s="440">
        <f t="shared" si="272"/>
        <v>34.410290069910978</v>
      </c>
      <c r="W141" s="440">
        <f t="shared" si="272"/>
        <v>34.908531869398402</v>
      </c>
      <c r="X141" s="440">
        <f t="shared" si="272"/>
        <v>35.616671532127199</v>
      </c>
      <c r="Y141" s="440">
        <f t="shared" si="272"/>
        <v>35.947520321196222</v>
      </c>
      <c r="Z141" s="440">
        <f t="shared" si="272"/>
        <v>36.987705865849776</v>
      </c>
      <c r="AA141" s="440">
        <f t="shared" si="272"/>
        <v>37.546039262370911</v>
      </c>
      <c r="AB141" s="440">
        <f t="shared" si="272"/>
        <v>37.510823122184988</v>
      </c>
      <c r="AC141" s="440">
        <f t="shared" si="272"/>
        <v>38.008797637281816</v>
      </c>
      <c r="AD141" s="440">
        <f t="shared" si="272"/>
        <v>38.419808048103611</v>
      </c>
      <c r="AE141" s="440">
        <f t="shared" si="272"/>
        <v>38.480927078752217</v>
      </c>
      <c r="AF141" s="440">
        <f t="shared" si="272"/>
        <v>38.529894147798792</v>
      </c>
      <c r="AG141" s="440">
        <f t="shared" si="272"/>
        <v>38.610432052895767</v>
      </c>
      <c r="AH141" s="440">
        <f t="shared" si="272"/>
        <v>38.669048846696292</v>
      </c>
      <c r="AI141" s="440">
        <f t="shared" si="272"/>
        <v>38.631731396248163</v>
      </c>
      <c r="AJ141" s="440">
        <f t="shared" si="272"/>
        <v>38.567872226687491</v>
      </c>
      <c r="AK141" s="440">
        <f t="shared" si="272"/>
        <v>38.465126969563705</v>
      </c>
      <c r="AL141" s="440">
        <f t="shared" si="272"/>
        <v>38.413723063041203</v>
      </c>
      <c r="AM141" s="440">
        <f t="shared" si="272"/>
        <v>38.515467425425761</v>
      </c>
      <c r="AN141" s="440">
        <f t="shared" si="272"/>
        <v>38.527084818246614</v>
      </c>
      <c r="AO141" s="440">
        <f t="shared" si="272"/>
        <v>38.521472793861179</v>
      </c>
      <c r="AP141" s="440">
        <f t="shared" si="272"/>
        <v>38.546973809920992</v>
      </c>
      <c r="AQ141" s="440">
        <f t="shared" si="272"/>
        <v>38.560691565187064</v>
      </c>
      <c r="AR141" s="440">
        <f t="shared" si="272"/>
        <v>38.568356561168315</v>
      </c>
      <c r="AS141" s="440">
        <f t="shared" si="272"/>
        <v>38.569368829711408</v>
      </c>
      <c r="AT141" s="440">
        <f t="shared" si="272"/>
        <v>38.651143635977618</v>
      </c>
      <c r="AU141" s="440">
        <f t="shared" si="272"/>
        <v>38.781520601750053</v>
      </c>
      <c r="AV141" s="440">
        <f t="shared" si="272"/>
        <v>38.929117506558889</v>
      </c>
      <c r="AW141" s="440">
        <f t="shared" si="272"/>
        <v>39.08758776785308</v>
      </c>
      <c r="AX141" s="440">
        <f t="shared" si="272"/>
        <v>39.228047610742941</v>
      </c>
      <c r="AY141" s="440">
        <f t="shared" si="272"/>
        <v>39.393119417357944</v>
      </c>
      <c r="AZ141" s="440">
        <f t="shared" si="272"/>
        <v>39.595269824540118</v>
      </c>
      <c r="BA141" s="440">
        <f t="shared" si="272"/>
        <v>39.769550621009692</v>
      </c>
      <c r="BB141" s="440">
        <f t="shared" si="272"/>
        <v>39.980674011616443</v>
      </c>
      <c r="BC141" s="440">
        <f t="shared" si="272"/>
        <v>39.983105560972888</v>
      </c>
      <c r="BD141" s="440">
        <f t="shared" si="272"/>
        <v>39.985537258211586</v>
      </c>
      <c r="BE141" s="440">
        <f t="shared" si="272"/>
        <v>39.987969103341534</v>
      </c>
      <c r="BF141" s="440">
        <f t="shared" si="272"/>
        <v>39.990401096371727</v>
      </c>
      <c r="BG141" s="440">
        <f t="shared" si="272"/>
        <v>39.99283323731116</v>
      </c>
      <c r="BH141" s="440">
        <f t="shared" si="272"/>
        <v>39.998683153044055</v>
      </c>
      <c r="BI141" s="440">
        <f t="shared" si="272"/>
        <v>40.00453392446812</v>
      </c>
      <c r="BJ141" s="440">
        <f t="shared" si="272"/>
        <v>40.010385551708517</v>
      </c>
      <c r="BK141" s="440">
        <f t="shared" si="272"/>
        <v>40.016238034890421</v>
      </c>
      <c r="BL141" s="440">
        <f t="shared" si="272"/>
        <v>40.022091374139045</v>
      </c>
      <c r="BM141" s="440">
        <f t="shared" si="272"/>
        <v>40.01068560090993</v>
      </c>
      <c r="BN141" s="440">
        <f t="shared" si="272"/>
        <v>39.999283078177193</v>
      </c>
      <c r="BO141" s="440">
        <f t="shared" si="272"/>
        <v>39.987883805014484</v>
      </c>
      <c r="BP141" s="440">
        <f t="shared" si="272"/>
        <v>39.976487780495717</v>
      </c>
      <c r="BQ141" s="440">
        <f t="shared" si="272"/>
        <v>39.965095003695069</v>
      </c>
      <c r="BR141" s="440">
        <f t="shared" si="272"/>
        <v>39.953080546830584</v>
      </c>
      <c r="BS141" s="440">
        <f t="shared" ref="BS141" si="274">+BS161*$C141</f>
        <v>39.941069701797218</v>
      </c>
      <c r="BT141" s="440">
        <f t="shared" si="268"/>
        <v>39.929062467509169</v>
      </c>
      <c r="BU141" s="440">
        <f t="shared" ref="BU141:CZ141" si="275">+BU161*$C141</f>
        <v>39.917058842880955</v>
      </c>
      <c r="BV141" s="440">
        <f t="shared" si="275"/>
        <v>39.905058826827435</v>
      </c>
      <c r="BW141" s="440">
        <f t="shared" si="275"/>
        <v>39.887488478960996</v>
      </c>
      <c r="BX141" s="440">
        <f t="shared" si="275"/>
        <v>39.869925867384971</v>
      </c>
      <c r="BY141" s="440">
        <f t="shared" si="275"/>
        <v>39.852370988693046</v>
      </c>
      <c r="BZ141" s="440">
        <f t="shared" si="275"/>
        <v>39.8348238394804</v>
      </c>
      <c r="CA141" s="440">
        <f t="shared" si="275"/>
        <v>39.817284416343718</v>
      </c>
      <c r="CB141" s="440">
        <f t="shared" si="275"/>
        <v>39.785391393336162</v>
      </c>
      <c r="CC141" s="440">
        <f t="shared" si="275"/>
        <v>39.75352391614198</v>
      </c>
      <c r="CD141" s="440">
        <f t="shared" si="275"/>
        <v>39.721681964299371</v>
      </c>
      <c r="CE141" s="440">
        <f t="shared" si="275"/>
        <v>39.689865517362925</v>
      </c>
      <c r="CF141" s="440">
        <f t="shared" si="275"/>
        <v>39.658074554903607</v>
      </c>
      <c r="CG141" s="440">
        <f t="shared" si="275"/>
        <v>39.614280722534119</v>
      </c>
      <c r="CH141" s="440">
        <f t="shared" si="275"/>
        <v>39.57053525105394</v>
      </c>
      <c r="CI141" s="440">
        <f t="shared" si="275"/>
        <v>39.526838087058842</v>
      </c>
      <c r="CJ141" s="440">
        <f t="shared" si="275"/>
        <v>39.48318917720357</v>
      </c>
      <c r="CK141" s="440">
        <f t="shared" si="275"/>
        <v>39.439588468201791</v>
      </c>
      <c r="CL141" s="440">
        <f t="shared" si="275"/>
        <v>39.392053039782866</v>
      </c>
      <c r="CM141" s="440">
        <f t="shared" si="275"/>
        <v>39.344574904480901</v>
      </c>
      <c r="CN141" s="440">
        <f t="shared" si="275"/>
        <v>39.297153993242112</v>
      </c>
      <c r="CO141" s="440">
        <f t="shared" si="275"/>
        <v>39.249790237095944</v>
      </c>
      <c r="CP141" s="440">
        <f t="shared" si="275"/>
        <v>39.202483567154964</v>
      </c>
      <c r="CQ141" s="440">
        <f t="shared" si="275"/>
        <v>39.147690090479308</v>
      </c>
      <c r="CR141" s="440">
        <f t="shared" si="275"/>
        <v>39.092973198877175</v>
      </c>
      <c r="CS141" s="440">
        <f t="shared" si="275"/>
        <v>39.038332785305279</v>
      </c>
      <c r="CT141" s="440">
        <f t="shared" si="275"/>
        <v>38.983768742869955</v>
      </c>
      <c r="CU141" s="440">
        <f t="shared" si="275"/>
        <v>38.929280964826951</v>
      </c>
      <c r="CV141" s="440">
        <f t="shared" si="275"/>
        <v>38.876091192919297</v>
      </c>
      <c r="CW141" s="440">
        <f t="shared" si="275"/>
        <v>38.822974095147039</v>
      </c>
      <c r="CX141" s="440">
        <f t="shared" si="275"/>
        <v>38.769929572214203</v>
      </c>
      <c r="CY141" s="440">
        <f t="shared" si="275"/>
        <v>38.716957524960492</v>
      </c>
      <c r="CZ141" s="441">
        <f t="shared" si="275"/>
        <v>38.66405785436109</v>
      </c>
    </row>
    <row r="142" spans="1:104" x14ac:dyDescent="0.25">
      <c r="A142" t="s">
        <v>1432</v>
      </c>
    </row>
    <row r="150" spans="1:104" ht="13" x14ac:dyDescent="0.3">
      <c r="A150" s="1549" t="s">
        <v>1289</v>
      </c>
      <c r="B150" s="1550" t="s">
        <v>1431</v>
      </c>
      <c r="C150" s="1549"/>
      <c r="D150" s="1549"/>
      <c r="E150" s="1549"/>
      <c r="F150" s="1549"/>
      <c r="G150" s="1549"/>
      <c r="H150" s="1549"/>
      <c r="I150" s="1549"/>
      <c r="J150" s="1549"/>
      <c r="K150" s="1549"/>
      <c r="L150" s="1549"/>
      <c r="M150" s="1549"/>
      <c r="N150" s="1549"/>
      <c r="O150" s="1549"/>
      <c r="P150" s="1549"/>
      <c r="Q150" s="1549"/>
      <c r="R150" s="1549"/>
      <c r="S150" s="1549"/>
      <c r="T150" s="1549"/>
      <c r="U150" s="1549"/>
      <c r="V150" s="1549"/>
      <c r="W150" s="1549"/>
      <c r="X150" s="1549"/>
      <c r="Y150" s="1549"/>
      <c r="Z150" s="1549"/>
      <c r="AA150" s="1549"/>
      <c r="AB150" s="1549"/>
      <c r="AC150" s="1549"/>
      <c r="AD150" s="1549"/>
      <c r="AE150" s="1549"/>
      <c r="AF150" s="1549"/>
      <c r="AG150" s="1549"/>
      <c r="AH150" s="1549"/>
      <c r="AI150" s="1549"/>
      <c r="AJ150" s="1549"/>
      <c r="AK150" s="1549"/>
      <c r="AL150" s="1549"/>
      <c r="AM150" s="1549"/>
      <c r="AN150" s="1549"/>
      <c r="AO150" s="1549"/>
      <c r="AP150" s="1549"/>
      <c r="AQ150" s="1549"/>
      <c r="AR150" s="1549"/>
      <c r="AS150" s="1549"/>
      <c r="AT150" s="1549"/>
      <c r="AU150" s="1549"/>
      <c r="AV150" s="1549"/>
      <c r="AW150" s="1549"/>
      <c r="AX150" s="1549"/>
      <c r="AY150" s="1549"/>
      <c r="AZ150" s="1549"/>
      <c r="BA150" s="1549"/>
      <c r="BB150" s="1549" t="s">
        <v>1290</v>
      </c>
      <c r="BC150" s="1549"/>
      <c r="BD150" s="1549"/>
      <c r="BE150" s="1549"/>
      <c r="BF150" s="1549"/>
      <c r="BG150" s="1549"/>
      <c r="BH150" s="1549"/>
      <c r="BI150" s="1549"/>
      <c r="BJ150" s="1549"/>
      <c r="BK150" s="1549"/>
      <c r="BL150" s="1549"/>
      <c r="BM150" s="1549"/>
      <c r="BN150" s="1549"/>
      <c r="BO150" s="1549"/>
      <c r="BP150" s="1549"/>
      <c r="BQ150" s="1549"/>
      <c r="BR150" s="1549"/>
      <c r="BS150" s="1549"/>
      <c r="BT150" s="1549"/>
      <c r="BU150" s="1549"/>
      <c r="BV150" s="1549"/>
      <c r="BW150" s="1549"/>
      <c r="BX150" s="1549"/>
      <c r="BY150" s="1549"/>
      <c r="BZ150" s="1549"/>
      <c r="CA150" s="1549"/>
      <c r="CB150" s="1549"/>
      <c r="CC150" s="1549"/>
      <c r="CD150" s="1549"/>
      <c r="CE150" s="1549"/>
      <c r="CF150" s="1549"/>
      <c r="CG150" s="1549"/>
      <c r="CH150" s="1549"/>
      <c r="CI150" s="1549"/>
      <c r="CJ150" s="1549"/>
      <c r="CK150" s="1549"/>
      <c r="CL150" s="1549"/>
      <c r="CM150" s="1549"/>
      <c r="CN150" s="1549"/>
      <c r="CO150" s="1549"/>
      <c r="CP150" s="1549"/>
      <c r="CQ150" s="1549"/>
      <c r="CR150" s="1549"/>
      <c r="CS150" s="1549"/>
      <c r="CT150" s="1549"/>
      <c r="CU150" s="1549"/>
      <c r="CV150" s="1549"/>
      <c r="CW150" s="1549"/>
      <c r="CX150" s="1549"/>
      <c r="CY150" s="1549"/>
      <c r="CZ150" s="1549"/>
    </row>
    <row r="151" spans="1:104" x14ac:dyDescent="0.25">
      <c r="A151" s="1551" t="s">
        <v>1083</v>
      </c>
      <c r="B151" s="1552" t="s">
        <v>678</v>
      </c>
      <c r="C151" s="1552" t="s">
        <v>679</v>
      </c>
      <c r="D151" s="1552" t="s">
        <v>690</v>
      </c>
      <c r="E151" s="1552" t="s">
        <v>691</v>
      </c>
      <c r="F151" s="1552" t="s">
        <v>680</v>
      </c>
      <c r="G151" s="1552" t="s">
        <v>692</v>
      </c>
      <c r="H151" s="1552">
        <v>2004</v>
      </c>
      <c r="I151" s="1552">
        <v>2005</v>
      </c>
      <c r="J151" s="1552">
        <v>2006</v>
      </c>
      <c r="K151" s="1552">
        <v>2007</v>
      </c>
      <c r="L151" s="1552">
        <v>2008</v>
      </c>
      <c r="M151" s="1552">
        <v>2009</v>
      </c>
      <c r="N151" s="1552">
        <v>2010</v>
      </c>
      <c r="O151" s="1552">
        <v>2011</v>
      </c>
      <c r="P151" s="1552">
        <v>2012</v>
      </c>
      <c r="Q151" s="1552">
        <v>2013</v>
      </c>
      <c r="R151" s="1552">
        <v>2014</v>
      </c>
      <c r="S151" s="1552">
        <v>2015</v>
      </c>
      <c r="T151" s="1552">
        <v>2016</v>
      </c>
      <c r="U151" s="1552">
        <v>2017</v>
      </c>
      <c r="V151" s="1552">
        <v>2018</v>
      </c>
      <c r="W151" s="1552">
        <v>2019</v>
      </c>
      <c r="X151" s="1552">
        <v>2020</v>
      </c>
      <c r="Y151" s="1552">
        <v>2021</v>
      </c>
      <c r="Z151" s="1552">
        <v>2022</v>
      </c>
      <c r="AA151" s="1552">
        <v>2023</v>
      </c>
      <c r="AB151" s="1552">
        <v>2024</v>
      </c>
      <c r="AC151" s="1552">
        <v>2025</v>
      </c>
      <c r="AD151" s="1552">
        <v>2026</v>
      </c>
      <c r="AE151" s="1552">
        <v>2027</v>
      </c>
      <c r="AF151" s="1552">
        <v>2028</v>
      </c>
      <c r="AG151" s="1552">
        <v>2029</v>
      </c>
      <c r="AH151" s="1552">
        <v>2030</v>
      </c>
      <c r="AI151" s="1552">
        <v>2031</v>
      </c>
      <c r="AJ151" s="1552">
        <v>2032</v>
      </c>
      <c r="AK151" s="1552">
        <v>2033</v>
      </c>
      <c r="AL151" s="1552">
        <v>2034</v>
      </c>
      <c r="AM151" s="1552">
        <v>2035</v>
      </c>
      <c r="AN151" s="1552">
        <v>2036</v>
      </c>
      <c r="AO151" s="1552">
        <v>2037</v>
      </c>
      <c r="AP151" s="1552">
        <v>2038</v>
      </c>
      <c r="AQ151" s="1552">
        <v>2039</v>
      </c>
      <c r="AR151" s="1552">
        <v>2040</v>
      </c>
      <c r="AS151" s="1552">
        <v>2041</v>
      </c>
      <c r="AT151" s="1552">
        <v>2042</v>
      </c>
      <c r="AU151" s="1552">
        <v>2043</v>
      </c>
      <c r="AV151" s="1552">
        <v>2044</v>
      </c>
      <c r="AW151" s="1552">
        <v>2045</v>
      </c>
      <c r="AX151" s="1552">
        <v>2046</v>
      </c>
      <c r="AY151" s="1552">
        <v>2047</v>
      </c>
      <c r="AZ151" s="1552">
        <v>2048</v>
      </c>
      <c r="BA151" s="1552">
        <v>2049</v>
      </c>
      <c r="BB151" s="1552">
        <v>2050</v>
      </c>
      <c r="BC151" s="1552">
        <v>2051</v>
      </c>
      <c r="BD151" s="1552">
        <v>2052</v>
      </c>
      <c r="BE151" s="1552">
        <v>2053</v>
      </c>
      <c r="BF151" s="1552">
        <v>2054</v>
      </c>
      <c r="BG151" s="1552">
        <v>2055</v>
      </c>
      <c r="BH151" s="1552">
        <v>2056</v>
      </c>
      <c r="BI151" s="1552">
        <v>2057</v>
      </c>
      <c r="BJ151" s="1552">
        <v>2058</v>
      </c>
      <c r="BK151" s="1552">
        <v>2059</v>
      </c>
      <c r="BL151" s="1552">
        <v>2060</v>
      </c>
      <c r="BM151" s="1552">
        <v>2061</v>
      </c>
      <c r="BN151" s="1552">
        <v>2062</v>
      </c>
      <c r="BO151" s="1552">
        <v>2063</v>
      </c>
      <c r="BP151" s="1552">
        <v>2064</v>
      </c>
      <c r="BQ151" s="1552">
        <v>2065</v>
      </c>
      <c r="BR151" s="1552">
        <v>2066</v>
      </c>
      <c r="BS151" s="1552">
        <v>2067</v>
      </c>
      <c r="BT151" s="1552">
        <v>2068</v>
      </c>
      <c r="BU151" s="1552">
        <v>2069</v>
      </c>
      <c r="BV151" s="1552">
        <v>2070</v>
      </c>
      <c r="BW151" s="1552">
        <v>2071</v>
      </c>
      <c r="BX151" s="1552">
        <v>2072</v>
      </c>
      <c r="BY151" s="1552">
        <v>2073</v>
      </c>
      <c r="BZ151" s="1552">
        <v>2074</v>
      </c>
      <c r="CA151" s="1552">
        <v>2075</v>
      </c>
      <c r="CB151" s="1552">
        <v>2076</v>
      </c>
      <c r="CC151" s="1552">
        <v>2077</v>
      </c>
      <c r="CD151" s="1552">
        <v>2078</v>
      </c>
      <c r="CE151" s="1552">
        <v>2079</v>
      </c>
      <c r="CF151" s="1552">
        <v>2080</v>
      </c>
      <c r="CG151" s="1552">
        <v>2081</v>
      </c>
      <c r="CH151" s="1552">
        <v>2082</v>
      </c>
      <c r="CI151" s="1552">
        <v>2083</v>
      </c>
      <c r="CJ151" s="1552">
        <v>2084</v>
      </c>
      <c r="CK151" s="1552">
        <v>2085</v>
      </c>
      <c r="CL151" s="1552">
        <v>2086</v>
      </c>
      <c r="CM151" s="1552">
        <v>2087</v>
      </c>
      <c r="CN151" s="1552">
        <v>2088</v>
      </c>
      <c r="CO151" s="1552">
        <v>2089</v>
      </c>
      <c r="CP151" s="1552">
        <v>2090</v>
      </c>
      <c r="CQ151" s="1552">
        <v>2091</v>
      </c>
      <c r="CR151" s="1552">
        <v>2092</v>
      </c>
      <c r="CS151" s="1552">
        <v>2093</v>
      </c>
      <c r="CT151" s="1552">
        <v>2094</v>
      </c>
      <c r="CU151" s="1552">
        <v>2095</v>
      </c>
      <c r="CV151" s="1552">
        <v>2096</v>
      </c>
      <c r="CW151" s="1552">
        <v>2097</v>
      </c>
      <c r="CX151" s="1552">
        <v>2098</v>
      </c>
      <c r="CY151" s="1552">
        <v>2099</v>
      </c>
      <c r="CZ151" s="1553">
        <v>2100</v>
      </c>
    </row>
    <row r="152" spans="1:104" x14ac:dyDescent="0.25">
      <c r="A152" s="1554" t="s">
        <v>1089</v>
      </c>
      <c r="B152" s="1555"/>
      <c r="C152" s="1555"/>
      <c r="D152" s="1555"/>
      <c r="E152" s="1555"/>
      <c r="F152" s="1555"/>
      <c r="G152" s="1555"/>
      <c r="H152" s="1555"/>
      <c r="I152" s="1555"/>
      <c r="J152" s="1555"/>
      <c r="K152" s="1555"/>
      <c r="L152" s="1555"/>
      <c r="M152" s="1555"/>
      <c r="N152" s="1555"/>
      <c r="O152" s="1555"/>
      <c r="P152" s="1555"/>
      <c r="Q152" s="1555"/>
      <c r="R152" s="1555"/>
      <c r="S152" s="1555"/>
      <c r="T152" s="1555"/>
      <c r="U152" s="1555"/>
      <c r="V152" s="1555"/>
      <c r="W152" s="1555"/>
      <c r="X152" s="1555"/>
      <c r="Y152" s="1555"/>
      <c r="Z152" s="1555"/>
      <c r="AA152" s="1555"/>
      <c r="AB152" s="1555"/>
      <c r="AC152" s="1555"/>
      <c r="AD152" s="1555"/>
      <c r="AE152" s="1555"/>
      <c r="AF152" s="1555"/>
      <c r="AG152" s="1555"/>
      <c r="AH152" s="1555"/>
      <c r="AI152" s="1555"/>
      <c r="AJ152" s="1555"/>
      <c r="AK152" s="1555"/>
      <c r="AL152" s="1555"/>
      <c r="AM152" s="1555"/>
      <c r="AN152" s="1555"/>
      <c r="AO152" s="1555"/>
      <c r="AP152" s="1555"/>
      <c r="AQ152" s="1555"/>
      <c r="AR152" s="1555"/>
      <c r="AS152" s="1555"/>
      <c r="AT152" s="1555"/>
      <c r="AU152" s="1555"/>
      <c r="AV152" s="1555"/>
      <c r="AW152" s="1555"/>
      <c r="AX152" s="1555"/>
      <c r="AY152" s="1555"/>
      <c r="AZ152" s="1555"/>
      <c r="BA152" s="1555"/>
      <c r="BB152" s="1555"/>
      <c r="BC152" s="1555"/>
      <c r="BD152" s="1555"/>
      <c r="BE152" s="1555"/>
      <c r="BF152" s="1555"/>
      <c r="BG152" s="1555"/>
      <c r="BH152" s="1555"/>
      <c r="BI152" s="1555"/>
      <c r="BJ152" s="1555"/>
      <c r="BK152" s="1555"/>
      <c r="BL152" s="1555"/>
      <c r="BM152" s="1555"/>
      <c r="BN152" s="1555"/>
      <c r="BO152" s="1555"/>
      <c r="BP152" s="1555"/>
      <c r="BQ152" s="1555"/>
      <c r="BR152" s="1555"/>
      <c r="BS152" s="1555"/>
      <c r="BT152" s="1555"/>
      <c r="BU152" s="1555"/>
      <c r="BV152" s="1555"/>
      <c r="BW152" s="1555"/>
      <c r="BX152" s="1555"/>
      <c r="BY152" s="1555"/>
      <c r="BZ152" s="1555"/>
      <c r="CA152" s="1555"/>
      <c r="CB152" s="1555"/>
      <c r="CC152" s="1555"/>
      <c r="CD152" s="1555"/>
      <c r="CE152" s="1555"/>
      <c r="CF152" s="1555"/>
      <c r="CG152" s="1555"/>
      <c r="CH152" s="1555"/>
      <c r="CI152" s="1555"/>
      <c r="CJ152" s="1555"/>
      <c r="CK152" s="1555"/>
      <c r="CL152" s="1555"/>
      <c r="CM152" s="1555"/>
      <c r="CN152" s="1555"/>
      <c r="CO152" s="1555"/>
      <c r="CP152" s="1555"/>
      <c r="CQ152" s="1555"/>
      <c r="CR152" s="1555"/>
      <c r="CS152" s="1555"/>
      <c r="CT152" s="1555"/>
      <c r="CU152" s="1555"/>
      <c r="CV152" s="1555"/>
      <c r="CW152" s="1555"/>
      <c r="CX152" s="1555"/>
      <c r="CY152" s="1555"/>
      <c r="CZ152" s="1556"/>
    </row>
    <row r="153" spans="1:104" x14ac:dyDescent="0.25">
      <c r="A153" s="1554" t="s">
        <v>681</v>
      </c>
      <c r="B153" s="1555"/>
      <c r="C153" s="1555"/>
      <c r="D153" s="1555"/>
      <c r="E153" s="1555"/>
      <c r="F153" s="1555"/>
      <c r="G153" s="1555"/>
      <c r="H153" s="1555">
        <v>13.604875014867702</v>
      </c>
      <c r="I153" s="1555">
        <v>15.571757228276402</v>
      </c>
      <c r="J153" s="1555">
        <v>16.331995797204218</v>
      </c>
      <c r="K153" s="1555">
        <v>15.155672177020728</v>
      </c>
      <c r="L153" s="1555">
        <v>15.783516201764996</v>
      </c>
      <c r="M153" s="1555">
        <v>13.69149010361817</v>
      </c>
      <c r="N153" s="1555">
        <v>12.691188457250465</v>
      </c>
      <c r="O153" s="1555">
        <v>12.04142243701838</v>
      </c>
      <c r="P153" s="1555">
        <v>11.415954621928984</v>
      </c>
      <c r="Q153" s="1555">
        <v>10.886628367710442</v>
      </c>
      <c r="R153" s="1555">
        <v>11.368469484946878</v>
      </c>
      <c r="S153" s="1555">
        <v>9.7183315387998359</v>
      </c>
      <c r="T153" s="1555">
        <v>9.390001099467705</v>
      </c>
      <c r="U153" s="1555">
        <v>10.023002570479671</v>
      </c>
      <c r="V153" s="1555">
        <v>10.033707215541167</v>
      </c>
      <c r="W153" s="1555">
        <v>10.158951752324048</v>
      </c>
      <c r="X153" s="1555">
        <v>10.289627280447673</v>
      </c>
      <c r="Y153" s="1555">
        <v>10.38663350570965</v>
      </c>
      <c r="Z153" s="1555">
        <v>10.458822090960101</v>
      </c>
      <c r="AA153" s="1555">
        <v>10.541361785535555</v>
      </c>
      <c r="AB153" s="1555">
        <v>10.671303703310535</v>
      </c>
      <c r="AC153" s="1555">
        <v>10.821196220864106</v>
      </c>
      <c r="AD153" s="1555">
        <v>10.961130973142659</v>
      </c>
      <c r="AE153" s="1555">
        <v>11.387951919139837</v>
      </c>
      <c r="AF153" s="1555">
        <v>11.524366479125279</v>
      </c>
      <c r="AG153" s="1555">
        <v>11.653679994237272</v>
      </c>
      <c r="AH153" s="1555">
        <v>11.727599293307653</v>
      </c>
      <c r="AI153" s="1555">
        <v>11.827238554162054</v>
      </c>
      <c r="AJ153" s="1555">
        <v>11.877874728924342</v>
      </c>
      <c r="AK153" s="1555">
        <v>11.891573527850655</v>
      </c>
      <c r="AL153" s="1555">
        <v>11.9827791131466</v>
      </c>
      <c r="AM153" s="1555">
        <v>12.163475682807357</v>
      </c>
      <c r="AN153" s="1555">
        <v>12.259449735369497</v>
      </c>
      <c r="AO153" s="1555">
        <v>12.356256919064013</v>
      </c>
      <c r="AP153" s="1555">
        <v>12.41256198723101</v>
      </c>
      <c r="AQ153" s="1555">
        <v>12.490714236969412</v>
      </c>
      <c r="AR153" s="1555">
        <v>12.496378391289182</v>
      </c>
      <c r="AS153" s="1555">
        <v>12.55376491863939</v>
      </c>
      <c r="AT153" s="1555">
        <v>12.651412816002184</v>
      </c>
      <c r="AU153" s="1555">
        <v>12.770777096192051</v>
      </c>
      <c r="AV153" s="1555">
        <v>12.886454368298935</v>
      </c>
      <c r="AW153" s="1555">
        <v>13.010888521557151</v>
      </c>
      <c r="AX153" s="1555">
        <v>13.118997475015544</v>
      </c>
      <c r="AY153" s="1555">
        <v>13.217679440712152</v>
      </c>
      <c r="AZ153" s="1555">
        <v>13.363983523149482</v>
      </c>
      <c r="BA153" s="1555">
        <v>13.453606254075613</v>
      </c>
      <c r="BB153" s="1555">
        <v>13.593337225701765</v>
      </c>
      <c r="BC153" s="1555">
        <v>13.668907227280409</v>
      </c>
      <c r="BD153" s="1555">
        <v>13.744897348292845</v>
      </c>
      <c r="BE153" s="1555">
        <v>13.821309924326409</v>
      </c>
      <c r="BF153" s="1555">
        <v>13.898147303952761</v>
      </c>
      <c r="BG153" s="1555">
        <v>13.975411848800078</v>
      </c>
      <c r="BH153" s="1555">
        <v>14.050424531225174</v>
      </c>
      <c r="BI153" s="1555">
        <v>14.12583984239463</v>
      </c>
      <c r="BJ153" s="1555">
        <v>14.201659943408417</v>
      </c>
      <c r="BK153" s="1555">
        <v>14.277887006966159</v>
      </c>
      <c r="BL153" s="1555">
        <v>14.354523217429389</v>
      </c>
      <c r="BM153" s="1555">
        <v>14.422221698840277</v>
      </c>
      <c r="BN153" s="1555">
        <v>14.490239458315362</v>
      </c>
      <c r="BO153" s="1555">
        <v>14.558578001626712</v>
      </c>
      <c r="BP153" s="1555">
        <v>14.627238841647882</v>
      </c>
      <c r="BQ153" s="1555">
        <v>14.696223498387408</v>
      </c>
      <c r="BR153" s="1555">
        <v>14.75529333521281</v>
      </c>
      <c r="BS153" s="1555">
        <v>14.814600596681556</v>
      </c>
      <c r="BT153" s="1555">
        <v>14.874146237095607</v>
      </c>
      <c r="BU153" s="1555">
        <v>14.933931214592636</v>
      </c>
      <c r="BV153" s="1555">
        <v>14.993956491161448</v>
      </c>
      <c r="BW153" s="1555">
        <v>15.043740835540882</v>
      </c>
      <c r="BX153" s="1555">
        <v>15.093690478582264</v>
      </c>
      <c r="BY153" s="1555">
        <v>15.143805969125756</v>
      </c>
      <c r="BZ153" s="1555">
        <v>15.19408785783383</v>
      </c>
      <c r="CA153" s="1555">
        <v>15.244536697197322</v>
      </c>
      <c r="CB153" s="1555">
        <v>15.277067444573643</v>
      </c>
      <c r="CC153" s="1555">
        <v>15.309667610230484</v>
      </c>
      <c r="CD153" s="1555">
        <v>15.342337342301477</v>
      </c>
      <c r="CE153" s="1555">
        <v>15.375076789236356</v>
      </c>
      <c r="CF153" s="1555">
        <v>15.407886099801638</v>
      </c>
      <c r="CG153" s="1555">
        <v>15.41853907481957</v>
      </c>
      <c r="CH153" s="1555">
        <v>15.42919941527855</v>
      </c>
      <c r="CI153" s="1555">
        <v>15.439867126271025</v>
      </c>
      <c r="CJ153" s="1555">
        <v>15.450542212892964</v>
      </c>
      <c r="CK153" s="1555">
        <v>15.461224680243861</v>
      </c>
      <c r="CL153" s="1555">
        <v>15.464845562477739</v>
      </c>
      <c r="CM153" s="1555">
        <v>15.468467292690251</v>
      </c>
      <c r="CN153" s="1555">
        <v>15.472089871079984</v>
      </c>
      <c r="CO153" s="1555">
        <v>15.475713297845573</v>
      </c>
      <c r="CP153" s="1555">
        <v>15.479337573185701</v>
      </c>
      <c r="CQ153" s="1555">
        <v>15.484830510437597</v>
      </c>
      <c r="CR153" s="1555">
        <v>15.490325396891745</v>
      </c>
      <c r="CS153" s="1555">
        <v>15.49582223323983</v>
      </c>
      <c r="CT153" s="1555">
        <v>15.501321020173785</v>
      </c>
      <c r="CU153" s="1555">
        <v>15.506821758385787</v>
      </c>
      <c r="CV153" s="1555">
        <v>15.515287417782641</v>
      </c>
      <c r="CW153" s="1555">
        <v>15.523757698847955</v>
      </c>
      <c r="CX153" s="1555">
        <v>15.532232604104841</v>
      </c>
      <c r="CY153" s="1555">
        <v>15.540712136077792</v>
      </c>
      <c r="CZ153" s="1556">
        <v>15.549196297292674</v>
      </c>
    </row>
    <row r="154" spans="1:104" x14ac:dyDescent="0.25">
      <c r="A154" s="1554" t="s">
        <v>1084</v>
      </c>
      <c r="B154" s="1555"/>
      <c r="C154" s="1555"/>
      <c r="D154" s="1555"/>
      <c r="E154" s="1555"/>
      <c r="F154" s="1555"/>
      <c r="G154" s="1555"/>
      <c r="H154" s="1555">
        <v>11.934322920018829</v>
      </c>
      <c r="I154" s="1555">
        <v>13.90423046997279</v>
      </c>
      <c r="J154" s="1555">
        <v>14.274140536522257</v>
      </c>
      <c r="K154" s="1555">
        <v>13.139550648884942</v>
      </c>
      <c r="L154" s="1555">
        <v>13.897221248926272</v>
      </c>
      <c r="M154" s="1555">
        <v>11.345666428533674</v>
      </c>
      <c r="N154" s="1555">
        <v>10.551848524158197</v>
      </c>
      <c r="O154" s="1555">
        <v>9.7270239269114924</v>
      </c>
      <c r="P154" s="1555">
        <v>8.6825570363966911</v>
      </c>
      <c r="Q154" s="1555">
        <v>8.5236392646415098</v>
      </c>
      <c r="R154" s="1555">
        <v>9.2232797097563566</v>
      </c>
      <c r="S154" s="1555">
        <v>7.6085885488542795</v>
      </c>
      <c r="T154" s="1555">
        <v>6.813801352724405</v>
      </c>
      <c r="U154" s="1555">
        <v>7.4731047451509687</v>
      </c>
      <c r="V154" s="1555">
        <v>7.9843107853990691</v>
      </c>
      <c r="W154" s="1555">
        <v>8.5650780622071245</v>
      </c>
      <c r="X154" s="1555">
        <v>9.1477570858798014</v>
      </c>
      <c r="Y154" s="1555">
        <v>9.2514909161219876</v>
      </c>
      <c r="Z154" s="1555">
        <v>9.3094669856386769</v>
      </c>
      <c r="AA154" s="1555">
        <v>9.3761326413005577</v>
      </c>
      <c r="AB154" s="1555">
        <v>9.4891655040111615</v>
      </c>
      <c r="AC154" s="1555">
        <v>9.6143446414218783</v>
      </c>
      <c r="AD154" s="1555">
        <v>9.7258827967425425</v>
      </c>
      <c r="AE154" s="1555">
        <v>10.087086372666475</v>
      </c>
      <c r="AF154" s="1555">
        <v>10.198695614261233</v>
      </c>
      <c r="AG154" s="1555">
        <v>10.304737378868989</v>
      </c>
      <c r="AH154" s="1555">
        <v>10.357640731866367</v>
      </c>
      <c r="AI154" s="1555">
        <v>10.427655972763532</v>
      </c>
      <c r="AJ154" s="1555">
        <v>10.453569289213085</v>
      </c>
      <c r="AK154" s="1555">
        <v>10.441948105124277</v>
      </c>
      <c r="AL154" s="1555">
        <v>10.506270757192036</v>
      </c>
      <c r="AM154" s="1555">
        <v>10.658282593530579</v>
      </c>
      <c r="AN154" s="1555">
        <v>10.722901912315555</v>
      </c>
      <c r="AO154" s="1555">
        <v>10.786351624937444</v>
      </c>
      <c r="AP154" s="1555">
        <v>10.817805879498341</v>
      </c>
      <c r="AQ154" s="1555">
        <v>10.86596540847121</v>
      </c>
      <c r="AR154" s="1555">
        <v>10.838793391061706</v>
      </c>
      <c r="AS154" s="1555">
        <v>10.868085675073171</v>
      </c>
      <c r="AT154" s="1555">
        <v>10.937640276914211</v>
      </c>
      <c r="AU154" s="1555">
        <v>11.027299024885883</v>
      </c>
      <c r="AV154" s="1555">
        <v>11.114692490256441</v>
      </c>
      <c r="AW154" s="1555">
        <v>11.212257927541287</v>
      </c>
      <c r="AX154" s="1555">
        <v>11.293368314098968</v>
      </c>
      <c r="AY154" s="1555">
        <v>11.35816487466068</v>
      </c>
      <c r="AZ154" s="1555">
        <v>11.46581792814789</v>
      </c>
      <c r="BA154" s="1555">
        <v>11.521194135666732</v>
      </c>
      <c r="BB154" s="1555">
        <v>11.628119265707223</v>
      </c>
      <c r="BC154" s="1555">
        <v>11.692763949840026</v>
      </c>
      <c r="BD154" s="1555">
        <v>11.757768015837698</v>
      </c>
      <c r="BE154" s="1555">
        <v>11.823133461626696</v>
      </c>
      <c r="BF154" s="1555">
        <v>11.888862296240635</v>
      </c>
      <c r="BG154" s="1555">
        <v>11.954956539882032</v>
      </c>
      <c r="BH154" s="1555">
        <v>12.019124477688386</v>
      </c>
      <c r="BI154" s="1555">
        <v>12.083636835336717</v>
      </c>
      <c r="BJ154" s="1555">
        <v>12.148495461492134</v>
      </c>
      <c r="BK154" s="1555">
        <v>12.213702214742405</v>
      </c>
      <c r="BL154" s="1555">
        <v>12.279258963651227</v>
      </c>
      <c r="BM154" s="1555">
        <v>12.337170130194249</v>
      </c>
      <c r="BN154" s="1555">
        <v>12.395354416085945</v>
      </c>
      <c r="BO154" s="1555">
        <v>12.453813109405683</v>
      </c>
      <c r="BP154" s="1555">
        <v>12.512547504307637</v>
      </c>
      <c r="BQ154" s="1555">
        <v>12.571558901049444</v>
      </c>
      <c r="BR154" s="1555">
        <v>12.622088884688262</v>
      </c>
      <c r="BS154" s="1555">
        <v>12.672821967979766</v>
      </c>
      <c r="BT154" s="1555">
        <v>12.723758967260437</v>
      </c>
      <c r="BU154" s="1555">
        <v>12.774900702147928</v>
      </c>
      <c r="BV154" s="1555">
        <v>12.826247995554251</v>
      </c>
      <c r="BW154" s="1555">
        <v>12.868834910334423</v>
      </c>
      <c r="BX154" s="1555">
        <v>12.911563226193937</v>
      </c>
      <c r="BY154" s="1555">
        <v>12.954433412625956</v>
      </c>
      <c r="BZ154" s="1555">
        <v>12.997445940682496</v>
      </c>
      <c r="CA154" s="1555">
        <v>13.040601282979605</v>
      </c>
      <c r="CB154" s="1555">
        <v>13.06842899033459</v>
      </c>
      <c r="CC154" s="1555">
        <v>13.096316080020177</v>
      </c>
      <c r="CD154" s="1555">
        <v>13.124262678753999</v>
      </c>
      <c r="CE154" s="1555">
        <v>13.152268913524093</v>
      </c>
      <c r="CF154" s="1555">
        <v>13.180334911589481</v>
      </c>
      <c r="CG154" s="1555">
        <v>13.189447763127433</v>
      </c>
      <c r="CH154" s="1555">
        <v>13.198566915268799</v>
      </c>
      <c r="CI154" s="1555">
        <v>13.207692372369801</v>
      </c>
      <c r="CJ154" s="1555">
        <v>13.216824138789674</v>
      </c>
      <c r="CK154" s="1555">
        <v>13.225962218890665</v>
      </c>
      <c r="CL154" s="1555">
        <v>13.22905962240266</v>
      </c>
      <c r="CM154" s="1555">
        <v>13.232157751299196</v>
      </c>
      <c r="CN154" s="1555">
        <v>13.23525660575015</v>
      </c>
      <c r="CO154" s="1555">
        <v>13.23835618592544</v>
      </c>
      <c r="CP154" s="1555">
        <v>13.241456491995026</v>
      </c>
      <c r="CQ154" s="1555">
        <v>13.246155303510076</v>
      </c>
      <c r="CR154" s="1555">
        <v>13.250855782427021</v>
      </c>
      <c r="CS154" s="1555">
        <v>13.255557929337549</v>
      </c>
      <c r="CT154" s="1555">
        <v>13.260261744833558</v>
      </c>
      <c r="CU154" s="1555">
        <v>13.264967229507157</v>
      </c>
      <c r="CV154" s="1555">
        <v>13.272208990341527</v>
      </c>
      <c r="CW154" s="1555">
        <v>13.279454704679821</v>
      </c>
      <c r="CX154" s="1555">
        <v>13.286704374680379</v>
      </c>
      <c r="CY154" s="1555">
        <v>13.293958002502723</v>
      </c>
      <c r="CZ154" s="1556">
        <v>13.30121559030755</v>
      </c>
    </row>
    <row r="155" spans="1:104" x14ac:dyDescent="0.25">
      <c r="A155" s="1554" t="s">
        <v>283</v>
      </c>
      <c r="B155" s="1555"/>
      <c r="C155" s="1555"/>
      <c r="D155" s="1555"/>
      <c r="E155" s="1555"/>
      <c r="F155" s="1555"/>
      <c r="G155" s="1555"/>
      <c r="H155" s="1555">
        <v>8.2641705904266125</v>
      </c>
      <c r="I155" s="1555">
        <v>10.495609596381577</v>
      </c>
      <c r="J155" s="1555">
        <v>9.3614571685358463</v>
      </c>
      <c r="K155" s="1555">
        <v>8.8987432965993278</v>
      </c>
      <c r="L155" s="1555">
        <v>10.965509816201024</v>
      </c>
      <c r="M155" s="1555">
        <v>6.0111731674040234</v>
      </c>
      <c r="N155" s="1555">
        <v>6.1171751211856922</v>
      </c>
      <c r="O155" s="1555">
        <v>5.6004077154944953</v>
      </c>
      <c r="P155" s="1555">
        <v>4.1590520124961925</v>
      </c>
      <c r="Q155" s="1555">
        <v>4.894763142071362</v>
      </c>
      <c r="R155" s="1555">
        <v>5.8241384234641265</v>
      </c>
      <c r="S155" s="1555">
        <v>3.5390282601113117</v>
      </c>
      <c r="T155" s="1555">
        <v>3.3168400539876552</v>
      </c>
      <c r="U155" s="1555">
        <v>3.8686572087168831</v>
      </c>
      <c r="V155" s="1555">
        <v>4.230424735748624</v>
      </c>
      <c r="W155" s="1555">
        <v>4.6374903322667231</v>
      </c>
      <c r="X155" s="1555">
        <v>5.0398775041324821</v>
      </c>
      <c r="Y155" s="1555">
        <v>5.0452222441273262</v>
      </c>
      <c r="Z155" s="1555">
        <v>4.9894479534735598</v>
      </c>
      <c r="AA155" s="1555">
        <v>5.0008757828968315</v>
      </c>
      <c r="AB155" s="1555">
        <v>5.0866427943161305</v>
      </c>
      <c r="AC155" s="1555">
        <v>5.1985543895300337</v>
      </c>
      <c r="AD155" s="1555">
        <v>5.3142743134013735</v>
      </c>
      <c r="AE155" s="1555">
        <v>5.4069765017212355</v>
      </c>
      <c r="AF155" s="1555">
        <v>5.498883471588238</v>
      </c>
      <c r="AG155" s="1555">
        <v>5.5761078084954727</v>
      </c>
      <c r="AH155" s="1555">
        <v>5.5953977798334869</v>
      </c>
      <c r="AI155" s="1555">
        <v>5.6194116710392619</v>
      </c>
      <c r="AJ155" s="1555">
        <v>5.6053299540498323</v>
      </c>
      <c r="AK155" s="1555">
        <v>5.5496627667157004</v>
      </c>
      <c r="AL155" s="1555">
        <v>5.5482476759527453</v>
      </c>
      <c r="AM155" s="1555">
        <v>5.6344516310034729</v>
      </c>
      <c r="AN155" s="1555">
        <v>5.6381945602887429</v>
      </c>
      <c r="AO155" s="1555">
        <v>5.6485162872871211</v>
      </c>
      <c r="AP155" s="1555">
        <v>5.6430123140383071</v>
      </c>
      <c r="AQ155" s="1555">
        <v>5.6644386648670784</v>
      </c>
      <c r="AR155" s="1555">
        <v>5.6215300420072483</v>
      </c>
      <c r="AS155" s="1555">
        <v>5.6260767200982693</v>
      </c>
      <c r="AT155" s="1555">
        <v>5.6802473044084865</v>
      </c>
      <c r="AU155" s="1555">
        <v>5.7631623345111542</v>
      </c>
      <c r="AV155" s="1555">
        <v>5.819991545472468</v>
      </c>
      <c r="AW155" s="1555">
        <v>5.8947240715184783</v>
      </c>
      <c r="AX155" s="1555">
        <v>5.9518546882819487</v>
      </c>
      <c r="AY155" s="1555">
        <v>6.0145186606208574</v>
      </c>
      <c r="AZ155" s="1555">
        <v>6.1247620979360331</v>
      </c>
      <c r="BA155" s="1555">
        <v>6.1606322318436177</v>
      </c>
      <c r="BB155" s="1555">
        <v>6.238633778680942</v>
      </c>
      <c r="BC155" s="1555">
        <v>6.2733164733478626</v>
      </c>
      <c r="BD155" s="1555">
        <v>6.3081919809530058</v>
      </c>
      <c r="BE155" s="1555">
        <v>6.3432613734093088</v>
      </c>
      <c r="BF155" s="1555">
        <v>6.3785257285888406</v>
      </c>
      <c r="BG155" s="1555">
        <v>6.4139861303559274</v>
      </c>
      <c r="BH155" s="1555">
        <v>6.4484130445592944</v>
      </c>
      <c r="BI155" s="1555">
        <v>6.4830247443854354</v>
      </c>
      <c r="BJ155" s="1555">
        <v>6.5178222216666768</v>
      </c>
      <c r="BK155" s="1555">
        <v>6.5528064735589808</v>
      </c>
      <c r="BL155" s="1555">
        <v>6.5879785025705191</v>
      </c>
      <c r="BM155" s="1555">
        <v>6.6190485794679574</v>
      </c>
      <c r="BN155" s="1555">
        <v>6.6502651883672899</v>
      </c>
      <c r="BO155" s="1555">
        <v>6.6816290203394662</v>
      </c>
      <c r="BP155" s="1555">
        <v>6.7131407697146503</v>
      </c>
      <c r="BQ155" s="1555">
        <v>6.7448011340975915</v>
      </c>
      <c r="BR155" s="1555">
        <v>6.7719111125525773</v>
      </c>
      <c r="BS155" s="1555">
        <v>6.7991300565526132</v>
      </c>
      <c r="BT155" s="1555">
        <v>6.8264584040725946</v>
      </c>
      <c r="BU155" s="1555">
        <v>6.8538965948478108</v>
      </c>
      <c r="BV155" s="1555">
        <v>6.8814450703810159</v>
      </c>
      <c r="BW155" s="1555">
        <v>6.904293491437457</v>
      </c>
      <c r="BX155" s="1555">
        <v>6.9272177759701634</v>
      </c>
      <c r="BY155" s="1555">
        <v>6.9502181758681845</v>
      </c>
      <c r="BZ155" s="1555">
        <v>6.9732949438569127</v>
      </c>
      <c r="CA155" s="1555">
        <v>6.996448333500866</v>
      </c>
      <c r="CB155" s="1555">
        <v>7.0113782521851409</v>
      </c>
      <c r="CC155" s="1555">
        <v>7.0263400302445289</v>
      </c>
      <c r="CD155" s="1555">
        <v>7.0413337356646508</v>
      </c>
      <c r="CE155" s="1555">
        <v>7.0563594365762032</v>
      </c>
      <c r="CF155" s="1555">
        <v>7.0714172012552687</v>
      </c>
      <c r="CG155" s="1555">
        <v>7.0763063619291211</v>
      </c>
      <c r="CH155" s="1555">
        <v>7.0811989029567863</v>
      </c>
      <c r="CI155" s="1555">
        <v>7.0860948266754322</v>
      </c>
      <c r="CJ155" s="1555">
        <v>7.090994135423843</v>
      </c>
      <c r="CK155" s="1555">
        <v>7.0958968315424205</v>
      </c>
      <c r="CL155" s="1555">
        <v>7.0975586278944007</v>
      </c>
      <c r="CM155" s="1555">
        <v>7.0992208134244059</v>
      </c>
      <c r="CN155" s="1555">
        <v>7.1008833882235782</v>
      </c>
      <c r="CO155" s="1555">
        <v>7.1025463523830812</v>
      </c>
      <c r="CP155" s="1555">
        <v>7.1042097059940996</v>
      </c>
      <c r="CQ155" s="1555">
        <v>7.1067306780935082</v>
      </c>
      <c r="CR155" s="1555">
        <v>7.1092525447752264</v>
      </c>
      <c r="CS155" s="1555">
        <v>7.1117753063567024</v>
      </c>
      <c r="CT155" s="1555">
        <v>7.1142989631554965</v>
      </c>
      <c r="CU155" s="1555">
        <v>7.1168235154892816</v>
      </c>
      <c r="CV155" s="1555">
        <v>7.1207088122192239</v>
      </c>
      <c r="CW155" s="1555">
        <v>7.1245962300542702</v>
      </c>
      <c r="CX155" s="1555">
        <v>7.1284857701523974</v>
      </c>
      <c r="CY155" s="1555">
        <v>7.1323774336722154</v>
      </c>
      <c r="CZ155" s="1556">
        <v>7.1362712217729669</v>
      </c>
    </row>
    <row r="156" spans="1:104" x14ac:dyDescent="0.25">
      <c r="A156" s="1554" t="s">
        <v>1085</v>
      </c>
      <c r="B156" s="1555"/>
      <c r="C156" s="1555"/>
      <c r="D156" s="1555"/>
      <c r="E156" s="1555"/>
      <c r="F156" s="1555"/>
      <c r="G156" s="1555"/>
      <c r="H156" s="1555">
        <v>8.4160389626855991</v>
      </c>
      <c r="I156" s="1555">
        <v>10.630483084185546</v>
      </c>
      <c r="J156" s="1555">
        <v>10.241695834954719</v>
      </c>
      <c r="K156" s="1555">
        <v>9.4549147526367854</v>
      </c>
      <c r="L156" s="1555">
        <v>10.431438353650302</v>
      </c>
      <c r="M156" s="1555">
        <v>7.3081429877632402</v>
      </c>
      <c r="N156" s="1555">
        <v>6.8860004096407268</v>
      </c>
      <c r="O156" s="1555">
        <v>6.1462564207083838</v>
      </c>
      <c r="P156" s="1555">
        <v>5.0701845410069568</v>
      </c>
      <c r="Q156" s="1555">
        <v>5.147940545971605</v>
      </c>
      <c r="R156" s="1555">
        <v>5.9174075441245835</v>
      </c>
      <c r="S156" s="1555">
        <v>4.3672641892083037</v>
      </c>
      <c r="T156" s="1555">
        <v>3.755553639162041</v>
      </c>
      <c r="U156" s="1555">
        <v>3.3468214009493336</v>
      </c>
      <c r="V156" s="1555">
        <v>3.6078009129373227</v>
      </c>
      <c r="W156" s="1555">
        <v>3.9595869792693468</v>
      </c>
      <c r="X156" s="1555">
        <v>4.2992239274502966</v>
      </c>
      <c r="Y156" s="1555">
        <v>4.3362295461094007</v>
      </c>
      <c r="Z156" s="1555">
        <v>4.2972619462853157</v>
      </c>
      <c r="AA156" s="1555">
        <v>4.3209431537283329</v>
      </c>
      <c r="AB156" s="1555">
        <v>4.4388231525151278</v>
      </c>
      <c r="AC156" s="1555">
        <v>4.5598555906037213</v>
      </c>
      <c r="AD156" s="1555">
        <v>4.6705511366221319</v>
      </c>
      <c r="AE156" s="1555">
        <v>4.7905826799714895</v>
      </c>
      <c r="AF156" s="1555">
        <v>4.8909868291351355</v>
      </c>
      <c r="AG156" s="1555">
        <v>4.9795195705251665</v>
      </c>
      <c r="AH156" s="1555">
        <v>5.0140428564929254</v>
      </c>
      <c r="AI156" s="1555">
        <v>5.034241784322349</v>
      </c>
      <c r="AJ156" s="1555">
        <v>5.0303794300966009</v>
      </c>
      <c r="AK156" s="1555">
        <v>4.9817061843162831</v>
      </c>
      <c r="AL156" s="1555">
        <v>5.005816752854825</v>
      </c>
      <c r="AM156" s="1555">
        <v>5.1117353012541518</v>
      </c>
      <c r="AN156" s="1555">
        <v>5.1218001698488047</v>
      </c>
      <c r="AO156" s="1555">
        <v>5.1563490468752367</v>
      </c>
      <c r="AP156" s="1555">
        <v>5.1654177598155924</v>
      </c>
      <c r="AQ156" s="1555">
        <v>5.1952502995101684</v>
      </c>
      <c r="AR156" s="1555">
        <v>5.1548078964528896</v>
      </c>
      <c r="AS156" s="1555">
        <v>5.1691436283950809</v>
      </c>
      <c r="AT156" s="1555">
        <v>5.2239208155775625</v>
      </c>
      <c r="AU156" s="1555">
        <v>5.3036701369405987</v>
      </c>
      <c r="AV156" s="1555">
        <v>5.3698761013633396</v>
      </c>
      <c r="AW156" s="1555">
        <v>5.4477553798092231</v>
      </c>
      <c r="AX156" s="1555">
        <v>5.5105548899774046</v>
      </c>
      <c r="AY156" s="1555">
        <v>5.5735610242489493</v>
      </c>
      <c r="AZ156" s="1555">
        <v>5.6745566112130543</v>
      </c>
      <c r="BA156" s="1555">
        <v>5.7069198222653581</v>
      </c>
      <c r="BB156" s="1555">
        <v>5.8107835034348891</v>
      </c>
      <c r="BC156" s="1555">
        <v>5.8430876323795795</v>
      </c>
      <c r="BD156" s="1555">
        <v>5.8755713510037442</v>
      </c>
      <c r="BE156" s="1555">
        <v>5.9082356577077126</v>
      </c>
      <c r="BF156" s="1555">
        <v>5.9410815564422617</v>
      </c>
      <c r="BG156" s="1555">
        <v>5.974110056739474</v>
      </c>
      <c r="BH156" s="1555">
        <v>6.006175946840397</v>
      </c>
      <c r="BI156" s="1555">
        <v>6.0384139498247791</v>
      </c>
      <c r="BJ156" s="1555">
        <v>6.0708249895043265</v>
      </c>
      <c r="BK156" s="1555">
        <v>6.1034099946492821</v>
      </c>
      <c r="BL156" s="1555">
        <v>6.1361698990150408</v>
      </c>
      <c r="BM156" s="1555">
        <v>6.1651091662794615</v>
      </c>
      <c r="BN156" s="1555">
        <v>6.1941849162690321</v>
      </c>
      <c r="BO156" s="1555">
        <v>6.2233977926605295</v>
      </c>
      <c r="BP156" s="1555">
        <v>6.2527484421664239</v>
      </c>
      <c r="BQ156" s="1555">
        <v>6.2822375145491964</v>
      </c>
      <c r="BR156" s="1555">
        <v>6.3074882699506478</v>
      </c>
      <c r="BS156" s="1555">
        <v>6.3328405179567433</v>
      </c>
      <c r="BT156" s="1555">
        <v>6.3582946665057261</v>
      </c>
      <c r="BU156" s="1555">
        <v>6.3838511251755019</v>
      </c>
      <c r="BV156" s="1555">
        <v>6.4095103051902287</v>
      </c>
      <c r="BW156" s="1555">
        <v>6.4307917640583545</v>
      </c>
      <c r="BX156" s="1555">
        <v>6.4521438836275307</v>
      </c>
      <c r="BY156" s="1555">
        <v>6.473566898512062</v>
      </c>
      <c r="BZ156" s="1555">
        <v>6.4950610441052419</v>
      </c>
      <c r="CA156" s="1555">
        <v>6.5166265565819383</v>
      </c>
      <c r="CB156" s="1555">
        <v>6.5305325700258869</v>
      </c>
      <c r="CC156" s="1555">
        <v>6.5444682579046409</v>
      </c>
      <c r="CD156" s="1555">
        <v>6.5584336835413142</v>
      </c>
      <c r="CE156" s="1555">
        <v>6.5724289103941489</v>
      </c>
      <c r="CF156" s="1555">
        <v>6.5864540020568016</v>
      </c>
      <c r="CG156" s="1555">
        <v>6.5910078603528843</v>
      </c>
      <c r="CH156" s="1555">
        <v>6.5955648671755291</v>
      </c>
      <c r="CI156" s="1555">
        <v>6.6001250247016205</v>
      </c>
      <c r="CJ156" s="1555">
        <v>6.6046883351095476</v>
      </c>
      <c r="CK156" s="1555">
        <v>6.6092548005792047</v>
      </c>
      <c r="CL156" s="1555">
        <v>6.6108026296665843</v>
      </c>
      <c r="CM156" s="1555">
        <v>6.6123508212418631</v>
      </c>
      <c r="CN156" s="1555">
        <v>6.6138993753899316</v>
      </c>
      <c r="CO156" s="1555">
        <v>6.6154482921957012</v>
      </c>
      <c r="CP156" s="1555">
        <v>6.6169975717441041</v>
      </c>
      <c r="CQ156" s="1555">
        <v>6.6193456536491393</v>
      </c>
      <c r="CR156" s="1555">
        <v>6.6216945687853457</v>
      </c>
      <c r="CS156" s="1555">
        <v>6.6240443174483996</v>
      </c>
      <c r="CT156" s="1555">
        <v>6.6263948999340831</v>
      </c>
      <c r="CU156" s="1555">
        <v>6.6287463165382841</v>
      </c>
      <c r="CV156" s="1555">
        <v>6.6323651566473876</v>
      </c>
      <c r="CW156" s="1555">
        <v>6.6359859723945851</v>
      </c>
      <c r="CX156" s="1555">
        <v>6.6396087648584388</v>
      </c>
      <c r="CY156" s="1555">
        <v>6.6432335351180996</v>
      </c>
      <c r="CZ156" s="1556">
        <v>6.6468602842533091</v>
      </c>
    </row>
    <row r="157" spans="1:104" x14ac:dyDescent="0.25">
      <c r="A157" s="1554" t="s">
        <v>1080</v>
      </c>
      <c r="B157" s="1555"/>
      <c r="C157" s="1555"/>
      <c r="D157" s="1555"/>
      <c r="E157" s="1555"/>
      <c r="F157" s="1555"/>
      <c r="G157" s="1555"/>
      <c r="H157" s="1555">
        <v>5.0967849132778742</v>
      </c>
      <c r="I157" s="1555">
        <v>5.0967849132778742</v>
      </c>
      <c r="J157" s="1555">
        <v>5.0967849132778742</v>
      </c>
      <c r="K157" s="1555">
        <v>5.0967849132778742</v>
      </c>
      <c r="L157" s="1555">
        <v>5.0967849132778742</v>
      </c>
      <c r="M157" s="1555">
        <v>5.0967849132778742</v>
      </c>
      <c r="N157" s="1555">
        <v>5.0967849132778742</v>
      </c>
      <c r="O157" s="1555">
        <v>5.0967849132778742</v>
      </c>
      <c r="P157" s="1555">
        <v>5.0967849132778742</v>
      </c>
      <c r="Q157" s="1555">
        <v>5.0967849132778742</v>
      </c>
      <c r="R157" s="1555">
        <v>5.0967849132778742</v>
      </c>
      <c r="S157" s="1555">
        <v>5.0967849132778742</v>
      </c>
      <c r="T157" s="1555">
        <v>5.0967849132778742</v>
      </c>
      <c r="U157" s="1555">
        <v>5.0967849132778742</v>
      </c>
      <c r="V157" s="1555">
        <v>5.0967849132778742</v>
      </c>
      <c r="W157" s="1555">
        <v>5.0967849132778742</v>
      </c>
      <c r="X157" s="1555">
        <v>5.0967849132778742</v>
      </c>
      <c r="Y157" s="1555">
        <v>5.0967849132778742</v>
      </c>
      <c r="Z157" s="1555">
        <v>5.0967849132778742</v>
      </c>
      <c r="AA157" s="1555">
        <v>5.0967849132778742</v>
      </c>
      <c r="AB157" s="1555">
        <v>5.0967849132778742</v>
      </c>
      <c r="AC157" s="1555">
        <v>5.0967849132778742</v>
      </c>
      <c r="AD157" s="1555">
        <v>5.0967849132778742</v>
      </c>
      <c r="AE157" s="1555">
        <v>5.0967849132778742</v>
      </c>
      <c r="AF157" s="1555">
        <v>5.0967849132778742</v>
      </c>
      <c r="AG157" s="1555">
        <v>5.0967849132778742</v>
      </c>
      <c r="AH157" s="1555">
        <v>5.0967849132778742</v>
      </c>
      <c r="AI157" s="1555">
        <v>5.0967849132778742</v>
      </c>
      <c r="AJ157" s="1555">
        <v>5.0967849132778742</v>
      </c>
      <c r="AK157" s="1555">
        <v>5.0967849132778742</v>
      </c>
      <c r="AL157" s="1555">
        <v>5.0967849132778742</v>
      </c>
      <c r="AM157" s="1555">
        <v>5.0967849132778742</v>
      </c>
      <c r="AN157" s="1555">
        <v>5.0967849132778742</v>
      </c>
      <c r="AO157" s="1555">
        <v>5.0967849132778742</v>
      </c>
      <c r="AP157" s="1555">
        <v>5.0967849132778742</v>
      </c>
      <c r="AQ157" s="1555">
        <v>5.0967849132778742</v>
      </c>
      <c r="AR157" s="1555">
        <v>5.0967849132778742</v>
      </c>
      <c r="AS157" s="1555">
        <v>5.0967849132778742</v>
      </c>
      <c r="AT157" s="1555">
        <v>5.0967849132778742</v>
      </c>
      <c r="AU157" s="1555">
        <v>5.0967849132778742</v>
      </c>
      <c r="AV157" s="1555">
        <v>5.0967849132778742</v>
      </c>
      <c r="AW157" s="1555">
        <v>5.0967849132778742</v>
      </c>
      <c r="AX157" s="1555">
        <v>5.0967849132778742</v>
      </c>
      <c r="AY157" s="1555">
        <v>5.0967849132778742</v>
      </c>
      <c r="AZ157" s="1555">
        <v>5.0967849132778742</v>
      </c>
      <c r="BA157" s="1555">
        <v>5.0967849132778742</v>
      </c>
      <c r="BB157" s="1555">
        <v>5.0967849132778742</v>
      </c>
      <c r="BC157" s="1555">
        <v>5.1179587571540939</v>
      </c>
      <c r="BD157" s="1555">
        <v>5.1392205646528959</v>
      </c>
      <c r="BE157" s="1555">
        <v>5.1605707012062227</v>
      </c>
      <c r="BF157" s="1555">
        <v>5.1820095337641501</v>
      </c>
      <c r="BG157" s="1555">
        <v>5.2035374308011946</v>
      </c>
      <c r="BH157" s="1555">
        <v>5.2223240063357927</v>
      </c>
      <c r="BI157" s="1555">
        <v>5.2411784079262249</v>
      </c>
      <c r="BJ157" s="1555">
        <v>5.2601008804480855</v>
      </c>
      <c r="BK157" s="1555">
        <v>5.2790916696610548</v>
      </c>
      <c r="BL157" s="1555">
        <v>5.2981510222120916</v>
      </c>
      <c r="BM157" s="1555">
        <v>5.3113630812048802</v>
      </c>
      <c r="BN157" s="1555">
        <v>5.3246080872582748</v>
      </c>
      <c r="BO157" s="1555">
        <v>5.3378861225327325</v>
      </c>
      <c r="BP157" s="1555">
        <v>5.3511972693935945</v>
      </c>
      <c r="BQ157" s="1555">
        <v>5.3645416104115968</v>
      </c>
      <c r="BR157" s="1555">
        <v>5.3779717491778074</v>
      </c>
      <c r="BS157" s="1555">
        <v>5.3914355103185612</v>
      </c>
      <c r="BT157" s="1555">
        <v>5.4049329780075288</v>
      </c>
      <c r="BU157" s="1555">
        <v>5.4184642366291094</v>
      </c>
      <c r="BV157" s="1555">
        <v>5.4320293707789578</v>
      </c>
      <c r="BW157" s="1555">
        <v>5.4450858323773135</v>
      </c>
      <c r="BX157" s="1555">
        <v>5.458173676572823</v>
      </c>
      <c r="BY157" s="1555">
        <v>5.471292978796904</v>
      </c>
      <c r="BZ157" s="1555">
        <v>5.4844438146622805</v>
      </c>
      <c r="CA157" s="1555">
        <v>5.4976262599634209</v>
      </c>
      <c r="CB157" s="1555">
        <v>5.509165721372697</v>
      </c>
      <c r="CC157" s="1555">
        <v>5.5207294039936956</v>
      </c>
      <c r="CD157" s="1555">
        <v>5.5323173586664938</v>
      </c>
      <c r="CE157" s="1555">
        <v>5.5439296363378796</v>
      </c>
      <c r="CF157" s="1555">
        <v>5.5555662880615797</v>
      </c>
      <c r="CG157" s="1555">
        <v>5.5698816197819898</v>
      </c>
      <c r="CH157" s="1555">
        <v>5.5842338386011479</v>
      </c>
      <c r="CI157" s="1555">
        <v>5.598623039568059</v>
      </c>
      <c r="CJ157" s="1555">
        <v>5.6130493179766479</v>
      </c>
      <c r="CK157" s="1555">
        <v>5.6275127693663878</v>
      </c>
      <c r="CL157" s="1555">
        <v>5.6395580019552014</v>
      </c>
      <c r="CM157" s="1555">
        <v>5.6516290163830023</v>
      </c>
      <c r="CN157" s="1555">
        <v>5.6637258678337163</v>
      </c>
      <c r="CO157" s="1555">
        <v>5.6758486116093856</v>
      </c>
      <c r="CP157" s="1555">
        <v>5.6879973031304223</v>
      </c>
      <c r="CQ157" s="1555">
        <v>5.6991168854631553</v>
      </c>
      <c r="CR157" s="1555">
        <v>5.7102582056949531</v>
      </c>
      <c r="CS157" s="1555">
        <v>5.7214213063216786</v>
      </c>
      <c r="CT157" s="1555">
        <v>5.732606229922272</v>
      </c>
      <c r="CU157" s="1555">
        <v>5.7438130191589121</v>
      </c>
      <c r="CV157" s="1555">
        <v>5.7570440466225028</v>
      </c>
      <c r="CW157" s="1555">
        <v>5.7703055521130002</v>
      </c>
      <c r="CX157" s="1555">
        <v>5.7835976058373566</v>
      </c>
      <c r="CY157" s="1555">
        <v>5.796920278164249</v>
      </c>
      <c r="CZ157" s="1556">
        <v>5.8102736396244499</v>
      </c>
    </row>
    <row r="158" spans="1:104" x14ac:dyDescent="0.25">
      <c r="A158" s="1554" t="s">
        <v>1086</v>
      </c>
      <c r="B158" s="1555"/>
      <c r="C158" s="1555"/>
      <c r="D158" s="1555"/>
      <c r="E158" s="1555"/>
      <c r="F158" s="1555"/>
      <c r="G158" s="1555"/>
      <c r="H158" s="1555" t="e">
        <v>#N/A</v>
      </c>
      <c r="I158" s="1555" t="e">
        <v>#N/A</v>
      </c>
      <c r="J158" s="1555" t="e">
        <v>#N/A</v>
      </c>
      <c r="K158" s="1555" t="e">
        <v>#N/A</v>
      </c>
      <c r="L158" s="1555">
        <v>2.2148742453355847</v>
      </c>
      <c r="M158" s="1555">
        <v>2.3408877437334223</v>
      </c>
      <c r="N158" s="1555">
        <v>2.3629142410275352</v>
      </c>
      <c r="O158" s="1555">
        <v>2.4181318326423913</v>
      </c>
      <c r="P158" s="1555">
        <v>2.3501923436687169</v>
      </c>
      <c r="Q158" s="1555">
        <v>2.2749877363600257</v>
      </c>
      <c r="R158" s="1555">
        <v>2.2671813119268305</v>
      </c>
      <c r="S158" s="1555">
        <v>2.0920368648072634</v>
      </c>
      <c r="T158" s="1555">
        <v>1.9706687398025258</v>
      </c>
      <c r="U158" s="1555">
        <v>2.067600203211962</v>
      </c>
      <c r="V158" s="1555">
        <v>2.1142782942327232</v>
      </c>
      <c r="W158" s="1555">
        <v>2.1573963846468813</v>
      </c>
      <c r="X158" s="1555">
        <v>2.1900363582596567</v>
      </c>
      <c r="Y158" s="1555">
        <v>2.1929897559939948</v>
      </c>
      <c r="Z158" s="1555">
        <v>2.2028650611910647</v>
      </c>
      <c r="AA158" s="1555">
        <v>2.2090827406317772</v>
      </c>
      <c r="AB158" s="1555">
        <v>2.2092997907220093</v>
      </c>
      <c r="AC158" s="1555">
        <v>2.2079918032786887</v>
      </c>
      <c r="AD158" s="1555">
        <v>2.2065492258230841</v>
      </c>
      <c r="AE158" s="1555">
        <v>2.1995552842692714</v>
      </c>
      <c r="AF158" s="1555">
        <v>2.1903510334996437</v>
      </c>
      <c r="AG158" s="1555">
        <v>2.1795345460335755</v>
      </c>
      <c r="AH158" s="1555">
        <v>2.1771697426487315</v>
      </c>
      <c r="AI158" s="1555">
        <v>2.177831318906295</v>
      </c>
      <c r="AJ158" s="1555">
        <v>2.1809505846135182</v>
      </c>
      <c r="AK158" s="1555">
        <v>2.1861806387528246</v>
      </c>
      <c r="AL158" s="1555">
        <v>2.1973402359685172</v>
      </c>
      <c r="AM158" s="1555">
        <v>2.2020565733003745</v>
      </c>
      <c r="AN158" s="1555">
        <v>2.2177912831167257</v>
      </c>
      <c r="AO158" s="1555">
        <v>2.2206593773221517</v>
      </c>
      <c r="AP158" s="1555">
        <v>2.2289385587115755</v>
      </c>
      <c r="AQ158" s="1555">
        <v>2.2351116907538557</v>
      </c>
      <c r="AR158" s="1555">
        <v>2.2481536525075447</v>
      </c>
      <c r="AS158" s="1555">
        <v>2.2492673374683427</v>
      </c>
      <c r="AT158" s="1555">
        <v>2.2496910116619402</v>
      </c>
      <c r="AU158" s="1555">
        <v>2.2544263053335558</v>
      </c>
      <c r="AV158" s="1555">
        <v>2.2540196918457411</v>
      </c>
      <c r="AW158" s="1555">
        <v>2.2546357728878843</v>
      </c>
      <c r="AX158" s="1555">
        <v>2.2490256441364247</v>
      </c>
      <c r="AY158" s="1555">
        <v>2.2531477002168603</v>
      </c>
      <c r="AZ158" s="1555">
        <v>2.2540841434009193</v>
      </c>
      <c r="BA158" s="1555">
        <v>2.2596705767276806</v>
      </c>
      <c r="BB158" s="1555">
        <v>2.2620458060993922</v>
      </c>
      <c r="BC158" s="1555">
        <v>2.2703711301923084</v>
      </c>
      <c r="BD158" s="1555">
        <v>2.2787270951418623</v>
      </c>
      <c r="BE158" s="1555">
        <v>2.2871138137198912</v>
      </c>
      <c r="BF158" s="1555">
        <v>2.2955313991132824</v>
      </c>
      <c r="BG158" s="1555">
        <v>2.3039799649255008</v>
      </c>
      <c r="BH158" s="1555">
        <v>2.3125787529279784</v>
      </c>
      <c r="BI158" s="1555">
        <v>2.3212096328567045</v>
      </c>
      <c r="BJ158" s="1555">
        <v>2.3298727244834101</v>
      </c>
      <c r="BK158" s="1555">
        <v>2.338568148026833</v>
      </c>
      <c r="BL158" s="1555">
        <v>2.3472960241543843</v>
      </c>
      <c r="BM158" s="1555">
        <v>2.3559838582312191</v>
      </c>
      <c r="BN158" s="1555">
        <v>2.3647038478010849</v>
      </c>
      <c r="BO158" s="1555">
        <v>2.3734561118781943</v>
      </c>
      <c r="BP158" s="1555">
        <v>2.3822407699172565</v>
      </c>
      <c r="BQ158" s="1555">
        <v>2.3910579418151077</v>
      </c>
      <c r="BR158" s="1555">
        <v>2.3997099382358895</v>
      </c>
      <c r="BS158" s="1555">
        <v>2.4083932417365861</v>
      </c>
      <c r="BT158" s="1555">
        <v>2.4171079656012542</v>
      </c>
      <c r="BU158" s="1555">
        <v>2.4258542235238663</v>
      </c>
      <c r="BV158" s="1555">
        <v>2.434632129609795</v>
      </c>
      <c r="BW158" s="1555">
        <v>2.4428635118796533</v>
      </c>
      <c r="BX158" s="1555">
        <v>2.4511227240845761</v>
      </c>
      <c r="BY158" s="1555">
        <v>2.4594098603163279</v>
      </c>
      <c r="BZ158" s="1555">
        <v>2.467725014984794</v>
      </c>
      <c r="CA158" s="1555">
        <v>2.476068282819055</v>
      </c>
      <c r="CB158" s="1555">
        <v>2.4831576550549128</v>
      </c>
      <c r="CC158" s="1555">
        <v>2.4902673252765117</v>
      </c>
      <c r="CD158" s="1555">
        <v>2.4973973516001715</v>
      </c>
      <c r="CE158" s="1555">
        <v>2.5045477923086086</v>
      </c>
      <c r="CF158" s="1555">
        <v>2.5117187058514112</v>
      </c>
      <c r="CG158" s="1555">
        <v>2.5171937058097216</v>
      </c>
      <c r="CH158" s="1555">
        <v>2.5226806400759916</v>
      </c>
      <c r="CI158" s="1555">
        <v>2.5281795346644143</v>
      </c>
      <c r="CJ158" s="1555">
        <v>2.5336904156458884</v>
      </c>
      <c r="CK158" s="1555">
        <v>2.539213309148141</v>
      </c>
      <c r="CL158" s="1555">
        <v>2.5429573704375228</v>
      </c>
      <c r="CM158" s="1555">
        <v>2.5467069523323964</v>
      </c>
      <c r="CN158" s="1555">
        <v>2.5504620629728754</v>
      </c>
      <c r="CO158" s="1555">
        <v>2.554222710511076</v>
      </c>
      <c r="CP158" s="1555">
        <v>2.5579889031111347</v>
      </c>
      <c r="CQ158" s="1555">
        <v>2.5592501421168059</v>
      </c>
      <c r="CR158" s="1555">
        <v>2.5605120029875006</v>
      </c>
      <c r="CS158" s="1555">
        <v>2.5617744860298348</v>
      </c>
      <c r="CT158" s="1555">
        <v>2.5630375915505756</v>
      </c>
      <c r="CU158" s="1555">
        <v>2.564301319856642</v>
      </c>
      <c r="CV158" s="1555">
        <v>2.5624850697467836</v>
      </c>
      <c r="CW158" s="1555">
        <v>2.5606701060553489</v>
      </c>
      <c r="CX158" s="1555">
        <v>2.5588564278711901</v>
      </c>
      <c r="CY158" s="1555">
        <v>2.5570440342838041</v>
      </c>
      <c r="CZ158" s="1556">
        <v>2.555232924383334</v>
      </c>
    </row>
    <row r="159" spans="1:104" x14ac:dyDescent="0.25">
      <c r="A159" s="1554" t="s">
        <v>683</v>
      </c>
      <c r="B159" s="1555"/>
      <c r="C159" s="1555"/>
      <c r="D159" s="1555"/>
      <c r="E159" s="1555"/>
      <c r="F159" s="1555"/>
      <c r="G159" s="1555"/>
      <c r="H159" s="1555">
        <v>28.373013628420669</v>
      </c>
      <c r="I159" s="1555">
        <v>29.17093293229123</v>
      </c>
      <c r="J159" s="1555">
        <v>30.878569780545078</v>
      </c>
      <c r="K159" s="1555">
        <v>30.682595180991225</v>
      </c>
      <c r="L159" s="1555">
        <v>31.992353762541459</v>
      </c>
      <c r="M159" s="1555">
        <v>31.4429334181984</v>
      </c>
      <c r="N159" s="1555">
        <v>31.156600892671783</v>
      </c>
      <c r="O159" s="1555">
        <v>30.676058322376605</v>
      </c>
      <c r="P159" s="1555">
        <v>29.679126186318804</v>
      </c>
      <c r="Q159" s="1555">
        <v>29.700131988890092</v>
      </c>
      <c r="R159" s="1555">
        <v>30.54196479432273</v>
      </c>
      <c r="S159" s="1555">
        <v>29.932211922183079</v>
      </c>
      <c r="T159" s="1555">
        <v>28.972214109999999</v>
      </c>
      <c r="U159" s="1555">
        <v>29.128232055928784</v>
      </c>
      <c r="V159" s="1555">
        <v>28.995688380521983</v>
      </c>
      <c r="W159" s="1555">
        <v>29.39475155821113</v>
      </c>
      <c r="X159" s="1555">
        <v>29.885964346916182</v>
      </c>
      <c r="Y159" s="1555">
        <v>30.089071101439163</v>
      </c>
      <c r="Z159" s="1555">
        <v>31.081689502737298</v>
      </c>
      <c r="AA159" s="1555">
        <v>31.400245105473072</v>
      </c>
      <c r="AB159" s="1555">
        <v>31.337976372818122</v>
      </c>
      <c r="AC159" s="1555">
        <v>31.854564117923594</v>
      </c>
      <c r="AD159" s="1555">
        <v>32.189964324168578</v>
      </c>
      <c r="AE159" s="1555">
        <v>32.274661250208517</v>
      </c>
      <c r="AF159" s="1555">
        <v>32.347049824843424</v>
      </c>
      <c r="AG159" s="1555">
        <v>32.398275541772193</v>
      </c>
      <c r="AH159" s="1555">
        <v>32.473329377777105</v>
      </c>
      <c r="AI159" s="1555">
        <v>32.424485524938959</v>
      </c>
      <c r="AJ159" s="1555">
        <v>32.33705604252286</v>
      </c>
      <c r="AK159" s="1555">
        <v>32.213589610409308</v>
      </c>
      <c r="AL159" s="1555">
        <v>32.123147965605618</v>
      </c>
      <c r="AM159" s="1555">
        <v>32.189031672252469</v>
      </c>
      <c r="AN159" s="1555">
        <v>32.20134665837643</v>
      </c>
      <c r="AO159" s="1555">
        <v>32.137342472816606</v>
      </c>
      <c r="AP159" s="1555">
        <v>32.106067355666433</v>
      </c>
      <c r="AQ159" s="1555">
        <v>32.055398007309563</v>
      </c>
      <c r="AR159" s="1555">
        <v>31.985796962436115</v>
      </c>
      <c r="AS159" s="1555">
        <v>31.883579639374592</v>
      </c>
      <c r="AT159" s="1555">
        <v>31.88043762605966</v>
      </c>
      <c r="AU159" s="1555">
        <v>31.921825950470875</v>
      </c>
      <c r="AV159" s="1555">
        <v>31.967798865652629</v>
      </c>
      <c r="AW159" s="1555">
        <v>32.011030694105337</v>
      </c>
      <c r="AX159" s="1555">
        <v>32.04019407500644</v>
      </c>
      <c r="AY159" s="1555">
        <v>32.084258086774547</v>
      </c>
      <c r="AZ159" s="1555">
        <v>32.12290532445671</v>
      </c>
      <c r="BA159" s="1555">
        <v>32.1438833578502</v>
      </c>
      <c r="BB159" s="1555">
        <v>32.210559439498944</v>
      </c>
      <c r="BC159" s="1555">
        <v>32.212518425109167</v>
      </c>
      <c r="BD159" s="1555">
        <v>32.214477529861206</v>
      </c>
      <c r="BE159" s="1555">
        <v>32.216436753762309</v>
      </c>
      <c r="BF159" s="1555">
        <v>32.218396096819724</v>
      </c>
      <c r="BG159" s="1555">
        <v>32.220355559040698</v>
      </c>
      <c r="BH159" s="1555">
        <v>32.225068562587758</v>
      </c>
      <c r="BI159" s="1555">
        <v>32.229782255525173</v>
      </c>
      <c r="BJ159" s="1555">
        <v>32.234496637953782</v>
      </c>
      <c r="BK159" s="1555">
        <v>32.239211709974448</v>
      </c>
      <c r="BL159" s="1555">
        <v>32.243927471688032</v>
      </c>
      <c r="BM159" s="1555">
        <v>32.234738373564198</v>
      </c>
      <c r="BN159" s="1555">
        <v>32.225551894213289</v>
      </c>
      <c r="BO159" s="1555">
        <v>32.216368032888994</v>
      </c>
      <c r="BP159" s="1555">
        <v>32.207186788845206</v>
      </c>
      <c r="BQ159" s="1555">
        <v>32.198008161336034</v>
      </c>
      <c r="BR159" s="1555">
        <v>32.188328675270981</v>
      </c>
      <c r="BS159" s="1555">
        <v>32.178652099089362</v>
      </c>
      <c r="BT159" s="1555">
        <v>32.168978431916393</v>
      </c>
      <c r="BU159" s="1555">
        <v>32.15930767287756</v>
      </c>
      <c r="BV159" s="1555">
        <v>32.14963982109861</v>
      </c>
      <c r="BW159" s="1555">
        <v>32.135484213462775</v>
      </c>
      <c r="BX159" s="1555">
        <v>32.121334838594358</v>
      </c>
      <c r="BY159" s="1555">
        <v>32.107191693749044</v>
      </c>
      <c r="BZ159" s="1555">
        <v>32.093054776183735</v>
      </c>
      <c r="CA159" s="1555">
        <v>32.078924083156537</v>
      </c>
      <c r="CB159" s="1555">
        <v>32.05322936592912</v>
      </c>
      <c r="CC159" s="1555">
        <v>32.027555229768936</v>
      </c>
      <c r="CD159" s="1555">
        <v>32.001901658190874</v>
      </c>
      <c r="CE159" s="1555">
        <v>31.976268634723027</v>
      </c>
      <c r="CF159" s="1555">
        <v>31.950656142906677</v>
      </c>
      <c r="CG159" s="1555">
        <v>31.915373500092528</v>
      </c>
      <c r="CH159" s="1555">
        <v>31.880129819385399</v>
      </c>
      <c r="CI159" s="1555">
        <v>31.844925057760001</v>
      </c>
      <c r="CJ159" s="1555">
        <v>31.809759172238564</v>
      </c>
      <c r="CK159" s="1555">
        <v>31.774632119890772</v>
      </c>
      <c r="CL159" s="1555">
        <v>31.736335048107414</v>
      </c>
      <c r="CM159" s="1555">
        <v>31.698084134709202</v>
      </c>
      <c r="CN159" s="1555">
        <v>31.659879324062725</v>
      </c>
      <c r="CO159" s="1555">
        <v>31.621720560601634</v>
      </c>
      <c r="CP159" s="1555">
        <v>31.583607788826551</v>
      </c>
      <c r="CQ159" s="1555">
        <v>31.539463246970023</v>
      </c>
      <c r="CR159" s="1555">
        <v>31.495380406125889</v>
      </c>
      <c r="CS159" s="1555">
        <v>31.451359180054389</v>
      </c>
      <c r="CT159" s="1555">
        <v>31.407399482636293</v>
      </c>
      <c r="CU159" s="1555">
        <v>31.363501227872742</v>
      </c>
      <c r="CV159" s="1555">
        <v>31.320648715953933</v>
      </c>
      <c r="CW159" s="1555">
        <v>31.277854754187555</v>
      </c>
      <c r="CX159" s="1555">
        <v>31.235119262575491</v>
      </c>
      <c r="CY159" s="1555">
        <v>31.192442161228929</v>
      </c>
      <c r="CZ159" s="1556">
        <v>31.1498233703682</v>
      </c>
    </row>
    <row r="160" spans="1:104" x14ac:dyDescent="0.25">
      <c r="A160" s="1554" t="s">
        <v>698</v>
      </c>
      <c r="B160" s="1555"/>
      <c r="C160" s="1555"/>
      <c r="D160" s="1555"/>
      <c r="E160" s="1555"/>
      <c r="F160" s="1555"/>
      <c r="G160" s="1555"/>
      <c r="H160" s="1555">
        <v>18.232352698801531</v>
      </c>
      <c r="I160" s="1555">
        <v>19.279059481202857</v>
      </c>
      <c r="J160" s="1555">
        <v>20.106975671052609</v>
      </c>
      <c r="K160" s="1555">
        <v>20.31728323383771</v>
      </c>
      <c r="L160" s="1555">
        <v>21.702415417864383</v>
      </c>
      <c r="M160" s="1555">
        <v>21.137326303769196</v>
      </c>
      <c r="N160" s="1555">
        <v>20.699724047437488</v>
      </c>
      <c r="O160" s="1555">
        <v>20.430734156114106</v>
      </c>
      <c r="P160" s="1555">
        <v>19.619402543384187</v>
      </c>
      <c r="Q160" s="1555">
        <v>19.94482547791937</v>
      </c>
      <c r="R160" s="1555">
        <v>20.190684361237558</v>
      </c>
      <c r="S160" s="1555">
        <v>19.439058682545589</v>
      </c>
      <c r="T160" s="1555">
        <v>18.777772519999996</v>
      </c>
      <c r="U160" s="1555">
        <v>19.537493744407882</v>
      </c>
      <c r="V160" s="1555">
        <v>19.094688812726531</v>
      </c>
      <c r="W160" s="1555">
        <v>19.340880484069093</v>
      </c>
      <c r="X160" s="1555">
        <v>19.700726786066333</v>
      </c>
      <c r="Y160" s="1555">
        <v>19.809231927025674</v>
      </c>
      <c r="Z160" s="1555">
        <v>20.448628319255093</v>
      </c>
      <c r="AA160" s="1555">
        <v>20.513438149254636</v>
      </c>
      <c r="AB160" s="1555">
        <v>20.459361398826221</v>
      </c>
      <c r="AC160" s="1555">
        <v>20.950622526197662</v>
      </c>
      <c r="AD160" s="1555">
        <v>21.163384692376518</v>
      </c>
      <c r="AE160" s="1555">
        <v>21.285322295688569</v>
      </c>
      <c r="AF160" s="1555">
        <v>21.423623959296947</v>
      </c>
      <c r="AG160" s="1555">
        <v>21.53228264660833</v>
      </c>
      <c r="AH160" s="1555">
        <v>21.607771530610695</v>
      </c>
      <c r="AI160" s="1555">
        <v>21.635145433038627</v>
      </c>
      <c r="AJ160" s="1555">
        <v>21.585785019942069</v>
      </c>
      <c r="AK160" s="1555">
        <v>21.508628925857963</v>
      </c>
      <c r="AL160" s="1555">
        <v>21.446118499871098</v>
      </c>
      <c r="AM160" s="1555">
        <v>21.521952389257063</v>
      </c>
      <c r="AN160" s="1555">
        <v>21.600204159779199</v>
      </c>
      <c r="AO160" s="1555">
        <v>21.583872325260458</v>
      </c>
      <c r="AP160" s="1555">
        <v>21.588666383585327</v>
      </c>
      <c r="AQ160" s="1555">
        <v>21.605374501448264</v>
      </c>
      <c r="AR160" s="1555">
        <v>21.554715579078266</v>
      </c>
      <c r="AS160" s="1555">
        <v>21.491324631109631</v>
      </c>
      <c r="AT160" s="1555">
        <v>21.516251270074765</v>
      </c>
      <c r="AU160" s="1555">
        <v>21.58191413536343</v>
      </c>
      <c r="AV160" s="1555">
        <v>21.663232093841465</v>
      </c>
      <c r="AW160" s="1555">
        <v>21.742367229796333</v>
      </c>
      <c r="AX160" s="1555">
        <v>21.822824570449338</v>
      </c>
      <c r="AY160" s="1555">
        <v>21.895024529503647</v>
      </c>
      <c r="AZ160" s="1555">
        <v>21.976239175929997</v>
      </c>
      <c r="BA160" s="1555">
        <v>22.046603213478718</v>
      </c>
      <c r="BB160" s="1555">
        <v>22.114819497732821</v>
      </c>
      <c r="BC160" s="1555">
        <v>22.13487665280584</v>
      </c>
      <c r="BD160" s="1555">
        <v>22.15495199882406</v>
      </c>
      <c r="BE160" s="1555">
        <v>22.175045552285859</v>
      </c>
      <c r="BF160" s="1555">
        <v>22.195157329704575</v>
      </c>
      <c r="BG160" s="1555">
        <v>22.215287347608523</v>
      </c>
      <c r="BH160" s="1555">
        <v>22.237407284551185</v>
      </c>
      <c r="BI160" s="1555">
        <v>22.259549246489641</v>
      </c>
      <c r="BJ160" s="1555">
        <v>22.281713255354351</v>
      </c>
      <c r="BK160" s="1555">
        <v>22.303899333097611</v>
      </c>
      <c r="BL160" s="1555">
        <v>22.326107501693581</v>
      </c>
      <c r="BM160" s="1555">
        <v>22.336823207612067</v>
      </c>
      <c r="BN160" s="1555">
        <v>22.347544056673097</v>
      </c>
      <c r="BO160" s="1555">
        <v>22.358270051345187</v>
      </c>
      <c r="BP160" s="1555">
        <v>22.369001194098043</v>
      </c>
      <c r="BQ160" s="1555">
        <v>22.379737487402554</v>
      </c>
      <c r="BR160" s="1555">
        <v>22.390100389733625</v>
      </c>
      <c r="BS160" s="1555">
        <v>22.400468090590362</v>
      </c>
      <c r="BT160" s="1555">
        <v>22.410840592194713</v>
      </c>
      <c r="BU160" s="1555">
        <v>22.421217896769658</v>
      </c>
      <c r="BV160" s="1555">
        <v>22.431600006539206</v>
      </c>
      <c r="BW160" s="1555">
        <v>22.438377931004013</v>
      </c>
      <c r="BX160" s="1555">
        <v>22.44515790348412</v>
      </c>
      <c r="BY160" s="1555">
        <v>22.451939924598356</v>
      </c>
      <c r="BZ160" s="1555">
        <v>22.458723994965737</v>
      </c>
      <c r="CA160" s="1555">
        <v>22.465510115205461</v>
      </c>
      <c r="CB160" s="1555">
        <v>22.462969438648798</v>
      </c>
      <c r="CC160" s="1555">
        <v>22.46042904942313</v>
      </c>
      <c r="CD160" s="1555">
        <v>22.45788894749596</v>
      </c>
      <c r="CE160" s="1555">
        <v>22.455349132834797</v>
      </c>
      <c r="CF160" s="1555">
        <v>22.452809605407158</v>
      </c>
      <c r="CG160" s="1555">
        <v>22.442624812220661</v>
      </c>
      <c r="CH160" s="1555">
        <v>22.432444638946507</v>
      </c>
      <c r="CI160" s="1555">
        <v>22.422269083489063</v>
      </c>
      <c r="CJ160" s="1555">
        <v>22.412098143753649</v>
      </c>
      <c r="CK160" s="1555">
        <v>22.401931817646531</v>
      </c>
      <c r="CL160" s="1555">
        <v>22.389459823741635</v>
      </c>
      <c r="CM160" s="1555">
        <v>22.376994773462549</v>
      </c>
      <c r="CN160" s="1555">
        <v>22.364536662943497</v>
      </c>
      <c r="CO160" s="1555">
        <v>22.352085488320853</v>
      </c>
      <c r="CP160" s="1555">
        <v>22.339641245733144</v>
      </c>
      <c r="CQ160" s="1555">
        <v>22.322592014179389</v>
      </c>
      <c r="CR160" s="1555">
        <v>22.305555794307125</v>
      </c>
      <c r="CS160" s="1555">
        <v>22.288532576186064</v>
      </c>
      <c r="CT160" s="1555">
        <v>22.271522349893491</v>
      </c>
      <c r="CU160" s="1555">
        <v>22.254525105514261</v>
      </c>
      <c r="CV160" s="1555">
        <v>22.238544472899552</v>
      </c>
      <c r="CW160" s="1555">
        <v>22.222575315731635</v>
      </c>
      <c r="CX160" s="1555">
        <v>22.206617625770171</v>
      </c>
      <c r="CY160" s="1555">
        <v>22.190671394780733</v>
      </c>
      <c r="CZ160" s="1556">
        <v>22.174736614534808</v>
      </c>
    </row>
    <row r="161" spans="1:104" x14ac:dyDescent="0.25">
      <c r="A161" s="1557" t="s">
        <v>684</v>
      </c>
      <c r="B161" s="1558"/>
      <c r="C161" s="1558"/>
      <c r="D161" s="1558"/>
      <c r="E161" s="1558"/>
      <c r="F161" s="1558"/>
      <c r="G161" s="1558"/>
      <c r="H161" s="1558">
        <v>31.081820315099751</v>
      </c>
      <c r="I161" s="1558">
        <v>31.795307521355493</v>
      </c>
      <c r="J161" s="1558">
        <v>33.946842042036877</v>
      </c>
      <c r="K161" s="1558">
        <v>33.862138723062856</v>
      </c>
      <c r="L161" s="1558">
        <v>35.110516897292094</v>
      </c>
      <c r="M161" s="1558">
        <v>35.620882248372396</v>
      </c>
      <c r="N161" s="1558">
        <v>35.284315436843215</v>
      </c>
      <c r="O161" s="1558">
        <v>35.109707376782602</v>
      </c>
      <c r="P161" s="1558">
        <v>34.944303180720262</v>
      </c>
      <c r="Q161" s="1558">
        <v>35.113313940081568</v>
      </c>
      <c r="R161" s="1558">
        <v>35.603854676435802</v>
      </c>
      <c r="S161" s="1558">
        <v>35.586699324775935</v>
      </c>
      <c r="T161" s="1558">
        <v>34.861101349999998</v>
      </c>
      <c r="U161" s="1558">
        <v>34.664653819323334</v>
      </c>
      <c r="V161" s="1558">
        <v>34.410290069910978</v>
      </c>
      <c r="W161" s="1558">
        <v>34.908531869398402</v>
      </c>
      <c r="X161" s="1558">
        <v>35.616671532127199</v>
      </c>
      <c r="Y161" s="1558">
        <v>35.947520321196222</v>
      </c>
      <c r="Z161" s="1558">
        <v>36.987705865849776</v>
      </c>
      <c r="AA161" s="1558">
        <v>37.546039262370911</v>
      </c>
      <c r="AB161" s="1558">
        <v>37.510823122184988</v>
      </c>
      <c r="AC161" s="1558">
        <v>38.008797637281816</v>
      </c>
      <c r="AD161" s="1558">
        <v>38.419808048103611</v>
      </c>
      <c r="AE161" s="1558">
        <v>38.480927078752217</v>
      </c>
      <c r="AF161" s="1558">
        <v>38.529894147798792</v>
      </c>
      <c r="AG161" s="1558">
        <v>38.610432052895767</v>
      </c>
      <c r="AH161" s="1558">
        <v>38.669048846696292</v>
      </c>
      <c r="AI161" s="1558">
        <v>38.631731396248163</v>
      </c>
      <c r="AJ161" s="1558">
        <v>38.567872226687491</v>
      </c>
      <c r="AK161" s="1558">
        <v>38.465126969563705</v>
      </c>
      <c r="AL161" s="1558">
        <v>38.413723063041203</v>
      </c>
      <c r="AM161" s="1558">
        <v>38.515467425425761</v>
      </c>
      <c r="AN161" s="1558">
        <v>38.527084818246614</v>
      </c>
      <c r="AO161" s="1558">
        <v>38.521472793861179</v>
      </c>
      <c r="AP161" s="1558">
        <v>38.546973809920992</v>
      </c>
      <c r="AQ161" s="1558">
        <v>38.560691565187064</v>
      </c>
      <c r="AR161" s="1558">
        <v>38.568356561168315</v>
      </c>
      <c r="AS161" s="1558">
        <v>38.569368829711408</v>
      </c>
      <c r="AT161" s="1558">
        <v>38.651143635977618</v>
      </c>
      <c r="AU161" s="1558">
        <v>38.781520601750053</v>
      </c>
      <c r="AV161" s="1558">
        <v>38.929117506558889</v>
      </c>
      <c r="AW161" s="1558">
        <v>39.08758776785308</v>
      </c>
      <c r="AX161" s="1558">
        <v>39.228047610742941</v>
      </c>
      <c r="AY161" s="1558">
        <v>39.393119417357944</v>
      </c>
      <c r="AZ161" s="1558">
        <v>39.595269824540118</v>
      </c>
      <c r="BA161" s="1558">
        <v>39.769550621009692</v>
      </c>
      <c r="BB161" s="1558">
        <v>39.980674011616443</v>
      </c>
      <c r="BC161" s="1558">
        <v>39.983105560972888</v>
      </c>
      <c r="BD161" s="1558">
        <v>39.985537258211586</v>
      </c>
      <c r="BE161" s="1558">
        <v>39.987969103341534</v>
      </c>
      <c r="BF161" s="1558">
        <v>39.990401096371727</v>
      </c>
      <c r="BG161" s="1558">
        <v>39.99283323731116</v>
      </c>
      <c r="BH161" s="1558">
        <v>39.998683153044055</v>
      </c>
      <c r="BI161" s="1558">
        <v>40.00453392446812</v>
      </c>
      <c r="BJ161" s="1558">
        <v>40.010385551708517</v>
      </c>
      <c r="BK161" s="1558">
        <v>40.016238034890421</v>
      </c>
      <c r="BL161" s="1558">
        <v>40.022091374139045</v>
      </c>
      <c r="BM161" s="1558">
        <v>40.01068560090993</v>
      </c>
      <c r="BN161" s="1558">
        <v>39.999283078177193</v>
      </c>
      <c r="BO161" s="1558">
        <v>39.987883805014484</v>
      </c>
      <c r="BP161" s="1558">
        <v>39.976487780495717</v>
      </c>
      <c r="BQ161" s="1558">
        <v>39.965095003695069</v>
      </c>
      <c r="BR161" s="1558">
        <v>39.953080546830584</v>
      </c>
      <c r="BS161" s="1558">
        <v>39.941069701797218</v>
      </c>
      <c r="BT161" s="1558">
        <v>39.929062467509169</v>
      </c>
      <c r="BU161" s="1558">
        <v>39.917058842880955</v>
      </c>
      <c r="BV161" s="1558">
        <v>39.905058826827435</v>
      </c>
      <c r="BW161" s="1558">
        <v>39.887488478960996</v>
      </c>
      <c r="BX161" s="1558">
        <v>39.869925867384971</v>
      </c>
      <c r="BY161" s="1558">
        <v>39.852370988693046</v>
      </c>
      <c r="BZ161" s="1558">
        <v>39.8348238394804</v>
      </c>
      <c r="CA161" s="1558">
        <v>39.817284416343718</v>
      </c>
      <c r="CB161" s="1558">
        <v>39.785391393336162</v>
      </c>
      <c r="CC161" s="1558">
        <v>39.75352391614198</v>
      </c>
      <c r="CD161" s="1558">
        <v>39.721681964299371</v>
      </c>
      <c r="CE161" s="1558">
        <v>39.689865517362925</v>
      </c>
      <c r="CF161" s="1558">
        <v>39.658074554903607</v>
      </c>
      <c r="CG161" s="1558">
        <v>39.614280722534119</v>
      </c>
      <c r="CH161" s="1558">
        <v>39.57053525105394</v>
      </c>
      <c r="CI161" s="1558">
        <v>39.526838087058842</v>
      </c>
      <c r="CJ161" s="1558">
        <v>39.48318917720357</v>
      </c>
      <c r="CK161" s="1558">
        <v>39.439588468201791</v>
      </c>
      <c r="CL161" s="1558">
        <v>39.392053039782866</v>
      </c>
      <c r="CM161" s="1558">
        <v>39.344574904480901</v>
      </c>
      <c r="CN161" s="1558">
        <v>39.297153993242112</v>
      </c>
      <c r="CO161" s="1558">
        <v>39.249790237095944</v>
      </c>
      <c r="CP161" s="1558">
        <v>39.202483567154964</v>
      </c>
      <c r="CQ161" s="1558">
        <v>39.147690090479308</v>
      </c>
      <c r="CR161" s="1558">
        <v>39.092973198877175</v>
      </c>
      <c r="CS161" s="1558">
        <v>39.038332785305279</v>
      </c>
      <c r="CT161" s="1558">
        <v>38.983768742869955</v>
      </c>
      <c r="CU161" s="1558">
        <v>38.929280964826951</v>
      </c>
      <c r="CV161" s="1558">
        <v>38.876091192919297</v>
      </c>
      <c r="CW161" s="1558">
        <v>38.822974095147039</v>
      </c>
      <c r="CX161" s="1558">
        <v>38.769929572214203</v>
      </c>
      <c r="CY161" s="1558">
        <v>38.716957524960492</v>
      </c>
      <c r="CZ161" s="1559">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1049</v>
      </c>
      <c r="B1" s="224" t="s">
        <v>1048</v>
      </c>
      <c r="C1" s="899" t="s">
        <v>678</v>
      </c>
      <c r="D1" s="899"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1044</v>
      </c>
      <c r="B2" s="460"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1045</v>
      </c>
      <c r="B3" s="460"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1046</v>
      </c>
      <c r="B4" s="460"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1047</v>
      </c>
      <c r="B5" s="460"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0"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0" t="s">
        <v>1087</v>
      </c>
      <c r="B7" s="460"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0" t="s">
        <v>822</v>
      </c>
      <c r="B8" s="460"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715" t="s">
        <v>743</v>
      </c>
      <c r="B1" s="1715"/>
      <c r="C1" s="1715"/>
      <c r="D1" s="1715"/>
      <c r="E1" s="1715"/>
      <c r="F1" s="1715"/>
      <c r="G1" s="1715"/>
      <c r="H1" s="1715"/>
      <c r="I1" s="1715"/>
      <c r="J1" s="1715"/>
      <c r="K1" s="1715"/>
      <c r="L1" s="1715"/>
      <c r="M1" s="1715"/>
      <c r="N1" s="1715"/>
      <c r="O1" s="1715"/>
      <c r="P1" s="1715"/>
      <c r="Q1" s="1715"/>
      <c r="R1" s="1715"/>
      <c r="S1" s="1715"/>
      <c r="T1" s="1715"/>
      <c r="U1" s="1715"/>
      <c r="V1" s="1715"/>
      <c r="W1" s="1715"/>
      <c r="X1" s="1715"/>
      <c r="Y1" s="1715"/>
      <c r="Z1" s="1715"/>
      <c r="AA1" s="1715"/>
      <c r="AB1" s="1715"/>
      <c r="AC1" s="1715"/>
      <c r="AD1" s="1715"/>
      <c r="AE1" s="1715"/>
      <c r="AF1" s="1715"/>
      <c r="AG1" s="1715"/>
      <c r="AH1" s="1715"/>
      <c r="AI1" s="1715"/>
      <c r="AJ1" s="1715"/>
      <c r="AK1" s="1715"/>
      <c r="AL1" s="1715"/>
      <c r="AM1" s="1715"/>
      <c r="AN1" s="1715"/>
      <c r="AO1" s="1715"/>
      <c r="AP1" s="1715"/>
      <c r="AQ1" s="1715"/>
      <c r="AR1" s="1715"/>
      <c r="AS1" s="1715"/>
      <c r="AT1" s="1715"/>
      <c r="AU1" s="1715"/>
      <c r="AV1" s="1715"/>
      <c r="AW1" s="1715"/>
      <c r="AX1" s="1715"/>
      <c r="AY1" s="1715"/>
      <c r="AZ1" s="1715"/>
      <c r="BA1" s="1715"/>
      <c r="BB1" s="1715"/>
      <c r="BC1" s="1715"/>
      <c r="BD1" s="1715"/>
      <c r="BE1" s="1715"/>
      <c r="BF1" s="1715"/>
      <c r="BG1" s="1715"/>
      <c r="BH1" s="1715"/>
      <c r="BI1" s="1715"/>
      <c r="BJ1" s="1715"/>
      <c r="BK1" s="1715"/>
      <c r="BL1" s="1715"/>
      <c r="BM1" s="1715"/>
      <c r="BN1" s="1715"/>
      <c r="BO1" s="1715"/>
      <c r="BP1" s="1715"/>
      <c r="BQ1" s="1715"/>
      <c r="BR1" s="1715"/>
      <c r="BS1" s="1715"/>
      <c r="BT1" s="1715"/>
    </row>
    <row r="2" spans="1:72" x14ac:dyDescent="0.25">
      <c r="A2" s="1716" t="s">
        <v>744</v>
      </c>
      <c r="B2" s="1716"/>
      <c r="C2" s="1716"/>
      <c r="D2" s="1716"/>
      <c r="E2" s="1716"/>
      <c r="F2" s="1716"/>
      <c r="G2" s="1716"/>
      <c r="H2" s="1716"/>
      <c r="I2" s="1716"/>
      <c r="J2" s="1716"/>
      <c r="K2" s="1716"/>
      <c r="L2" s="1716"/>
      <c r="M2" s="1716"/>
      <c r="N2" s="1716"/>
      <c r="O2" s="1716"/>
      <c r="P2" s="1716"/>
      <c r="Q2" s="1716"/>
      <c r="R2" s="1716"/>
      <c r="S2" s="1716"/>
      <c r="T2" s="1716"/>
      <c r="U2" s="1716"/>
      <c r="V2" s="1716"/>
      <c r="W2" s="1716"/>
      <c r="X2" s="1716"/>
      <c r="Y2" s="1716"/>
      <c r="Z2" s="1716"/>
      <c r="AA2" s="1716"/>
      <c r="AB2" s="1716"/>
      <c r="AC2" s="1716"/>
      <c r="AD2" s="1716"/>
      <c r="AE2" s="1716"/>
      <c r="AF2" s="1716"/>
      <c r="AG2" s="1716"/>
      <c r="AH2" s="1716"/>
      <c r="AI2" s="1716"/>
      <c r="AJ2" s="1716"/>
      <c r="AK2" s="1716"/>
      <c r="AL2" s="1716"/>
      <c r="AM2" s="1716"/>
      <c r="AN2" s="1716"/>
      <c r="AO2" s="1716"/>
      <c r="AP2" s="1716"/>
      <c r="AQ2" s="1716"/>
      <c r="AR2" s="1716"/>
      <c r="AS2" s="1716"/>
      <c r="AT2" s="1716"/>
      <c r="AU2" s="1716"/>
      <c r="AV2" s="1716"/>
      <c r="AW2" s="1716"/>
      <c r="AX2" s="1716"/>
      <c r="AY2" s="1716"/>
      <c r="AZ2" s="1716"/>
      <c r="BA2" s="1716"/>
      <c r="BB2" s="1716"/>
      <c r="BC2" s="1716"/>
      <c r="BD2" s="1716"/>
      <c r="BE2" s="1716"/>
      <c r="BF2" s="1716"/>
      <c r="BG2" s="1716"/>
      <c r="BH2" s="1716"/>
      <c r="BI2" s="1716"/>
      <c r="BJ2" s="1716"/>
      <c r="BK2" s="1716"/>
      <c r="BL2" s="1716"/>
      <c r="BM2" s="1716"/>
      <c r="BN2" s="1716"/>
      <c r="BO2" s="1716"/>
      <c r="BP2" s="1716"/>
      <c r="BQ2" s="1716"/>
      <c r="BR2" s="1716"/>
      <c r="BS2" s="1716"/>
      <c r="BT2" s="1716"/>
    </row>
    <row r="3" spans="1:72" ht="13" thickBot="1" x14ac:dyDescent="0.3">
      <c r="A3" s="1717"/>
      <c r="B3" s="1717"/>
      <c r="C3" s="1717"/>
      <c r="D3" s="1717"/>
      <c r="E3" s="1717"/>
      <c r="F3" s="1717"/>
      <c r="G3" s="1717"/>
      <c r="H3" s="1717"/>
      <c r="I3" s="1717"/>
      <c r="J3" s="1717"/>
      <c r="K3" s="1717"/>
      <c r="L3" s="1717"/>
      <c r="M3" s="1717"/>
      <c r="N3" s="1717"/>
      <c r="O3" s="1717"/>
      <c r="P3" s="1717"/>
      <c r="Q3" s="1717"/>
      <c r="R3" s="1717"/>
      <c r="S3" s="1717"/>
      <c r="T3" s="1717"/>
      <c r="U3" s="1717"/>
      <c r="V3" s="1717"/>
      <c r="W3" s="1717"/>
      <c r="X3" s="1717"/>
      <c r="Y3" s="1717"/>
      <c r="Z3" s="1717"/>
      <c r="AA3" s="1717"/>
      <c r="AB3" s="1717"/>
      <c r="AC3" s="1717"/>
      <c r="AD3" s="1717"/>
      <c r="AE3" s="1717"/>
      <c r="AF3" s="1717"/>
      <c r="AG3" s="1717"/>
      <c r="AH3" s="1717"/>
      <c r="AI3" s="1717"/>
      <c r="AJ3" s="1717"/>
      <c r="AK3" s="1717"/>
      <c r="AL3" s="1717"/>
      <c r="AM3" s="1717"/>
      <c r="AN3" s="1717"/>
      <c r="AO3" s="1717"/>
      <c r="AP3" s="1717"/>
      <c r="AQ3" s="1717"/>
      <c r="AR3" s="1717"/>
      <c r="AS3" s="1717"/>
      <c r="AT3" s="1717"/>
      <c r="AU3" s="1717"/>
      <c r="AV3" s="1717"/>
      <c r="AW3" s="1717"/>
      <c r="AX3" s="1717"/>
      <c r="AY3" s="1717"/>
      <c r="AZ3" s="1717"/>
      <c r="BA3" s="1717"/>
      <c r="BB3" s="1717"/>
      <c r="BC3" s="1717"/>
      <c r="BD3" s="1717"/>
      <c r="BE3" s="1717"/>
      <c r="BF3" s="1717"/>
      <c r="BG3" s="1717"/>
      <c r="BH3" s="1717"/>
      <c r="BI3" s="1717"/>
      <c r="BJ3" s="1717"/>
      <c r="BK3" s="1717"/>
      <c r="BL3" s="1717"/>
      <c r="BM3" s="1717"/>
      <c r="BN3" s="1717"/>
      <c r="BO3" s="1717"/>
      <c r="BP3" s="1717"/>
      <c r="BQ3" s="1717"/>
      <c r="BR3" s="1717"/>
      <c r="BS3" s="1717"/>
      <c r="BT3" s="1717"/>
    </row>
    <row r="4" spans="1:72" x14ac:dyDescent="0.25">
      <c r="A4" s="910"/>
      <c r="B4" s="911" t="s">
        <v>1048</v>
      </c>
      <c r="C4" s="912">
        <v>2001</v>
      </c>
      <c r="D4" s="912">
        <v>2002</v>
      </c>
      <c r="E4" s="912">
        <v>2003</v>
      </c>
      <c r="F4" s="912">
        <v>2004</v>
      </c>
      <c r="G4" s="912">
        <v>2005</v>
      </c>
      <c r="H4" s="912">
        <v>2006</v>
      </c>
      <c r="I4" s="912">
        <v>2007</v>
      </c>
      <c r="J4" s="912">
        <v>2008</v>
      </c>
      <c r="K4" s="912">
        <v>2009</v>
      </c>
      <c r="L4" s="912">
        <v>2010</v>
      </c>
      <c r="M4" s="912">
        <v>2011</v>
      </c>
      <c r="N4" s="912">
        <v>2012</v>
      </c>
      <c r="O4" s="912">
        <v>2013</v>
      </c>
      <c r="P4" s="912">
        <v>2014</v>
      </c>
      <c r="Q4" s="912">
        <v>2015</v>
      </c>
      <c r="R4" s="912">
        <v>2016</v>
      </c>
      <c r="S4" s="912">
        <v>2017</v>
      </c>
      <c r="T4" s="912">
        <v>2018</v>
      </c>
      <c r="U4" s="912">
        <v>2019</v>
      </c>
      <c r="V4" s="912">
        <v>2020</v>
      </c>
      <c r="W4" s="912">
        <v>2021</v>
      </c>
      <c r="X4" s="912">
        <v>2022</v>
      </c>
      <c r="Y4" s="912">
        <v>2023</v>
      </c>
      <c r="Z4" s="912">
        <v>2024</v>
      </c>
      <c r="AA4" s="912">
        <v>2025</v>
      </c>
      <c r="AB4" s="912">
        <v>2026</v>
      </c>
      <c r="AC4" s="912">
        <v>2027</v>
      </c>
      <c r="AD4" s="912">
        <v>2028</v>
      </c>
      <c r="AE4" s="912">
        <v>2029</v>
      </c>
      <c r="AF4" s="912">
        <v>2030</v>
      </c>
      <c r="AG4" s="912">
        <v>2031</v>
      </c>
      <c r="AH4" s="912">
        <v>2032</v>
      </c>
      <c r="AI4" s="912">
        <v>2033</v>
      </c>
      <c r="AJ4" s="912">
        <v>2034</v>
      </c>
      <c r="AK4" s="912">
        <v>2035</v>
      </c>
      <c r="AL4" s="912">
        <v>2036</v>
      </c>
      <c r="AM4" s="912">
        <v>2037</v>
      </c>
      <c r="AN4" s="912">
        <v>2038</v>
      </c>
      <c r="AO4" s="912">
        <v>2039</v>
      </c>
      <c r="AP4" s="912">
        <v>2040</v>
      </c>
      <c r="AQ4" s="912">
        <v>2041</v>
      </c>
      <c r="AR4" s="912">
        <v>2042</v>
      </c>
      <c r="AS4" s="912">
        <v>2043</v>
      </c>
      <c r="AT4" s="912">
        <v>2044</v>
      </c>
      <c r="AU4" s="912">
        <v>2045</v>
      </c>
      <c r="AV4" s="912">
        <v>2046</v>
      </c>
      <c r="AW4" s="912">
        <v>2047</v>
      </c>
      <c r="AX4" s="912">
        <v>2048</v>
      </c>
      <c r="AY4" s="912">
        <v>2049</v>
      </c>
      <c r="AZ4" s="912">
        <v>2050</v>
      </c>
      <c r="BA4" s="912">
        <v>2051</v>
      </c>
      <c r="BB4" s="912">
        <v>2052</v>
      </c>
      <c r="BC4" s="912">
        <v>2053</v>
      </c>
      <c r="BD4" s="912">
        <v>2054</v>
      </c>
      <c r="BE4" s="912">
        <v>2056</v>
      </c>
      <c r="BF4" s="912">
        <v>2056</v>
      </c>
      <c r="BG4" s="912">
        <v>2057</v>
      </c>
      <c r="BH4" s="912">
        <v>2058</v>
      </c>
      <c r="BI4" s="912">
        <v>2059</v>
      </c>
      <c r="BJ4" s="912">
        <v>2060</v>
      </c>
      <c r="BK4" s="912">
        <v>2061</v>
      </c>
      <c r="BL4" s="912">
        <v>2062</v>
      </c>
      <c r="BM4" s="912">
        <v>2063</v>
      </c>
      <c r="BN4" s="912">
        <v>2064</v>
      </c>
      <c r="BO4" s="912">
        <v>2065</v>
      </c>
      <c r="BP4" s="912">
        <v>2066</v>
      </c>
      <c r="BQ4" s="912">
        <v>2067</v>
      </c>
      <c r="BR4" s="912">
        <v>2068</v>
      </c>
      <c r="BS4" s="912">
        <v>2069</v>
      </c>
      <c r="BT4" s="913">
        <v>2070</v>
      </c>
    </row>
    <row r="5" spans="1:72" x14ac:dyDescent="0.25">
      <c r="A5" s="1718" t="s">
        <v>745</v>
      </c>
      <c r="B5" s="1719"/>
      <c r="C5" s="1719"/>
      <c r="D5" s="1719"/>
      <c r="E5" s="1719"/>
      <c r="F5" s="1719"/>
      <c r="G5" s="1719"/>
      <c r="H5" s="1719"/>
      <c r="I5" s="1719"/>
      <c r="J5" s="1719"/>
      <c r="K5" s="1719"/>
      <c r="L5" s="1719"/>
      <c r="M5" s="1719"/>
      <c r="N5" s="1719"/>
      <c r="O5" s="1719"/>
      <c r="P5" s="1719"/>
      <c r="Q5" s="1719"/>
      <c r="R5" s="1719"/>
      <c r="S5" s="1719"/>
      <c r="T5" s="1719"/>
      <c r="U5" s="1719"/>
      <c r="V5" s="1719"/>
      <c r="W5" s="1719"/>
      <c r="X5" s="1719"/>
      <c r="Y5" s="1719"/>
      <c r="Z5" s="1719"/>
      <c r="AA5" s="1719"/>
      <c r="AB5" s="1719"/>
      <c r="AC5" s="1719"/>
      <c r="AD5" s="1719"/>
      <c r="AE5" s="1719"/>
      <c r="AF5" s="1719"/>
      <c r="AG5" s="1719"/>
      <c r="AH5" s="1719"/>
      <c r="AI5" s="1719"/>
      <c r="AJ5" s="1719"/>
      <c r="AK5" s="1719"/>
      <c r="AL5" s="1719"/>
      <c r="AM5" s="1719"/>
      <c r="AN5" s="1719"/>
      <c r="AO5" s="1719"/>
      <c r="AP5" s="1719"/>
      <c r="AQ5" s="1719"/>
      <c r="AR5" s="1719"/>
      <c r="AS5" s="1719"/>
      <c r="AT5" s="1719"/>
      <c r="AU5" s="1719"/>
      <c r="AV5" s="1719"/>
      <c r="AW5" s="1719"/>
      <c r="AX5" s="1719"/>
      <c r="AY5" s="1719"/>
      <c r="AZ5" s="1719"/>
      <c r="BA5" s="1719"/>
      <c r="BB5" s="1719"/>
      <c r="BC5" s="1719"/>
      <c r="BD5" s="1719"/>
      <c r="BE5" s="1719"/>
      <c r="BF5" s="1719"/>
      <c r="BG5" s="1719"/>
      <c r="BH5" s="1719"/>
      <c r="BI5" s="1719"/>
      <c r="BJ5" s="1719"/>
      <c r="BK5" s="1719"/>
      <c r="BL5" s="1719"/>
      <c r="BM5" s="1719"/>
      <c r="BN5" s="1719"/>
      <c r="BO5" s="1719"/>
      <c r="BP5" s="1719"/>
      <c r="BQ5" s="1719"/>
      <c r="BR5" s="1719"/>
      <c r="BS5" s="1719"/>
      <c r="BT5" s="1720"/>
    </row>
    <row r="6" spans="1:72" x14ac:dyDescent="0.25">
      <c r="A6" s="914" t="s">
        <v>746</v>
      </c>
      <c r="B6" s="915" t="s">
        <v>747</v>
      </c>
      <c r="C6" s="916">
        <v>8.9541000728991982</v>
      </c>
      <c r="D6" s="916">
        <v>6.8979457774252282</v>
      </c>
      <c r="E6" s="916">
        <v>8.4197996967243682</v>
      </c>
      <c r="F6" s="916">
        <v>8.8059982398770913</v>
      </c>
      <c r="G6" s="916">
        <v>8.8656468751295598</v>
      </c>
      <c r="H6" s="916">
        <v>8.2234977371287847</v>
      </c>
      <c r="I6" s="916">
        <v>7.8073426530046319</v>
      </c>
      <c r="J6" s="916">
        <v>7.4325694992857168</v>
      </c>
      <c r="K6" s="916">
        <v>7.297531685739191</v>
      </c>
      <c r="L6" s="916">
        <v>7.1966502441550162</v>
      </c>
      <c r="M6" s="916">
        <v>7.2405429268783017</v>
      </c>
      <c r="N6" s="916">
        <v>7.2944294079294778</v>
      </c>
      <c r="O6" s="916">
        <v>7.4037989917791105</v>
      </c>
      <c r="P6" s="916">
        <v>7.5440859727139706</v>
      </c>
      <c r="Q6" s="916">
        <v>7.6385998163583153</v>
      </c>
      <c r="R6" s="916">
        <v>7.6698249061152577</v>
      </c>
      <c r="S6" s="916">
        <v>7.596507558282819</v>
      </c>
      <c r="T6" s="916">
        <v>7.644327174942454</v>
      </c>
      <c r="U6" s="916">
        <v>7.7875295315148705</v>
      </c>
      <c r="V6" s="916">
        <v>8.0180296178133954</v>
      </c>
      <c r="W6" s="916">
        <v>8.1425457338117244</v>
      </c>
      <c r="X6" s="916">
        <v>8.1602542175436898</v>
      </c>
      <c r="Y6" s="916">
        <v>8.1927349319997838</v>
      </c>
      <c r="Z6" s="916">
        <v>8.2544961582939571</v>
      </c>
      <c r="AA6" s="916">
        <v>8.3511330316651513</v>
      </c>
      <c r="AB6" s="917">
        <v>8.4290329061652454</v>
      </c>
      <c r="AC6" s="917">
        <v>8.5069327806653394</v>
      </c>
      <c r="AD6" s="917">
        <v>8.5848326551654335</v>
      </c>
      <c r="AE6" s="917">
        <v>8.6627325296655275</v>
      </c>
      <c r="AF6" s="917">
        <v>8.7406324041656216</v>
      </c>
      <c r="AG6" s="917">
        <v>8.8185322786657157</v>
      </c>
      <c r="AH6" s="917">
        <v>8.8964321531658097</v>
      </c>
      <c r="AI6" s="917">
        <v>8.9743320276659038</v>
      </c>
      <c r="AJ6" s="917">
        <v>9.0522319021659978</v>
      </c>
      <c r="AK6" s="917">
        <v>9.1301317766660848</v>
      </c>
      <c r="AL6" s="917">
        <v>9.2578200706648097</v>
      </c>
      <c r="AM6" s="917">
        <v>9.3855083646635347</v>
      </c>
      <c r="AN6" s="917">
        <v>9.5131966586622596</v>
      </c>
      <c r="AO6" s="917">
        <v>9.6408849526609846</v>
      </c>
      <c r="AP6" s="917">
        <v>9.7685732466597095</v>
      </c>
      <c r="AQ6" s="917">
        <v>9.8962615406584344</v>
      </c>
      <c r="AR6" s="917">
        <v>10.023949834657159</v>
      </c>
      <c r="AS6" s="917">
        <v>10.151638128655884</v>
      </c>
      <c r="AT6" s="917">
        <v>10.279326422654609</v>
      </c>
      <c r="AU6" s="917">
        <v>10.407014716653334</v>
      </c>
      <c r="AV6" s="917">
        <v>10.534703010652059</v>
      </c>
      <c r="AW6" s="917">
        <v>10.662391304650784</v>
      </c>
      <c r="AX6" s="917">
        <v>10.790079598649509</v>
      </c>
      <c r="AY6" s="917">
        <v>10.917767892648234</v>
      </c>
      <c r="AZ6" s="918">
        <v>11.045456186646948</v>
      </c>
      <c r="BA6" s="917">
        <v>11.066404719719236</v>
      </c>
      <c r="BB6" s="917">
        <v>11.087353252791523</v>
      </c>
      <c r="BC6" s="917">
        <v>11.10830178586381</v>
      </c>
      <c r="BD6" s="917">
        <v>11.129250318936098</v>
      </c>
      <c r="BE6" s="917">
        <v>11.150198852008385</v>
      </c>
      <c r="BF6" s="917">
        <v>11.171147385080673</v>
      </c>
      <c r="BG6" s="917">
        <v>11.19209591815296</v>
      </c>
      <c r="BH6" s="917">
        <v>11.213044451225247</v>
      </c>
      <c r="BI6" s="917">
        <v>11.233992984297535</v>
      </c>
      <c r="BJ6" s="917">
        <v>11.254941517369822</v>
      </c>
      <c r="BK6" s="917">
        <v>11.27589005044211</v>
      </c>
      <c r="BL6" s="917">
        <v>11.296838583514397</v>
      </c>
      <c r="BM6" s="917">
        <v>11.317787116586684</v>
      </c>
      <c r="BN6" s="917">
        <v>11.338735649658972</v>
      </c>
      <c r="BO6" s="918">
        <v>11.359684182731248</v>
      </c>
      <c r="BP6" s="917">
        <v>11.381228672680008</v>
      </c>
      <c r="BQ6" s="917">
        <v>11.402773162628767</v>
      </c>
      <c r="BR6" s="917">
        <v>11.424317652577527</v>
      </c>
      <c r="BS6" s="917">
        <v>11.445862142526286</v>
      </c>
      <c r="BT6" s="919">
        <v>11.467406632475045</v>
      </c>
    </row>
    <row r="7" spans="1:72" x14ac:dyDescent="0.25">
      <c r="A7" s="920" t="s">
        <v>748</v>
      </c>
      <c r="B7" s="915" t="s">
        <v>747</v>
      </c>
      <c r="C7" s="916">
        <v>5.2088497969877503</v>
      </c>
      <c r="D7" s="916">
        <v>4.0515519538015683</v>
      </c>
      <c r="E7" s="916">
        <v>5.7953765594734321</v>
      </c>
      <c r="F7" s="916">
        <v>6.3059286733843276</v>
      </c>
      <c r="G7" s="916">
        <v>6.3351569917966728</v>
      </c>
      <c r="H7" s="916">
        <v>5.6603640970194089</v>
      </c>
      <c r="I7" s="916">
        <v>5.2154936812958672</v>
      </c>
      <c r="J7" s="916">
        <v>4.824472465605103</v>
      </c>
      <c r="K7" s="916">
        <v>4.7214620293311338</v>
      </c>
      <c r="L7" s="916">
        <v>4.5987567766657387</v>
      </c>
      <c r="M7" s="916">
        <v>4.6224680014376371</v>
      </c>
      <c r="N7" s="916">
        <v>4.6768878495918127</v>
      </c>
      <c r="O7" s="916">
        <v>4.7861952984108127</v>
      </c>
      <c r="P7" s="916">
        <v>4.922351045428587</v>
      </c>
      <c r="Q7" s="916">
        <v>5.0173813554475863</v>
      </c>
      <c r="R7" s="916">
        <v>5.0686005039035118</v>
      </c>
      <c r="S7" s="916">
        <v>5.0229759936062797</v>
      </c>
      <c r="T7" s="916">
        <v>5.0914502886106439</v>
      </c>
      <c r="U7" s="916">
        <v>5.2365480121576597</v>
      </c>
      <c r="V7" s="916">
        <v>5.4816269649649545</v>
      </c>
      <c r="W7" s="916">
        <v>5.5841408180740668</v>
      </c>
      <c r="X7" s="916">
        <v>5.5850370537559959</v>
      </c>
      <c r="Y7" s="916">
        <v>5.6052826350589937</v>
      </c>
      <c r="Z7" s="916">
        <v>5.6612136071582997</v>
      </c>
      <c r="AA7" s="916">
        <v>5.7676752715740598</v>
      </c>
      <c r="AB7" s="917">
        <v>5.8539244792759346</v>
      </c>
      <c r="AC7" s="917">
        <v>5.9401736869778095</v>
      </c>
      <c r="AD7" s="917">
        <v>6.0264228946796843</v>
      </c>
      <c r="AE7" s="917">
        <v>6.1126721023815591</v>
      </c>
      <c r="AF7" s="917">
        <v>6.1989213100834339</v>
      </c>
      <c r="AG7" s="917">
        <v>6.2851705177853088</v>
      </c>
      <c r="AH7" s="917">
        <v>6.3714197254871836</v>
      </c>
      <c r="AI7" s="917">
        <v>6.4576689331890584</v>
      </c>
      <c r="AJ7" s="917">
        <v>6.5439181408909333</v>
      </c>
      <c r="AK7" s="917">
        <v>6.6301673485928063</v>
      </c>
      <c r="AL7" s="917">
        <v>6.7228927087931387</v>
      </c>
      <c r="AM7" s="917">
        <v>6.8156180689934711</v>
      </c>
      <c r="AN7" s="917">
        <v>6.9083434291938035</v>
      </c>
      <c r="AO7" s="917">
        <v>7.0010687893941359</v>
      </c>
      <c r="AP7" s="917">
        <v>7.0937941495944683</v>
      </c>
      <c r="AQ7" s="917">
        <v>7.1865195097948007</v>
      </c>
      <c r="AR7" s="917">
        <v>7.2792448699951331</v>
      </c>
      <c r="AS7" s="917">
        <v>7.3719702301954655</v>
      </c>
      <c r="AT7" s="917">
        <v>7.4646955903957979</v>
      </c>
      <c r="AU7" s="917">
        <v>7.5574209505961303</v>
      </c>
      <c r="AV7" s="917">
        <v>7.6501463107964627</v>
      </c>
      <c r="AW7" s="917">
        <v>7.7428716709967951</v>
      </c>
      <c r="AX7" s="917">
        <v>7.8355970311971275</v>
      </c>
      <c r="AY7" s="917">
        <v>7.9283223913974599</v>
      </c>
      <c r="AZ7" s="918">
        <v>8.021047751597786</v>
      </c>
      <c r="BA7" s="917">
        <v>8.0362602680624171</v>
      </c>
      <c r="BB7" s="917">
        <v>8.0514727845270482</v>
      </c>
      <c r="BC7" s="917">
        <v>8.0666853009916792</v>
      </c>
      <c r="BD7" s="917">
        <v>8.0818978174563103</v>
      </c>
      <c r="BE7" s="917">
        <v>8.0971103339209414</v>
      </c>
      <c r="BF7" s="917">
        <v>8.1123228503855724</v>
      </c>
      <c r="BG7" s="917">
        <v>8.1275353668502035</v>
      </c>
      <c r="BH7" s="917">
        <v>8.1427478833148346</v>
      </c>
      <c r="BI7" s="917">
        <v>8.1579603997794656</v>
      </c>
      <c r="BJ7" s="917">
        <v>8.1731729162440967</v>
      </c>
      <c r="BK7" s="917">
        <v>8.1883854327087278</v>
      </c>
      <c r="BL7" s="917">
        <v>8.2035979491733588</v>
      </c>
      <c r="BM7" s="917">
        <v>8.2188104656379899</v>
      </c>
      <c r="BN7" s="917">
        <v>8.234022982102621</v>
      </c>
      <c r="BO7" s="918">
        <v>8.2492354985672645</v>
      </c>
      <c r="BP7" s="917">
        <v>8.2648807901462327</v>
      </c>
      <c r="BQ7" s="917">
        <v>8.2805260817252009</v>
      </c>
      <c r="BR7" s="917">
        <v>8.2961713733041691</v>
      </c>
      <c r="BS7" s="917">
        <v>8.3118166648831373</v>
      </c>
      <c r="BT7" s="919">
        <v>8.3274619564621091</v>
      </c>
    </row>
    <row r="8" spans="1:72" x14ac:dyDescent="0.25">
      <c r="A8" s="920" t="s">
        <v>749</v>
      </c>
      <c r="B8" s="915" t="s">
        <v>747</v>
      </c>
      <c r="C8" s="916">
        <v>5.6269638934579786</v>
      </c>
      <c r="D8" s="916">
        <v>3.8422456293735823</v>
      </c>
      <c r="E8" s="916">
        <v>5.691139826234779</v>
      </c>
      <c r="F8" s="916">
        <v>6.2376343214286925</v>
      </c>
      <c r="G8" s="916">
        <v>6.1731978092553481</v>
      </c>
      <c r="H8" s="916">
        <v>5.4998161252939477</v>
      </c>
      <c r="I8" s="916">
        <v>5.0667498741509744</v>
      </c>
      <c r="J8" s="916">
        <v>4.6999946247856554</v>
      </c>
      <c r="K8" s="916">
        <v>4.5877827360944901</v>
      </c>
      <c r="L8" s="916">
        <v>4.4974766767249967</v>
      </c>
      <c r="M8" s="916">
        <v>4.5471429464952013</v>
      </c>
      <c r="N8" s="916">
        <v>4.6470168064225401</v>
      </c>
      <c r="O8" s="916">
        <v>4.7885290901615907</v>
      </c>
      <c r="P8" s="916">
        <v>4.9298490038457894</v>
      </c>
      <c r="Q8" s="916">
        <v>5.0143193411377212</v>
      </c>
      <c r="R8" s="916">
        <v>5.0431599369588911</v>
      </c>
      <c r="S8" s="916">
        <v>4.9958503246307417</v>
      </c>
      <c r="T8" s="916">
        <v>5.071809156885692</v>
      </c>
      <c r="U8" s="916">
        <v>5.2209958625289659</v>
      </c>
      <c r="V8" s="916">
        <v>5.4542850660827948</v>
      </c>
      <c r="W8" s="916">
        <v>5.5514960671370845</v>
      </c>
      <c r="X8" s="916">
        <v>5.5489887943807661</v>
      </c>
      <c r="Y8" s="916">
        <v>5.5622220646660265</v>
      </c>
      <c r="Z8" s="916">
        <v>5.6263508841676488</v>
      </c>
      <c r="AA8" s="916">
        <v>5.730461856104295</v>
      </c>
      <c r="AB8" s="917">
        <v>5.8123040182474703</v>
      </c>
      <c r="AC8" s="917">
        <v>5.8941461803906456</v>
      </c>
      <c r="AD8" s="917">
        <v>5.9759883425338209</v>
      </c>
      <c r="AE8" s="917">
        <v>6.0578305046769962</v>
      </c>
      <c r="AF8" s="917">
        <v>6.1396726668201715</v>
      </c>
      <c r="AG8" s="917">
        <v>6.2215148289633468</v>
      </c>
      <c r="AH8" s="917">
        <v>6.3033569911065221</v>
      </c>
      <c r="AI8" s="917">
        <v>6.3851991532496974</v>
      </c>
      <c r="AJ8" s="917">
        <v>6.4670413153928727</v>
      </c>
      <c r="AK8" s="917">
        <v>6.5488834775360516</v>
      </c>
      <c r="AL8" s="917">
        <v>6.6404720525202734</v>
      </c>
      <c r="AM8" s="917">
        <v>6.7320606275044952</v>
      </c>
      <c r="AN8" s="917">
        <v>6.823649202488717</v>
      </c>
      <c r="AO8" s="917">
        <v>6.9152377774729388</v>
      </c>
      <c r="AP8" s="917">
        <v>7.0068263524571606</v>
      </c>
      <c r="AQ8" s="917">
        <v>7.0984149274413824</v>
      </c>
      <c r="AR8" s="917">
        <v>7.1900035024256042</v>
      </c>
      <c r="AS8" s="917">
        <v>7.2815920774098259</v>
      </c>
      <c r="AT8" s="917">
        <v>7.3731806523940477</v>
      </c>
      <c r="AU8" s="917">
        <v>7.4647692273782695</v>
      </c>
      <c r="AV8" s="917">
        <v>7.5563578023624913</v>
      </c>
      <c r="AW8" s="917">
        <v>7.6479463773467131</v>
      </c>
      <c r="AX8" s="917">
        <v>7.7395349523309349</v>
      </c>
      <c r="AY8" s="917">
        <v>7.8311235273151567</v>
      </c>
      <c r="AZ8" s="918">
        <v>7.9227121022993829</v>
      </c>
      <c r="BA8" s="917">
        <v>7.9377381178566102</v>
      </c>
      <c r="BB8" s="917">
        <v>7.9527641334138375</v>
      </c>
      <c r="BC8" s="917">
        <v>7.9677901489710647</v>
      </c>
      <c r="BD8" s="917">
        <v>7.982816164528292</v>
      </c>
      <c r="BE8" s="917">
        <v>7.9978421800855193</v>
      </c>
      <c r="BF8" s="917">
        <v>8.0128681956427457</v>
      </c>
      <c r="BG8" s="917">
        <v>8.0278942111999729</v>
      </c>
      <c r="BH8" s="917">
        <v>8.0429202267572002</v>
      </c>
      <c r="BI8" s="917">
        <v>8.0579462423144275</v>
      </c>
      <c r="BJ8" s="917">
        <v>8.0729722578716547</v>
      </c>
      <c r="BK8" s="917">
        <v>8.087998273428882</v>
      </c>
      <c r="BL8" s="917">
        <v>8.1030242889861093</v>
      </c>
      <c r="BM8" s="917">
        <v>8.1180503045433365</v>
      </c>
      <c r="BN8" s="917">
        <v>8.1330763201005638</v>
      </c>
      <c r="BO8" s="918">
        <v>8.1481023356577857</v>
      </c>
      <c r="BP8" s="917">
        <v>8.1635558206357306</v>
      </c>
      <c r="BQ8" s="917">
        <v>8.1790093056136755</v>
      </c>
      <c r="BR8" s="917">
        <v>8.1944627905916203</v>
      </c>
      <c r="BS8" s="917">
        <v>8.2099162755695652</v>
      </c>
      <c r="BT8" s="919">
        <v>8.2253697605475136</v>
      </c>
    </row>
    <row r="9" spans="1:72" x14ac:dyDescent="0.25">
      <c r="A9" s="1718" t="s">
        <v>750</v>
      </c>
      <c r="B9" s="1719"/>
      <c r="C9" s="1719"/>
      <c r="D9" s="1719"/>
      <c r="E9" s="1719"/>
      <c r="F9" s="1719"/>
      <c r="G9" s="1719"/>
      <c r="H9" s="1719"/>
      <c r="I9" s="1719"/>
      <c r="J9" s="1719"/>
      <c r="K9" s="1719"/>
      <c r="L9" s="1719"/>
      <c r="M9" s="1719"/>
      <c r="N9" s="1719"/>
      <c r="O9" s="1719"/>
      <c r="P9" s="1719"/>
      <c r="Q9" s="1719"/>
      <c r="R9" s="1719"/>
      <c r="S9" s="1719"/>
      <c r="T9" s="1719"/>
      <c r="U9" s="1719"/>
      <c r="V9" s="1719"/>
      <c r="W9" s="1719"/>
      <c r="X9" s="1719"/>
      <c r="Y9" s="1719"/>
      <c r="Z9" s="1719"/>
      <c r="AA9" s="1719"/>
      <c r="AB9" s="1719"/>
      <c r="AC9" s="1719"/>
      <c r="AD9" s="1719"/>
      <c r="AE9" s="1719"/>
      <c r="AF9" s="1719"/>
      <c r="AG9" s="1719"/>
      <c r="AH9" s="1719"/>
      <c r="AI9" s="1719"/>
      <c r="AJ9" s="1719"/>
      <c r="AK9" s="1719"/>
      <c r="AL9" s="1719"/>
      <c r="AM9" s="1719"/>
      <c r="AN9" s="1719"/>
      <c r="AO9" s="1719"/>
      <c r="AP9" s="1719"/>
      <c r="AQ9" s="1719"/>
      <c r="AR9" s="1719"/>
      <c r="AS9" s="1719"/>
      <c r="AT9" s="1719"/>
      <c r="AU9" s="1719"/>
      <c r="AV9" s="1719"/>
      <c r="AW9" s="1719"/>
      <c r="AX9" s="1719"/>
      <c r="AY9" s="1719"/>
      <c r="AZ9" s="1719"/>
      <c r="BA9" s="1719"/>
      <c r="BB9" s="1719"/>
      <c r="BC9" s="1719"/>
      <c r="BD9" s="1719"/>
      <c r="BE9" s="1719"/>
      <c r="BF9" s="1719"/>
      <c r="BG9" s="1719"/>
      <c r="BH9" s="1719"/>
      <c r="BI9" s="1719"/>
      <c r="BJ9" s="1719"/>
      <c r="BK9" s="1719"/>
      <c r="BL9" s="1719"/>
      <c r="BM9" s="1719"/>
      <c r="BN9" s="1719"/>
      <c r="BO9" s="1719"/>
      <c r="BP9" s="1719"/>
      <c r="BQ9" s="1719"/>
      <c r="BR9" s="1719"/>
      <c r="BS9" s="1719"/>
      <c r="BT9" s="1720"/>
    </row>
    <row r="10" spans="1:72" x14ac:dyDescent="0.25">
      <c r="A10" s="920" t="s">
        <v>683</v>
      </c>
      <c r="B10" s="915" t="s">
        <v>747</v>
      </c>
      <c r="C10" s="916">
        <v>24.866788774356646</v>
      </c>
      <c r="D10" s="916">
        <v>24.345010037692106</v>
      </c>
      <c r="E10" s="916">
        <v>24.223933219909672</v>
      </c>
      <c r="F10" s="916">
        <v>24.020635352944481</v>
      </c>
      <c r="G10" s="916">
        <v>23.91295186528621</v>
      </c>
      <c r="H10" s="916">
        <v>22.837542614846832</v>
      </c>
      <c r="I10" s="916">
        <v>21.69091966017233</v>
      </c>
      <c r="J10" s="916">
        <v>21.090846376599046</v>
      </c>
      <c r="K10" s="916">
        <v>21.058556043876806</v>
      </c>
      <c r="L10" s="916">
        <v>20.987678365887316</v>
      </c>
      <c r="M10" s="916">
        <v>20.983490961902529</v>
      </c>
      <c r="N10" s="916">
        <v>21.313707333690761</v>
      </c>
      <c r="O10" s="916">
        <v>21.638938984780914</v>
      </c>
      <c r="P10" s="916">
        <v>22.13258341123478</v>
      </c>
      <c r="Q10" s="916">
        <v>22.313049388381657</v>
      </c>
      <c r="R10" s="916">
        <v>22.486876361774936</v>
      </c>
      <c r="S10" s="916">
        <v>22.494946956634521</v>
      </c>
      <c r="T10" s="916">
        <v>22.662665807975912</v>
      </c>
      <c r="U10" s="916">
        <v>22.922821701697636</v>
      </c>
      <c r="V10" s="916">
        <v>23.270139622238439</v>
      </c>
      <c r="W10" s="916">
        <v>23.509686568997985</v>
      </c>
      <c r="X10" s="916">
        <v>23.493712398241108</v>
      </c>
      <c r="Y10" s="916">
        <v>23.423848763951703</v>
      </c>
      <c r="Z10" s="916">
        <v>23.513217827059155</v>
      </c>
      <c r="AA10" s="916">
        <v>23.645542576627872</v>
      </c>
      <c r="AB10" s="917">
        <v>23.786749293232678</v>
      </c>
      <c r="AC10" s="917">
        <v>23.927956009837484</v>
      </c>
      <c r="AD10" s="917">
        <v>24.06916272644229</v>
      </c>
      <c r="AE10" s="917">
        <v>24.210369443047096</v>
      </c>
      <c r="AF10" s="917">
        <v>24.351576159651902</v>
      </c>
      <c r="AG10" s="917">
        <v>24.492782876256708</v>
      </c>
      <c r="AH10" s="917">
        <v>24.633989592861514</v>
      </c>
      <c r="AI10" s="917">
        <v>24.77519630946632</v>
      </c>
      <c r="AJ10" s="917">
        <v>24.916403026071126</v>
      </c>
      <c r="AK10" s="917">
        <v>25.057609742675933</v>
      </c>
      <c r="AL10" s="917">
        <v>25.047759076850095</v>
      </c>
      <c r="AM10" s="917">
        <v>25.037908411024258</v>
      </c>
      <c r="AN10" s="917">
        <v>25.028057745198421</v>
      </c>
      <c r="AO10" s="917">
        <v>25.018207079372583</v>
      </c>
      <c r="AP10" s="917">
        <v>25.008356413546746</v>
      </c>
      <c r="AQ10" s="917">
        <v>24.998505747720909</v>
      </c>
      <c r="AR10" s="917">
        <v>24.988655081895072</v>
      </c>
      <c r="AS10" s="917">
        <v>24.978804416069234</v>
      </c>
      <c r="AT10" s="917">
        <v>24.968953750243397</v>
      </c>
      <c r="AU10" s="917">
        <v>24.95910308441756</v>
      </c>
      <c r="AV10" s="917">
        <v>24.949252418591723</v>
      </c>
      <c r="AW10" s="917">
        <v>24.939401752765885</v>
      </c>
      <c r="AX10" s="917">
        <v>24.929551086940048</v>
      </c>
      <c r="AY10" s="917">
        <v>24.919700421114211</v>
      </c>
      <c r="AZ10" s="918">
        <v>24.90984975528837</v>
      </c>
      <c r="BA10" s="917">
        <v>24.925673674379027</v>
      </c>
      <c r="BB10" s="917">
        <v>24.941497593469684</v>
      </c>
      <c r="BC10" s="917">
        <v>24.957321512560341</v>
      </c>
      <c r="BD10" s="917">
        <v>24.973145431650998</v>
      </c>
      <c r="BE10" s="917">
        <v>24.988969350741655</v>
      </c>
      <c r="BF10" s="917">
        <v>25.004793269832312</v>
      </c>
      <c r="BG10" s="917">
        <v>25.020617188922969</v>
      </c>
      <c r="BH10" s="917">
        <v>25.036441108013626</v>
      </c>
      <c r="BI10" s="917">
        <v>25.052265027104283</v>
      </c>
      <c r="BJ10" s="917">
        <v>25.068088946194941</v>
      </c>
      <c r="BK10" s="917">
        <v>25.083912865285598</v>
      </c>
      <c r="BL10" s="917">
        <v>25.099736784376255</v>
      </c>
      <c r="BM10" s="917">
        <v>25.115560703466912</v>
      </c>
      <c r="BN10" s="917">
        <v>25.131384622557569</v>
      </c>
      <c r="BO10" s="918">
        <v>25.147208541648205</v>
      </c>
      <c r="BP10" s="917">
        <v>25.163183242307905</v>
      </c>
      <c r="BQ10" s="917">
        <v>25.179157942967606</v>
      </c>
      <c r="BR10" s="917">
        <v>25.195132643627307</v>
      </c>
      <c r="BS10" s="917">
        <v>25.211107344287008</v>
      </c>
      <c r="BT10" s="919">
        <v>25.227082044946716</v>
      </c>
    </row>
    <row r="11" spans="1:72" x14ac:dyDescent="0.25">
      <c r="A11" s="920" t="s">
        <v>698</v>
      </c>
      <c r="B11" s="915" t="s">
        <v>747</v>
      </c>
      <c r="C11" s="916">
        <v>16.038863482553147</v>
      </c>
      <c r="D11" s="916">
        <v>15.36037109932807</v>
      </c>
      <c r="E11" s="916">
        <v>15.664056310113844</v>
      </c>
      <c r="F11" s="916">
        <v>16.390134465019642</v>
      </c>
      <c r="G11" s="916">
        <v>16.26049394877451</v>
      </c>
      <c r="H11" s="916">
        <v>15.718549229064077</v>
      </c>
      <c r="I11" s="916">
        <v>15.083546116666987</v>
      </c>
      <c r="J11" s="916">
        <v>14.764544869368896</v>
      </c>
      <c r="K11" s="916">
        <v>14.679648534306921</v>
      </c>
      <c r="L11" s="916">
        <v>14.510741661179726</v>
      </c>
      <c r="M11" s="916">
        <v>14.370329416023063</v>
      </c>
      <c r="N11" s="916">
        <v>14.522587083420669</v>
      </c>
      <c r="O11" s="916">
        <v>14.791267903345901</v>
      </c>
      <c r="P11" s="916">
        <v>15.142176731577413</v>
      </c>
      <c r="Q11" s="916">
        <v>15.304996360023072</v>
      </c>
      <c r="R11" s="916">
        <v>15.443286072533045</v>
      </c>
      <c r="S11" s="916">
        <v>15.485992224711291</v>
      </c>
      <c r="T11" s="916">
        <v>15.663456831338236</v>
      </c>
      <c r="U11" s="916">
        <v>15.910829809476709</v>
      </c>
      <c r="V11" s="916">
        <v>16.241389166634008</v>
      </c>
      <c r="W11" s="916">
        <v>16.419768400912066</v>
      </c>
      <c r="X11" s="916">
        <v>16.405212897174714</v>
      </c>
      <c r="Y11" s="916">
        <v>16.372526888577397</v>
      </c>
      <c r="Z11" s="916">
        <v>16.449089176249931</v>
      </c>
      <c r="AA11" s="916">
        <v>16.568027554817903</v>
      </c>
      <c r="AB11" s="917">
        <v>16.704753726753587</v>
      </c>
      <c r="AC11" s="917">
        <v>16.841479898689272</v>
      </c>
      <c r="AD11" s="917">
        <v>16.978206070624957</v>
      </c>
      <c r="AE11" s="917">
        <v>17.114932242560641</v>
      </c>
      <c r="AF11" s="917">
        <v>17.251658414496326</v>
      </c>
      <c r="AG11" s="917">
        <v>17.388384586432011</v>
      </c>
      <c r="AH11" s="917">
        <v>17.525110758367695</v>
      </c>
      <c r="AI11" s="917">
        <v>17.66183693030338</v>
      </c>
      <c r="AJ11" s="917">
        <v>17.798563102239065</v>
      </c>
      <c r="AK11" s="917">
        <v>17.935289274174743</v>
      </c>
      <c r="AL11" s="917">
        <v>17.928238540168429</v>
      </c>
      <c r="AM11" s="917">
        <v>17.921187806162116</v>
      </c>
      <c r="AN11" s="917">
        <v>17.914137072155803</v>
      </c>
      <c r="AO11" s="917">
        <v>17.90708633814949</v>
      </c>
      <c r="AP11" s="917">
        <v>17.900035604143177</v>
      </c>
      <c r="AQ11" s="917">
        <v>17.892984870136864</v>
      </c>
      <c r="AR11" s="917">
        <v>17.885934136130551</v>
      </c>
      <c r="AS11" s="917">
        <v>17.878883402124238</v>
      </c>
      <c r="AT11" s="917">
        <v>17.871832668117925</v>
      </c>
      <c r="AU11" s="917">
        <v>17.864781934111612</v>
      </c>
      <c r="AV11" s="917">
        <v>17.857731200105299</v>
      </c>
      <c r="AW11" s="917">
        <v>17.850680466098986</v>
      </c>
      <c r="AX11" s="917">
        <v>17.843629732092673</v>
      </c>
      <c r="AY11" s="917">
        <v>17.83657899808636</v>
      </c>
      <c r="AZ11" s="918">
        <v>17.829528264080036</v>
      </c>
      <c r="BA11" s="917">
        <v>17.840854426840831</v>
      </c>
      <c r="BB11" s="917">
        <v>17.852180589601627</v>
      </c>
      <c r="BC11" s="917">
        <v>17.863506752362422</v>
      </c>
      <c r="BD11" s="917">
        <v>17.874832915123218</v>
      </c>
      <c r="BE11" s="917">
        <v>17.886159077884013</v>
      </c>
      <c r="BF11" s="917">
        <v>17.897485240644809</v>
      </c>
      <c r="BG11" s="917">
        <v>17.908811403405604</v>
      </c>
      <c r="BH11" s="917">
        <v>17.9201375661664</v>
      </c>
      <c r="BI11" s="917">
        <v>17.931463728927195</v>
      </c>
      <c r="BJ11" s="917">
        <v>17.94278989168799</v>
      </c>
      <c r="BK11" s="917">
        <v>17.954116054448786</v>
      </c>
      <c r="BL11" s="917">
        <v>17.965442217209581</v>
      </c>
      <c r="BM11" s="917">
        <v>17.976768379970377</v>
      </c>
      <c r="BN11" s="917">
        <v>17.988094542731172</v>
      </c>
      <c r="BO11" s="918">
        <v>17.999420705491971</v>
      </c>
      <c r="BP11" s="917">
        <v>18.010854791996724</v>
      </c>
      <c r="BQ11" s="917">
        <v>18.022288878501477</v>
      </c>
      <c r="BR11" s="917">
        <v>18.033722965006231</v>
      </c>
      <c r="BS11" s="917">
        <v>18.045157051510984</v>
      </c>
      <c r="BT11" s="919">
        <v>18.056591138015737</v>
      </c>
    </row>
    <row r="12" spans="1:72" x14ac:dyDescent="0.25">
      <c r="A12" s="921" t="s">
        <v>751</v>
      </c>
      <c r="B12" s="915"/>
      <c r="C12" s="915"/>
      <c r="D12" s="915"/>
      <c r="E12" s="915"/>
      <c r="F12" s="915"/>
      <c r="G12" s="915"/>
      <c r="H12" s="915"/>
      <c r="I12" s="915"/>
      <c r="J12" s="915"/>
      <c r="K12" s="915"/>
      <c r="L12" s="915"/>
      <c r="M12" s="915"/>
      <c r="N12" s="915"/>
      <c r="O12" s="915"/>
      <c r="P12" s="915"/>
      <c r="Q12" s="915"/>
      <c r="R12" s="915"/>
      <c r="S12" s="915"/>
      <c r="T12" s="915"/>
      <c r="U12" s="915"/>
      <c r="V12" s="915"/>
      <c r="W12" s="915"/>
      <c r="X12" s="915"/>
      <c r="Y12" s="915"/>
      <c r="Z12" s="915"/>
      <c r="AA12" s="915"/>
      <c r="AB12" s="915"/>
      <c r="AC12" s="915"/>
      <c r="AD12" s="915"/>
      <c r="AE12" s="915"/>
      <c r="AF12" s="915"/>
      <c r="AG12" s="915"/>
      <c r="AH12" s="915"/>
      <c r="AI12" s="915"/>
      <c r="AJ12" s="915"/>
      <c r="AK12" s="915"/>
      <c r="AL12" s="915"/>
      <c r="AM12" s="915"/>
      <c r="AN12" s="915"/>
      <c r="AO12" s="915"/>
      <c r="AP12" s="915"/>
      <c r="AQ12" s="915"/>
      <c r="AR12" s="915"/>
      <c r="AS12" s="915"/>
      <c r="AT12" s="915"/>
      <c r="AU12" s="915"/>
      <c r="AV12" s="915"/>
      <c r="AW12" s="915"/>
      <c r="AX12" s="915"/>
      <c r="AY12" s="915"/>
      <c r="AZ12" s="915"/>
      <c r="BA12" s="915"/>
      <c r="BB12" s="915"/>
      <c r="BC12" s="915"/>
      <c r="BD12" s="915"/>
      <c r="BE12" s="915"/>
      <c r="BF12" s="915"/>
      <c r="BG12" s="915"/>
      <c r="BH12" s="915"/>
      <c r="BI12" s="915"/>
      <c r="BJ12" s="915"/>
      <c r="BK12" s="915"/>
      <c r="BL12" s="915"/>
      <c r="BM12" s="915"/>
      <c r="BN12" s="915"/>
      <c r="BO12" s="915"/>
      <c r="BP12" s="915"/>
      <c r="BQ12" s="915"/>
      <c r="BR12" s="915"/>
      <c r="BS12" s="915"/>
      <c r="BT12" s="922"/>
    </row>
    <row r="13" spans="1:72" x14ac:dyDescent="0.25">
      <c r="A13" s="920" t="s">
        <v>1086</v>
      </c>
      <c r="B13" s="915" t="s">
        <v>747</v>
      </c>
      <c r="C13" s="916">
        <v>1.3268491834774256</v>
      </c>
      <c r="D13" s="916">
        <v>1.32388562245189</v>
      </c>
      <c r="E13" s="916">
        <v>1.3334961719108085</v>
      </c>
      <c r="F13" s="916">
        <v>1.3380821099821107</v>
      </c>
      <c r="G13" s="916">
        <v>1.3443425871291239</v>
      </c>
      <c r="H13" s="916">
        <v>1.3528785733681756</v>
      </c>
      <c r="I13" s="916">
        <v>1.3415886383011697</v>
      </c>
      <c r="J13" s="916">
        <v>1.3403624656065469</v>
      </c>
      <c r="K13" s="916">
        <v>1.330997225248586</v>
      </c>
      <c r="L13" s="916">
        <v>1.3164209684110997</v>
      </c>
      <c r="M13" s="916">
        <v>1.3072140481112184</v>
      </c>
      <c r="N13" s="916">
        <v>1.3019573002491378</v>
      </c>
      <c r="O13" s="916">
        <v>1.2978333982656636</v>
      </c>
      <c r="P13" s="916">
        <v>1.295833644439585</v>
      </c>
      <c r="Q13" s="916">
        <v>1.2953486183904279</v>
      </c>
      <c r="R13" s="916">
        <v>1.2970626753456174</v>
      </c>
      <c r="S13" s="916">
        <v>1.2955796364343368</v>
      </c>
      <c r="T13" s="916">
        <v>1.3002382724914889</v>
      </c>
      <c r="U13" s="916">
        <v>1.3044509032987155</v>
      </c>
      <c r="V13" s="916">
        <v>1.3304805103337984</v>
      </c>
      <c r="W13" s="916">
        <v>1.3397570218680066</v>
      </c>
      <c r="X13" s="916">
        <v>1.3519914094007222</v>
      </c>
      <c r="Y13" s="916">
        <v>1.3569265463442153</v>
      </c>
      <c r="Z13" s="916">
        <v>1.3726611244228613</v>
      </c>
      <c r="AA13" s="916">
        <v>1.3854931266802686</v>
      </c>
      <c r="AB13" s="917">
        <v>1.3951349014789893</v>
      </c>
      <c r="AC13" s="917">
        <v>1.4047766762777101</v>
      </c>
      <c r="AD13" s="917">
        <v>1.4144184510764308</v>
      </c>
      <c r="AE13" s="917">
        <v>1.4240602258751516</v>
      </c>
      <c r="AF13" s="917">
        <v>1.4337020006738723</v>
      </c>
      <c r="AG13" s="917">
        <v>1.4433437754725931</v>
      </c>
      <c r="AH13" s="917">
        <v>1.4529855502713138</v>
      </c>
      <c r="AI13" s="917">
        <v>1.4626273250700346</v>
      </c>
      <c r="AJ13" s="917">
        <v>1.4722690998687553</v>
      </c>
      <c r="AK13" s="917">
        <v>1.481910874667477</v>
      </c>
      <c r="AL13" s="917">
        <v>1.4862555877963981</v>
      </c>
      <c r="AM13" s="917">
        <v>1.4906003009253193</v>
      </c>
      <c r="AN13" s="917">
        <v>1.4949450140542404</v>
      </c>
      <c r="AO13" s="917">
        <v>1.4992897271831616</v>
      </c>
      <c r="AP13" s="917">
        <v>1.5036344403120827</v>
      </c>
      <c r="AQ13" s="917">
        <v>1.5079791534410039</v>
      </c>
      <c r="AR13" s="917">
        <v>1.512323866569925</v>
      </c>
      <c r="AS13" s="917">
        <v>1.5166685796988462</v>
      </c>
      <c r="AT13" s="917">
        <v>1.5210132928277673</v>
      </c>
      <c r="AU13" s="917">
        <v>1.5253580059566885</v>
      </c>
      <c r="AV13" s="917">
        <v>1.5297027190856096</v>
      </c>
      <c r="AW13" s="917">
        <v>1.5340474322145308</v>
      </c>
      <c r="AX13" s="917">
        <v>1.5383921453434519</v>
      </c>
      <c r="AY13" s="917">
        <v>1.5427368584723731</v>
      </c>
      <c r="AZ13" s="918">
        <v>1.5470815716012942</v>
      </c>
      <c r="BA13" s="917">
        <v>1.5500157274134729</v>
      </c>
      <c r="BB13" s="917">
        <v>1.5529498832256516</v>
      </c>
      <c r="BC13" s="917">
        <v>1.5558840390378303</v>
      </c>
      <c r="BD13" s="917">
        <v>1.5588181948500091</v>
      </c>
      <c r="BE13" s="917">
        <v>1.5617523506621878</v>
      </c>
      <c r="BF13" s="917">
        <v>1.5646865064743665</v>
      </c>
      <c r="BG13" s="917">
        <v>1.5676206622865452</v>
      </c>
      <c r="BH13" s="917">
        <v>1.5705548180987239</v>
      </c>
      <c r="BI13" s="917">
        <v>1.5734889739109026</v>
      </c>
      <c r="BJ13" s="917">
        <v>1.5764231297230813</v>
      </c>
      <c r="BK13" s="917">
        <v>1.57935728553526</v>
      </c>
      <c r="BL13" s="917">
        <v>1.5822914413474387</v>
      </c>
      <c r="BM13" s="917">
        <v>1.5852255971596174</v>
      </c>
      <c r="BN13" s="917">
        <v>1.5881597529717961</v>
      </c>
      <c r="BO13" s="918">
        <v>1.5910939087839742</v>
      </c>
      <c r="BP13" s="917">
        <v>1.5941115372826113</v>
      </c>
      <c r="BQ13" s="917">
        <v>1.5971291657812485</v>
      </c>
      <c r="BR13" s="917">
        <v>1.6001467942798857</v>
      </c>
      <c r="BS13" s="917">
        <v>1.6031644227785229</v>
      </c>
      <c r="BT13" s="919">
        <v>1.6061820512771605</v>
      </c>
    </row>
    <row r="14" spans="1:72" x14ac:dyDescent="0.25">
      <c r="A14" s="1718" t="s">
        <v>752</v>
      </c>
      <c r="B14" s="1719"/>
      <c r="C14" s="1719"/>
      <c r="D14" s="1719"/>
      <c r="E14" s="1719"/>
      <c r="F14" s="1719"/>
      <c r="G14" s="1719"/>
      <c r="H14" s="1719"/>
      <c r="I14" s="1719"/>
      <c r="J14" s="1719"/>
      <c r="K14" s="1719"/>
      <c r="L14" s="1719"/>
      <c r="M14" s="1719"/>
      <c r="N14" s="1719"/>
      <c r="O14" s="1719"/>
      <c r="P14" s="1719"/>
      <c r="Q14" s="1719"/>
      <c r="R14" s="1719"/>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E14" s="1719"/>
      <c r="BF14" s="1719"/>
      <c r="BG14" s="1719"/>
      <c r="BH14" s="1719"/>
      <c r="BI14" s="1719"/>
      <c r="BJ14" s="1719"/>
      <c r="BK14" s="1719"/>
      <c r="BL14" s="1719"/>
      <c r="BM14" s="1719"/>
      <c r="BN14" s="1719"/>
      <c r="BO14" s="1719"/>
      <c r="BP14" s="1719"/>
      <c r="BQ14" s="1719"/>
      <c r="BR14" s="1719"/>
      <c r="BS14" s="1719"/>
      <c r="BT14" s="1720"/>
    </row>
    <row r="15" spans="1:72" ht="23" x14ac:dyDescent="0.25">
      <c r="A15" s="914" t="s">
        <v>753</v>
      </c>
      <c r="B15" s="915" t="s">
        <v>747</v>
      </c>
      <c r="C15" s="916">
        <v>10.789461735918687</v>
      </c>
      <c r="D15" s="916">
        <v>9.9590971559848445</v>
      </c>
      <c r="E15" s="916">
        <v>11.383831536994775</v>
      </c>
      <c r="F15" s="916">
        <v>12.531178240506115</v>
      </c>
      <c r="G15" s="916">
        <v>12.036300060884058</v>
      </c>
      <c r="H15" s="916">
        <v>12.613383383121093</v>
      </c>
      <c r="I15" s="916">
        <v>13.01890940036416</v>
      </c>
      <c r="J15" s="916">
        <v>12.908589399085846</v>
      </c>
      <c r="K15" s="916">
        <v>12.946875513724528</v>
      </c>
      <c r="L15" s="916">
        <v>13.039098811599491</v>
      </c>
      <c r="M15" s="916">
        <v>13.088955960183741</v>
      </c>
      <c r="N15" s="916">
        <v>13.133508268392355</v>
      </c>
      <c r="O15" s="916">
        <v>13.038477461293056</v>
      </c>
      <c r="P15" s="916">
        <v>12.989168095138872</v>
      </c>
      <c r="Q15" s="916">
        <v>12.752903866318045</v>
      </c>
      <c r="R15" s="916">
        <v>12.539506322932722</v>
      </c>
      <c r="S15" s="916">
        <v>12.335074118848111</v>
      </c>
      <c r="T15" s="916">
        <v>12.292193988584152</v>
      </c>
      <c r="U15" s="916">
        <v>12.304560350921868</v>
      </c>
      <c r="V15" s="916">
        <v>12.340337204483362</v>
      </c>
      <c r="W15" s="916">
        <v>12.418707870087554</v>
      </c>
      <c r="X15" s="916">
        <v>12.438495640484758</v>
      </c>
      <c r="Y15" s="916">
        <v>12.492141534697302</v>
      </c>
      <c r="Z15" s="916">
        <v>12.624332072599859</v>
      </c>
      <c r="AA15" s="916">
        <v>13.025979869770596</v>
      </c>
      <c r="AB15" s="916">
        <v>13.053872203635709</v>
      </c>
      <c r="AC15" s="916">
        <v>13.081764537500822</v>
      </c>
      <c r="AD15" s="916">
        <v>13.109656871365935</v>
      </c>
      <c r="AE15" s="916">
        <v>13.137549205231048</v>
      </c>
      <c r="AF15" s="916">
        <v>13.165441539096161</v>
      </c>
      <c r="AG15" s="916">
        <v>13.193333872961274</v>
      </c>
      <c r="AH15" s="916">
        <v>13.221226206826387</v>
      </c>
      <c r="AI15" s="916">
        <v>13.2491185406915</v>
      </c>
      <c r="AJ15" s="916">
        <v>13.277010874556613</v>
      </c>
      <c r="AK15" s="916">
        <v>13.304903208421727</v>
      </c>
      <c r="AL15" s="916">
        <v>13.445726499778688</v>
      </c>
      <c r="AM15" s="916">
        <v>13.586549791135649</v>
      </c>
      <c r="AN15" s="916">
        <v>13.72737308249261</v>
      </c>
      <c r="AO15" s="916">
        <v>13.868196373849571</v>
      </c>
      <c r="AP15" s="916">
        <v>14.009019665206532</v>
      </c>
      <c r="AQ15" s="916">
        <v>14.149842956563493</v>
      </c>
      <c r="AR15" s="916">
        <v>14.290666247920454</v>
      </c>
      <c r="AS15" s="916">
        <v>14.431489539277415</v>
      </c>
      <c r="AT15" s="916">
        <v>14.572312830634376</v>
      </c>
      <c r="AU15" s="916">
        <v>14.713136121991337</v>
      </c>
      <c r="AV15" s="916">
        <v>14.853959413348298</v>
      </c>
      <c r="AW15" s="916">
        <v>14.994782704705258</v>
      </c>
      <c r="AX15" s="916">
        <v>15.135605996062219</v>
      </c>
      <c r="AY15" s="916">
        <v>15.27642928741918</v>
      </c>
      <c r="AZ15" s="916">
        <v>15.417252578776129</v>
      </c>
      <c r="BA15" s="916">
        <v>15.505038084680947</v>
      </c>
      <c r="BB15" s="916">
        <v>15.592823590585766</v>
      </c>
      <c r="BC15" s="916">
        <v>15.680609096490585</v>
      </c>
      <c r="BD15" s="916">
        <v>15.768394602395404</v>
      </c>
      <c r="BE15" s="916">
        <v>15.856180108300222</v>
      </c>
      <c r="BF15" s="916">
        <v>15.943965614205041</v>
      </c>
      <c r="BG15" s="916">
        <v>16.03175112010986</v>
      </c>
      <c r="BH15" s="916">
        <v>16.119536626014678</v>
      </c>
      <c r="BI15" s="916">
        <v>16.207322131919497</v>
      </c>
      <c r="BJ15" s="916">
        <v>16.295107637824316</v>
      </c>
      <c r="BK15" s="916">
        <v>16.382893143729135</v>
      </c>
      <c r="BL15" s="916">
        <v>16.470678649633953</v>
      </c>
      <c r="BM15" s="916">
        <v>16.558464155538772</v>
      </c>
      <c r="BN15" s="916">
        <v>16.646249661443591</v>
      </c>
      <c r="BO15" s="916">
        <v>16.734035167348416</v>
      </c>
      <c r="BP15" s="916">
        <v>16.829318405103567</v>
      </c>
      <c r="BQ15" s="916">
        <v>16.924601642858718</v>
      </c>
      <c r="BR15" s="916">
        <v>17.019884880613869</v>
      </c>
      <c r="BS15" s="916">
        <v>17.11516811836902</v>
      </c>
      <c r="BT15" s="923">
        <v>17.210451356124164</v>
      </c>
    </row>
    <row r="16" spans="1:72" x14ac:dyDescent="0.25">
      <c r="A16" s="920" t="s">
        <v>754</v>
      </c>
      <c r="B16" s="915" t="s">
        <v>747</v>
      </c>
      <c r="C16" s="916">
        <v>12.730520250245322</v>
      </c>
      <c r="D16" s="916">
        <v>11.801320287416596</v>
      </c>
      <c r="E16" s="916">
        <v>13.477350603859424</v>
      </c>
      <c r="F16" s="916">
        <v>15.275134761378448</v>
      </c>
      <c r="G16" s="916">
        <v>14.956036086352325</v>
      </c>
      <c r="H16" s="916">
        <v>15.333911517881027</v>
      </c>
      <c r="I16" s="916">
        <v>14.969645149302909</v>
      </c>
      <c r="J16" s="916">
        <v>14.856007634468792</v>
      </c>
      <c r="K16" s="916">
        <v>14.855665643260203</v>
      </c>
      <c r="L16" s="916">
        <v>14.676357863084307</v>
      </c>
      <c r="M16" s="916">
        <v>14.660823111264261</v>
      </c>
      <c r="N16" s="916">
        <v>14.621396694543213</v>
      </c>
      <c r="O16" s="916">
        <v>14.496914877081778</v>
      </c>
      <c r="P16" s="916">
        <v>14.525867813038341</v>
      </c>
      <c r="Q16" s="916">
        <v>14.406443289990676</v>
      </c>
      <c r="R16" s="916">
        <v>14.511791494657368</v>
      </c>
      <c r="S16" s="916">
        <v>14.408484301477108</v>
      </c>
      <c r="T16" s="916">
        <v>14.421367627269808</v>
      </c>
      <c r="U16" s="916">
        <v>14.483474821414545</v>
      </c>
      <c r="V16" s="916">
        <v>14.423047758498246</v>
      </c>
      <c r="W16" s="916">
        <v>14.678410804496627</v>
      </c>
      <c r="X16" s="916">
        <v>14.842794247393387</v>
      </c>
      <c r="Y16" s="916">
        <v>14.985196801851416</v>
      </c>
      <c r="Z16" s="916">
        <v>15.125157698145465</v>
      </c>
      <c r="AA16" s="916">
        <v>15.225733932459173</v>
      </c>
      <c r="AB16" s="917">
        <v>15.312322281050708</v>
      </c>
      <c r="AC16" s="917">
        <v>15.398910629642243</v>
      </c>
      <c r="AD16" s="917">
        <v>15.485498978233778</v>
      </c>
      <c r="AE16" s="917">
        <v>15.572087326825313</v>
      </c>
      <c r="AF16" s="917">
        <v>15.658675675416848</v>
      </c>
      <c r="AG16" s="917">
        <v>15.745264024008383</v>
      </c>
      <c r="AH16" s="917">
        <v>15.831852372599919</v>
      </c>
      <c r="AI16" s="917">
        <v>15.918440721191454</v>
      </c>
      <c r="AJ16" s="917">
        <v>16.005029069782989</v>
      </c>
      <c r="AK16" s="917">
        <v>16.091617418374518</v>
      </c>
      <c r="AL16" s="917">
        <v>16.26193617174043</v>
      </c>
      <c r="AM16" s="917">
        <v>16.432254925106342</v>
      </c>
      <c r="AN16" s="917">
        <v>16.602573678472254</v>
      </c>
      <c r="AO16" s="917">
        <v>16.772892431838166</v>
      </c>
      <c r="AP16" s="917">
        <v>16.943211185204078</v>
      </c>
      <c r="AQ16" s="917">
        <v>17.113529938569989</v>
      </c>
      <c r="AR16" s="917">
        <v>17.283848691935901</v>
      </c>
      <c r="AS16" s="917">
        <v>17.454167445301813</v>
      </c>
      <c r="AT16" s="917">
        <v>17.624486198667725</v>
      </c>
      <c r="AU16" s="917">
        <v>17.794804952033637</v>
      </c>
      <c r="AV16" s="917">
        <v>17.965123705399549</v>
      </c>
      <c r="AW16" s="917">
        <v>18.135442458765461</v>
      </c>
      <c r="AX16" s="917">
        <v>18.305761212131372</v>
      </c>
      <c r="AY16" s="917">
        <v>18.476079965497284</v>
      </c>
      <c r="AZ16" s="916">
        <v>18.646398718863171</v>
      </c>
      <c r="BA16" s="917">
        <v>18.752570913712709</v>
      </c>
      <c r="BB16" s="917">
        <v>18.858743108562248</v>
      </c>
      <c r="BC16" s="917">
        <v>18.964915303411786</v>
      </c>
      <c r="BD16" s="917">
        <v>19.071087498261324</v>
      </c>
      <c r="BE16" s="917">
        <v>19.177259693110862</v>
      </c>
      <c r="BF16" s="917">
        <v>19.283431887960401</v>
      </c>
      <c r="BG16" s="917">
        <v>19.389604082809939</v>
      </c>
      <c r="BH16" s="917">
        <v>19.495776277659477</v>
      </c>
      <c r="BI16" s="917">
        <v>19.601948472509015</v>
      </c>
      <c r="BJ16" s="917">
        <v>19.708120667358553</v>
      </c>
      <c r="BK16" s="917">
        <v>19.814292862208092</v>
      </c>
      <c r="BL16" s="917">
        <v>19.92046505705763</v>
      </c>
      <c r="BM16" s="917">
        <v>20.026637251907168</v>
      </c>
      <c r="BN16" s="917">
        <v>20.132809446756706</v>
      </c>
      <c r="BO16" s="916">
        <v>20.238981641606255</v>
      </c>
      <c r="BP16" s="917">
        <v>20.354221969500514</v>
      </c>
      <c r="BQ16" s="917">
        <v>20.469462297394774</v>
      </c>
      <c r="BR16" s="917">
        <v>20.584702625289033</v>
      </c>
      <c r="BS16" s="917">
        <v>20.699942953183292</v>
      </c>
      <c r="BT16" s="923">
        <v>20.815183281077545</v>
      </c>
    </row>
    <row r="17" spans="1:72" x14ac:dyDescent="0.25">
      <c r="A17" s="920" t="s">
        <v>312</v>
      </c>
      <c r="B17" s="915" t="s">
        <v>747</v>
      </c>
      <c r="C17" s="916">
        <v>15.730049999999999</v>
      </c>
      <c r="D17" s="916">
        <v>15.730049999999999</v>
      </c>
      <c r="E17" s="916">
        <v>15.730049999999999</v>
      </c>
      <c r="F17" s="916">
        <v>15.730049999999999</v>
      </c>
      <c r="G17" s="916">
        <v>15.730049999999999</v>
      </c>
      <c r="H17" s="916">
        <v>15.730049999999999</v>
      </c>
      <c r="I17" s="916">
        <v>15.730049999999999</v>
      </c>
      <c r="J17" s="916">
        <v>15.730049999999999</v>
      </c>
      <c r="K17" s="916">
        <v>15.730049999999999</v>
      </c>
      <c r="L17" s="916">
        <v>15.730049999999999</v>
      </c>
      <c r="M17" s="916">
        <v>15.730049999999999</v>
      </c>
      <c r="N17" s="916">
        <v>15.730049999999999</v>
      </c>
      <c r="O17" s="916">
        <v>15.730049999999999</v>
      </c>
      <c r="P17" s="916">
        <v>15.730049999999999</v>
      </c>
      <c r="Q17" s="916">
        <v>15.730049999999999</v>
      </c>
      <c r="R17" s="916">
        <v>15.730049999999999</v>
      </c>
      <c r="S17" s="916">
        <v>15.730049999999999</v>
      </c>
      <c r="T17" s="916">
        <v>15.730049999999999</v>
      </c>
      <c r="U17" s="916">
        <v>15.730049999999999</v>
      </c>
      <c r="V17" s="916">
        <v>15.730049999999999</v>
      </c>
      <c r="W17" s="916">
        <v>15.730049999999999</v>
      </c>
      <c r="X17" s="916">
        <v>15.730049999999999</v>
      </c>
      <c r="Y17" s="916">
        <v>15.730049999999999</v>
      </c>
      <c r="Z17" s="916">
        <v>15.730049999999999</v>
      </c>
      <c r="AA17" s="916">
        <v>15.730049999999999</v>
      </c>
      <c r="AB17" s="916">
        <v>15.730049999999999</v>
      </c>
      <c r="AC17" s="916">
        <v>15.730049999999999</v>
      </c>
      <c r="AD17" s="916">
        <v>15.730049999999999</v>
      </c>
      <c r="AE17" s="916">
        <v>15.730049999999999</v>
      </c>
      <c r="AF17" s="916">
        <v>15.730049999999999</v>
      </c>
      <c r="AG17" s="916">
        <v>15.730049999999999</v>
      </c>
      <c r="AH17" s="916">
        <v>15.730049999999999</v>
      </c>
      <c r="AI17" s="916">
        <v>15.730049999999999</v>
      </c>
      <c r="AJ17" s="916">
        <v>15.730049999999999</v>
      </c>
      <c r="AK17" s="916">
        <v>15.730049999999999</v>
      </c>
      <c r="AL17" s="916">
        <v>15.730049999999999</v>
      </c>
      <c r="AM17" s="916">
        <v>15.730049999999999</v>
      </c>
      <c r="AN17" s="916">
        <v>15.730049999999999</v>
      </c>
      <c r="AO17" s="916">
        <v>15.730049999999999</v>
      </c>
      <c r="AP17" s="916">
        <v>15.730049999999999</v>
      </c>
      <c r="AQ17" s="916">
        <v>15.730049999999999</v>
      </c>
      <c r="AR17" s="916">
        <v>15.730049999999999</v>
      </c>
      <c r="AS17" s="916">
        <v>15.730049999999999</v>
      </c>
      <c r="AT17" s="916">
        <v>15.730049999999999</v>
      </c>
      <c r="AU17" s="916">
        <v>15.730049999999999</v>
      </c>
      <c r="AV17" s="916">
        <v>15.730049999999999</v>
      </c>
      <c r="AW17" s="916">
        <v>15.730049999999999</v>
      </c>
      <c r="AX17" s="916">
        <v>15.730049999999999</v>
      </c>
      <c r="AY17" s="916">
        <v>15.730049999999999</v>
      </c>
      <c r="AZ17" s="916">
        <v>15.730049999999999</v>
      </c>
      <c r="BA17" s="916">
        <v>15.730049999999999</v>
      </c>
      <c r="BB17" s="916">
        <v>15.730049999999999</v>
      </c>
      <c r="BC17" s="916">
        <v>15.730049999999999</v>
      </c>
      <c r="BD17" s="916">
        <v>15.730049999999999</v>
      </c>
      <c r="BE17" s="916">
        <v>15.730049999999999</v>
      </c>
      <c r="BF17" s="916">
        <v>15.730049999999999</v>
      </c>
      <c r="BG17" s="916">
        <v>15.730049999999999</v>
      </c>
      <c r="BH17" s="916">
        <v>15.730049999999999</v>
      </c>
      <c r="BI17" s="916">
        <v>15.730049999999999</v>
      </c>
      <c r="BJ17" s="916">
        <v>15.730049999999999</v>
      </c>
      <c r="BK17" s="916">
        <v>15.730049999999999</v>
      </c>
      <c r="BL17" s="916">
        <v>15.730049999999999</v>
      </c>
      <c r="BM17" s="916">
        <v>15.730049999999999</v>
      </c>
      <c r="BN17" s="916">
        <v>15.730049999999999</v>
      </c>
      <c r="BO17" s="916">
        <v>15.730049999999999</v>
      </c>
      <c r="BP17" s="916">
        <v>15.730049999999999</v>
      </c>
      <c r="BQ17" s="916">
        <v>15.730049999999999</v>
      </c>
      <c r="BR17" s="916">
        <v>15.730049999999999</v>
      </c>
      <c r="BS17" s="916">
        <v>15.730049999999999</v>
      </c>
      <c r="BT17" s="923">
        <v>15.730049999999999</v>
      </c>
    </row>
    <row r="18" spans="1:72" x14ac:dyDescent="0.25">
      <c r="A18" s="914" t="s">
        <v>311</v>
      </c>
      <c r="B18" s="915" t="s">
        <v>747</v>
      </c>
      <c r="C18" s="916">
        <v>8.7353999999999985</v>
      </c>
      <c r="D18" s="916">
        <v>8.7353999999999985</v>
      </c>
      <c r="E18" s="916">
        <v>8.7353999999999985</v>
      </c>
      <c r="F18" s="916">
        <v>8.7353999999999985</v>
      </c>
      <c r="G18" s="916">
        <v>8.7353999999999985</v>
      </c>
      <c r="H18" s="916">
        <v>8.7353999999999985</v>
      </c>
      <c r="I18" s="916">
        <v>8.7353999999999985</v>
      </c>
      <c r="J18" s="916">
        <v>8.7353999999999985</v>
      </c>
      <c r="K18" s="916">
        <v>8.7353999999999985</v>
      </c>
      <c r="L18" s="916">
        <v>8.7353999999999985</v>
      </c>
      <c r="M18" s="916">
        <v>8.7353999999999985</v>
      </c>
      <c r="N18" s="916">
        <v>8.7353999999999985</v>
      </c>
      <c r="O18" s="916">
        <v>8.7353999999999985</v>
      </c>
      <c r="P18" s="916">
        <v>8.7353999999999985</v>
      </c>
      <c r="Q18" s="916">
        <v>8.7353999999999985</v>
      </c>
      <c r="R18" s="916">
        <v>8.7353999999999985</v>
      </c>
      <c r="S18" s="916">
        <v>8.7353999999999985</v>
      </c>
      <c r="T18" s="916">
        <v>8.7353999999999985</v>
      </c>
      <c r="U18" s="916">
        <v>8.7353999999999985</v>
      </c>
      <c r="V18" s="916">
        <v>8.7353999999999985</v>
      </c>
      <c r="W18" s="916">
        <v>8.7353999999999985</v>
      </c>
      <c r="X18" s="916">
        <v>8.7353999999999985</v>
      </c>
      <c r="Y18" s="916">
        <v>8.7353999999999985</v>
      </c>
      <c r="Z18" s="916">
        <v>8.7353999999999985</v>
      </c>
      <c r="AA18" s="916">
        <v>8.7353999999999985</v>
      </c>
      <c r="AB18" s="916">
        <v>8.7353999999999985</v>
      </c>
      <c r="AC18" s="916">
        <v>8.7353999999999985</v>
      </c>
      <c r="AD18" s="916">
        <v>8.7353999999999985</v>
      </c>
      <c r="AE18" s="916">
        <v>8.7353999999999985</v>
      </c>
      <c r="AF18" s="916">
        <v>8.7353999999999985</v>
      </c>
      <c r="AG18" s="916">
        <v>8.7353999999999985</v>
      </c>
      <c r="AH18" s="916">
        <v>8.7353999999999985</v>
      </c>
      <c r="AI18" s="916">
        <v>8.7353999999999985</v>
      </c>
      <c r="AJ18" s="916">
        <v>8.7353999999999985</v>
      </c>
      <c r="AK18" s="916">
        <v>8.7353999999999985</v>
      </c>
      <c r="AL18" s="916">
        <v>8.7353999999999985</v>
      </c>
      <c r="AM18" s="916">
        <v>8.7353999999999985</v>
      </c>
      <c r="AN18" s="916">
        <v>8.7353999999999985</v>
      </c>
      <c r="AO18" s="916">
        <v>8.7353999999999985</v>
      </c>
      <c r="AP18" s="916">
        <v>8.7353999999999985</v>
      </c>
      <c r="AQ18" s="916">
        <v>8.7353999999999985</v>
      </c>
      <c r="AR18" s="916">
        <v>8.7353999999999985</v>
      </c>
      <c r="AS18" s="916">
        <v>8.7353999999999985</v>
      </c>
      <c r="AT18" s="916">
        <v>8.7353999999999985</v>
      </c>
      <c r="AU18" s="916">
        <v>8.7353999999999985</v>
      </c>
      <c r="AV18" s="916">
        <v>8.7353999999999985</v>
      </c>
      <c r="AW18" s="916">
        <v>8.7353999999999985</v>
      </c>
      <c r="AX18" s="916">
        <v>8.7353999999999985</v>
      </c>
      <c r="AY18" s="916">
        <v>8.7353999999999985</v>
      </c>
      <c r="AZ18" s="916">
        <v>8.7353999999999985</v>
      </c>
      <c r="BA18" s="916">
        <v>8.7353999999999985</v>
      </c>
      <c r="BB18" s="916">
        <v>8.7353999999999985</v>
      </c>
      <c r="BC18" s="916">
        <v>8.7353999999999985</v>
      </c>
      <c r="BD18" s="916">
        <v>8.7353999999999985</v>
      </c>
      <c r="BE18" s="916">
        <v>8.7353999999999985</v>
      </c>
      <c r="BF18" s="916">
        <v>8.7353999999999985</v>
      </c>
      <c r="BG18" s="916">
        <v>8.7353999999999985</v>
      </c>
      <c r="BH18" s="916">
        <v>8.7353999999999985</v>
      </c>
      <c r="BI18" s="916">
        <v>8.7353999999999985</v>
      </c>
      <c r="BJ18" s="916">
        <v>8.7353999999999985</v>
      </c>
      <c r="BK18" s="916">
        <v>8.7353999999999985</v>
      </c>
      <c r="BL18" s="916">
        <v>8.7353999999999985</v>
      </c>
      <c r="BM18" s="916">
        <v>8.7353999999999985</v>
      </c>
      <c r="BN18" s="916">
        <v>8.7353999999999985</v>
      </c>
      <c r="BO18" s="916">
        <v>8.7353999999999985</v>
      </c>
      <c r="BP18" s="916">
        <v>8.7353999999999985</v>
      </c>
      <c r="BQ18" s="916">
        <v>8.7353999999999985</v>
      </c>
      <c r="BR18" s="916">
        <v>8.7353999999999985</v>
      </c>
      <c r="BS18" s="916">
        <v>8.7353999999999985</v>
      </c>
      <c r="BT18" s="923">
        <v>8.7353999999999985</v>
      </c>
    </row>
    <row r="19" spans="1:72" x14ac:dyDescent="0.25">
      <c r="A19" s="1718" t="s">
        <v>755</v>
      </c>
      <c r="B19" s="1719"/>
      <c r="C19" s="1719"/>
      <c r="D19" s="1719"/>
      <c r="E19" s="1719"/>
      <c r="F19" s="1719"/>
      <c r="G19" s="1719"/>
      <c r="H19" s="1719"/>
      <c r="I19" s="1719"/>
      <c r="J19" s="1719"/>
      <c r="K19" s="1719"/>
      <c r="L19" s="1719"/>
      <c r="M19" s="1719"/>
      <c r="N19" s="1719"/>
      <c r="O19" s="1719"/>
      <c r="P19" s="1719"/>
      <c r="Q19" s="1719"/>
      <c r="R19" s="1719"/>
      <c r="S19" s="1719"/>
      <c r="T19" s="1719"/>
      <c r="U19" s="1719"/>
      <c r="V19" s="1719"/>
      <c r="W19" s="1719"/>
      <c r="X19" s="1719"/>
      <c r="Y19" s="1719"/>
      <c r="Z19" s="1719"/>
      <c r="AA19" s="1719"/>
      <c r="AB19" s="1719"/>
      <c r="AC19" s="1719"/>
      <c r="AD19" s="1719"/>
      <c r="AE19" s="1719"/>
      <c r="AF19" s="1719"/>
      <c r="AG19" s="1719"/>
      <c r="AH19" s="1719"/>
      <c r="AI19" s="1719"/>
      <c r="AJ19" s="1719"/>
      <c r="AK19" s="1719"/>
      <c r="AL19" s="1719"/>
      <c r="AM19" s="1719"/>
      <c r="AN19" s="1719"/>
      <c r="AO19" s="1719"/>
      <c r="AP19" s="1719"/>
      <c r="AQ19" s="1719"/>
      <c r="AR19" s="1719"/>
      <c r="AS19" s="1719"/>
      <c r="AT19" s="1719"/>
      <c r="AU19" s="1719"/>
      <c r="AV19" s="1719"/>
      <c r="AW19" s="1719"/>
      <c r="AX19" s="1719"/>
      <c r="AY19" s="1719"/>
      <c r="AZ19" s="1719"/>
      <c r="BA19" s="1719"/>
      <c r="BB19" s="1719"/>
      <c r="BC19" s="1719"/>
      <c r="BD19" s="1719"/>
      <c r="BE19" s="1719"/>
      <c r="BF19" s="1719"/>
      <c r="BG19" s="1719"/>
      <c r="BH19" s="1719"/>
      <c r="BI19" s="1719"/>
      <c r="BJ19" s="1719"/>
      <c r="BK19" s="1719"/>
      <c r="BL19" s="1719"/>
      <c r="BM19" s="1719"/>
      <c r="BN19" s="1719"/>
      <c r="BO19" s="1719"/>
      <c r="BP19" s="1719"/>
      <c r="BQ19" s="1719"/>
      <c r="BR19" s="1719"/>
      <c r="BS19" s="1719"/>
      <c r="BT19" s="1720"/>
    </row>
    <row r="20" spans="1:72" ht="23.5" thickBot="1" x14ac:dyDescent="0.3">
      <c r="A20" s="924" t="s">
        <v>756</v>
      </c>
      <c r="B20" s="925" t="s">
        <v>747</v>
      </c>
      <c r="C20" s="926">
        <v>1.2696286520685174</v>
      </c>
      <c r="D20" s="926">
        <v>1.2696286520685174</v>
      </c>
      <c r="E20" s="926">
        <v>1.2696286520685174</v>
      </c>
      <c r="F20" s="926">
        <v>1.2696286520685174</v>
      </c>
      <c r="G20" s="926">
        <v>1.2696286520685174</v>
      </c>
      <c r="H20" s="926">
        <v>1.2696286520685174</v>
      </c>
      <c r="I20" s="926">
        <v>1.2696286520685174</v>
      </c>
      <c r="J20" s="926">
        <v>1.2696286520685174</v>
      </c>
      <c r="K20" s="926">
        <v>1.2696286520685174</v>
      </c>
      <c r="L20" s="926">
        <v>1.2696286520685174</v>
      </c>
      <c r="M20" s="926">
        <v>1.2716814065585227</v>
      </c>
      <c r="N20" s="926">
        <v>1.2809188017635484</v>
      </c>
      <c r="O20" s="926">
        <v>1.3178683825836508</v>
      </c>
      <c r="P20" s="926">
        <v>1.3209475143186591</v>
      </c>
      <c r="Q20" s="926">
        <v>1.3435278137087219</v>
      </c>
      <c r="R20" s="926">
        <v>1.3466069454437304</v>
      </c>
      <c r="S20" s="926">
        <v>1.3630289813637759</v>
      </c>
      <c r="T20" s="926">
        <v>1.3578970951387617</v>
      </c>
      <c r="U20" s="926">
        <v>1.383556526263833</v>
      </c>
      <c r="V20" s="926">
        <v>1.4030576939188868</v>
      </c>
      <c r="W20" s="926">
        <v>1.460534819639046</v>
      </c>
      <c r="X20" s="926">
        <v>1.4800359872941</v>
      </c>
      <c r="Y20" s="926">
        <v>1.4861942507641173</v>
      </c>
      <c r="Z20" s="926">
        <v>1.5118536818891883</v>
      </c>
      <c r="AA20" s="926">
        <v>1.5262229633192279</v>
      </c>
      <c r="AB20" s="926">
        <v>1.6236006669873051</v>
      </c>
      <c r="AC20" s="926">
        <v>1.7209783706553823</v>
      </c>
      <c r="AD20" s="926">
        <v>1.8183560743234595</v>
      </c>
      <c r="AE20" s="926">
        <v>1.9157337779915367</v>
      </c>
      <c r="AF20" s="926">
        <v>2.0131114816596138</v>
      </c>
      <c r="AG20" s="926">
        <v>2.1104891853276913</v>
      </c>
      <c r="AH20" s="926">
        <v>2.2078668889957687</v>
      </c>
      <c r="AI20" s="926">
        <v>2.3052445926638461</v>
      </c>
      <c r="AJ20" s="926">
        <v>2.4026222963319235</v>
      </c>
      <c r="AK20" s="926">
        <v>2.5</v>
      </c>
      <c r="AL20" s="926">
        <v>2.5714285714285716</v>
      </c>
      <c r="AM20" s="926">
        <v>2.6428571428571432</v>
      </c>
      <c r="AN20" s="926">
        <v>2.7142857142857149</v>
      </c>
      <c r="AO20" s="926">
        <v>2.7857142857142865</v>
      </c>
      <c r="AP20" s="926">
        <v>2.8571428571428581</v>
      </c>
      <c r="AQ20" s="926">
        <v>2.9285714285714297</v>
      </c>
      <c r="AR20" s="926">
        <v>3</v>
      </c>
      <c r="AS20" s="926">
        <v>3.071428571428573</v>
      </c>
      <c r="AT20" s="926">
        <v>3.1428571428571446</v>
      </c>
      <c r="AU20" s="926">
        <v>3.2142857142857162</v>
      </c>
      <c r="AV20" s="926">
        <v>3.2857142857142878</v>
      </c>
      <c r="AW20" s="926">
        <v>3.3571428571428594</v>
      </c>
      <c r="AX20" s="926">
        <v>3.428571428571431</v>
      </c>
      <c r="AY20" s="926">
        <v>3.5</v>
      </c>
      <c r="AZ20" s="926">
        <v>3.5714285714285743</v>
      </c>
      <c r="BA20" s="926">
        <v>3.6428571428571459</v>
      </c>
      <c r="BB20" s="926">
        <v>3.7142857142857175</v>
      </c>
      <c r="BC20" s="926">
        <v>3.7857142857142891</v>
      </c>
      <c r="BD20" s="926">
        <v>3.8571428571428608</v>
      </c>
      <c r="BE20" s="926">
        <v>3.9285714285714324</v>
      </c>
      <c r="BF20" s="926">
        <v>4</v>
      </c>
      <c r="BG20" s="926">
        <v>4.0714285714285747</v>
      </c>
      <c r="BH20" s="926">
        <v>4.1428571428571459</v>
      </c>
      <c r="BI20" s="926">
        <v>4.2142857142857171</v>
      </c>
      <c r="BJ20" s="926">
        <v>4.2857142857142883</v>
      </c>
      <c r="BK20" s="926">
        <v>4.3571428571428594</v>
      </c>
      <c r="BL20" s="926">
        <v>4.4285714285714306</v>
      </c>
      <c r="BM20" s="926">
        <v>4.5</v>
      </c>
      <c r="BN20" s="926">
        <v>4.571428571428573</v>
      </c>
      <c r="BO20" s="926">
        <v>4.6428571428571441</v>
      </c>
      <c r="BP20" s="926">
        <v>4.7142857142857153</v>
      </c>
      <c r="BQ20" s="926">
        <v>4.7857142857142865</v>
      </c>
      <c r="BR20" s="926">
        <v>4.8571428571428577</v>
      </c>
      <c r="BS20" s="926">
        <v>4.9285714285714288</v>
      </c>
      <c r="BT20" s="927">
        <v>5</v>
      </c>
    </row>
    <row r="21" spans="1:72" ht="47.25" customHeight="1" x14ac:dyDescent="0.25">
      <c r="A21" s="1726" t="s">
        <v>437</v>
      </c>
      <c r="B21" s="1727"/>
      <c r="C21" s="1727"/>
      <c r="D21" s="1727"/>
      <c r="E21" s="1727"/>
      <c r="F21" s="1727"/>
      <c r="G21" s="1727"/>
      <c r="H21" s="1727"/>
      <c r="I21" s="1727"/>
      <c r="J21" s="1727"/>
      <c r="K21" s="1727"/>
      <c r="L21" s="1727"/>
      <c r="M21" s="1727"/>
      <c r="N21" s="1727"/>
      <c r="O21" s="1727"/>
      <c r="P21" s="1727"/>
      <c r="Q21" s="1727"/>
      <c r="R21" s="1727"/>
      <c r="S21" s="1727"/>
      <c r="T21" s="1727"/>
      <c r="U21" s="928"/>
      <c r="V21" s="928"/>
      <c r="W21" s="928"/>
      <c r="X21" s="928"/>
      <c r="Y21" s="928"/>
      <c r="Z21" s="928"/>
      <c r="AA21" s="928"/>
      <c r="AB21" s="928"/>
      <c r="AC21" s="928"/>
      <c r="AD21" s="928"/>
      <c r="AE21" s="928"/>
      <c r="AF21" s="928"/>
      <c r="AG21" s="928"/>
      <c r="AH21" s="928"/>
      <c r="AI21" s="928"/>
      <c r="AJ21" s="928"/>
      <c r="AK21" s="928"/>
      <c r="AL21" s="928"/>
      <c r="AM21" s="928"/>
      <c r="AN21" s="928"/>
      <c r="AO21" s="928"/>
      <c r="AP21" s="928"/>
      <c r="AQ21" s="928"/>
      <c r="AR21" s="928"/>
      <c r="AS21" s="928"/>
      <c r="AT21" s="928"/>
      <c r="AU21" s="928"/>
      <c r="AV21" s="928"/>
      <c r="AW21" s="928"/>
      <c r="AX21" s="928"/>
      <c r="AY21" s="928"/>
      <c r="AZ21" s="928"/>
      <c r="BA21" s="928"/>
      <c r="BB21" s="928"/>
      <c r="BC21" s="928"/>
      <c r="BD21" s="928"/>
      <c r="BE21" s="928"/>
      <c r="BF21" s="928"/>
      <c r="BG21" s="928"/>
      <c r="BH21" s="928"/>
      <c r="BI21" s="928"/>
      <c r="BJ21" s="928"/>
      <c r="BK21" s="928"/>
      <c r="BL21" s="928"/>
      <c r="BM21" s="928"/>
      <c r="BN21" s="928"/>
      <c r="BO21" s="928"/>
      <c r="BP21" s="928"/>
      <c r="BQ21" s="928"/>
      <c r="BR21" s="928"/>
      <c r="BS21" s="928"/>
      <c r="BT21" s="928"/>
    </row>
    <row r="22" spans="1:72" x14ac:dyDescent="0.25">
      <c r="A22" s="929"/>
      <c r="B22" s="929"/>
      <c r="C22" s="929"/>
      <c r="D22" s="929"/>
      <c r="E22" s="929"/>
      <c r="F22" s="929"/>
      <c r="G22" s="929"/>
      <c r="H22" s="929"/>
      <c r="I22" s="929"/>
      <c r="J22" s="929"/>
      <c r="K22" s="929"/>
      <c r="L22" s="929"/>
      <c r="M22" s="929"/>
      <c r="N22" s="929"/>
      <c r="O22" s="929"/>
      <c r="P22" s="929"/>
      <c r="Q22" s="929"/>
      <c r="R22" s="929"/>
      <c r="S22" s="929"/>
      <c r="T22" s="929"/>
      <c r="U22" s="930"/>
      <c r="V22" s="930"/>
      <c r="W22" s="930"/>
      <c r="X22" s="930"/>
      <c r="Y22" s="930"/>
      <c r="Z22" s="930"/>
      <c r="AA22" s="930"/>
      <c r="AB22" s="930"/>
      <c r="AC22" s="930"/>
      <c r="AD22" s="930"/>
      <c r="AE22" s="930"/>
      <c r="AF22" s="930"/>
      <c r="AG22" s="930"/>
      <c r="AH22" s="930"/>
      <c r="AI22" s="930"/>
      <c r="AJ22" s="930"/>
      <c r="AK22" s="930"/>
      <c r="AL22" s="930"/>
      <c r="AM22" s="930"/>
      <c r="AN22" s="930"/>
      <c r="AO22" s="930"/>
      <c r="AP22" s="930"/>
      <c r="AQ22" s="930"/>
      <c r="AR22" s="930"/>
      <c r="AS22" s="930"/>
      <c r="AT22" s="930"/>
      <c r="AU22" s="930"/>
      <c r="AV22" s="930"/>
      <c r="AW22" s="930"/>
      <c r="AX22" s="930"/>
      <c r="AY22" s="930"/>
      <c r="AZ22" s="930"/>
      <c r="BA22" s="930"/>
      <c r="BB22" s="930"/>
      <c r="BC22" s="930"/>
      <c r="BD22" s="930"/>
      <c r="BE22" s="930"/>
      <c r="BF22" s="930"/>
      <c r="BG22" s="930"/>
      <c r="BH22" s="930"/>
      <c r="BI22" s="930"/>
      <c r="BJ22" s="930"/>
      <c r="BK22" s="930"/>
      <c r="BL22" s="930"/>
      <c r="BM22" s="930"/>
      <c r="BN22" s="930"/>
      <c r="BO22" s="930"/>
      <c r="BP22" s="930"/>
      <c r="BQ22" s="930"/>
      <c r="BR22" s="930"/>
      <c r="BS22" s="930"/>
      <c r="BT22" s="930"/>
    </row>
    <row r="23" spans="1:72" ht="42.75" customHeight="1" x14ac:dyDescent="0.25">
      <c r="A23" s="1710" t="s">
        <v>757</v>
      </c>
      <c r="B23" s="1710"/>
      <c r="C23" s="1710"/>
      <c r="D23" s="1710"/>
      <c r="E23" s="1710"/>
      <c r="F23" s="1710"/>
      <c r="G23" s="1710"/>
      <c r="H23" s="1710"/>
      <c r="I23" s="1710"/>
      <c r="J23" s="1710"/>
      <c r="K23" s="1710"/>
      <c r="L23" s="1710"/>
      <c r="M23" s="1710"/>
      <c r="N23" s="1710"/>
      <c r="O23" s="1710"/>
      <c r="P23" s="1710"/>
      <c r="Q23" s="1710"/>
      <c r="R23" s="1710"/>
      <c r="S23" s="1710"/>
      <c r="T23" s="1710"/>
      <c r="U23" s="930"/>
      <c r="V23" s="930"/>
      <c r="W23" s="930"/>
      <c r="X23" s="930"/>
      <c r="Y23" s="930"/>
      <c r="Z23" s="930"/>
      <c r="AA23" s="930"/>
      <c r="AB23" s="930"/>
      <c r="AC23" s="930"/>
      <c r="AD23" s="930"/>
      <c r="AE23" s="930"/>
      <c r="AF23" s="930"/>
      <c r="AG23" s="930"/>
      <c r="AH23" s="930"/>
      <c r="AI23" s="930"/>
      <c r="AJ23" s="930"/>
      <c r="AK23" s="930"/>
      <c r="AL23" s="930"/>
      <c r="AM23" s="930"/>
      <c r="AN23" s="930"/>
      <c r="AO23" s="930"/>
      <c r="AP23" s="930"/>
      <c r="AQ23" s="930"/>
      <c r="AR23" s="930"/>
      <c r="AS23" s="930"/>
      <c r="AT23" s="930"/>
      <c r="AU23" s="930"/>
      <c r="AV23" s="930"/>
      <c r="AW23" s="930"/>
      <c r="AX23" s="930"/>
      <c r="AY23" s="930"/>
      <c r="AZ23" s="930"/>
      <c r="BA23" s="930"/>
      <c r="BB23" s="930"/>
      <c r="BC23" s="930"/>
      <c r="BD23" s="930"/>
      <c r="BE23" s="930"/>
      <c r="BF23" s="930"/>
      <c r="BG23" s="930"/>
      <c r="BH23" s="930"/>
      <c r="BI23" s="930"/>
      <c r="BJ23" s="930"/>
      <c r="BK23" s="930"/>
      <c r="BL23" s="930"/>
      <c r="BM23" s="930"/>
      <c r="BN23" s="930"/>
      <c r="BO23" s="930"/>
      <c r="BP23" s="930"/>
      <c r="BQ23" s="930"/>
      <c r="BR23" s="930"/>
      <c r="BS23" s="930"/>
      <c r="BT23" s="930"/>
    </row>
    <row r="24" spans="1:72" x14ac:dyDescent="0.25">
      <c r="A24" s="930"/>
      <c r="B24" s="930"/>
      <c r="C24" s="930"/>
      <c r="D24" s="930"/>
      <c r="E24" s="930"/>
      <c r="F24" s="930"/>
      <c r="G24" s="930"/>
      <c r="H24" s="930"/>
      <c r="I24" s="930"/>
      <c r="J24" s="930"/>
      <c r="K24" s="930"/>
      <c r="L24" s="930"/>
      <c r="M24" s="930"/>
      <c r="N24" s="930"/>
      <c r="O24" s="930"/>
      <c r="P24" s="930"/>
      <c r="Q24" s="930"/>
      <c r="R24" s="930"/>
      <c r="S24" s="930"/>
      <c r="T24" s="930"/>
      <c r="U24" s="930"/>
      <c r="V24" s="930"/>
      <c r="W24" s="930"/>
      <c r="X24" s="930"/>
      <c r="Y24" s="930"/>
      <c r="Z24" s="930"/>
      <c r="AA24" s="930"/>
      <c r="AB24" s="930"/>
      <c r="AC24" s="930"/>
      <c r="AD24" s="930"/>
      <c r="AE24" s="930"/>
      <c r="AF24" s="930"/>
      <c r="AG24" s="930"/>
      <c r="AH24" s="930"/>
      <c r="AI24" s="930"/>
      <c r="AJ24" s="930"/>
      <c r="AK24" s="930"/>
      <c r="AL24" s="930"/>
      <c r="AM24" s="930"/>
      <c r="AN24" s="930"/>
      <c r="AO24" s="930"/>
      <c r="AP24" s="930"/>
      <c r="AQ24" s="930"/>
      <c r="AR24" s="930"/>
      <c r="AS24" s="930"/>
      <c r="AT24" s="930"/>
      <c r="AU24" s="930"/>
      <c r="AV24" s="930"/>
      <c r="AW24" s="930"/>
      <c r="AX24" s="930"/>
      <c r="AY24" s="930"/>
      <c r="AZ24" s="930"/>
      <c r="BA24" s="930"/>
      <c r="BB24" s="930"/>
      <c r="BC24" s="930"/>
      <c r="BD24" s="930"/>
      <c r="BE24" s="930"/>
      <c r="BF24" s="930"/>
      <c r="BG24" s="930"/>
      <c r="BH24" s="930"/>
      <c r="BI24" s="930"/>
      <c r="BJ24" s="930"/>
      <c r="BK24" s="930"/>
      <c r="BL24" s="930"/>
      <c r="BM24" s="930"/>
      <c r="BN24" s="930"/>
      <c r="BO24" s="930"/>
      <c r="BP24" s="930"/>
      <c r="BQ24" s="930"/>
      <c r="BR24" s="930"/>
      <c r="BS24" s="930"/>
      <c r="BT24" s="930"/>
    </row>
    <row r="25" spans="1:72" ht="15.5" x14ac:dyDescent="0.35">
      <c r="A25" s="1728" t="s">
        <v>1113</v>
      </c>
      <c r="B25" s="1728"/>
      <c r="C25" s="1728"/>
      <c r="D25" s="1728"/>
      <c r="E25" s="1728"/>
      <c r="F25" s="1728"/>
      <c r="G25" s="1728"/>
      <c r="H25" s="1728"/>
      <c r="I25" s="1728"/>
      <c r="J25" s="1728"/>
      <c r="K25" s="1728"/>
      <c r="L25" s="930"/>
      <c r="M25" s="930"/>
      <c r="N25" s="930"/>
      <c r="O25" s="930"/>
      <c r="P25" s="930"/>
      <c r="Q25" s="930"/>
      <c r="R25" s="930"/>
      <c r="S25" s="930"/>
      <c r="T25" s="930"/>
      <c r="U25" s="930"/>
      <c r="V25" s="930"/>
      <c r="W25" s="930"/>
      <c r="X25" s="930"/>
      <c r="Y25" s="930"/>
      <c r="Z25" s="930"/>
      <c r="AA25" s="930"/>
      <c r="AB25" s="930"/>
      <c r="AC25" s="930"/>
      <c r="AD25" s="930"/>
      <c r="AE25" s="930"/>
      <c r="AF25" s="930"/>
      <c r="AG25" s="930"/>
      <c r="AH25" s="930"/>
      <c r="AI25" s="930"/>
      <c r="AJ25" s="930"/>
      <c r="AK25" s="930"/>
      <c r="AL25" s="930"/>
      <c r="AM25" s="930"/>
      <c r="AN25" s="930"/>
      <c r="AO25" s="930"/>
      <c r="AP25" s="930"/>
      <c r="AQ25" s="930"/>
      <c r="AR25" s="930"/>
      <c r="AS25" s="930"/>
      <c r="AT25" s="930"/>
      <c r="AU25" s="930"/>
      <c r="AV25" s="930"/>
      <c r="AW25" s="930"/>
      <c r="AX25" s="930"/>
      <c r="AY25" s="930"/>
      <c r="AZ25" s="930"/>
      <c r="BA25" s="930"/>
      <c r="BB25" s="930"/>
      <c r="BC25" s="930"/>
      <c r="BD25" s="930"/>
      <c r="BE25" s="930"/>
      <c r="BF25" s="930"/>
      <c r="BG25" s="930"/>
      <c r="BH25" s="930"/>
      <c r="BI25" s="930"/>
      <c r="BJ25" s="930"/>
      <c r="BK25" s="930"/>
      <c r="BL25" s="930"/>
      <c r="BM25" s="930"/>
      <c r="BN25" s="930"/>
      <c r="BO25" s="930"/>
      <c r="BP25" s="930"/>
      <c r="BQ25" s="930"/>
      <c r="BR25" s="930"/>
      <c r="BS25" s="930"/>
      <c r="BT25" s="930"/>
    </row>
    <row r="26" spans="1:72" ht="13" thickBot="1" x14ac:dyDescent="0.3">
      <c r="A26" s="1729"/>
      <c r="B26" s="1729"/>
      <c r="C26" s="1729"/>
      <c r="D26" s="1729"/>
      <c r="E26" s="1729"/>
      <c r="F26" s="1729"/>
      <c r="G26" s="1729"/>
      <c r="H26" s="1729"/>
      <c r="I26" s="1729"/>
      <c r="J26" s="1729"/>
      <c r="K26" s="1729"/>
      <c r="L26" s="930"/>
      <c r="M26" s="930"/>
      <c r="N26" s="930"/>
      <c r="O26" s="930"/>
      <c r="P26" s="930"/>
      <c r="Q26" s="930"/>
      <c r="R26" s="930"/>
      <c r="S26" s="930"/>
      <c r="T26" s="930"/>
      <c r="U26" s="930"/>
      <c r="V26" s="930"/>
      <c r="W26" s="930"/>
      <c r="X26" s="930"/>
      <c r="Y26" s="930"/>
      <c r="Z26" s="930"/>
      <c r="AA26" s="930"/>
      <c r="AB26" s="930"/>
      <c r="AC26" s="930"/>
      <c r="AD26" s="930"/>
      <c r="AE26" s="930"/>
      <c r="AF26" s="930"/>
      <c r="AG26" s="930"/>
      <c r="AH26" s="930"/>
      <c r="AI26" s="930"/>
      <c r="AJ26" s="930"/>
      <c r="AK26" s="930"/>
      <c r="AL26" s="930"/>
      <c r="AM26" s="930"/>
      <c r="AN26" s="930"/>
      <c r="AO26" s="930"/>
      <c r="AP26" s="930"/>
      <c r="AQ26" s="930"/>
      <c r="AR26" s="930"/>
      <c r="AS26" s="930"/>
      <c r="AT26" s="930"/>
      <c r="AU26" s="930"/>
      <c r="AV26" s="930"/>
      <c r="AW26" s="930"/>
      <c r="AX26" s="930"/>
      <c r="AY26" s="930"/>
      <c r="AZ26" s="930"/>
      <c r="BA26" s="930"/>
      <c r="BB26" s="930"/>
      <c r="BC26" s="930"/>
      <c r="BD26" s="930"/>
      <c r="BE26" s="930"/>
      <c r="BF26" s="930"/>
      <c r="BG26" s="930"/>
      <c r="BH26" s="930"/>
      <c r="BI26" s="930"/>
      <c r="BJ26" s="930"/>
      <c r="BK26" s="930"/>
      <c r="BL26" s="930"/>
      <c r="BM26" s="930"/>
      <c r="BN26" s="930"/>
      <c r="BO26" s="930"/>
      <c r="BP26" s="930"/>
      <c r="BQ26" s="930"/>
      <c r="BR26" s="930"/>
      <c r="BS26" s="930"/>
      <c r="BT26" s="930"/>
    </row>
    <row r="27" spans="1:72" ht="39" x14ac:dyDescent="0.25">
      <c r="A27" s="931"/>
      <c r="B27" s="932" t="s">
        <v>758</v>
      </c>
      <c r="C27" s="932" t="s">
        <v>759</v>
      </c>
      <c r="D27" s="932" t="s">
        <v>1115</v>
      </c>
      <c r="E27" s="1730"/>
      <c r="F27" s="1730"/>
      <c r="G27" s="1730"/>
      <c r="H27" s="1730"/>
      <c r="I27" s="1730"/>
      <c r="J27" s="1696" t="s">
        <v>760</v>
      </c>
      <c r="K27" s="1697"/>
      <c r="L27" s="930"/>
      <c r="M27" s="930"/>
      <c r="N27" s="930"/>
      <c r="O27" s="930"/>
      <c r="P27" s="930"/>
      <c r="Q27" s="930"/>
      <c r="R27" s="930"/>
      <c r="S27" s="930"/>
      <c r="T27" s="930"/>
      <c r="U27" s="930"/>
      <c r="V27" s="930"/>
      <c r="W27" s="930"/>
      <c r="X27" s="930"/>
      <c r="Y27" s="930"/>
      <c r="Z27" s="930"/>
      <c r="AA27" s="930"/>
      <c r="AB27" s="930"/>
      <c r="AC27" s="930"/>
      <c r="AD27" s="930"/>
      <c r="AE27" s="930"/>
      <c r="AF27" s="930"/>
      <c r="AG27" s="930"/>
      <c r="AH27" s="930"/>
      <c r="AI27" s="930"/>
      <c r="AJ27" s="930"/>
      <c r="AK27" s="930"/>
      <c r="AL27" s="930"/>
      <c r="AM27" s="930"/>
      <c r="AN27" s="930"/>
      <c r="AO27" s="930"/>
      <c r="AP27" s="930"/>
      <c r="AQ27" s="930"/>
      <c r="AR27" s="930"/>
      <c r="AS27" s="930"/>
      <c r="AT27" s="930"/>
      <c r="AU27" s="930"/>
      <c r="AV27" s="930"/>
      <c r="AW27" s="930"/>
      <c r="AX27" s="930"/>
      <c r="AY27" s="930"/>
      <c r="AZ27" s="930"/>
      <c r="BA27" s="930"/>
      <c r="BB27" s="930"/>
      <c r="BC27" s="930"/>
      <c r="BD27" s="930"/>
      <c r="BE27" s="930"/>
      <c r="BF27" s="930"/>
      <c r="BG27" s="930"/>
      <c r="BH27" s="930"/>
      <c r="BI27" s="930"/>
      <c r="BJ27" s="930"/>
      <c r="BK27" s="930"/>
      <c r="BL27" s="930"/>
      <c r="BM27" s="930"/>
      <c r="BN27" s="930"/>
      <c r="BO27" s="930"/>
      <c r="BP27" s="930"/>
      <c r="BQ27" s="930"/>
      <c r="BR27" s="930"/>
      <c r="BS27" s="930"/>
      <c r="BT27" s="930"/>
    </row>
    <row r="28" spans="1:72" x14ac:dyDescent="0.25">
      <c r="A28" s="933" t="s">
        <v>569</v>
      </c>
      <c r="B28" s="934">
        <f>G40/F40</f>
        <v>1.0482288241385485</v>
      </c>
      <c r="C28" s="934">
        <f>H40/G40</f>
        <v>1.0526415477404851</v>
      </c>
      <c r="D28" s="934">
        <f>I40/H40</f>
        <v>1.0160295046377366</v>
      </c>
      <c r="E28" s="1698"/>
      <c r="F28" s="1698"/>
      <c r="G28" s="1698"/>
      <c r="H28" s="1698"/>
      <c r="I28" s="1698"/>
      <c r="J28" s="1698" t="s">
        <v>1083</v>
      </c>
      <c r="K28" s="1699" t="s">
        <v>1091</v>
      </c>
      <c r="L28" s="930"/>
      <c r="M28" s="930"/>
      <c r="N28" s="930"/>
      <c r="O28" s="930"/>
      <c r="P28" s="930"/>
      <c r="Q28" s="930"/>
      <c r="R28" s="930"/>
      <c r="S28" s="930"/>
      <c r="T28" s="930"/>
      <c r="U28" s="930"/>
      <c r="V28" s="930"/>
      <c r="W28" s="930"/>
      <c r="X28" s="930"/>
      <c r="Y28" s="930"/>
      <c r="Z28" s="930"/>
      <c r="AA28" s="930"/>
      <c r="AB28" s="930"/>
      <c r="AC28" s="930"/>
      <c r="AD28" s="930"/>
      <c r="AE28" s="930"/>
      <c r="AF28" s="930"/>
      <c r="AG28" s="930"/>
      <c r="AH28" s="930"/>
      <c r="AI28" s="930"/>
      <c r="AJ28" s="930"/>
      <c r="AK28" s="930"/>
      <c r="AL28" s="930"/>
      <c r="AM28" s="930"/>
      <c r="AN28" s="930"/>
      <c r="AO28" s="930"/>
      <c r="AP28" s="930"/>
      <c r="AQ28" s="930"/>
      <c r="AR28" s="930"/>
      <c r="AS28" s="930"/>
      <c r="AT28" s="930"/>
      <c r="AU28" s="930"/>
      <c r="AV28" s="930"/>
      <c r="AW28" s="930"/>
      <c r="AX28" s="930"/>
      <c r="AY28" s="930"/>
      <c r="AZ28" s="930"/>
      <c r="BA28" s="930"/>
      <c r="BB28" s="930"/>
      <c r="BC28" s="930"/>
      <c r="BD28" s="930"/>
      <c r="BE28" s="930"/>
      <c r="BF28" s="930"/>
      <c r="BG28" s="930"/>
      <c r="BH28" s="930"/>
      <c r="BI28" s="930"/>
      <c r="BJ28" s="930"/>
      <c r="BK28" s="930"/>
      <c r="BL28" s="930"/>
      <c r="BM28" s="930"/>
      <c r="BN28" s="930"/>
      <c r="BO28" s="930"/>
      <c r="BP28" s="930"/>
      <c r="BQ28" s="930"/>
      <c r="BR28" s="930"/>
      <c r="BS28" s="930"/>
      <c r="BT28" s="930"/>
    </row>
    <row r="29" spans="1:72" x14ac:dyDescent="0.25">
      <c r="A29" s="935" t="s">
        <v>570</v>
      </c>
      <c r="B29" s="936">
        <f t="shared" ref="B29:B35" si="0">G41/F41</f>
        <v>1.1441282284851997</v>
      </c>
      <c r="C29" s="936">
        <f t="shared" ref="C29:C35" si="1">H41/G41</f>
        <v>1.1360328119345371</v>
      </c>
      <c r="D29" s="936">
        <f t="shared" ref="D29:D35" si="2">I41/H41</f>
        <v>1.0363018547359477</v>
      </c>
      <c r="E29" s="1698"/>
      <c r="F29" s="1698"/>
      <c r="G29" s="1698"/>
      <c r="H29" s="1698"/>
      <c r="I29" s="1698"/>
      <c r="J29" s="1698"/>
      <c r="K29" s="1699"/>
      <c r="L29" s="930"/>
      <c r="M29" s="930"/>
      <c r="N29" s="930"/>
      <c r="O29" s="930"/>
      <c r="P29" s="930"/>
      <c r="Q29" s="930"/>
      <c r="R29" s="930"/>
      <c r="S29" s="930"/>
      <c r="T29" s="930"/>
      <c r="U29" s="930"/>
      <c r="V29" s="930"/>
      <c r="W29" s="930"/>
      <c r="X29" s="930"/>
      <c r="Y29" s="930"/>
      <c r="Z29" s="930"/>
      <c r="AA29" s="930"/>
      <c r="AB29" s="930"/>
      <c r="AC29" s="930"/>
      <c r="AD29" s="930"/>
      <c r="AE29" s="930"/>
      <c r="AF29" s="930"/>
      <c r="AG29" s="930"/>
      <c r="AH29" s="930"/>
      <c r="AI29" s="930"/>
      <c r="AJ29" s="930"/>
      <c r="AK29" s="930"/>
      <c r="AL29" s="930"/>
      <c r="AM29" s="930"/>
      <c r="AN29" s="930"/>
      <c r="AO29" s="930"/>
      <c r="AP29" s="930"/>
      <c r="AQ29" s="930"/>
      <c r="AR29" s="930"/>
      <c r="AS29" s="930"/>
      <c r="AT29" s="930"/>
      <c r="AU29" s="930"/>
      <c r="AV29" s="930"/>
      <c r="AW29" s="930"/>
      <c r="AX29" s="930"/>
      <c r="AY29" s="930"/>
      <c r="AZ29" s="930"/>
      <c r="BA29" s="930"/>
      <c r="BB29" s="930"/>
      <c r="BC29" s="930"/>
      <c r="BD29" s="930"/>
      <c r="BE29" s="930"/>
      <c r="BF29" s="930"/>
      <c r="BG29" s="930"/>
      <c r="BH29" s="930"/>
      <c r="BI29" s="930"/>
      <c r="BJ29" s="930"/>
      <c r="BK29" s="930"/>
      <c r="BL29" s="930"/>
      <c r="BM29" s="930"/>
      <c r="BN29" s="930"/>
      <c r="BO29" s="930"/>
      <c r="BP29" s="930"/>
      <c r="BQ29" s="930"/>
      <c r="BR29" s="930"/>
      <c r="BS29" s="930"/>
      <c r="BT29" s="930"/>
    </row>
    <row r="30" spans="1:72" x14ac:dyDescent="0.25">
      <c r="A30" s="933" t="s">
        <v>571</v>
      </c>
      <c r="B30" s="934">
        <f t="shared" si="0"/>
        <v>1.1252277801242987</v>
      </c>
      <c r="C30" s="934">
        <f t="shared" si="1"/>
        <v>1.1222249629995065</v>
      </c>
      <c r="D30" s="934">
        <f t="shared" si="2"/>
        <v>1.0285793469898747</v>
      </c>
      <c r="E30" s="1698"/>
      <c r="F30" s="1698"/>
      <c r="G30" s="1698"/>
      <c r="H30" s="1698"/>
      <c r="I30" s="1698"/>
      <c r="J30" s="937">
        <v>1991</v>
      </c>
      <c r="K30" s="938">
        <v>84.5</v>
      </c>
      <c r="L30" s="930"/>
      <c r="M30" s="930"/>
      <c r="N30" s="930"/>
      <c r="O30" s="930"/>
      <c r="P30" s="930"/>
      <c r="Q30" s="930"/>
      <c r="R30" s="930"/>
      <c r="S30" s="930"/>
      <c r="T30" s="930"/>
      <c r="U30" s="930"/>
      <c r="V30" s="930"/>
      <c r="W30" s="930"/>
      <c r="X30" s="930"/>
      <c r="Y30" s="930"/>
      <c r="Z30" s="930"/>
      <c r="AA30" s="930"/>
      <c r="AB30" s="930"/>
      <c r="AC30" s="930"/>
      <c r="AD30" s="930"/>
      <c r="AE30" s="930"/>
      <c r="AF30" s="930"/>
      <c r="AG30" s="930"/>
      <c r="AH30" s="930"/>
      <c r="AI30" s="930"/>
      <c r="AJ30" s="930"/>
      <c r="AK30" s="930"/>
      <c r="AL30" s="930"/>
      <c r="AM30" s="930"/>
      <c r="AN30" s="930"/>
      <c r="AO30" s="930"/>
      <c r="AP30" s="930"/>
      <c r="AQ30" s="930"/>
      <c r="AR30" s="930"/>
      <c r="AS30" s="930"/>
      <c r="AT30" s="930"/>
      <c r="AU30" s="930"/>
      <c r="AV30" s="930"/>
      <c r="AW30" s="930"/>
      <c r="AX30" s="930"/>
      <c r="AY30" s="930"/>
      <c r="AZ30" s="930"/>
      <c r="BA30" s="930"/>
      <c r="BB30" s="930"/>
      <c r="BC30" s="930"/>
      <c r="BD30" s="930"/>
      <c r="BE30" s="930"/>
      <c r="BF30" s="930"/>
      <c r="BG30" s="930"/>
      <c r="BH30" s="930"/>
      <c r="BI30" s="930"/>
      <c r="BJ30" s="930"/>
      <c r="BK30" s="930"/>
      <c r="BL30" s="930"/>
      <c r="BM30" s="930"/>
      <c r="BN30" s="930"/>
      <c r="BO30" s="930"/>
      <c r="BP30" s="930"/>
      <c r="BQ30" s="930"/>
      <c r="BR30" s="930"/>
      <c r="BS30" s="930"/>
      <c r="BT30" s="930"/>
    </row>
    <row r="31" spans="1:72" x14ac:dyDescent="0.25">
      <c r="A31" s="935" t="s">
        <v>572</v>
      </c>
      <c r="B31" s="936">
        <f t="shared" si="0"/>
        <v>1.0687839040840581</v>
      </c>
      <c r="C31" s="936">
        <f t="shared" si="1"/>
        <v>1.0213566498986533</v>
      </c>
      <c r="D31" s="936">
        <f t="shared" si="2"/>
        <v>1.0031375164207406</v>
      </c>
      <c r="E31" s="1698"/>
      <c r="F31" s="1698"/>
      <c r="G31" s="1698"/>
      <c r="H31" s="1698"/>
      <c r="I31" s="1698"/>
      <c r="J31" s="939">
        <v>1992</v>
      </c>
      <c r="K31" s="940">
        <v>86.4</v>
      </c>
      <c r="L31" s="930"/>
      <c r="M31" s="930"/>
      <c r="N31" s="930"/>
      <c r="O31" s="930"/>
      <c r="P31" s="930"/>
      <c r="Q31" s="930"/>
      <c r="R31" s="930"/>
      <c r="S31" s="930"/>
      <c r="T31" s="930"/>
      <c r="U31" s="930"/>
      <c r="V31" s="930"/>
      <c r="W31" s="930"/>
      <c r="X31" s="930"/>
      <c r="Y31" s="930"/>
      <c r="Z31" s="930"/>
      <c r="AA31" s="930"/>
      <c r="AB31" s="930"/>
      <c r="AC31" s="930"/>
      <c r="AD31" s="930"/>
      <c r="AE31" s="930"/>
      <c r="AF31" s="930"/>
      <c r="AG31" s="930"/>
      <c r="AH31" s="930"/>
      <c r="AI31" s="930"/>
      <c r="AJ31" s="930"/>
      <c r="AK31" s="930"/>
      <c r="AL31" s="930"/>
      <c r="AM31" s="930"/>
      <c r="AN31" s="930"/>
      <c r="AO31" s="930"/>
      <c r="AP31" s="930"/>
      <c r="AQ31" s="930"/>
      <c r="AR31" s="930"/>
      <c r="AS31" s="930"/>
      <c r="AT31" s="930"/>
      <c r="AU31" s="930"/>
      <c r="AV31" s="930"/>
      <c r="AW31" s="930"/>
      <c r="AX31" s="930"/>
      <c r="AY31" s="930"/>
      <c r="AZ31" s="930"/>
      <c r="BA31" s="930"/>
      <c r="BB31" s="930"/>
      <c r="BC31" s="930"/>
      <c r="BD31" s="930"/>
      <c r="BE31" s="930"/>
      <c r="BF31" s="930"/>
      <c r="BG31" s="930"/>
      <c r="BH31" s="930"/>
      <c r="BI31" s="930"/>
      <c r="BJ31" s="930"/>
      <c r="BK31" s="930"/>
      <c r="BL31" s="930"/>
      <c r="BM31" s="930"/>
      <c r="BN31" s="930"/>
      <c r="BO31" s="930"/>
      <c r="BP31" s="930"/>
      <c r="BQ31" s="930"/>
      <c r="BR31" s="930"/>
      <c r="BS31" s="930"/>
      <c r="BT31" s="930"/>
    </row>
    <row r="32" spans="1:72" x14ac:dyDescent="0.25">
      <c r="A32" s="933" t="s">
        <v>573</v>
      </c>
      <c r="B32" s="934">
        <f t="shared" si="0"/>
        <v>1.03736526166104</v>
      </c>
      <c r="C32" s="934">
        <f t="shared" si="1"/>
        <v>1.0084486821562659</v>
      </c>
      <c r="D32" s="934">
        <f t="shared" si="2"/>
        <v>1.0010687685088917</v>
      </c>
      <c r="E32" s="1698"/>
      <c r="F32" s="1698"/>
      <c r="G32" s="1698"/>
      <c r="H32" s="1698"/>
      <c r="I32" s="1698"/>
      <c r="J32" s="937">
        <v>1993</v>
      </c>
      <c r="K32" s="938">
        <v>88.4</v>
      </c>
      <c r="L32" s="930"/>
      <c r="M32" s="930"/>
      <c r="N32" s="930"/>
      <c r="O32" s="930"/>
      <c r="P32" s="930"/>
      <c r="Q32" s="930"/>
      <c r="R32" s="930"/>
      <c r="S32" s="930"/>
      <c r="T32" s="930"/>
      <c r="U32" s="930"/>
      <c r="V32" s="930"/>
      <c r="W32" s="930"/>
      <c r="X32" s="930"/>
      <c r="Y32" s="930"/>
      <c r="Z32" s="930"/>
      <c r="AA32" s="930"/>
      <c r="AB32" s="930"/>
      <c r="AC32" s="930"/>
      <c r="AD32" s="930"/>
      <c r="AE32" s="930"/>
      <c r="AF32" s="930"/>
      <c r="AG32" s="930"/>
      <c r="AH32" s="930"/>
      <c r="AI32" s="930"/>
      <c r="AJ32" s="930"/>
      <c r="AK32" s="930"/>
      <c r="AL32" s="930"/>
      <c r="AM32" s="930"/>
      <c r="AN32" s="930"/>
      <c r="AO32" s="930"/>
      <c r="AP32" s="930"/>
      <c r="AQ32" s="930"/>
      <c r="AR32" s="930"/>
      <c r="AS32" s="930"/>
      <c r="AT32" s="930"/>
      <c r="AU32" s="930"/>
      <c r="AV32" s="930"/>
      <c r="AW32" s="930"/>
      <c r="AX32" s="930"/>
      <c r="AY32" s="930"/>
      <c r="AZ32" s="930"/>
      <c r="BA32" s="930"/>
      <c r="BB32" s="930"/>
      <c r="BC32" s="930"/>
      <c r="BD32" s="930"/>
      <c r="BE32" s="930"/>
      <c r="BF32" s="930"/>
      <c r="BG32" s="930"/>
      <c r="BH32" s="930"/>
      <c r="BI32" s="930"/>
      <c r="BJ32" s="930"/>
      <c r="BK32" s="930"/>
      <c r="BL32" s="930"/>
      <c r="BM32" s="930"/>
      <c r="BN32" s="930"/>
      <c r="BO32" s="930"/>
      <c r="BP32" s="930"/>
      <c r="BQ32" s="930"/>
      <c r="BR32" s="930"/>
      <c r="BS32" s="930"/>
      <c r="BT32" s="930"/>
    </row>
    <row r="33" spans="1:72" x14ac:dyDescent="0.25">
      <c r="A33" s="935" t="s">
        <v>574</v>
      </c>
      <c r="B33" s="936">
        <f t="shared" si="0"/>
        <v>0.975071533164794</v>
      </c>
      <c r="C33" s="936">
        <f t="shared" si="1"/>
        <v>1.0087393571750138</v>
      </c>
      <c r="D33" s="936">
        <f t="shared" si="2"/>
        <v>0.99663324890666094</v>
      </c>
      <c r="E33" s="1698"/>
      <c r="F33" s="1698"/>
      <c r="G33" s="1698"/>
      <c r="H33" s="1698"/>
      <c r="I33" s="1698"/>
      <c r="J33" s="939">
        <v>1994</v>
      </c>
      <c r="K33" s="940">
        <v>90.3</v>
      </c>
      <c r="L33" s="930"/>
      <c r="M33" s="930"/>
      <c r="N33" s="930"/>
      <c r="O33" s="930"/>
      <c r="P33" s="930"/>
      <c r="Q33" s="930"/>
      <c r="R33" s="930"/>
      <c r="S33" s="930"/>
      <c r="T33" s="930"/>
      <c r="U33" s="930"/>
      <c r="V33" s="930"/>
      <c r="W33" s="930"/>
      <c r="X33" s="930"/>
      <c r="Y33" s="930"/>
      <c r="Z33" s="930"/>
      <c r="AA33" s="930"/>
      <c r="AB33" s="930"/>
      <c r="AC33" s="930"/>
      <c r="AD33" s="930"/>
      <c r="AE33" s="930"/>
      <c r="AF33" s="930"/>
      <c r="AG33" s="930"/>
      <c r="AH33" s="930"/>
      <c r="AI33" s="930"/>
      <c r="AJ33" s="930"/>
      <c r="AK33" s="930"/>
      <c r="AL33" s="930"/>
      <c r="AM33" s="930"/>
      <c r="AN33" s="930"/>
      <c r="AO33" s="930"/>
      <c r="AP33" s="930"/>
      <c r="AQ33" s="930"/>
      <c r="AR33" s="930"/>
      <c r="AS33" s="930"/>
      <c r="AT33" s="930"/>
      <c r="AU33" s="930"/>
      <c r="AV33" s="930"/>
      <c r="AW33" s="930"/>
      <c r="AX33" s="930"/>
      <c r="AY33" s="930"/>
      <c r="AZ33" s="930"/>
      <c r="BA33" s="930"/>
      <c r="BB33" s="930"/>
      <c r="BC33" s="930"/>
      <c r="BD33" s="930"/>
      <c r="BE33" s="930"/>
      <c r="BF33" s="930"/>
      <c r="BG33" s="930"/>
      <c r="BH33" s="930"/>
      <c r="BI33" s="930"/>
      <c r="BJ33" s="930"/>
      <c r="BK33" s="930"/>
      <c r="BL33" s="930"/>
      <c r="BM33" s="930"/>
      <c r="BN33" s="930"/>
      <c r="BO33" s="930"/>
      <c r="BP33" s="930"/>
      <c r="BQ33" s="930"/>
      <c r="BR33" s="930"/>
      <c r="BS33" s="930"/>
      <c r="BT33" s="930"/>
    </row>
    <row r="34" spans="1:72" x14ac:dyDescent="0.25">
      <c r="A34" s="933" t="s">
        <v>575</v>
      </c>
      <c r="B34" s="934">
        <f t="shared" si="0"/>
        <v>1.0938371922267365</v>
      </c>
      <c r="C34" s="934">
        <f t="shared" si="1"/>
        <v>1.0852680569229392</v>
      </c>
      <c r="D34" s="934">
        <f t="shared" si="2"/>
        <v>1.0142672175626977</v>
      </c>
      <c r="E34" s="1698"/>
      <c r="F34" s="1698"/>
      <c r="G34" s="1698"/>
      <c r="H34" s="1698"/>
      <c r="I34" s="1698"/>
      <c r="J34" s="937">
        <v>1995</v>
      </c>
      <c r="K34" s="938">
        <v>92.1</v>
      </c>
      <c r="L34" s="930"/>
      <c r="M34" s="930"/>
      <c r="N34" s="930"/>
      <c r="O34" s="930"/>
      <c r="P34" s="930"/>
      <c r="Q34" s="930"/>
      <c r="R34" s="930"/>
      <c r="S34" s="930"/>
      <c r="T34" s="930"/>
      <c r="U34" s="930"/>
      <c r="V34" s="930"/>
      <c r="W34" s="930"/>
      <c r="X34" s="930"/>
      <c r="Y34" s="930"/>
      <c r="Z34" s="930"/>
      <c r="AA34" s="930"/>
      <c r="AB34" s="930"/>
      <c r="AC34" s="930"/>
      <c r="AD34" s="930"/>
      <c r="AE34" s="930"/>
      <c r="AF34" s="930"/>
      <c r="AG34" s="930"/>
      <c r="AH34" s="930"/>
      <c r="AI34" s="930"/>
      <c r="AJ34" s="930"/>
      <c r="AK34" s="930"/>
      <c r="AL34" s="930"/>
      <c r="AM34" s="930"/>
      <c r="AN34" s="930"/>
      <c r="AO34" s="930"/>
      <c r="AP34" s="930"/>
      <c r="AQ34" s="930"/>
      <c r="AR34" s="930"/>
      <c r="AS34" s="930"/>
      <c r="AT34" s="930"/>
      <c r="AU34" s="930"/>
      <c r="AV34" s="930"/>
      <c r="AW34" s="930"/>
      <c r="AX34" s="930"/>
      <c r="AY34" s="930"/>
      <c r="AZ34" s="930"/>
      <c r="BA34" s="930"/>
      <c r="BB34" s="930"/>
      <c r="BC34" s="930"/>
      <c r="BD34" s="930"/>
      <c r="BE34" s="930"/>
      <c r="BF34" s="930"/>
      <c r="BG34" s="930"/>
      <c r="BH34" s="930"/>
      <c r="BI34" s="930"/>
      <c r="BJ34" s="930"/>
      <c r="BK34" s="930"/>
      <c r="BL34" s="930"/>
      <c r="BM34" s="930"/>
      <c r="BN34" s="930"/>
      <c r="BO34" s="930"/>
      <c r="BP34" s="930"/>
      <c r="BQ34" s="930"/>
      <c r="BR34" s="930"/>
      <c r="BS34" s="930"/>
      <c r="BT34" s="930"/>
    </row>
    <row r="35" spans="1:72" x14ac:dyDescent="0.25">
      <c r="A35" s="935" t="s">
        <v>312</v>
      </c>
      <c r="B35" s="936">
        <f t="shared" si="0"/>
        <v>1.0046194107582356</v>
      </c>
      <c r="C35" s="936">
        <f t="shared" si="1"/>
        <v>1.003094645903579</v>
      </c>
      <c r="D35" s="936">
        <f t="shared" si="2"/>
        <v>0.99710816742279029</v>
      </c>
      <c r="E35" s="1698"/>
      <c r="F35" s="1698"/>
      <c r="G35" s="1698"/>
      <c r="H35" s="1698"/>
      <c r="I35" s="1698"/>
      <c r="J35" s="939">
        <v>1996</v>
      </c>
      <c r="K35" s="940">
        <v>93.9</v>
      </c>
      <c r="L35" s="930"/>
      <c r="M35" s="930"/>
      <c r="N35" s="930"/>
      <c r="O35" s="930"/>
      <c r="P35" s="930"/>
      <c r="Q35" s="930"/>
      <c r="R35" s="930"/>
      <c r="S35" s="930"/>
      <c r="T35" s="930"/>
      <c r="U35" s="930"/>
      <c r="V35" s="930"/>
      <c r="W35" s="930"/>
      <c r="X35" s="930"/>
      <c r="Y35" s="930"/>
      <c r="Z35" s="930"/>
      <c r="AA35" s="930"/>
      <c r="AB35" s="930"/>
      <c r="AC35" s="930"/>
      <c r="AD35" s="930"/>
      <c r="AE35" s="930"/>
      <c r="AF35" s="930"/>
      <c r="AG35" s="930"/>
      <c r="AH35" s="930"/>
      <c r="AI35" s="930"/>
      <c r="AJ35" s="930"/>
      <c r="AK35" s="930"/>
      <c r="AL35" s="930"/>
      <c r="AM35" s="930"/>
      <c r="AN35" s="930"/>
      <c r="AO35" s="930"/>
      <c r="AP35" s="930"/>
      <c r="AQ35" s="930"/>
      <c r="AR35" s="930"/>
      <c r="AS35" s="930"/>
      <c r="AT35" s="930"/>
      <c r="AU35" s="930"/>
      <c r="AV35" s="930"/>
      <c r="AW35" s="930"/>
      <c r="AX35" s="930"/>
      <c r="AY35" s="930"/>
      <c r="AZ35" s="930"/>
      <c r="BA35" s="930"/>
      <c r="BB35" s="930"/>
      <c r="BC35" s="930"/>
      <c r="BD35" s="930"/>
      <c r="BE35" s="930"/>
      <c r="BF35" s="930"/>
      <c r="BG35" s="930"/>
      <c r="BH35" s="930"/>
      <c r="BI35" s="930"/>
      <c r="BJ35" s="930"/>
      <c r="BK35" s="930"/>
      <c r="BL35" s="930"/>
      <c r="BM35" s="930"/>
      <c r="BN35" s="930"/>
      <c r="BO35" s="930"/>
      <c r="BP35" s="930"/>
      <c r="BQ35" s="930"/>
      <c r="BR35" s="930"/>
      <c r="BS35" s="930"/>
      <c r="BT35" s="930"/>
    </row>
    <row r="36" spans="1:72" x14ac:dyDescent="0.25">
      <c r="A36" s="1700"/>
      <c r="B36" s="1701"/>
      <c r="C36" s="1701"/>
      <c r="D36" s="1701"/>
      <c r="E36" s="1698"/>
      <c r="F36" s="1698"/>
      <c r="G36" s="1698"/>
      <c r="H36" s="1698"/>
      <c r="I36" s="1698"/>
      <c r="J36" s="937">
        <v>1997</v>
      </c>
      <c r="K36" s="938">
        <v>95.4</v>
      </c>
      <c r="L36" s="930"/>
      <c r="M36" s="930"/>
      <c r="N36" s="930"/>
      <c r="O36" s="930"/>
      <c r="P36" s="930"/>
      <c r="Q36" s="930"/>
      <c r="R36" s="930"/>
      <c r="S36" s="930"/>
      <c r="T36" s="930"/>
      <c r="U36" s="930"/>
      <c r="V36" s="930"/>
      <c r="W36" s="930"/>
      <c r="X36" s="930"/>
      <c r="Y36" s="930"/>
      <c r="Z36" s="930"/>
      <c r="AA36" s="930"/>
      <c r="AB36" s="930"/>
      <c r="AC36" s="930"/>
      <c r="AD36" s="930"/>
      <c r="AE36" s="930"/>
      <c r="AF36" s="930"/>
      <c r="AG36" s="930"/>
      <c r="AH36" s="930"/>
      <c r="AI36" s="930"/>
      <c r="AJ36" s="930"/>
      <c r="AK36" s="930"/>
      <c r="AL36" s="930"/>
      <c r="AM36" s="930"/>
      <c r="AN36" s="930"/>
      <c r="AO36" s="930"/>
      <c r="AP36" s="930"/>
      <c r="AQ36" s="930"/>
      <c r="AR36" s="930"/>
      <c r="AS36" s="930"/>
      <c r="AT36" s="930"/>
      <c r="AU36" s="930"/>
      <c r="AV36" s="930"/>
      <c r="AW36" s="930"/>
      <c r="AX36" s="930"/>
      <c r="AY36" s="930"/>
      <c r="AZ36" s="930"/>
      <c r="BA36" s="930"/>
      <c r="BB36" s="930"/>
      <c r="BC36" s="930"/>
      <c r="BD36" s="930"/>
      <c r="BE36" s="930"/>
      <c r="BF36" s="930"/>
      <c r="BG36" s="930"/>
      <c r="BH36" s="930"/>
      <c r="BI36" s="930"/>
      <c r="BJ36" s="930"/>
      <c r="BK36" s="930"/>
      <c r="BL36" s="930"/>
      <c r="BM36" s="930"/>
      <c r="BN36" s="930"/>
      <c r="BO36" s="930"/>
      <c r="BP36" s="930"/>
      <c r="BQ36" s="930"/>
      <c r="BR36" s="930"/>
      <c r="BS36" s="930"/>
      <c r="BT36" s="930"/>
    </row>
    <row r="37" spans="1:72" x14ac:dyDescent="0.25">
      <c r="A37" s="1700"/>
      <c r="B37" s="1701"/>
      <c r="C37" s="1701"/>
      <c r="D37" s="1701"/>
      <c r="E37" s="1698"/>
      <c r="F37" s="1698"/>
      <c r="G37" s="1698"/>
      <c r="H37" s="1698"/>
      <c r="I37" s="1698"/>
      <c r="J37" s="939">
        <v>1998</v>
      </c>
      <c r="K37" s="940">
        <v>96.5</v>
      </c>
      <c r="L37" s="930"/>
      <c r="M37" s="930"/>
      <c r="N37" s="930"/>
      <c r="O37" s="930"/>
      <c r="P37" s="930"/>
      <c r="Q37" s="930"/>
      <c r="R37" s="930"/>
      <c r="S37" s="930"/>
      <c r="T37" s="930"/>
      <c r="U37" s="930"/>
      <c r="V37" s="930"/>
      <c r="W37" s="930"/>
      <c r="X37" s="930"/>
      <c r="Y37" s="930"/>
      <c r="Z37" s="930"/>
      <c r="AA37" s="930"/>
      <c r="AB37" s="930"/>
      <c r="AC37" s="930"/>
      <c r="AD37" s="930"/>
      <c r="AE37" s="930"/>
      <c r="AF37" s="930"/>
      <c r="AG37" s="930"/>
      <c r="AH37" s="930"/>
      <c r="AI37" s="930"/>
      <c r="AJ37" s="930"/>
      <c r="AK37" s="930"/>
      <c r="AL37" s="930"/>
      <c r="AM37" s="930"/>
      <c r="AN37" s="930"/>
      <c r="AO37" s="930"/>
      <c r="AP37" s="930"/>
      <c r="AQ37" s="930"/>
      <c r="AR37" s="930"/>
      <c r="AS37" s="930"/>
      <c r="AT37" s="930"/>
      <c r="AU37" s="930"/>
      <c r="AV37" s="930"/>
      <c r="AW37" s="930"/>
      <c r="AX37" s="930"/>
      <c r="AY37" s="930"/>
      <c r="AZ37" s="930"/>
      <c r="BA37" s="930"/>
      <c r="BB37" s="930"/>
      <c r="BC37" s="930"/>
      <c r="BD37" s="930"/>
      <c r="BE37" s="930"/>
      <c r="BF37" s="930"/>
      <c r="BG37" s="930"/>
      <c r="BH37" s="930"/>
      <c r="BI37" s="930"/>
      <c r="BJ37" s="930"/>
      <c r="BK37" s="930"/>
      <c r="BL37" s="930"/>
      <c r="BM37" s="930"/>
      <c r="BN37" s="930"/>
      <c r="BO37" s="930"/>
      <c r="BP37" s="930"/>
      <c r="BQ37" s="930"/>
      <c r="BR37" s="930"/>
      <c r="BS37" s="930"/>
      <c r="BT37" s="930"/>
    </row>
    <row r="38" spans="1:72" ht="13" x14ac:dyDescent="0.3">
      <c r="A38" s="1705" t="s">
        <v>577</v>
      </c>
      <c r="B38" s="1706"/>
      <c r="C38" s="941" t="s">
        <v>578</v>
      </c>
      <c r="D38" s="941" t="s">
        <v>578</v>
      </c>
      <c r="E38" s="1706" t="s">
        <v>1114</v>
      </c>
      <c r="F38" s="1706"/>
      <c r="G38" s="1706"/>
      <c r="H38" s="1706"/>
      <c r="I38" s="1706"/>
      <c r="J38" s="937">
        <v>1999</v>
      </c>
      <c r="K38" s="938">
        <v>97.9</v>
      </c>
      <c r="L38" s="930"/>
      <c r="M38" s="930"/>
      <c r="N38" s="930"/>
      <c r="O38" s="930"/>
      <c r="P38" s="930"/>
      <c r="Q38" s="930"/>
      <c r="R38" s="930"/>
      <c r="S38" s="930"/>
      <c r="T38" s="930"/>
      <c r="U38" s="930"/>
      <c r="V38" s="930"/>
      <c r="W38" s="930"/>
      <c r="X38" s="930"/>
      <c r="Y38" s="930"/>
      <c r="Z38" s="930"/>
      <c r="AA38" s="930"/>
      <c r="AB38" s="930"/>
      <c r="AC38" s="930"/>
      <c r="AD38" s="930"/>
      <c r="AE38" s="930"/>
      <c r="AF38" s="930"/>
      <c r="AG38" s="930"/>
      <c r="AH38" s="930"/>
      <c r="AI38" s="930"/>
      <c r="AJ38" s="930"/>
      <c r="AK38" s="930"/>
      <c r="AL38" s="930"/>
      <c r="AM38" s="930"/>
      <c r="AN38" s="930"/>
      <c r="AO38" s="930"/>
      <c r="AP38" s="930"/>
      <c r="AQ38" s="930"/>
      <c r="AR38" s="930"/>
      <c r="AS38" s="930"/>
      <c r="AT38" s="930"/>
      <c r="AU38" s="930"/>
      <c r="AV38" s="930"/>
      <c r="AW38" s="930"/>
      <c r="AX38" s="930"/>
      <c r="AY38" s="930"/>
      <c r="AZ38" s="930"/>
      <c r="BA38" s="930"/>
      <c r="BB38" s="930"/>
      <c r="BC38" s="930"/>
      <c r="BD38" s="930"/>
      <c r="BE38" s="930"/>
      <c r="BF38" s="930"/>
      <c r="BG38" s="930"/>
      <c r="BH38" s="930"/>
      <c r="BI38" s="930"/>
      <c r="BJ38" s="930"/>
      <c r="BK38" s="930"/>
      <c r="BL38" s="930"/>
      <c r="BM38" s="930"/>
      <c r="BN38" s="930"/>
      <c r="BO38" s="930"/>
      <c r="BP38" s="930"/>
      <c r="BQ38" s="930"/>
      <c r="BR38" s="930"/>
      <c r="BS38" s="930"/>
      <c r="BT38" s="930"/>
    </row>
    <row r="39" spans="1:72" ht="13" x14ac:dyDescent="0.3">
      <c r="A39" s="935"/>
      <c r="B39" s="886" t="s">
        <v>1048</v>
      </c>
      <c r="C39" s="939">
        <v>2000</v>
      </c>
      <c r="D39" s="939">
        <v>2005</v>
      </c>
      <c r="E39" s="939">
        <v>2020</v>
      </c>
      <c r="F39" s="939">
        <v>2035</v>
      </c>
      <c r="G39" s="939">
        <v>2050</v>
      </c>
      <c r="H39" s="939">
        <v>2065</v>
      </c>
      <c r="I39" s="939">
        <v>2070</v>
      </c>
      <c r="J39" s="939">
        <v>2000</v>
      </c>
      <c r="K39" s="940">
        <v>100</v>
      </c>
      <c r="L39" s="930"/>
      <c r="M39" s="930"/>
      <c r="N39" s="930"/>
      <c r="O39" s="930"/>
      <c r="P39" s="930"/>
      <c r="Q39" s="930"/>
      <c r="R39" s="930"/>
      <c r="S39" s="930"/>
      <c r="T39" s="930"/>
      <c r="U39" s="930"/>
      <c r="V39" s="930"/>
      <c r="W39" s="930"/>
      <c r="X39" s="930"/>
      <c r="Y39" s="930"/>
      <c r="Z39" s="930"/>
      <c r="AA39" s="930"/>
      <c r="AB39" s="930"/>
      <c r="AC39" s="930"/>
      <c r="AD39" s="930"/>
      <c r="AE39" s="930"/>
      <c r="AF39" s="930"/>
      <c r="AG39" s="930"/>
      <c r="AH39" s="930"/>
      <c r="AI39" s="930"/>
      <c r="AJ39" s="930"/>
      <c r="AK39" s="930"/>
      <c r="AL39" s="930"/>
      <c r="AM39" s="930"/>
      <c r="AN39" s="930"/>
      <c r="AO39" s="930"/>
      <c r="AP39" s="930"/>
      <c r="AQ39" s="930"/>
      <c r="AR39" s="930"/>
      <c r="AS39" s="930"/>
      <c r="AT39" s="930"/>
      <c r="AU39" s="930"/>
      <c r="AV39" s="930"/>
      <c r="AW39" s="930"/>
      <c r="AX39" s="930"/>
      <c r="AY39" s="930"/>
      <c r="AZ39" s="930"/>
      <c r="BA39" s="930"/>
      <c r="BB39" s="930"/>
      <c r="BC39" s="930"/>
      <c r="BD39" s="930"/>
      <c r="BE39" s="930"/>
      <c r="BF39" s="930"/>
      <c r="BG39" s="930"/>
      <c r="BH39" s="930"/>
      <c r="BI39" s="930"/>
      <c r="BJ39" s="930"/>
      <c r="BK39" s="930"/>
      <c r="BL39" s="930"/>
      <c r="BM39" s="930"/>
      <c r="BN39" s="930"/>
      <c r="BO39" s="930"/>
      <c r="BP39" s="930"/>
      <c r="BQ39" s="930"/>
      <c r="BR39" s="930"/>
      <c r="BS39" s="930"/>
      <c r="BT39" s="930"/>
    </row>
    <row r="40" spans="1:72" x14ac:dyDescent="0.25">
      <c r="A40" s="933" t="s">
        <v>569</v>
      </c>
      <c r="B40" s="942" t="s">
        <v>579</v>
      </c>
      <c r="C40" s="937">
        <v>25.276500000000002</v>
      </c>
      <c r="D40" s="937">
        <v>25.071000000000002</v>
      </c>
      <c r="E40" s="937">
        <v>49.911552427759986</v>
      </c>
      <c r="F40" s="937">
        <v>51.73380738099187</v>
      </c>
      <c r="G40" s="937">
        <v>54.228868079187265</v>
      </c>
      <c r="H40" s="937">
        <v>57.083559627090274</v>
      </c>
      <c r="I40" s="937">
        <v>57.998580810871225</v>
      </c>
      <c r="J40" s="937">
        <v>2001</v>
      </c>
      <c r="K40" s="938">
        <v>102.4</v>
      </c>
      <c r="L40" s="930"/>
      <c r="M40" s="930"/>
      <c r="N40" s="930"/>
      <c r="O40" s="930"/>
      <c r="P40" s="930"/>
      <c r="Q40" s="930"/>
      <c r="R40" s="930"/>
      <c r="S40" s="930"/>
      <c r="T40" s="930"/>
      <c r="U40" s="930"/>
      <c r="V40" s="930"/>
      <c r="W40" s="930"/>
      <c r="X40" s="930"/>
      <c r="Y40" s="930"/>
      <c r="Z40" s="930"/>
      <c r="AA40" s="930"/>
      <c r="AB40" s="930"/>
      <c r="AC40" s="930"/>
      <c r="AD40" s="930"/>
      <c r="AE40" s="930"/>
      <c r="AF40" s="930"/>
      <c r="AG40" s="930"/>
      <c r="AH40" s="930"/>
      <c r="AI40" s="930"/>
      <c r="AJ40" s="930"/>
      <c r="AK40" s="930"/>
      <c r="AL40" s="930"/>
      <c r="AM40" s="930"/>
      <c r="AN40" s="930"/>
      <c r="AO40" s="930"/>
      <c r="AP40" s="930"/>
      <c r="AQ40" s="930"/>
      <c r="AR40" s="930"/>
      <c r="AS40" s="930"/>
      <c r="AT40" s="930"/>
      <c r="AU40" s="930"/>
      <c r="AV40" s="930"/>
      <c r="AW40" s="930"/>
      <c r="AX40" s="930"/>
      <c r="AY40" s="930"/>
      <c r="AZ40" s="930"/>
      <c r="BA40" s="930"/>
      <c r="BB40" s="930"/>
      <c r="BC40" s="930"/>
      <c r="BD40" s="930"/>
      <c r="BE40" s="930"/>
      <c r="BF40" s="930"/>
      <c r="BG40" s="930"/>
      <c r="BH40" s="930"/>
      <c r="BI40" s="930"/>
      <c r="BJ40" s="930"/>
      <c r="BK40" s="930"/>
      <c r="BL40" s="930"/>
      <c r="BM40" s="930"/>
      <c r="BN40" s="930"/>
      <c r="BO40" s="930"/>
      <c r="BP40" s="930"/>
      <c r="BQ40" s="930"/>
      <c r="BR40" s="930"/>
      <c r="BS40" s="930"/>
      <c r="BT40" s="930"/>
    </row>
    <row r="41" spans="1:72" x14ac:dyDescent="0.25">
      <c r="A41" s="935" t="s">
        <v>570</v>
      </c>
      <c r="B41" s="943" t="s">
        <v>580</v>
      </c>
      <c r="C41" s="939">
        <v>3.83</v>
      </c>
      <c r="D41" s="939">
        <v>2.88</v>
      </c>
      <c r="E41" s="939">
        <v>3.4820792312666162</v>
      </c>
      <c r="F41" s="939">
        <v>3.718467288972283</v>
      </c>
      <c r="G41" s="939">
        <v>4.254403392012021</v>
      </c>
      <c r="H41" s="939">
        <v>4.8331418485312492</v>
      </c>
      <c r="I41" s="939">
        <v>5.0085938618348607</v>
      </c>
      <c r="J41" s="939">
        <v>2002</v>
      </c>
      <c r="K41" s="940">
        <v>104.1</v>
      </c>
      <c r="L41" s="930"/>
      <c r="M41" s="930"/>
      <c r="N41" s="930"/>
      <c r="O41" s="930"/>
      <c r="P41" s="930"/>
      <c r="Q41" s="930"/>
      <c r="R41" s="930"/>
      <c r="S41" s="930"/>
      <c r="T41" s="930"/>
      <c r="U41" s="930"/>
      <c r="V41" s="930"/>
      <c r="W41" s="930"/>
      <c r="X41" s="930"/>
      <c r="Y41" s="930"/>
      <c r="Z41" s="930"/>
      <c r="AA41" s="930"/>
      <c r="AB41" s="930"/>
      <c r="AC41" s="930"/>
      <c r="AD41" s="930"/>
      <c r="AE41" s="930"/>
      <c r="AF41" s="930"/>
      <c r="AG41" s="930"/>
      <c r="AH41" s="930"/>
      <c r="AI41" s="930"/>
      <c r="AJ41" s="930"/>
      <c r="AK41" s="930"/>
      <c r="AL41" s="930"/>
      <c r="AM41" s="930"/>
      <c r="AN41" s="930"/>
      <c r="AO41" s="930"/>
      <c r="AP41" s="930"/>
      <c r="AQ41" s="930"/>
      <c r="AR41" s="930"/>
      <c r="AS41" s="930"/>
      <c r="AT41" s="930"/>
      <c r="AU41" s="930"/>
      <c r="AV41" s="930"/>
      <c r="AW41" s="930"/>
      <c r="AX41" s="930"/>
      <c r="AY41" s="930"/>
      <c r="AZ41" s="930"/>
      <c r="BA41" s="930"/>
      <c r="BB41" s="930"/>
      <c r="BC41" s="930"/>
      <c r="BD41" s="930"/>
      <c r="BE41" s="930"/>
      <c r="BF41" s="930"/>
      <c r="BG41" s="930"/>
      <c r="BH41" s="930"/>
      <c r="BI41" s="930"/>
      <c r="BJ41" s="930"/>
      <c r="BK41" s="930"/>
      <c r="BL41" s="930"/>
      <c r="BM41" s="930"/>
      <c r="BN41" s="930"/>
      <c r="BO41" s="930"/>
      <c r="BP41" s="930"/>
      <c r="BQ41" s="930"/>
      <c r="BR41" s="930"/>
      <c r="BS41" s="930"/>
      <c r="BT41" s="930"/>
    </row>
    <row r="42" spans="1:72" x14ac:dyDescent="0.25">
      <c r="A42" s="933" t="s">
        <v>571</v>
      </c>
      <c r="B42" s="942" t="s">
        <v>580</v>
      </c>
      <c r="C42" s="937">
        <v>4.333333333333333</v>
      </c>
      <c r="D42" s="937">
        <v>3.2058823529411766</v>
      </c>
      <c r="E42" s="937">
        <v>5.3135477999345282</v>
      </c>
      <c r="F42" s="937">
        <v>5.6703709369749671</v>
      </c>
      <c r="G42" s="937">
        <v>6.3804589018936815</v>
      </c>
      <c r="H42" s="937">
        <v>7.1603102550975084</v>
      </c>
      <c r="I42" s="937">
        <v>7.3649472464330987</v>
      </c>
      <c r="J42" s="937">
        <v>2003</v>
      </c>
      <c r="K42" s="938">
        <v>106</v>
      </c>
      <c r="L42" s="930"/>
      <c r="M42" s="930"/>
      <c r="N42" s="930"/>
      <c r="O42" s="930"/>
      <c r="P42" s="930"/>
      <c r="Q42" s="930"/>
      <c r="R42" s="930"/>
      <c r="S42" s="930"/>
      <c r="T42" s="930"/>
      <c r="U42" s="930"/>
      <c r="V42" s="930"/>
      <c r="W42" s="930"/>
      <c r="X42" s="930"/>
      <c r="Y42" s="930"/>
      <c r="Z42" s="930"/>
      <c r="AA42" s="930"/>
      <c r="AB42" s="930"/>
      <c r="AC42" s="930"/>
      <c r="AD42" s="930"/>
      <c r="AE42" s="930"/>
      <c r="AF42" s="930"/>
      <c r="AG42" s="930"/>
      <c r="AH42" s="930"/>
      <c r="AI42" s="930"/>
      <c r="AJ42" s="930"/>
      <c r="AK42" s="930"/>
      <c r="AL42" s="930"/>
      <c r="AM42" s="930"/>
      <c r="AN42" s="930"/>
      <c r="AO42" s="930"/>
      <c r="AP42" s="930"/>
      <c r="AQ42" s="930"/>
      <c r="AR42" s="930"/>
      <c r="AS42" s="930"/>
      <c r="AT42" s="930"/>
      <c r="AU42" s="930"/>
      <c r="AV42" s="930"/>
      <c r="AW42" s="930"/>
      <c r="AX42" s="930"/>
      <c r="AY42" s="930"/>
      <c r="AZ42" s="930"/>
      <c r="BA42" s="930"/>
      <c r="BB42" s="930"/>
      <c r="BC42" s="930"/>
      <c r="BD42" s="930"/>
      <c r="BE42" s="930"/>
      <c r="BF42" s="930"/>
      <c r="BG42" s="930"/>
      <c r="BH42" s="930"/>
      <c r="BI42" s="930"/>
      <c r="BJ42" s="930"/>
      <c r="BK42" s="930"/>
      <c r="BL42" s="930"/>
      <c r="BM42" s="930"/>
      <c r="BN42" s="930"/>
      <c r="BO42" s="930"/>
      <c r="BP42" s="930"/>
      <c r="BQ42" s="930"/>
      <c r="BR42" s="930"/>
      <c r="BS42" s="930"/>
      <c r="BT42" s="930"/>
    </row>
    <row r="43" spans="1:72" ht="13" x14ac:dyDescent="0.3">
      <c r="A43" s="935" t="s">
        <v>572</v>
      </c>
      <c r="B43" s="943" t="s">
        <v>581</v>
      </c>
      <c r="C43" s="939">
        <v>28.35</v>
      </c>
      <c r="D43" s="939">
        <v>23.27</v>
      </c>
      <c r="E43" s="939">
        <v>38.166254666132858</v>
      </c>
      <c r="F43" s="939">
        <v>44.018296607182357</v>
      </c>
      <c r="G43" s="939">
        <v>47.046046898954408</v>
      </c>
      <c r="H43" s="939">
        <v>48.050792851691</v>
      </c>
      <c r="I43" s="939">
        <v>48.201553003292787</v>
      </c>
      <c r="J43" s="939">
        <v>2004</v>
      </c>
      <c r="K43" s="944">
        <v>108.3</v>
      </c>
      <c r="L43" s="930"/>
      <c r="M43" s="930"/>
      <c r="N43" s="930"/>
      <c r="O43" s="930"/>
      <c r="P43" s="930"/>
      <c r="Q43" s="930"/>
      <c r="R43" s="930"/>
      <c r="S43" s="930"/>
      <c r="T43" s="930"/>
      <c r="U43" s="930"/>
      <c r="V43" s="930"/>
      <c r="W43" s="930"/>
      <c r="X43" s="930"/>
      <c r="Y43" s="930"/>
      <c r="Z43" s="930"/>
      <c r="AA43" s="930"/>
      <c r="AB43" s="930"/>
      <c r="AC43" s="930"/>
      <c r="AD43" s="930"/>
      <c r="AE43" s="930"/>
      <c r="AF43" s="930"/>
      <c r="AG43" s="930"/>
      <c r="AH43" s="930"/>
      <c r="AI43" s="930"/>
      <c r="AJ43" s="930"/>
      <c r="AK43" s="930"/>
      <c r="AL43" s="930"/>
      <c r="AM43" s="930"/>
      <c r="AN43" s="930"/>
      <c r="AO43" s="930"/>
      <c r="AP43" s="930"/>
      <c r="AQ43" s="930"/>
      <c r="AR43" s="930"/>
      <c r="AS43" s="930"/>
      <c r="AT43" s="930"/>
      <c r="AU43" s="930"/>
      <c r="AV43" s="930"/>
      <c r="AW43" s="930"/>
      <c r="AX43" s="930"/>
      <c r="AY43" s="930"/>
      <c r="AZ43" s="930"/>
      <c r="BA43" s="930"/>
      <c r="BB43" s="930"/>
      <c r="BC43" s="930"/>
      <c r="BD43" s="930"/>
      <c r="BE43" s="930"/>
      <c r="BF43" s="930"/>
      <c r="BG43" s="930"/>
      <c r="BH43" s="930"/>
      <c r="BI43" s="930"/>
      <c r="BJ43" s="930"/>
      <c r="BK43" s="930"/>
      <c r="BL43" s="930"/>
      <c r="BM43" s="930"/>
      <c r="BN43" s="930"/>
      <c r="BO43" s="930"/>
      <c r="BP43" s="930"/>
      <c r="BQ43" s="930"/>
      <c r="BR43" s="930"/>
      <c r="BS43" s="930"/>
      <c r="BT43" s="930"/>
    </row>
    <row r="44" spans="1:72" ht="13" x14ac:dyDescent="0.3">
      <c r="A44" s="933" t="s">
        <v>573</v>
      </c>
      <c r="B44" s="942" t="s">
        <v>582</v>
      </c>
      <c r="C44" s="937">
        <v>1.5176666666666667</v>
      </c>
      <c r="D44" s="937">
        <v>1.2925714285714285</v>
      </c>
      <c r="E44" s="937">
        <v>1.9428327208531595</v>
      </c>
      <c r="F44" s="937">
        <v>2.1262391061548653</v>
      </c>
      <c r="G44" s="937">
        <v>2.2056865867102777</v>
      </c>
      <c r="H44" s="937">
        <v>2.2243217316177319</v>
      </c>
      <c r="I44" s="937">
        <v>2.2266990166381286</v>
      </c>
      <c r="J44" s="937">
        <v>2005</v>
      </c>
      <c r="K44" s="945">
        <v>110.5</v>
      </c>
      <c r="L44" s="930"/>
      <c r="M44" s="930"/>
      <c r="N44" s="930"/>
      <c r="O44" s="930"/>
      <c r="P44" s="930"/>
      <c r="Q44" s="930"/>
      <c r="R44" s="930"/>
      <c r="S44" s="930"/>
      <c r="T44" s="930"/>
      <c r="U44" s="930"/>
      <c r="V44" s="930"/>
      <c r="W44" s="930"/>
      <c r="X44" s="930"/>
      <c r="Y44" s="930"/>
      <c r="Z44" s="930"/>
      <c r="AA44" s="930"/>
      <c r="AB44" s="930"/>
      <c r="AC44" s="930"/>
      <c r="AD44" s="930"/>
      <c r="AE44" s="930"/>
      <c r="AF44" s="930"/>
      <c r="AG44" s="930"/>
      <c r="AH44" s="930"/>
      <c r="AI44" s="930"/>
      <c r="AJ44" s="930"/>
      <c r="AK44" s="930"/>
      <c r="AL44" s="930"/>
      <c r="AM44" s="930"/>
      <c r="AN44" s="930"/>
      <c r="AO44" s="930"/>
      <c r="AP44" s="930"/>
      <c r="AQ44" s="930"/>
      <c r="AR44" s="930"/>
      <c r="AS44" s="930"/>
      <c r="AT44" s="930"/>
      <c r="AU44" s="930"/>
      <c r="AV44" s="930"/>
      <c r="AW44" s="930"/>
      <c r="AX44" s="930"/>
      <c r="AY44" s="930"/>
      <c r="AZ44" s="930"/>
      <c r="BA44" s="930"/>
      <c r="BB44" s="930"/>
      <c r="BC44" s="930"/>
      <c r="BD44" s="930"/>
      <c r="BE44" s="930"/>
      <c r="BF44" s="930"/>
      <c r="BG44" s="930"/>
      <c r="BH44" s="930"/>
      <c r="BI44" s="930"/>
      <c r="BJ44" s="930"/>
      <c r="BK44" s="930"/>
      <c r="BL44" s="930"/>
      <c r="BM44" s="930"/>
      <c r="BN44" s="930"/>
      <c r="BO44" s="930"/>
      <c r="BP44" s="930"/>
      <c r="BQ44" s="930"/>
      <c r="BR44" s="930"/>
      <c r="BS44" s="930"/>
      <c r="BT44" s="930"/>
    </row>
    <row r="45" spans="1:72" x14ac:dyDescent="0.25">
      <c r="A45" s="935" t="s">
        <v>574</v>
      </c>
      <c r="B45" s="943" t="s">
        <v>583</v>
      </c>
      <c r="C45" s="939">
        <v>6.9</v>
      </c>
      <c r="D45" s="939">
        <v>6.4</v>
      </c>
      <c r="E45" s="939">
        <v>7.2674708046079139</v>
      </c>
      <c r="F45" s="939">
        <v>7.0885496188632935</v>
      </c>
      <c r="G45" s="939">
        <v>6.9118429447797478</v>
      </c>
      <c r="H45" s="939">
        <v>6.9722480090117775</v>
      </c>
      <c r="I45" s="939">
        <v>6.9487741854044058</v>
      </c>
      <c r="J45" s="1707" t="s">
        <v>761</v>
      </c>
      <c r="K45" s="1708"/>
      <c r="L45" s="930"/>
      <c r="M45" s="930"/>
      <c r="N45" s="930"/>
      <c r="O45" s="930"/>
      <c r="P45" s="930"/>
      <c r="Q45" s="930"/>
      <c r="R45" s="930"/>
      <c r="S45" s="930"/>
      <c r="T45" s="930"/>
      <c r="U45" s="930"/>
      <c r="V45" s="930"/>
      <c r="W45" s="930"/>
      <c r="X45" s="930"/>
      <c r="Y45" s="930"/>
      <c r="Z45" s="930"/>
      <c r="AA45" s="930"/>
      <c r="AB45" s="930"/>
      <c r="AC45" s="930"/>
      <c r="AD45" s="930"/>
      <c r="AE45" s="930"/>
      <c r="AF45" s="930"/>
      <c r="AG45" s="930"/>
      <c r="AH45" s="930"/>
      <c r="AI45" s="930"/>
      <c r="AJ45" s="930"/>
      <c r="AK45" s="930"/>
      <c r="AL45" s="930"/>
      <c r="AM45" s="930"/>
      <c r="AN45" s="930"/>
      <c r="AO45" s="930"/>
      <c r="AP45" s="930"/>
      <c r="AQ45" s="930"/>
      <c r="AR45" s="930"/>
      <c r="AS45" s="930"/>
      <c r="AT45" s="930"/>
      <c r="AU45" s="930"/>
      <c r="AV45" s="930"/>
      <c r="AW45" s="930"/>
      <c r="AX45" s="930"/>
      <c r="AY45" s="930"/>
      <c r="AZ45" s="930"/>
      <c r="BA45" s="930"/>
      <c r="BB45" s="930"/>
      <c r="BC45" s="930"/>
      <c r="BD45" s="930"/>
      <c r="BE45" s="930"/>
      <c r="BF45" s="930"/>
      <c r="BG45" s="930"/>
      <c r="BH45" s="930"/>
      <c r="BI45" s="930"/>
      <c r="BJ45" s="930"/>
      <c r="BK45" s="930"/>
      <c r="BL45" s="930"/>
      <c r="BM45" s="930"/>
      <c r="BN45" s="930"/>
      <c r="BO45" s="930"/>
      <c r="BP45" s="930"/>
      <c r="BQ45" s="930"/>
      <c r="BR45" s="930"/>
      <c r="BS45" s="930"/>
      <c r="BT45" s="930"/>
    </row>
    <row r="46" spans="1:72" x14ac:dyDescent="0.25">
      <c r="A46" s="933" t="s">
        <v>575</v>
      </c>
      <c r="B46" s="942" t="s">
        <v>584</v>
      </c>
      <c r="C46" s="937"/>
      <c r="D46" s="937"/>
      <c r="E46" s="937">
        <v>3.9267286033597717</v>
      </c>
      <c r="F46" s="937">
        <v>3.4025762910602637</v>
      </c>
      <c r="G46" s="937">
        <v>3.7218644965506216</v>
      </c>
      <c r="H46" s="937">
        <v>4.0392206503019663</v>
      </c>
      <c r="I46" s="937">
        <v>4.0968490901035652</v>
      </c>
      <c r="J46" s="1707"/>
      <c r="K46" s="1708"/>
      <c r="L46" s="930"/>
      <c r="M46" s="930"/>
      <c r="N46" s="930"/>
      <c r="O46" s="930"/>
      <c r="P46" s="930"/>
      <c r="Q46" s="930"/>
      <c r="R46" s="930"/>
      <c r="S46" s="930"/>
      <c r="T46" s="930"/>
      <c r="U46" s="930"/>
      <c r="V46" s="930"/>
      <c r="W46" s="930"/>
      <c r="X46" s="930"/>
      <c r="Y46" s="930"/>
      <c r="Z46" s="930"/>
      <c r="AA46" s="930"/>
      <c r="AB46" s="930"/>
      <c r="AC46" s="930"/>
      <c r="AD46" s="930"/>
      <c r="AE46" s="930"/>
      <c r="AF46" s="930"/>
      <c r="AG46" s="930"/>
      <c r="AH46" s="930"/>
      <c r="AI46" s="930"/>
      <c r="AJ46" s="930"/>
      <c r="AK46" s="930"/>
      <c r="AL46" s="930"/>
      <c r="AM46" s="930"/>
      <c r="AN46" s="930"/>
      <c r="AO46" s="930"/>
      <c r="AP46" s="930"/>
      <c r="AQ46" s="930"/>
      <c r="AR46" s="930"/>
      <c r="AS46" s="930"/>
      <c r="AT46" s="930"/>
      <c r="AU46" s="930"/>
      <c r="AV46" s="930"/>
      <c r="AW46" s="930"/>
      <c r="AX46" s="930"/>
      <c r="AY46" s="930"/>
      <c r="AZ46" s="930"/>
      <c r="BA46" s="930"/>
      <c r="BB46" s="930"/>
      <c r="BC46" s="930"/>
      <c r="BD46" s="930"/>
      <c r="BE46" s="930"/>
      <c r="BF46" s="930"/>
      <c r="BG46" s="930"/>
      <c r="BH46" s="930"/>
      <c r="BI46" s="930"/>
      <c r="BJ46" s="930"/>
      <c r="BK46" s="930"/>
      <c r="BL46" s="930"/>
      <c r="BM46" s="930"/>
      <c r="BN46" s="930"/>
      <c r="BO46" s="930"/>
      <c r="BP46" s="930"/>
      <c r="BQ46" s="930"/>
      <c r="BR46" s="930"/>
      <c r="BS46" s="930"/>
      <c r="BT46" s="930"/>
    </row>
    <row r="47" spans="1:72" x14ac:dyDescent="0.25">
      <c r="A47" s="935" t="s">
        <v>312</v>
      </c>
      <c r="B47" s="943" t="s">
        <v>584</v>
      </c>
      <c r="C47" s="939"/>
      <c r="D47" s="939"/>
      <c r="E47" s="939">
        <v>24.686324737923844</v>
      </c>
      <c r="F47" s="939">
        <v>23.090083577893328</v>
      </c>
      <c r="G47" s="939">
        <v>23.196746158381607</v>
      </c>
      <c r="H47" s="939">
        <v>23.268531873857007</v>
      </c>
      <c r="I47" s="939">
        <v>23.201243175360347</v>
      </c>
      <c r="J47" s="1707"/>
      <c r="K47" s="1708"/>
      <c r="L47" s="930"/>
      <c r="M47" s="930"/>
      <c r="N47" s="930"/>
      <c r="O47" s="930"/>
      <c r="P47" s="930"/>
      <c r="Q47" s="930"/>
      <c r="R47" s="930"/>
      <c r="S47" s="930"/>
      <c r="T47" s="930"/>
      <c r="U47" s="930"/>
      <c r="V47" s="930"/>
      <c r="W47" s="930"/>
      <c r="X47" s="930"/>
      <c r="Y47" s="930"/>
      <c r="Z47" s="930"/>
      <c r="AA47" s="930"/>
      <c r="AB47" s="930"/>
      <c r="AC47" s="930"/>
      <c r="AD47" s="930"/>
      <c r="AE47" s="930"/>
      <c r="AF47" s="930"/>
      <c r="AG47" s="930"/>
      <c r="AH47" s="930"/>
      <c r="AI47" s="930"/>
      <c r="AJ47" s="930"/>
      <c r="AK47" s="930"/>
      <c r="AL47" s="930"/>
      <c r="AM47" s="930"/>
      <c r="AN47" s="930"/>
      <c r="AO47" s="930"/>
      <c r="AP47" s="930"/>
      <c r="AQ47" s="930"/>
      <c r="AR47" s="930"/>
      <c r="AS47" s="930"/>
      <c r="AT47" s="930"/>
      <c r="AU47" s="930"/>
      <c r="AV47" s="930"/>
      <c r="AW47" s="930"/>
      <c r="AX47" s="930"/>
      <c r="AY47" s="930"/>
      <c r="AZ47" s="930"/>
      <c r="BA47" s="930"/>
      <c r="BB47" s="930"/>
      <c r="BC47" s="930"/>
      <c r="BD47" s="930"/>
      <c r="BE47" s="930"/>
      <c r="BF47" s="930"/>
      <c r="BG47" s="930"/>
      <c r="BH47" s="930"/>
      <c r="BI47" s="930"/>
      <c r="BJ47" s="930"/>
      <c r="BK47" s="930"/>
      <c r="BL47" s="930"/>
      <c r="BM47" s="930"/>
      <c r="BN47" s="930"/>
      <c r="BO47" s="930"/>
      <c r="BP47" s="930"/>
      <c r="BQ47" s="930"/>
      <c r="BR47" s="930"/>
      <c r="BS47" s="930"/>
      <c r="BT47" s="930"/>
    </row>
    <row r="48" spans="1:72" ht="37.5" x14ac:dyDescent="0.25">
      <c r="A48" s="951" t="s">
        <v>770</v>
      </c>
      <c r="B48" s="942" t="s">
        <v>579</v>
      </c>
      <c r="C48" s="937"/>
      <c r="D48" s="937"/>
      <c r="E48" s="937">
        <v>10</v>
      </c>
      <c r="F48" s="937">
        <v>10</v>
      </c>
      <c r="G48" s="937">
        <v>10</v>
      </c>
      <c r="H48" s="937">
        <v>10</v>
      </c>
      <c r="I48" s="937"/>
      <c r="J48" s="1707"/>
      <c r="K48" s="1708"/>
      <c r="L48" s="930"/>
      <c r="M48" s="930"/>
      <c r="N48" s="930"/>
      <c r="O48" s="930"/>
      <c r="P48" s="930"/>
      <c r="Q48" s="930"/>
      <c r="R48" s="930"/>
      <c r="S48" s="930"/>
      <c r="T48" s="930"/>
      <c r="U48" s="930"/>
      <c r="V48" s="930"/>
      <c r="W48" s="930"/>
      <c r="X48" s="930"/>
      <c r="Y48" s="930"/>
      <c r="Z48" s="930"/>
      <c r="AA48" s="930"/>
      <c r="AB48" s="930"/>
      <c r="AC48" s="930"/>
      <c r="AD48" s="930"/>
      <c r="AE48" s="930"/>
      <c r="AF48" s="930"/>
      <c r="AG48" s="930"/>
      <c r="AH48" s="930"/>
      <c r="AI48" s="930"/>
      <c r="AJ48" s="930"/>
      <c r="AK48" s="930"/>
      <c r="AL48" s="930"/>
      <c r="AM48" s="930"/>
      <c r="AN48" s="930"/>
      <c r="AO48" s="930"/>
      <c r="AP48" s="930"/>
      <c r="AQ48" s="930"/>
      <c r="AR48" s="930"/>
      <c r="AS48" s="930"/>
      <c r="AT48" s="930"/>
      <c r="AU48" s="930"/>
      <c r="AV48" s="930"/>
      <c r="AW48" s="930"/>
      <c r="AX48" s="930"/>
      <c r="AY48" s="930"/>
      <c r="AZ48" s="930"/>
      <c r="BA48" s="930"/>
      <c r="BB48" s="930"/>
      <c r="BC48" s="930"/>
      <c r="BD48" s="930"/>
      <c r="BE48" s="930"/>
      <c r="BF48" s="930"/>
      <c r="BG48" s="930"/>
      <c r="BH48" s="930"/>
      <c r="BI48" s="930"/>
      <c r="BJ48" s="930"/>
      <c r="BK48" s="930"/>
      <c r="BL48" s="930"/>
      <c r="BM48" s="930"/>
      <c r="BN48" s="930"/>
      <c r="BO48" s="930"/>
      <c r="BP48" s="930"/>
      <c r="BQ48" s="930"/>
      <c r="BR48" s="930"/>
      <c r="BS48" s="930"/>
      <c r="BT48" s="930"/>
    </row>
    <row r="49" spans="1:72" x14ac:dyDescent="0.25">
      <c r="B49" s="950" t="s">
        <v>769</v>
      </c>
      <c r="C49" s="948"/>
      <c r="D49" s="948"/>
      <c r="E49" s="948">
        <f>E48*$B$61</f>
        <v>0.65713983050847458</v>
      </c>
      <c r="F49" s="948">
        <f>F48*$B$61</f>
        <v>0.65713983050847458</v>
      </c>
      <c r="G49" s="948">
        <f>G48*$B$61</f>
        <v>0.65713983050847458</v>
      </c>
      <c r="H49" s="948">
        <f>H48*$B$61</f>
        <v>0.65713983050847458</v>
      </c>
      <c r="I49" s="948"/>
      <c r="J49" s="948"/>
      <c r="K49" s="949"/>
      <c r="L49" s="930"/>
      <c r="M49" s="930"/>
      <c r="N49" s="930"/>
      <c r="O49" s="930"/>
      <c r="P49" s="930"/>
      <c r="Q49" s="930"/>
      <c r="R49" s="930"/>
      <c r="S49" s="930"/>
      <c r="T49" s="930"/>
      <c r="U49" s="930"/>
      <c r="V49" s="930"/>
      <c r="W49" s="930"/>
      <c r="X49" s="930"/>
      <c r="Y49" s="930"/>
      <c r="Z49" s="930"/>
      <c r="AA49" s="930"/>
      <c r="AB49" s="930"/>
      <c r="AC49" s="930"/>
      <c r="AD49" s="930"/>
      <c r="AE49" s="930"/>
      <c r="AF49" s="930"/>
      <c r="AG49" s="930"/>
      <c r="AH49" s="930"/>
      <c r="AI49" s="930"/>
      <c r="AJ49" s="930"/>
      <c r="AK49" s="930"/>
      <c r="AL49" s="930"/>
      <c r="AM49" s="930"/>
      <c r="AN49" s="930"/>
      <c r="AO49" s="930"/>
      <c r="AP49" s="930"/>
      <c r="AQ49" s="930"/>
      <c r="AR49" s="930"/>
      <c r="AS49" s="930"/>
      <c r="AT49" s="930"/>
      <c r="AU49" s="930"/>
      <c r="AV49" s="930"/>
      <c r="AW49" s="930"/>
      <c r="AX49" s="930"/>
      <c r="AY49" s="930"/>
      <c r="AZ49" s="930"/>
      <c r="BA49" s="930"/>
      <c r="BB49" s="930"/>
      <c r="BC49" s="930"/>
      <c r="BD49" s="930"/>
      <c r="BE49" s="930"/>
      <c r="BF49" s="930"/>
      <c r="BG49" s="930"/>
      <c r="BH49" s="930"/>
      <c r="BI49" s="930"/>
      <c r="BJ49" s="930"/>
      <c r="BK49" s="930"/>
      <c r="BL49" s="930"/>
      <c r="BM49" s="930"/>
      <c r="BN49" s="930"/>
      <c r="BO49" s="930"/>
      <c r="BP49" s="930"/>
      <c r="BQ49" s="930"/>
      <c r="BR49" s="930"/>
      <c r="BS49" s="930"/>
      <c r="BT49" s="930"/>
    </row>
    <row r="50" spans="1:72" x14ac:dyDescent="0.25">
      <c r="A50" s="951" t="s">
        <v>771</v>
      </c>
      <c r="B50" s="952" t="s">
        <v>584</v>
      </c>
      <c r="C50" s="937"/>
      <c r="D50" s="937"/>
      <c r="E50" s="937">
        <f>E49+E46</f>
        <v>4.5838684338682461</v>
      </c>
      <c r="F50" s="937">
        <f>F49+F46</f>
        <v>4.0597161215687381</v>
      </c>
      <c r="G50" s="937">
        <f>G49+G46</f>
        <v>4.3790043270590964</v>
      </c>
      <c r="H50" s="937">
        <f>H49+H46</f>
        <v>4.6963604808104407</v>
      </c>
      <c r="I50" s="937"/>
      <c r="J50" s="948"/>
      <c r="K50" s="949"/>
      <c r="L50" s="930"/>
      <c r="M50" s="930"/>
      <c r="N50" s="930"/>
      <c r="O50" s="930"/>
      <c r="P50" s="930"/>
      <c r="Q50" s="930"/>
      <c r="R50" s="930"/>
      <c r="S50" s="930"/>
      <c r="T50" s="930"/>
      <c r="U50" s="930"/>
      <c r="V50" s="930"/>
      <c r="W50" s="930"/>
      <c r="X50" s="930"/>
      <c r="Y50" s="930"/>
      <c r="Z50" s="930"/>
      <c r="AA50" s="930"/>
      <c r="AB50" s="930"/>
      <c r="AC50" s="930"/>
      <c r="AD50" s="930"/>
      <c r="AE50" s="930"/>
      <c r="AF50" s="930"/>
      <c r="AG50" s="930"/>
      <c r="AH50" s="930"/>
      <c r="AI50" s="930"/>
      <c r="AJ50" s="930"/>
      <c r="AK50" s="930"/>
      <c r="AL50" s="930"/>
      <c r="AM50" s="930"/>
      <c r="AN50" s="930"/>
      <c r="AO50" s="930"/>
      <c r="AP50" s="930"/>
      <c r="AQ50" s="930"/>
      <c r="AR50" s="930"/>
      <c r="AS50" s="930"/>
      <c r="AT50" s="930"/>
      <c r="AU50" s="930"/>
      <c r="AV50" s="930"/>
      <c r="AW50" s="930"/>
      <c r="AX50" s="930"/>
      <c r="AY50" s="930"/>
      <c r="AZ50" s="930"/>
      <c r="BA50" s="930"/>
      <c r="BB50" s="930"/>
      <c r="BC50" s="930"/>
      <c r="BD50" s="930"/>
      <c r="BE50" s="930"/>
      <c r="BF50" s="930"/>
      <c r="BG50" s="930"/>
      <c r="BH50" s="930"/>
      <c r="BI50" s="930"/>
      <c r="BJ50" s="930"/>
      <c r="BK50" s="930"/>
      <c r="BL50" s="930"/>
      <c r="BM50" s="930"/>
      <c r="BN50" s="930"/>
      <c r="BO50" s="930"/>
      <c r="BP50" s="930"/>
      <c r="BQ50" s="930"/>
      <c r="BR50" s="930"/>
      <c r="BS50" s="930"/>
      <c r="BT50" s="930"/>
    </row>
    <row r="51" spans="1:72" x14ac:dyDescent="0.25">
      <c r="B51" s="950"/>
      <c r="C51" s="948"/>
      <c r="D51" s="948"/>
      <c r="E51" s="948"/>
      <c r="F51" s="948"/>
      <c r="G51" s="948"/>
      <c r="H51" s="948"/>
      <c r="I51" s="948"/>
      <c r="J51" s="948"/>
      <c r="K51" s="949"/>
      <c r="L51" s="930"/>
      <c r="M51" s="930"/>
      <c r="N51" s="930"/>
      <c r="O51" s="930"/>
      <c r="P51" s="930"/>
      <c r="Q51" s="930"/>
      <c r="R51" s="930"/>
      <c r="S51" s="930"/>
      <c r="T51" s="930"/>
      <c r="U51" s="930"/>
      <c r="V51" s="930"/>
      <c r="W51" s="930"/>
      <c r="X51" s="930"/>
      <c r="Y51" s="930"/>
      <c r="Z51" s="930"/>
      <c r="AA51" s="930"/>
      <c r="AB51" s="930"/>
      <c r="AC51" s="930"/>
      <c r="AD51" s="930"/>
      <c r="AE51" s="930"/>
      <c r="AF51" s="930"/>
      <c r="AG51" s="930"/>
      <c r="AH51" s="930"/>
      <c r="AI51" s="930"/>
      <c r="AJ51" s="930"/>
      <c r="AK51" s="930"/>
      <c r="AL51" s="930"/>
      <c r="AM51" s="930"/>
      <c r="AN51" s="930"/>
      <c r="AO51" s="930"/>
      <c r="AP51" s="930"/>
      <c r="AQ51" s="930"/>
      <c r="AR51" s="930"/>
      <c r="AS51" s="930"/>
      <c r="AT51" s="930"/>
      <c r="AU51" s="930"/>
      <c r="AV51" s="930"/>
      <c r="AW51" s="930"/>
      <c r="AX51" s="930"/>
      <c r="AY51" s="930"/>
      <c r="AZ51" s="930"/>
      <c r="BA51" s="930"/>
      <c r="BB51" s="930"/>
      <c r="BC51" s="930"/>
      <c r="BD51" s="930"/>
      <c r="BE51" s="930"/>
      <c r="BF51" s="930"/>
      <c r="BG51" s="930"/>
      <c r="BH51" s="930"/>
      <c r="BI51" s="930"/>
      <c r="BJ51" s="930"/>
      <c r="BK51" s="930"/>
      <c r="BL51" s="930"/>
      <c r="BM51" s="930"/>
      <c r="BN51" s="930"/>
      <c r="BO51" s="930"/>
      <c r="BP51" s="930"/>
      <c r="BQ51" s="930"/>
      <c r="BR51" s="930"/>
      <c r="BS51" s="930"/>
      <c r="BT51" s="930"/>
    </row>
    <row r="52" spans="1:72" x14ac:dyDescent="0.25">
      <c r="A52" s="947" t="s">
        <v>762</v>
      </c>
      <c r="B52" s="948"/>
      <c r="C52" s="948"/>
      <c r="D52" s="948"/>
      <c r="E52" s="948"/>
      <c r="F52" s="948"/>
      <c r="G52" s="948"/>
      <c r="H52" s="948"/>
      <c r="I52" s="948"/>
      <c r="J52" s="948"/>
      <c r="K52" s="949"/>
      <c r="L52" s="930"/>
      <c r="M52" s="930"/>
      <c r="N52" s="930"/>
      <c r="O52" s="930"/>
      <c r="P52" s="930"/>
      <c r="Q52" s="930"/>
      <c r="R52" s="930"/>
      <c r="S52" s="930"/>
      <c r="T52" s="930"/>
      <c r="U52" s="930"/>
      <c r="V52" s="930"/>
      <c r="W52" s="930"/>
      <c r="X52" s="930"/>
      <c r="Y52" s="930"/>
      <c r="Z52" s="930"/>
      <c r="AA52" s="930"/>
      <c r="AB52" s="930"/>
      <c r="AC52" s="930"/>
      <c r="AD52" s="930"/>
      <c r="AE52" s="930"/>
      <c r="AF52" s="930"/>
      <c r="AG52" s="930"/>
      <c r="AH52" s="930"/>
      <c r="AI52" s="930"/>
      <c r="AJ52" s="930"/>
      <c r="AK52" s="930"/>
      <c r="AL52" s="930"/>
      <c r="AM52" s="930"/>
      <c r="AN52" s="930"/>
      <c r="AO52" s="930"/>
      <c r="AP52" s="930"/>
      <c r="AQ52" s="930"/>
      <c r="AR52" s="930"/>
      <c r="AS52" s="930"/>
      <c r="AT52" s="930"/>
      <c r="AU52" s="930"/>
      <c r="AV52" s="930"/>
      <c r="AW52" s="930"/>
      <c r="AX52" s="930"/>
      <c r="AY52" s="930"/>
      <c r="AZ52" s="930"/>
      <c r="BA52" s="930"/>
      <c r="BB52" s="930"/>
      <c r="BC52" s="930"/>
      <c r="BD52" s="930"/>
      <c r="BE52" s="930"/>
      <c r="BF52" s="930"/>
      <c r="BG52" s="930"/>
      <c r="BH52" s="930"/>
      <c r="BI52" s="930"/>
      <c r="BJ52" s="930"/>
      <c r="BK52" s="930"/>
      <c r="BL52" s="930"/>
      <c r="BM52" s="930"/>
      <c r="BN52" s="930"/>
      <c r="BO52" s="930"/>
      <c r="BP52" s="930"/>
      <c r="BQ52" s="930"/>
      <c r="BR52" s="930"/>
      <c r="BS52" s="930"/>
      <c r="BT52" s="930"/>
    </row>
    <row r="53" spans="1:72" x14ac:dyDescent="0.25">
      <c r="A53" s="1709" t="s">
        <v>763</v>
      </c>
      <c r="B53" s="1710"/>
      <c r="C53" s="1710"/>
      <c r="D53" s="1710"/>
      <c r="E53" s="1710"/>
      <c r="F53" s="1710"/>
      <c r="G53" s="1710"/>
      <c r="H53" s="1710"/>
      <c r="I53" s="1710"/>
      <c r="J53" s="1710"/>
      <c r="K53" s="1711"/>
      <c r="L53" s="930"/>
      <c r="M53" s="930"/>
      <c r="N53" s="930"/>
      <c r="O53" s="930"/>
      <c r="P53" s="930"/>
      <c r="Q53" s="930"/>
      <c r="R53" s="930"/>
      <c r="S53" s="930"/>
      <c r="T53" s="930"/>
      <c r="U53" s="930"/>
      <c r="V53" s="930"/>
      <c r="W53" s="930"/>
      <c r="X53" s="930"/>
      <c r="Y53" s="930"/>
      <c r="Z53" s="930"/>
      <c r="AA53" s="930"/>
      <c r="AB53" s="930"/>
      <c r="AC53" s="930"/>
      <c r="AD53" s="930"/>
      <c r="AE53" s="930"/>
      <c r="AF53" s="930"/>
      <c r="AG53" s="930"/>
      <c r="AH53" s="930"/>
      <c r="AI53" s="930"/>
      <c r="AJ53" s="930"/>
      <c r="AK53" s="930"/>
      <c r="AL53" s="930"/>
      <c r="AM53" s="930"/>
      <c r="AN53" s="930"/>
      <c r="AO53" s="930"/>
      <c r="AP53" s="930"/>
      <c r="AQ53" s="930"/>
      <c r="AR53" s="930"/>
      <c r="AS53" s="930"/>
      <c r="AT53" s="930"/>
      <c r="AU53" s="930"/>
      <c r="AV53" s="930"/>
      <c r="AW53" s="930"/>
      <c r="AX53" s="930"/>
      <c r="AY53" s="930"/>
      <c r="AZ53" s="930"/>
      <c r="BA53" s="930"/>
      <c r="BB53" s="930"/>
      <c r="BC53" s="930"/>
      <c r="BD53" s="930"/>
      <c r="BE53" s="930"/>
      <c r="BF53" s="930"/>
      <c r="BG53" s="930"/>
      <c r="BH53" s="930"/>
      <c r="BI53" s="930"/>
      <c r="BJ53" s="930"/>
      <c r="BK53" s="930"/>
      <c r="BL53" s="930"/>
      <c r="BM53" s="930"/>
      <c r="BN53" s="930"/>
      <c r="BO53" s="930"/>
      <c r="BP53" s="930"/>
      <c r="BQ53" s="930"/>
      <c r="BR53" s="930"/>
      <c r="BS53" s="930"/>
      <c r="BT53" s="930"/>
    </row>
    <row r="54" spans="1:72" x14ac:dyDescent="0.25">
      <c r="A54" s="1712" t="s">
        <v>320</v>
      </c>
      <c r="B54" s="1713"/>
      <c r="C54" s="1713"/>
      <c r="D54" s="1713"/>
      <c r="E54" s="1713"/>
      <c r="F54" s="1713"/>
      <c r="G54" s="1713"/>
      <c r="H54" s="1713"/>
      <c r="I54" s="1713"/>
      <c r="J54" s="1713"/>
      <c r="K54" s="1714"/>
      <c r="L54" s="930"/>
      <c r="M54" s="930"/>
      <c r="N54" s="930"/>
      <c r="O54" s="930"/>
      <c r="P54" s="930"/>
      <c r="Q54" s="930"/>
      <c r="R54" s="930"/>
      <c r="S54" s="930"/>
      <c r="T54" s="930"/>
      <c r="U54" s="930"/>
      <c r="V54" s="930"/>
      <c r="W54" s="930"/>
      <c r="X54" s="930"/>
      <c r="Y54" s="930"/>
      <c r="Z54" s="930"/>
      <c r="AA54" s="930"/>
      <c r="AB54" s="930"/>
      <c r="AC54" s="930"/>
      <c r="AD54" s="930"/>
      <c r="AE54" s="930"/>
      <c r="AF54" s="930"/>
      <c r="AG54" s="930"/>
      <c r="AH54" s="930"/>
      <c r="AI54" s="930"/>
      <c r="AJ54" s="930"/>
      <c r="AK54" s="930"/>
      <c r="AL54" s="930"/>
      <c r="AM54" s="930"/>
      <c r="AN54" s="930"/>
      <c r="AO54" s="930"/>
      <c r="AP54" s="930"/>
      <c r="AQ54" s="930"/>
      <c r="AR54" s="930"/>
      <c r="AS54" s="930"/>
      <c r="AT54" s="930"/>
      <c r="AU54" s="930"/>
      <c r="AV54" s="930"/>
      <c r="AW54" s="930"/>
      <c r="AX54" s="930"/>
      <c r="AY54" s="930"/>
      <c r="AZ54" s="930"/>
      <c r="BA54" s="930"/>
      <c r="BB54" s="930"/>
      <c r="BC54" s="930"/>
      <c r="BD54" s="930"/>
      <c r="BE54" s="930"/>
      <c r="BF54" s="930"/>
      <c r="BG54" s="930"/>
      <c r="BH54" s="930"/>
      <c r="BI54" s="930"/>
      <c r="BJ54" s="930"/>
      <c r="BK54" s="930"/>
      <c r="BL54" s="930"/>
      <c r="BM54" s="930"/>
      <c r="BN54" s="930"/>
      <c r="BO54" s="930"/>
      <c r="BP54" s="930"/>
      <c r="BQ54" s="930"/>
      <c r="BR54" s="930"/>
      <c r="BS54" s="930"/>
      <c r="BT54" s="930"/>
    </row>
    <row r="55" spans="1:72" x14ac:dyDescent="0.25">
      <c r="A55" s="1712"/>
      <c r="B55" s="1713"/>
      <c r="C55" s="1713"/>
      <c r="D55" s="1713"/>
      <c r="E55" s="1713"/>
      <c r="F55" s="1713"/>
      <c r="G55" s="1713"/>
      <c r="H55" s="1713"/>
      <c r="I55" s="1713"/>
      <c r="J55" s="1713"/>
      <c r="K55" s="1714"/>
      <c r="L55" s="930"/>
      <c r="M55" s="930"/>
      <c r="N55" s="930"/>
      <c r="O55" s="930"/>
      <c r="P55" s="930"/>
      <c r="Q55" s="930"/>
      <c r="R55" s="930"/>
      <c r="S55" s="930"/>
      <c r="T55" s="930"/>
      <c r="U55" s="930"/>
      <c r="V55" s="930"/>
      <c r="W55" s="930"/>
      <c r="X55" s="930"/>
      <c r="Y55" s="930"/>
      <c r="Z55" s="930"/>
      <c r="AA55" s="930"/>
      <c r="AB55" s="930"/>
      <c r="AC55" s="930"/>
      <c r="AD55" s="930"/>
      <c r="AE55" s="930"/>
      <c r="AF55" s="930"/>
      <c r="AG55" s="930"/>
      <c r="AH55" s="930"/>
      <c r="AI55" s="930"/>
      <c r="AJ55" s="930"/>
      <c r="AK55" s="930"/>
      <c r="AL55" s="930"/>
      <c r="AM55" s="930"/>
      <c r="AN55" s="930"/>
      <c r="AO55" s="930"/>
      <c r="AP55" s="930"/>
      <c r="AQ55" s="930"/>
      <c r="AR55" s="930"/>
      <c r="AS55" s="930"/>
      <c r="AT55" s="930"/>
      <c r="AU55" s="930"/>
      <c r="AV55" s="930"/>
      <c r="AW55" s="930"/>
      <c r="AX55" s="930"/>
      <c r="AY55" s="930"/>
      <c r="AZ55" s="930"/>
      <c r="BA55" s="930"/>
      <c r="BB55" s="930"/>
      <c r="BC55" s="930"/>
      <c r="BD55" s="930"/>
      <c r="BE55" s="930"/>
      <c r="BF55" s="930"/>
      <c r="BG55" s="930"/>
      <c r="BH55" s="930"/>
      <c r="BI55" s="930"/>
      <c r="BJ55" s="930"/>
      <c r="BK55" s="930"/>
      <c r="BL55" s="930"/>
      <c r="BM55" s="930"/>
      <c r="BN55" s="930"/>
      <c r="BO55" s="930"/>
      <c r="BP55" s="930"/>
      <c r="BQ55" s="930"/>
      <c r="BR55" s="930"/>
      <c r="BS55" s="930"/>
      <c r="BT55" s="930"/>
    </row>
    <row r="56" spans="1:72" ht="13" thickBot="1" x14ac:dyDescent="0.3">
      <c r="A56" s="1702" t="s">
        <v>764</v>
      </c>
      <c r="B56" s="1703"/>
      <c r="C56" s="1703"/>
      <c r="D56" s="1703"/>
      <c r="E56" s="1703"/>
      <c r="F56" s="1703"/>
      <c r="G56" s="1703"/>
      <c r="H56" s="1703"/>
      <c r="I56" s="1703"/>
      <c r="J56" s="1703"/>
      <c r="K56" s="1704"/>
      <c r="L56" s="930"/>
      <c r="M56" s="930"/>
      <c r="N56" s="930"/>
      <c r="O56" s="930"/>
      <c r="P56" s="930"/>
      <c r="Q56" s="930"/>
      <c r="R56" s="930"/>
      <c r="S56" s="930"/>
      <c r="T56" s="930"/>
      <c r="U56" s="930"/>
      <c r="V56" s="930"/>
      <c r="W56" s="930"/>
      <c r="X56" s="930"/>
      <c r="Y56" s="930"/>
      <c r="Z56" s="930"/>
      <c r="AA56" s="930"/>
      <c r="AB56" s="930"/>
      <c r="AC56" s="930"/>
      <c r="AD56" s="930"/>
      <c r="AE56" s="930"/>
      <c r="AF56" s="930"/>
      <c r="AG56" s="930"/>
      <c r="AH56" s="930"/>
      <c r="AI56" s="930"/>
      <c r="AJ56" s="930"/>
      <c r="AK56" s="930"/>
      <c r="AL56" s="930"/>
      <c r="AM56" s="930"/>
      <c r="AN56" s="930"/>
      <c r="AO56" s="930"/>
      <c r="AP56" s="930"/>
      <c r="AQ56" s="930"/>
      <c r="AR56" s="930"/>
      <c r="AS56" s="930"/>
      <c r="AT56" s="930"/>
      <c r="AU56" s="930"/>
      <c r="AV56" s="930"/>
      <c r="AW56" s="930"/>
      <c r="AX56" s="930"/>
      <c r="AY56" s="930"/>
      <c r="AZ56" s="930"/>
      <c r="BA56" s="930"/>
      <c r="BB56" s="930"/>
      <c r="BC56" s="930"/>
      <c r="BD56" s="930"/>
      <c r="BE56" s="930"/>
      <c r="BF56" s="930"/>
      <c r="BG56" s="930"/>
      <c r="BH56" s="930"/>
      <c r="BI56" s="930"/>
      <c r="BJ56" s="930"/>
      <c r="BK56" s="930"/>
      <c r="BL56" s="930"/>
      <c r="BM56" s="930"/>
      <c r="BN56" s="930"/>
      <c r="BO56" s="930"/>
      <c r="BP56" s="930"/>
      <c r="BQ56" s="930"/>
      <c r="BR56" s="930"/>
      <c r="BS56" s="930"/>
      <c r="BT56" s="930"/>
    </row>
    <row r="57" spans="1:72" x14ac:dyDescent="0.25">
      <c r="A57" s="946"/>
      <c r="B57" s="946"/>
      <c r="C57" s="946"/>
      <c r="D57" s="946"/>
      <c r="E57" s="946"/>
      <c r="F57" s="946"/>
      <c r="G57" s="946"/>
      <c r="H57" s="946"/>
      <c r="I57" s="946"/>
      <c r="J57" s="946"/>
      <c r="K57" s="946"/>
      <c r="L57" s="930"/>
      <c r="M57" s="930"/>
      <c r="N57" s="930"/>
      <c r="O57" s="930"/>
      <c r="P57" s="930"/>
      <c r="Q57" s="930"/>
      <c r="R57" s="930"/>
      <c r="S57" s="930"/>
      <c r="T57" s="930"/>
      <c r="U57" s="930"/>
      <c r="V57" s="930"/>
      <c r="W57" s="930"/>
      <c r="X57" s="930"/>
      <c r="Y57" s="930"/>
      <c r="Z57" s="930"/>
      <c r="AA57" s="930"/>
      <c r="AB57" s="930"/>
      <c r="AC57" s="930"/>
      <c r="AD57" s="930"/>
      <c r="AE57" s="930"/>
      <c r="AF57" s="930"/>
      <c r="AG57" s="930"/>
      <c r="AH57" s="930"/>
      <c r="AI57" s="930"/>
      <c r="AJ57" s="930"/>
      <c r="AK57" s="930"/>
      <c r="AL57" s="930"/>
      <c r="AM57" s="930"/>
      <c r="AN57" s="930"/>
      <c r="AO57" s="930"/>
      <c r="AP57" s="930"/>
      <c r="AQ57" s="930"/>
      <c r="AR57" s="930"/>
      <c r="AS57" s="930"/>
      <c r="AT57" s="930"/>
      <c r="AU57" s="930"/>
      <c r="AV57" s="930"/>
      <c r="AW57" s="930"/>
      <c r="AX57" s="930"/>
      <c r="AY57" s="930"/>
      <c r="AZ57" s="930"/>
      <c r="BA57" s="930"/>
      <c r="BB57" s="930"/>
      <c r="BC57" s="930"/>
      <c r="BD57" s="930"/>
      <c r="BE57" s="930"/>
      <c r="BF57" s="930"/>
      <c r="BG57" s="930"/>
      <c r="BH57" s="930"/>
      <c r="BI57" s="930"/>
      <c r="BJ57" s="930"/>
      <c r="BK57" s="930"/>
      <c r="BL57" s="930"/>
      <c r="BM57" s="930"/>
      <c r="BN57" s="930"/>
      <c r="BO57" s="930"/>
      <c r="BP57" s="930"/>
      <c r="BQ57" s="930"/>
      <c r="BR57" s="930"/>
      <c r="BS57" s="930"/>
      <c r="BT57" s="930"/>
    </row>
    <row r="58" spans="1:72" x14ac:dyDescent="0.25">
      <c r="A58" s="930" t="s">
        <v>767</v>
      </c>
      <c r="B58" s="930"/>
      <c r="C58" s="930"/>
      <c r="D58" s="930"/>
      <c r="E58" s="930"/>
      <c r="F58" s="930"/>
      <c r="G58" s="930"/>
      <c r="H58" s="930"/>
      <c r="I58" s="930"/>
      <c r="J58" s="930"/>
      <c r="K58" s="930"/>
      <c r="L58" s="930"/>
      <c r="M58" s="930"/>
      <c r="N58" s="930"/>
      <c r="O58" s="930"/>
      <c r="P58" s="930"/>
      <c r="Q58" s="930"/>
      <c r="R58" s="930"/>
      <c r="S58" s="930"/>
      <c r="T58" s="930"/>
      <c r="U58" s="930"/>
      <c r="V58" s="930"/>
      <c r="W58" s="930"/>
      <c r="X58" s="930"/>
      <c r="Y58" s="930"/>
      <c r="Z58" s="930"/>
      <c r="AA58" s="930"/>
      <c r="AB58" s="930"/>
      <c r="AC58" s="930"/>
      <c r="AD58" s="930"/>
      <c r="AE58" s="930"/>
      <c r="AF58" s="930"/>
      <c r="AG58" s="930"/>
      <c r="AH58" s="930"/>
      <c r="AI58" s="930"/>
      <c r="AJ58" s="930"/>
      <c r="AK58" s="930"/>
      <c r="AL58" s="930"/>
      <c r="AM58" s="930"/>
      <c r="AN58" s="930"/>
      <c r="AO58" s="930"/>
      <c r="AP58" s="930"/>
      <c r="AQ58" s="930"/>
      <c r="AR58" s="930"/>
      <c r="AS58" s="930"/>
      <c r="AT58" s="930"/>
      <c r="AU58" s="930"/>
      <c r="AV58" s="930"/>
      <c r="AW58" s="930"/>
      <c r="AX58" s="930"/>
      <c r="AY58" s="930"/>
      <c r="AZ58" s="930"/>
      <c r="BA58" s="930"/>
      <c r="BB58" s="930"/>
      <c r="BC58" s="930"/>
      <c r="BD58" s="930"/>
      <c r="BE58" s="930"/>
      <c r="BF58" s="930"/>
      <c r="BG58" s="930"/>
      <c r="BH58" s="930"/>
      <c r="BI58" s="930"/>
      <c r="BJ58" s="930"/>
      <c r="BK58" s="930"/>
      <c r="BL58" s="930"/>
      <c r="BM58" s="930"/>
      <c r="BN58" s="930"/>
      <c r="BO58" s="930"/>
      <c r="BP58" s="930"/>
      <c r="BQ58" s="930"/>
      <c r="BR58" s="930"/>
      <c r="BS58" s="930"/>
      <c r="BT58" s="930"/>
    </row>
    <row r="59" spans="1:72" x14ac:dyDescent="0.25">
      <c r="A59" s="930" t="s">
        <v>766</v>
      </c>
      <c r="B59" s="930">
        <v>19022</v>
      </c>
      <c r="C59" s="930"/>
      <c r="D59" s="930"/>
      <c r="E59" s="930"/>
      <c r="F59" s="930"/>
      <c r="G59" s="930"/>
      <c r="H59" s="930"/>
      <c r="I59" s="930"/>
      <c r="J59" s="930"/>
      <c r="K59" s="930"/>
      <c r="L59" s="930"/>
      <c r="M59" s="930"/>
      <c r="N59" s="930"/>
      <c r="O59" s="930"/>
      <c r="P59" s="930"/>
      <c r="Q59" s="930"/>
      <c r="R59" s="930"/>
      <c r="S59" s="930"/>
      <c r="T59" s="930"/>
      <c r="U59" s="930"/>
      <c r="V59" s="930"/>
      <c r="W59" s="930"/>
      <c r="X59" s="930"/>
      <c r="Y59" s="930"/>
      <c r="Z59" s="930"/>
      <c r="AA59" s="930"/>
      <c r="AB59" s="930"/>
      <c r="AC59" s="930"/>
      <c r="AD59" s="930"/>
      <c r="AE59" s="930"/>
      <c r="AF59" s="930"/>
      <c r="AG59" s="930"/>
      <c r="AH59" s="930"/>
      <c r="AI59" s="930"/>
      <c r="AJ59" s="930"/>
      <c r="AK59" s="930"/>
      <c r="AL59" s="930"/>
      <c r="AM59" s="930"/>
      <c r="AN59" s="930"/>
      <c r="AO59" s="930"/>
      <c r="AP59" s="930"/>
      <c r="AQ59" s="930"/>
      <c r="AR59" s="930"/>
      <c r="AS59" s="930"/>
      <c r="AT59" s="930"/>
      <c r="AU59" s="930"/>
      <c r="AV59" s="930"/>
      <c r="AW59" s="930"/>
      <c r="AX59" s="930"/>
      <c r="AY59" s="930"/>
      <c r="AZ59" s="930"/>
      <c r="BA59" s="930"/>
      <c r="BB59" s="930"/>
      <c r="BC59" s="930"/>
      <c r="BD59" s="930"/>
      <c r="BE59" s="930"/>
      <c r="BF59" s="930"/>
      <c r="BG59" s="930"/>
      <c r="BH59" s="930"/>
      <c r="BI59" s="930"/>
      <c r="BJ59" s="930"/>
      <c r="BK59" s="930"/>
      <c r="BL59" s="930"/>
      <c r="BM59" s="930"/>
      <c r="BN59" s="930"/>
      <c r="BO59" s="930"/>
      <c r="BP59" s="930"/>
      <c r="BQ59" s="930"/>
      <c r="BR59" s="930"/>
      <c r="BS59" s="930"/>
      <c r="BT59" s="930"/>
    </row>
    <row r="60" spans="1:72" x14ac:dyDescent="0.25">
      <c r="A60" s="930" t="s">
        <v>765</v>
      </c>
      <c r="B60" s="930">
        <v>17700</v>
      </c>
      <c r="C60" s="930"/>
      <c r="D60" s="930"/>
      <c r="E60" s="930"/>
      <c r="F60" s="930"/>
      <c r="G60" s="930"/>
      <c r="H60" s="930"/>
      <c r="I60" s="930"/>
      <c r="J60" s="930"/>
      <c r="K60" s="930"/>
      <c r="L60" s="930"/>
      <c r="M60" s="930"/>
      <c r="N60" s="930"/>
      <c r="O60" s="930"/>
      <c r="P60" s="930"/>
      <c r="Q60" s="930"/>
      <c r="R60" s="930"/>
      <c r="S60" s="930"/>
      <c r="T60" s="930"/>
      <c r="U60" s="930"/>
      <c r="V60" s="930"/>
      <c r="W60" s="930"/>
      <c r="X60" s="930"/>
      <c r="Y60" s="930"/>
      <c r="Z60" s="930"/>
      <c r="AA60" s="930"/>
      <c r="AB60" s="930"/>
      <c r="AC60" s="930"/>
      <c r="AD60" s="930"/>
      <c r="AE60" s="930"/>
      <c r="AF60" s="930"/>
      <c r="AG60" s="930"/>
      <c r="AH60" s="930"/>
      <c r="AI60" s="930"/>
      <c r="AJ60" s="930"/>
      <c r="AK60" s="930"/>
      <c r="AL60" s="930"/>
      <c r="AM60" s="930"/>
      <c r="AN60" s="930"/>
      <c r="AO60" s="930"/>
      <c r="AP60" s="930"/>
      <c r="AQ60" s="930"/>
      <c r="AR60" s="930"/>
      <c r="AS60" s="930"/>
      <c r="AT60" s="930"/>
      <c r="AU60" s="930"/>
      <c r="AV60" s="930"/>
      <c r="AW60" s="930"/>
      <c r="AX60" s="930"/>
      <c r="AY60" s="930"/>
      <c r="AZ60" s="930"/>
      <c r="BA60" s="930"/>
      <c r="BB60" s="930"/>
      <c r="BC60" s="930"/>
      <c r="BD60" s="930"/>
      <c r="BE60" s="930"/>
      <c r="BF60" s="930"/>
      <c r="BG60" s="930"/>
      <c r="BH60" s="930"/>
      <c r="BI60" s="930"/>
      <c r="BJ60" s="930"/>
      <c r="BK60" s="930"/>
      <c r="BL60" s="930"/>
      <c r="BM60" s="930"/>
      <c r="BN60" s="930"/>
      <c r="BO60" s="930"/>
      <c r="BP60" s="930"/>
      <c r="BQ60" s="930"/>
      <c r="BR60" s="930"/>
      <c r="BS60" s="930"/>
      <c r="BT60" s="930"/>
    </row>
    <row r="61" spans="1:72" x14ac:dyDescent="0.25">
      <c r="A61" s="930" t="s">
        <v>768</v>
      </c>
      <c r="B61" s="930">
        <f>2.205/2000/B60*mmBTU_to_GJ*1000000</f>
        <v>6.5713983050847455E-2</v>
      </c>
      <c r="C61" s="930"/>
      <c r="D61" s="930"/>
      <c r="E61" s="930"/>
      <c r="F61" s="930"/>
      <c r="G61" s="930"/>
      <c r="H61" s="930"/>
      <c r="I61" s="930"/>
      <c r="J61" s="930"/>
      <c r="K61" s="930"/>
      <c r="L61" s="930"/>
      <c r="M61" s="930"/>
      <c r="N61" s="930"/>
      <c r="O61" s="930"/>
      <c r="P61" s="930"/>
      <c r="Q61" s="930"/>
      <c r="R61" s="930"/>
      <c r="S61" s="930"/>
      <c r="T61" s="930"/>
      <c r="U61" s="930"/>
      <c r="V61" s="930"/>
      <c r="W61" s="930"/>
      <c r="X61" s="930"/>
      <c r="Y61" s="930"/>
      <c r="Z61" s="930"/>
      <c r="AA61" s="930"/>
      <c r="AB61" s="930"/>
      <c r="AC61" s="930"/>
      <c r="AD61" s="930"/>
      <c r="AE61" s="930"/>
      <c r="AF61" s="930"/>
      <c r="AG61" s="930"/>
      <c r="AH61" s="930"/>
      <c r="AI61" s="930"/>
      <c r="AJ61" s="930"/>
      <c r="AK61" s="930"/>
      <c r="AL61" s="930"/>
      <c r="AM61" s="930"/>
      <c r="AN61" s="930"/>
      <c r="AO61" s="930"/>
      <c r="AP61" s="930"/>
      <c r="AQ61" s="930"/>
      <c r="AR61" s="930"/>
      <c r="AS61" s="930"/>
      <c r="AT61" s="930"/>
      <c r="AU61" s="930"/>
      <c r="AV61" s="930"/>
      <c r="AW61" s="930"/>
      <c r="AX61" s="930"/>
      <c r="AY61" s="930"/>
      <c r="AZ61" s="930"/>
      <c r="BA61" s="930"/>
      <c r="BB61" s="930"/>
      <c r="BC61" s="930"/>
      <c r="BD61" s="930"/>
      <c r="BE61" s="930"/>
      <c r="BF61" s="930"/>
      <c r="BG61" s="930"/>
      <c r="BH61" s="930"/>
      <c r="BI61" s="930"/>
      <c r="BJ61" s="930"/>
      <c r="BK61" s="930"/>
      <c r="BL61" s="930"/>
      <c r="BM61" s="930"/>
      <c r="BN61" s="930"/>
      <c r="BO61" s="930"/>
      <c r="BP61" s="930"/>
      <c r="BQ61" s="930"/>
      <c r="BR61" s="930"/>
      <c r="BS61" s="930"/>
      <c r="BT61" s="930"/>
    </row>
    <row r="62" spans="1:72" x14ac:dyDescent="0.25">
      <c r="A62" s="930"/>
      <c r="B62" s="930"/>
      <c r="C62" s="930"/>
      <c r="D62" s="930"/>
      <c r="E62" s="930"/>
      <c r="F62" s="930"/>
      <c r="G62" s="930"/>
      <c r="H62" s="930"/>
      <c r="I62" s="930"/>
      <c r="J62" s="930"/>
      <c r="K62" s="930"/>
      <c r="L62" s="930"/>
      <c r="M62" s="930"/>
      <c r="N62" s="930"/>
      <c r="O62" s="930"/>
      <c r="P62" s="930"/>
      <c r="Q62" s="930"/>
      <c r="R62" s="930"/>
      <c r="S62" s="930"/>
      <c r="T62" s="930"/>
      <c r="U62" s="930"/>
      <c r="V62" s="930"/>
      <c r="W62" s="930"/>
      <c r="X62" s="930"/>
      <c r="Y62" s="930"/>
      <c r="Z62" s="930"/>
      <c r="AA62" s="930"/>
      <c r="AB62" s="930"/>
      <c r="AC62" s="930"/>
      <c r="AD62" s="930"/>
      <c r="AE62" s="930"/>
      <c r="AF62" s="930"/>
      <c r="AG62" s="930"/>
      <c r="AH62" s="930"/>
      <c r="AI62" s="930"/>
      <c r="AJ62" s="930"/>
      <c r="AK62" s="930"/>
      <c r="AL62" s="930"/>
      <c r="AM62" s="930"/>
      <c r="AN62" s="930"/>
      <c r="AO62" s="930"/>
      <c r="AP62" s="930"/>
      <c r="AQ62" s="930"/>
      <c r="AR62" s="930"/>
      <c r="AS62" s="930"/>
      <c r="AT62" s="930"/>
      <c r="AU62" s="930"/>
      <c r="AV62" s="930"/>
      <c r="AW62" s="930"/>
      <c r="AX62" s="930"/>
      <c r="AY62" s="930"/>
      <c r="AZ62" s="930"/>
      <c r="BA62" s="930"/>
      <c r="BB62" s="930"/>
      <c r="BC62" s="930"/>
      <c r="BD62" s="930"/>
      <c r="BE62" s="930"/>
      <c r="BF62" s="930"/>
      <c r="BG62" s="930"/>
      <c r="BH62" s="930"/>
      <c r="BI62" s="930"/>
      <c r="BJ62" s="930"/>
      <c r="BK62" s="930"/>
      <c r="BL62" s="930"/>
      <c r="BM62" s="930"/>
      <c r="BN62" s="930"/>
      <c r="BO62" s="930"/>
      <c r="BP62" s="930"/>
      <c r="BQ62" s="930"/>
      <c r="BR62" s="930"/>
      <c r="BS62" s="930"/>
      <c r="BT62" s="930"/>
    </row>
    <row r="63" spans="1:72" x14ac:dyDescent="0.25">
      <c r="A63" s="930"/>
      <c r="B63" s="930"/>
      <c r="C63" s="930"/>
      <c r="D63" s="930"/>
      <c r="E63" s="930"/>
      <c r="F63" s="930"/>
      <c r="G63" s="930"/>
      <c r="H63" s="930"/>
      <c r="I63" s="930"/>
      <c r="J63" s="930"/>
      <c r="K63" s="930"/>
      <c r="L63" s="930"/>
      <c r="M63" s="930"/>
      <c r="N63" s="930"/>
      <c r="O63" s="930"/>
      <c r="P63" s="930"/>
      <c r="Q63" s="930"/>
      <c r="R63" s="930"/>
      <c r="S63" s="930"/>
      <c r="T63" s="930"/>
      <c r="U63" s="930"/>
      <c r="V63" s="930"/>
      <c r="W63" s="930"/>
      <c r="X63" s="930"/>
      <c r="Y63" s="930"/>
      <c r="Z63" s="930"/>
      <c r="AA63" s="930"/>
      <c r="AB63" s="930"/>
      <c r="AC63" s="930"/>
      <c r="AD63" s="930"/>
      <c r="AE63" s="930"/>
      <c r="AF63" s="930"/>
      <c r="AG63" s="930"/>
      <c r="AH63" s="930"/>
      <c r="AI63" s="930"/>
      <c r="AJ63" s="930"/>
      <c r="AK63" s="930"/>
      <c r="AL63" s="930"/>
      <c r="AM63" s="930"/>
      <c r="AN63" s="930"/>
      <c r="AO63" s="930"/>
      <c r="AP63" s="930"/>
      <c r="AQ63" s="930"/>
      <c r="AR63" s="930"/>
      <c r="AS63" s="930"/>
      <c r="AT63" s="930"/>
      <c r="AU63" s="930"/>
      <c r="AV63" s="930"/>
      <c r="AW63" s="930"/>
      <c r="AX63" s="930"/>
      <c r="AY63" s="930"/>
      <c r="AZ63" s="930"/>
      <c r="BA63" s="930"/>
      <c r="BB63" s="930"/>
      <c r="BC63" s="930"/>
      <c r="BD63" s="930"/>
      <c r="BE63" s="930"/>
      <c r="BF63" s="930"/>
      <c r="BG63" s="930"/>
      <c r="BH63" s="930"/>
      <c r="BI63" s="930"/>
      <c r="BJ63" s="930"/>
      <c r="BK63" s="930"/>
      <c r="BL63" s="930"/>
      <c r="BM63" s="930"/>
      <c r="BN63" s="930"/>
      <c r="BO63" s="930"/>
      <c r="BP63" s="930"/>
      <c r="BQ63" s="930"/>
      <c r="BR63" s="930"/>
      <c r="BS63" s="930"/>
      <c r="BT63" s="930"/>
    </row>
    <row r="64" spans="1:72" x14ac:dyDescent="0.25">
      <c r="A64" s="930"/>
      <c r="B64" s="930" t="s">
        <v>774</v>
      </c>
      <c r="C64" s="930" t="s">
        <v>775</v>
      </c>
      <c r="D64" s="930"/>
      <c r="E64" s="930"/>
      <c r="F64" s="930"/>
      <c r="G64" s="930"/>
      <c r="H64" s="930"/>
      <c r="I64" s="930"/>
      <c r="J64" s="930"/>
      <c r="K64" s="930"/>
      <c r="L64" s="930"/>
      <c r="M64" s="930"/>
      <c r="N64" s="930"/>
      <c r="O64" s="930"/>
      <c r="P64" s="930"/>
      <c r="Q64" s="930"/>
      <c r="R64" s="930"/>
      <c r="S64" s="930"/>
      <c r="T64" s="930"/>
      <c r="U64" s="930"/>
      <c r="V64" s="930"/>
      <c r="W64" s="930"/>
      <c r="X64" s="930"/>
      <c r="Y64" s="930"/>
      <c r="Z64" s="930"/>
      <c r="AA64" s="930"/>
      <c r="AB64" s="930"/>
      <c r="AC64" s="930"/>
      <c r="AD64" s="930"/>
      <c r="AE64" s="930"/>
      <c r="AF64" s="930"/>
      <c r="AG64" s="930"/>
      <c r="AH64" s="930"/>
      <c r="AI64" s="930"/>
      <c r="AJ64" s="930"/>
      <c r="AK64" s="930"/>
      <c r="AL64" s="930"/>
      <c r="AM64" s="930"/>
      <c r="AN64" s="930"/>
      <c r="AO64" s="930"/>
      <c r="AP64" s="930"/>
      <c r="AQ64" s="930"/>
      <c r="AR64" s="930"/>
      <c r="AS64" s="930"/>
      <c r="AT64" s="930"/>
      <c r="AU64" s="930"/>
      <c r="AV64" s="930"/>
      <c r="AW64" s="930"/>
      <c r="AX64" s="930"/>
      <c r="AY64" s="930"/>
      <c r="AZ64" s="930"/>
      <c r="BA64" s="930"/>
      <c r="BB64" s="930"/>
      <c r="BC64" s="930"/>
      <c r="BD64" s="930"/>
      <c r="BE64" s="930"/>
      <c r="BF64" s="930"/>
      <c r="BG64" s="930"/>
      <c r="BH64" s="930"/>
      <c r="BI64" s="930"/>
      <c r="BJ64" s="930"/>
      <c r="BK64" s="930"/>
      <c r="BL64" s="930"/>
      <c r="BM64" s="930"/>
      <c r="BN64" s="930"/>
      <c r="BO64" s="930"/>
      <c r="BP64" s="930"/>
      <c r="BQ64" s="930"/>
      <c r="BR64" s="930"/>
      <c r="BS64" s="930"/>
      <c r="BT64" s="930"/>
    </row>
    <row r="65" spans="1:72" x14ac:dyDescent="0.25">
      <c r="A65" s="930"/>
      <c r="B65" s="930" t="s">
        <v>776</v>
      </c>
      <c r="C65" s="930" t="s">
        <v>777</v>
      </c>
      <c r="D65" s="930"/>
      <c r="E65" s="930"/>
      <c r="F65" s="930" t="s">
        <v>778</v>
      </c>
      <c r="G65" s="930"/>
      <c r="H65" s="930"/>
      <c r="I65" s="930"/>
      <c r="J65" s="930"/>
      <c r="K65" s="930"/>
      <c r="L65" s="930"/>
      <c r="M65" s="930"/>
      <c r="N65" s="930"/>
      <c r="O65" s="930"/>
      <c r="P65" s="930"/>
      <c r="Q65" s="930"/>
      <c r="R65" s="930"/>
      <c r="S65" s="930"/>
      <c r="T65" s="930"/>
      <c r="U65" s="930"/>
      <c r="V65" s="930"/>
      <c r="W65" s="930"/>
      <c r="X65" s="930"/>
      <c r="Y65" s="930"/>
      <c r="Z65" s="930"/>
      <c r="AA65" s="930"/>
      <c r="AB65" s="930"/>
      <c r="AC65" s="930"/>
      <c r="AD65" s="930"/>
      <c r="AE65" s="930"/>
      <c r="AF65" s="930"/>
      <c r="AG65" s="930"/>
      <c r="AH65" s="930"/>
      <c r="AI65" s="930"/>
      <c r="AJ65" s="930"/>
      <c r="AK65" s="930"/>
      <c r="AL65" s="930"/>
      <c r="AM65" s="930"/>
      <c r="AN65" s="930"/>
      <c r="AO65" s="930"/>
      <c r="AP65" s="930"/>
      <c r="AQ65" s="930"/>
      <c r="AR65" s="930"/>
      <c r="AS65" s="930"/>
      <c r="AT65" s="930"/>
      <c r="AU65" s="930"/>
      <c r="AV65" s="930"/>
      <c r="AW65" s="930"/>
      <c r="AX65" s="930"/>
      <c r="AY65" s="930"/>
      <c r="AZ65" s="930"/>
      <c r="BA65" s="930"/>
      <c r="BB65" s="930"/>
      <c r="BC65" s="930"/>
      <c r="BD65" s="930"/>
      <c r="BE65" s="930"/>
      <c r="BF65" s="930"/>
      <c r="BG65" s="930"/>
      <c r="BH65" s="930"/>
      <c r="BI65" s="930"/>
      <c r="BJ65" s="930"/>
      <c r="BK65" s="930"/>
      <c r="BL65" s="930"/>
      <c r="BM65" s="930"/>
      <c r="BN65" s="930"/>
      <c r="BO65" s="930"/>
      <c r="BP65" s="930"/>
      <c r="BQ65" s="930"/>
      <c r="BR65" s="930"/>
      <c r="BS65" s="930"/>
      <c r="BT65" s="930"/>
    </row>
    <row r="66" spans="1:72" x14ac:dyDescent="0.25">
      <c r="A66" s="930"/>
      <c r="B66" s="930" t="s">
        <v>779</v>
      </c>
      <c r="C66" s="930" t="s">
        <v>780</v>
      </c>
      <c r="D66" s="930"/>
      <c r="E66" s="930"/>
      <c r="F66" s="930"/>
      <c r="G66" s="930"/>
      <c r="H66" s="930"/>
      <c r="I66" s="930"/>
      <c r="J66" s="930"/>
      <c r="K66" s="930"/>
      <c r="L66" s="930"/>
      <c r="M66" s="930"/>
      <c r="N66" s="930"/>
      <c r="O66" s="930"/>
      <c r="P66" s="930"/>
      <c r="Q66" s="930"/>
      <c r="R66" s="930"/>
      <c r="S66" s="930"/>
      <c r="T66" s="930"/>
      <c r="U66" s="930"/>
      <c r="V66" s="930"/>
      <c r="W66" s="930"/>
      <c r="X66" s="930"/>
      <c r="Y66" s="930"/>
      <c r="Z66" s="930"/>
      <c r="AA66" s="930"/>
      <c r="AB66" s="930"/>
      <c r="AC66" s="930"/>
      <c r="AD66" s="930"/>
      <c r="AE66" s="930"/>
      <c r="AF66" s="930"/>
      <c r="AG66" s="930"/>
      <c r="AH66" s="930"/>
      <c r="AI66" s="930"/>
      <c r="AJ66" s="930"/>
      <c r="AK66" s="930"/>
      <c r="AL66" s="930"/>
      <c r="AM66" s="930"/>
      <c r="AN66" s="930"/>
      <c r="AO66" s="930"/>
      <c r="AP66" s="930"/>
      <c r="AQ66" s="930"/>
      <c r="AR66" s="930"/>
      <c r="AS66" s="930"/>
      <c r="AT66" s="930"/>
      <c r="AU66" s="930"/>
      <c r="AV66" s="930"/>
      <c r="AW66" s="930"/>
      <c r="AX66" s="930"/>
      <c r="AY66" s="930"/>
      <c r="AZ66" s="930"/>
      <c r="BA66" s="930"/>
      <c r="BB66" s="930"/>
      <c r="BC66" s="930"/>
      <c r="BD66" s="930"/>
      <c r="BE66" s="930"/>
      <c r="BF66" s="930"/>
      <c r="BG66" s="930"/>
      <c r="BH66" s="930"/>
      <c r="BI66" s="930"/>
      <c r="BJ66" s="930"/>
      <c r="BK66" s="930"/>
      <c r="BL66" s="930"/>
      <c r="BM66" s="930"/>
      <c r="BN66" s="930"/>
      <c r="BO66" s="930"/>
      <c r="BP66" s="930"/>
      <c r="BQ66" s="930"/>
      <c r="BR66" s="930"/>
      <c r="BS66" s="930"/>
      <c r="BT66" s="930"/>
    </row>
    <row r="67" spans="1:72" x14ac:dyDescent="0.25">
      <c r="A67" s="930"/>
      <c r="B67" s="930" t="s">
        <v>781</v>
      </c>
      <c r="C67" s="930"/>
      <c r="D67" s="930" t="s">
        <v>782</v>
      </c>
      <c r="E67" s="930"/>
      <c r="F67" s="930"/>
      <c r="G67" s="930"/>
      <c r="H67" s="930"/>
      <c r="I67" s="930"/>
      <c r="J67" s="930"/>
      <c r="K67" s="930"/>
      <c r="L67" s="930"/>
      <c r="M67" s="930"/>
      <c r="N67" s="930"/>
      <c r="O67" s="930"/>
      <c r="P67" s="930"/>
      <c r="Q67" s="930"/>
      <c r="R67" s="930"/>
      <c r="S67" s="930"/>
      <c r="T67" s="930"/>
      <c r="U67" s="930"/>
      <c r="V67" s="930"/>
      <c r="W67" s="930"/>
      <c r="X67" s="930"/>
      <c r="Y67" s="930"/>
      <c r="Z67" s="930"/>
      <c r="AA67" s="930"/>
      <c r="AB67" s="930"/>
      <c r="AC67" s="930"/>
      <c r="AD67" s="930"/>
      <c r="AE67" s="930"/>
      <c r="AF67" s="930"/>
      <c r="AG67" s="930"/>
      <c r="AH67" s="930"/>
      <c r="AI67" s="930"/>
      <c r="AJ67" s="930"/>
      <c r="AK67" s="930"/>
      <c r="AL67" s="930"/>
      <c r="AM67" s="930"/>
      <c r="AN67" s="930"/>
      <c r="AO67" s="930"/>
      <c r="AP67" s="930"/>
      <c r="AQ67" s="930"/>
      <c r="AR67" s="930"/>
      <c r="AS67" s="930"/>
      <c r="AT67" s="930"/>
      <c r="AU67" s="930"/>
      <c r="AV67" s="930"/>
      <c r="AW67" s="930"/>
      <c r="AX67" s="930"/>
      <c r="AY67" s="930"/>
      <c r="AZ67" s="930"/>
      <c r="BA67" s="930"/>
      <c r="BB67" s="930"/>
      <c r="BC67" s="930"/>
      <c r="BD67" s="930"/>
      <c r="BE67" s="930"/>
      <c r="BF67" s="930"/>
      <c r="BG67" s="930"/>
      <c r="BH67" s="930"/>
      <c r="BI67" s="930"/>
      <c r="BJ67" s="930"/>
      <c r="BK67" s="930"/>
      <c r="BL67" s="930"/>
      <c r="BM67" s="930"/>
      <c r="BN67" s="930"/>
      <c r="BO67" s="930"/>
      <c r="BP67" s="930"/>
      <c r="BQ67" s="930"/>
      <c r="BR67" s="930"/>
      <c r="BS67" s="930"/>
      <c r="BT67" s="930"/>
    </row>
    <row r="68" spans="1:72" x14ac:dyDescent="0.25">
      <c r="A68" s="930"/>
      <c r="B68" s="930"/>
      <c r="C68" s="930"/>
      <c r="D68" s="930"/>
      <c r="E68" s="930"/>
      <c r="F68" s="930"/>
      <c r="G68" s="930"/>
      <c r="H68" s="930"/>
      <c r="I68" s="930"/>
      <c r="J68" s="930"/>
      <c r="K68" s="930"/>
      <c r="L68" s="930"/>
      <c r="M68" s="930"/>
      <c r="N68" s="930"/>
      <c r="O68" s="930"/>
      <c r="P68" s="930"/>
      <c r="Q68" s="930"/>
      <c r="R68" s="930"/>
      <c r="S68" s="930"/>
      <c r="T68" s="930"/>
      <c r="U68" s="930"/>
      <c r="V68" s="930"/>
      <c r="W68" s="930"/>
      <c r="X68" s="930"/>
      <c r="Y68" s="930"/>
      <c r="Z68" s="930"/>
      <c r="AA68" s="930"/>
      <c r="AB68" s="930"/>
      <c r="AC68" s="930"/>
      <c r="AD68" s="930"/>
      <c r="AE68" s="930"/>
      <c r="AF68" s="930"/>
      <c r="AG68" s="930"/>
      <c r="AH68" s="930"/>
      <c r="AI68" s="930"/>
      <c r="AJ68" s="930"/>
      <c r="AK68" s="930"/>
      <c r="AL68" s="930"/>
      <c r="AM68" s="930"/>
      <c r="AN68" s="930"/>
      <c r="AO68" s="930"/>
      <c r="AP68" s="930"/>
      <c r="AQ68" s="930"/>
      <c r="AR68" s="930"/>
      <c r="AS68" s="930"/>
      <c r="AT68" s="930"/>
      <c r="AU68" s="930"/>
      <c r="AV68" s="930"/>
      <c r="AW68" s="930"/>
      <c r="AX68" s="930"/>
      <c r="AY68" s="930"/>
      <c r="AZ68" s="930"/>
      <c r="BA68" s="930"/>
      <c r="BB68" s="930"/>
      <c r="BC68" s="930"/>
      <c r="BD68" s="930"/>
      <c r="BE68" s="930"/>
      <c r="BF68" s="930"/>
      <c r="BG68" s="930"/>
      <c r="BH68" s="930"/>
      <c r="BI68" s="930"/>
      <c r="BJ68" s="930"/>
      <c r="BK68" s="930"/>
      <c r="BL68" s="930"/>
      <c r="BM68" s="930"/>
      <c r="BN68" s="930"/>
      <c r="BO68" s="930"/>
      <c r="BP68" s="930"/>
      <c r="BQ68" s="930"/>
      <c r="BR68" s="930"/>
      <c r="BS68" s="930"/>
      <c r="BT68" s="930"/>
    </row>
    <row r="69" spans="1:72" x14ac:dyDescent="0.25">
      <c r="A69" s="930"/>
      <c r="B69" s="930"/>
      <c r="C69" s="930"/>
      <c r="D69" s="930"/>
      <c r="E69" s="930"/>
      <c r="F69" s="930"/>
      <c r="G69" s="930"/>
      <c r="H69" s="930"/>
      <c r="I69" s="930"/>
      <c r="J69" s="930"/>
      <c r="K69" s="930"/>
      <c r="L69" s="930"/>
      <c r="M69" s="930"/>
      <c r="N69" s="930"/>
      <c r="O69" s="930"/>
      <c r="P69" s="930"/>
      <c r="Q69" s="930"/>
      <c r="R69" s="930"/>
      <c r="S69" s="930"/>
      <c r="T69" s="930"/>
      <c r="U69" s="930"/>
      <c r="V69" s="930"/>
      <c r="W69" s="930"/>
      <c r="X69" s="930"/>
      <c r="Y69" s="930"/>
      <c r="Z69" s="930"/>
      <c r="AA69" s="930"/>
      <c r="AB69" s="930"/>
      <c r="AC69" s="930"/>
      <c r="AD69" s="930"/>
      <c r="AE69" s="930"/>
      <c r="AF69" s="930"/>
      <c r="AG69" s="930"/>
      <c r="AH69" s="930"/>
      <c r="AI69" s="930"/>
      <c r="AJ69" s="930"/>
      <c r="AK69" s="930"/>
      <c r="AL69" s="930"/>
      <c r="AM69" s="930"/>
      <c r="AN69" s="930"/>
      <c r="AO69" s="930"/>
      <c r="AP69" s="930"/>
      <c r="AQ69" s="930"/>
      <c r="AR69" s="930"/>
      <c r="AS69" s="930"/>
      <c r="AT69" s="930"/>
      <c r="AU69" s="930"/>
      <c r="AV69" s="930"/>
      <c r="AW69" s="930"/>
      <c r="AX69" s="930"/>
      <c r="AY69" s="930"/>
      <c r="AZ69" s="930"/>
      <c r="BA69" s="930"/>
      <c r="BB69" s="930"/>
      <c r="BC69" s="930"/>
      <c r="BD69" s="930"/>
      <c r="BE69" s="930"/>
      <c r="BF69" s="930"/>
      <c r="BG69" s="930"/>
      <c r="BH69" s="930"/>
      <c r="BI69" s="930"/>
      <c r="BJ69" s="930"/>
      <c r="BK69" s="930"/>
      <c r="BL69" s="930"/>
      <c r="BM69" s="930"/>
      <c r="BN69" s="930"/>
      <c r="BO69" s="930"/>
      <c r="BP69" s="930"/>
      <c r="BQ69" s="930"/>
      <c r="BR69" s="930"/>
      <c r="BS69" s="930"/>
      <c r="BT69" s="930"/>
    </row>
    <row r="70" spans="1:72" x14ac:dyDescent="0.25">
      <c r="A70" s="930"/>
      <c r="B70" s="930"/>
      <c r="C70" s="930"/>
      <c r="D70" s="930"/>
      <c r="E70" s="930"/>
      <c r="F70" s="930"/>
      <c r="G70" s="930"/>
      <c r="H70" s="930"/>
      <c r="I70" s="930"/>
      <c r="J70" s="930"/>
      <c r="K70" s="930"/>
      <c r="L70" s="930"/>
      <c r="M70" s="930"/>
      <c r="N70" s="930"/>
      <c r="O70" s="930"/>
      <c r="P70" s="930"/>
      <c r="Q70" s="930"/>
      <c r="R70" s="930"/>
      <c r="S70" s="930"/>
      <c r="T70" s="930"/>
      <c r="U70" s="930"/>
      <c r="V70" s="930"/>
      <c r="W70" s="930"/>
      <c r="X70" s="930"/>
      <c r="Y70" s="930"/>
      <c r="Z70" s="930"/>
      <c r="AA70" s="930"/>
      <c r="AB70" s="930"/>
      <c r="AC70" s="930"/>
      <c r="AD70" s="930"/>
      <c r="AE70" s="930"/>
      <c r="AF70" s="930"/>
      <c r="AG70" s="930"/>
      <c r="AH70" s="930"/>
      <c r="AI70" s="930"/>
      <c r="AJ70" s="930"/>
      <c r="AK70" s="930"/>
      <c r="AL70" s="930"/>
      <c r="AM70" s="930"/>
      <c r="AN70" s="930"/>
      <c r="AO70" s="930"/>
      <c r="AP70" s="930"/>
      <c r="AQ70" s="930"/>
      <c r="AR70" s="930"/>
      <c r="AS70" s="930"/>
      <c r="AT70" s="930"/>
      <c r="AU70" s="930"/>
      <c r="AV70" s="930"/>
      <c r="AW70" s="930"/>
      <c r="AX70" s="930"/>
      <c r="AY70" s="930"/>
      <c r="AZ70" s="930"/>
      <c r="BA70" s="930"/>
      <c r="BB70" s="930"/>
      <c r="BC70" s="930"/>
      <c r="BD70" s="930"/>
      <c r="BE70" s="930"/>
      <c r="BF70" s="930"/>
      <c r="BG70" s="930"/>
      <c r="BH70" s="930"/>
      <c r="BI70" s="930"/>
      <c r="BJ70" s="930"/>
      <c r="BK70" s="930"/>
      <c r="BL70" s="930"/>
      <c r="BM70" s="930"/>
      <c r="BN70" s="930"/>
      <c r="BO70" s="930"/>
      <c r="BP70" s="930"/>
      <c r="BQ70" s="930"/>
      <c r="BR70" s="930"/>
      <c r="BS70" s="930"/>
      <c r="BT70" s="930"/>
    </row>
    <row r="71" spans="1:72" x14ac:dyDescent="0.25">
      <c r="A71" s="930"/>
      <c r="B71" s="930"/>
      <c r="C71" s="930"/>
      <c r="D71" s="930"/>
      <c r="E71" s="930"/>
      <c r="F71" s="930"/>
      <c r="G71" s="930"/>
      <c r="H71" s="930"/>
      <c r="I71" s="930"/>
      <c r="J71" s="930"/>
      <c r="K71" s="930"/>
      <c r="L71" s="930"/>
      <c r="M71" s="930"/>
      <c r="N71" s="930"/>
      <c r="O71" s="930"/>
      <c r="P71" s="930"/>
      <c r="Q71" s="930"/>
      <c r="R71" s="930"/>
      <c r="S71" s="930"/>
      <c r="T71" s="930"/>
      <c r="U71" s="930"/>
      <c r="V71" s="930"/>
      <c r="W71" s="930"/>
      <c r="X71" s="930"/>
      <c r="Y71" s="930"/>
      <c r="Z71" s="930"/>
      <c r="AA71" s="930"/>
      <c r="AB71" s="930"/>
      <c r="AC71" s="930"/>
      <c r="AD71" s="930"/>
      <c r="AE71" s="930"/>
      <c r="AF71" s="930"/>
      <c r="AG71" s="930"/>
      <c r="AH71" s="930"/>
      <c r="AI71" s="930"/>
      <c r="AJ71" s="930"/>
      <c r="AK71" s="930"/>
      <c r="AL71" s="930"/>
      <c r="AM71" s="930"/>
      <c r="AN71" s="930"/>
      <c r="AO71" s="930"/>
      <c r="AP71" s="930"/>
      <c r="AQ71" s="930"/>
      <c r="AR71" s="930"/>
      <c r="AS71" s="930"/>
      <c r="AT71" s="930"/>
      <c r="AU71" s="930"/>
      <c r="AV71" s="930"/>
      <c r="AW71" s="930"/>
      <c r="AX71" s="930"/>
      <c r="AY71" s="930"/>
      <c r="AZ71" s="930"/>
      <c r="BA71" s="930"/>
      <c r="BB71" s="930"/>
      <c r="BC71" s="930"/>
      <c r="BD71" s="930"/>
      <c r="BE71" s="930"/>
      <c r="BF71" s="930"/>
      <c r="BG71" s="930"/>
      <c r="BH71" s="930"/>
      <c r="BI71" s="930"/>
      <c r="BJ71" s="930"/>
      <c r="BK71" s="930"/>
      <c r="BL71" s="930"/>
      <c r="BM71" s="930"/>
      <c r="BN71" s="930"/>
      <c r="BO71" s="930"/>
      <c r="BP71" s="930"/>
      <c r="BQ71" s="930"/>
      <c r="BR71" s="930"/>
      <c r="BS71" s="930"/>
      <c r="BT71" s="930"/>
    </row>
    <row r="72" spans="1:72" x14ac:dyDescent="0.25">
      <c r="A72" s="930" t="s">
        <v>783</v>
      </c>
      <c r="B72" s="930"/>
      <c r="C72" s="930"/>
      <c r="D72" s="930"/>
      <c r="E72" s="930"/>
      <c r="F72" s="930"/>
      <c r="G72" s="930"/>
      <c r="H72" s="930"/>
      <c r="I72" s="930"/>
      <c r="J72" s="930"/>
      <c r="K72" s="930"/>
      <c r="L72" s="930"/>
      <c r="M72" s="930"/>
      <c r="N72" s="930"/>
      <c r="O72" s="930"/>
      <c r="P72" s="930"/>
      <c r="Q72" s="930"/>
      <c r="R72" s="930"/>
      <c r="S72" s="930"/>
      <c r="T72" s="930"/>
      <c r="U72" s="930"/>
      <c r="V72" s="930"/>
      <c r="W72" s="930"/>
      <c r="X72" s="930"/>
      <c r="Y72" s="930"/>
      <c r="Z72" s="930"/>
      <c r="AA72" s="930"/>
      <c r="AB72" s="930"/>
      <c r="AC72" s="930"/>
      <c r="AD72" s="930"/>
      <c r="AE72" s="930"/>
      <c r="AF72" s="930"/>
      <c r="AG72" s="930"/>
      <c r="AH72" s="930"/>
      <c r="AI72" s="930"/>
      <c r="AJ72" s="930"/>
      <c r="AK72" s="930"/>
      <c r="AL72" s="930"/>
      <c r="AM72" s="930"/>
      <c r="AN72" s="930"/>
      <c r="AO72" s="930"/>
      <c r="AP72" s="930"/>
      <c r="AQ72" s="930"/>
      <c r="AR72" s="930"/>
      <c r="AS72" s="930"/>
      <c r="AT72" s="930"/>
      <c r="AU72" s="930"/>
      <c r="AV72" s="930"/>
      <c r="AW72" s="930"/>
      <c r="AX72" s="930"/>
      <c r="AY72" s="930"/>
      <c r="AZ72" s="930"/>
      <c r="BA72" s="930"/>
      <c r="BB72" s="930"/>
      <c r="BC72" s="930"/>
      <c r="BD72" s="930"/>
      <c r="BE72" s="930"/>
      <c r="BF72" s="930"/>
      <c r="BG72" s="930"/>
      <c r="BH72" s="930"/>
      <c r="BI72" s="930"/>
      <c r="BJ72" s="930"/>
      <c r="BK72" s="930"/>
      <c r="BL72" s="930"/>
      <c r="BM72" s="930"/>
      <c r="BN72" s="930"/>
      <c r="BO72" s="930"/>
      <c r="BP72" s="930"/>
      <c r="BQ72" s="930"/>
      <c r="BR72" s="930"/>
      <c r="BS72" s="930"/>
      <c r="BT72" s="930"/>
    </row>
    <row r="73" spans="1:72" x14ac:dyDescent="0.25">
      <c r="A73" s="930"/>
      <c r="B73" s="930"/>
      <c r="C73" s="930"/>
      <c r="D73" s="930"/>
      <c r="E73" s="930"/>
      <c r="F73" s="930"/>
      <c r="G73" s="930"/>
      <c r="H73" s="930"/>
      <c r="I73" s="930"/>
      <c r="J73" s="930"/>
      <c r="K73" s="930"/>
      <c r="L73" s="930"/>
      <c r="M73" s="930"/>
      <c r="N73" s="930"/>
      <c r="O73" s="930"/>
      <c r="P73" s="930"/>
      <c r="Q73" s="930"/>
      <c r="R73" s="930"/>
      <c r="S73" s="930"/>
      <c r="T73" s="930"/>
      <c r="U73" s="930"/>
      <c r="V73" s="930"/>
      <c r="W73" s="930"/>
      <c r="X73" s="930"/>
      <c r="Y73" s="930"/>
      <c r="Z73" s="930"/>
      <c r="AA73" s="930"/>
      <c r="AB73" s="930"/>
      <c r="AC73" s="930"/>
      <c r="AD73" s="930"/>
      <c r="AE73" s="930"/>
      <c r="AF73" s="930"/>
      <c r="AG73" s="930"/>
      <c r="AH73" s="930"/>
      <c r="AI73" s="930"/>
      <c r="AJ73" s="930"/>
      <c r="AK73" s="930"/>
      <c r="AL73" s="930"/>
      <c r="AM73" s="930"/>
      <c r="AN73" s="930"/>
      <c r="AO73" s="930"/>
      <c r="AP73" s="930"/>
      <c r="AQ73" s="930"/>
      <c r="AR73" s="930"/>
      <c r="AS73" s="930"/>
      <c r="AT73" s="930"/>
      <c r="AU73" s="930"/>
      <c r="AV73" s="930"/>
      <c r="AW73" s="930"/>
      <c r="AX73" s="930"/>
      <c r="AY73" s="930"/>
      <c r="AZ73" s="930"/>
      <c r="BA73" s="930"/>
      <c r="BB73" s="930"/>
      <c r="BC73" s="930"/>
      <c r="BD73" s="930"/>
      <c r="BE73" s="930"/>
      <c r="BF73" s="930"/>
      <c r="BG73" s="930"/>
      <c r="BH73" s="930"/>
      <c r="BI73" s="930"/>
      <c r="BJ73" s="930"/>
      <c r="BK73" s="930"/>
      <c r="BL73" s="930"/>
      <c r="BM73" s="930"/>
      <c r="BN73" s="930"/>
      <c r="BO73" s="930"/>
      <c r="BP73" s="930"/>
      <c r="BQ73" s="930"/>
      <c r="BR73" s="930"/>
      <c r="BS73" s="930"/>
      <c r="BT73" s="930"/>
    </row>
    <row r="74" spans="1:72" x14ac:dyDescent="0.25">
      <c r="A74" s="930" t="s">
        <v>784</v>
      </c>
      <c r="B74" s="930"/>
      <c r="C74" s="930"/>
      <c r="D74" s="930"/>
      <c r="E74" s="930"/>
      <c r="F74" s="930"/>
      <c r="G74" s="930"/>
      <c r="H74" s="930"/>
      <c r="I74" s="930"/>
      <c r="J74" s="930"/>
      <c r="K74" s="930"/>
      <c r="L74" s="930"/>
      <c r="M74" s="930"/>
      <c r="N74" s="930"/>
      <c r="O74" s="930"/>
      <c r="P74" s="930"/>
      <c r="Q74" s="930"/>
      <c r="R74" s="930"/>
      <c r="S74" s="930"/>
      <c r="T74" s="930"/>
      <c r="U74" s="930"/>
      <c r="V74" s="930"/>
      <c r="W74" s="930"/>
      <c r="X74" s="930"/>
      <c r="Y74" s="930"/>
      <c r="Z74" s="930"/>
      <c r="AA74" s="930"/>
      <c r="AB74" s="930"/>
      <c r="AC74" s="930"/>
      <c r="AD74" s="930"/>
      <c r="AE74" s="930"/>
      <c r="AF74" s="930"/>
      <c r="AG74" s="930"/>
      <c r="AH74" s="930"/>
      <c r="AI74" s="930"/>
      <c r="AJ74" s="930"/>
      <c r="AK74" s="930"/>
      <c r="AL74" s="930"/>
      <c r="AM74" s="930"/>
      <c r="AN74" s="930"/>
      <c r="AO74" s="930"/>
      <c r="AP74" s="930"/>
      <c r="AQ74" s="930"/>
      <c r="AR74" s="930"/>
      <c r="AS74" s="930"/>
      <c r="AT74" s="930"/>
      <c r="AU74" s="930"/>
      <c r="AV74" s="930"/>
      <c r="AW74" s="930"/>
      <c r="AX74" s="930"/>
      <c r="AY74" s="930"/>
      <c r="AZ74" s="930"/>
      <c r="BA74" s="930"/>
      <c r="BB74" s="930"/>
      <c r="BC74" s="930"/>
      <c r="BD74" s="930"/>
      <c r="BE74" s="930"/>
      <c r="BF74" s="930"/>
      <c r="BG74" s="930"/>
      <c r="BH74" s="930"/>
      <c r="BI74" s="930"/>
      <c r="BJ74" s="930"/>
      <c r="BK74" s="930"/>
      <c r="BL74" s="930"/>
      <c r="BM74" s="930"/>
      <c r="BN74" s="930"/>
      <c r="BO74" s="930"/>
      <c r="BP74" s="930"/>
      <c r="BQ74" s="930"/>
      <c r="BR74" s="930"/>
      <c r="BS74" s="930"/>
      <c r="BT74" s="930"/>
    </row>
    <row r="75" spans="1:72" x14ac:dyDescent="0.25">
      <c r="A75" s="930" t="s">
        <v>785</v>
      </c>
      <c r="B75" s="930"/>
      <c r="C75" s="930"/>
      <c r="D75" s="930"/>
      <c r="E75" s="930"/>
      <c r="F75" s="930"/>
      <c r="G75" s="930"/>
      <c r="H75" s="930"/>
      <c r="I75" s="930"/>
      <c r="J75" s="930"/>
      <c r="K75" s="930"/>
      <c r="L75" s="930"/>
      <c r="M75" s="930"/>
      <c r="N75" s="930"/>
      <c r="O75" s="930"/>
      <c r="P75" s="930"/>
      <c r="Q75" s="930"/>
      <c r="R75" s="930"/>
      <c r="S75" s="930"/>
      <c r="T75" s="930"/>
      <c r="U75" s="930"/>
      <c r="V75" s="930"/>
      <c r="W75" s="930"/>
      <c r="X75" s="930"/>
      <c r="Y75" s="930"/>
      <c r="Z75" s="930"/>
      <c r="AA75" s="930"/>
      <c r="AB75" s="930"/>
      <c r="AC75" s="930"/>
      <c r="AD75" s="930"/>
      <c r="AE75" s="930"/>
      <c r="AF75" s="930"/>
      <c r="AG75" s="930"/>
      <c r="AH75" s="930"/>
      <c r="AI75" s="930"/>
      <c r="AJ75" s="930"/>
      <c r="AK75" s="930"/>
      <c r="AL75" s="930"/>
      <c r="AM75" s="930"/>
      <c r="AN75" s="930"/>
      <c r="AO75" s="930"/>
      <c r="AP75" s="930"/>
      <c r="AQ75" s="930"/>
      <c r="AR75" s="930"/>
      <c r="AS75" s="930"/>
      <c r="AT75" s="930"/>
      <c r="AU75" s="930"/>
      <c r="AV75" s="930"/>
      <c r="AW75" s="930"/>
      <c r="AX75" s="930"/>
      <c r="AY75" s="930"/>
      <c r="AZ75" s="930"/>
      <c r="BA75" s="930"/>
      <c r="BB75" s="930"/>
      <c r="BC75" s="930"/>
      <c r="BD75" s="930"/>
      <c r="BE75" s="930"/>
      <c r="BF75" s="930"/>
      <c r="BG75" s="930"/>
      <c r="BH75" s="930"/>
      <c r="BI75" s="930"/>
      <c r="BJ75" s="930"/>
      <c r="BK75" s="930"/>
      <c r="BL75" s="930"/>
      <c r="BM75" s="930"/>
      <c r="BN75" s="930"/>
      <c r="BO75" s="930"/>
      <c r="BP75" s="930"/>
      <c r="BQ75" s="930"/>
      <c r="BR75" s="930"/>
      <c r="BS75" s="930"/>
      <c r="BT75" s="930"/>
    </row>
    <row r="76" spans="1:72" x14ac:dyDescent="0.25">
      <c r="A76" s="930"/>
      <c r="B76" s="930"/>
      <c r="C76" s="930"/>
      <c r="D76" s="930"/>
      <c r="E76" s="930"/>
      <c r="F76" s="930"/>
      <c r="G76" s="930"/>
      <c r="H76" s="930"/>
      <c r="I76" s="930"/>
      <c r="J76" s="930"/>
      <c r="K76" s="930"/>
      <c r="L76" s="930"/>
      <c r="M76" s="930"/>
      <c r="N76" s="930"/>
      <c r="O76" s="930"/>
      <c r="P76" s="930"/>
      <c r="Q76" s="930"/>
      <c r="R76" s="930"/>
      <c r="S76" s="930"/>
      <c r="T76" s="930"/>
      <c r="U76" s="930"/>
      <c r="V76" s="930"/>
      <c r="W76" s="930"/>
      <c r="X76" s="930"/>
      <c r="Y76" s="930"/>
      <c r="Z76" s="930"/>
      <c r="AA76" s="930"/>
      <c r="AB76" s="930"/>
      <c r="AC76" s="930"/>
      <c r="AD76" s="930"/>
      <c r="AE76" s="930" t="s">
        <v>786</v>
      </c>
      <c r="AF76" s="930"/>
      <c r="AG76" s="930"/>
      <c r="AH76" s="930"/>
      <c r="AI76" s="930"/>
      <c r="AJ76" s="930"/>
      <c r="AK76" s="930"/>
      <c r="AL76" s="930"/>
      <c r="AM76" s="930"/>
      <c r="AN76" s="930"/>
      <c r="AO76" s="930"/>
      <c r="AP76" s="930"/>
      <c r="AQ76" s="930"/>
      <c r="AR76" s="930"/>
      <c r="AS76" s="930"/>
      <c r="AT76" s="930"/>
      <c r="AU76" s="930"/>
      <c r="AV76" s="930"/>
      <c r="AW76" s="930"/>
      <c r="AX76" s="930"/>
      <c r="AY76" s="930"/>
      <c r="AZ76" s="930"/>
      <c r="BA76" s="930"/>
      <c r="BB76" s="930"/>
      <c r="BC76" s="930"/>
      <c r="BD76" s="930"/>
      <c r="BE76" s="930"/>
      <c r="BF76" s="930"/>
      <c r="BG76" s="930"/>
      <c r="BH76" s="930"/>
      <c r="BI76" s="930"/>
      <c r="BJ76" s="930"/>
      <c r="BK76" s="930"/>
      <c r="BL76" s="930"/>
      <c r="BM76" s="930"/>
      <c r="BN76" s="930"/>
      <c r="BO76" s="930"/>
      <c r="BP76" s="930"/>
      <c r="BQ76" s="930"/>
      <c r="BR76" s="930"/>
      <c r="BS76" s="930"/>
      <c r="BT76" s="930"/>
    </row>
    <row r="77" spans="1:72" x14ac:dyDescent="0.25">
      <c r="A77" s="930" t="s">
        <v>787</v>
      </c>
      <c r="B77" s="930">
        <v>2007</v>
      </c>
      <c r="C77" s="930">
        <v>2008</v>
      </c>
      <c r="D77" s="930">
        <v>2009</v>
      </c>
      <c r="E77" s="930">
        <v>2010</v>
      </c>
      <c r="F77" s="930">
        <v>2011</v>
      </c>
      <c r="G77" s="930">
        <v>2012</v>
      </c>
      <c r="H77" s="930">
        <v>2013</v>
      </c>
      <c r="I77" s="930">
        <v>2014</v>
      </c>
      <c r="J77" s="930">
        <v>2015</v>
      </c>
      <c r="K77" s="930">
        <v>2016</v>
      </c>
      <c r="L77" s="930">
        <v>2017</v>
      </c>
      <c r="M77" s="930">
        <v>2018</v>
      </c>
      <c r="N77" s="930">
        <v>2019</v>
      </c>
      <c r="O77" s="930">
        <v>2020</v>
      </c>
      <c r="P77" s="930">
        <v>2021</v>
      </c>
      <c r="Q77" s="930">
        <v>2022</v>
      </c>
      <c r="R77" s="930">
        <v>2023</v>
      </c>
      <c r="S77" s="930">
        <v>2024</v>
      </c>
      <c r="T77" s="930">
        <v>2025</v>
      </c>
      <c r="U77" s="930">
        <v>2026</v>
      </c>
      <c r="V77" s="930">
        <v>2027</v>
      </c>
      <c r="W77" s="930">
        <v>2028</v>
      </c>
      <c r="X77" s="930">
        <v>2029</v>
      </c>
      <c r="Y77" s="930">
        <v>2030</v>
      </c>
      <c r="Z77" s="930">
        <v>2031</v>
      </c>
      <c r="AA77" s="930">
        <v>2032</v>
      </c>
      <c r="AB77" s="930">
        <v>2033</v>
      </c>
      <c r="AC77" s="930">
        <v>2034</v>
      </c>
      <c r="AD77" s="930">
        <v>2035</v>
      </c>
      <c r="AE77" s="930">
        <v>2035</v>
      </c>
      <c r="AF77" s="930"/>
      <c r="AG77" s="930"/>
      <c r="AH77" s="930"/>
      <c r="AI77" s="930"/>
      <c r="AJ77" s="930"/>
      <c r="AK77" s="930"/>
      <c r="AL77" s="930"/>
      <c r="AM77" s="930"/>
      <c r="AN77" s="930"/>
      <c r="AO77" s="930"/>
      <c r="AP77" s="930"/>
      <c r="AQ77" s="930"/>
      <c r="AR77" s="930"/>
      <c r="AS77" s="930"/>
      <c r="AT77" s="930"/>
      <c r="AU77" s="930"/>
      <c r="AV77" s="930"/>
      <c r="AW77" s="930"/>
      <c r="AX77" s="930"/>
      <c r="AY77" s="930"/>
      <c r="AZ77" s="930"/>
      <c r="BA77" s="930"/>
      <c r="BB77" s="930"/>
      <c r="BC77" s="930"/>
      <c r="BD77" s="930"/>
      <c r="BE77" s="930"/>
      <c r="BF77" s="930"/>
      <c r="BG77" s="930"/>
      <c r="BH77" s="930"/>
      <c r="BI77" s="930"/>
      <c r="BJ77" s="930"/>
      <c r="BK77" s="930"/>
      <c r="BL77" s="930"/>
      <c r="BM77" s="930"/>
      <c r="BN77" s="930"/>
      <c r="BO77" s="930"/>
      <c r="BP77" s="930"/>
      <c r="BQ77" s="930"/>
      <c r="BR77" s="930"/>
      <c r="BS77" s="930"/>
      <c r="BT77" s="930"/>
    </row>
    <row r="78" spans="1:72" x14ac:dyDescent="0.25">
      <c r="A78" s="930"/>
      <c r="B78" s="930"/>
      <c r="C78" s="930"/>
      <c r="D78" s="930"/>
      <c r="E78" s="930"/>
      <c r="F78" s="930"/>
      <c r="G78" s="930"/>
      <c r="H78" s="930"/>
      <c r="I78" s="930"/>
      <c r="J78" s="930"/>
      <c r="K78" s="930"/>
      <c r="L78" s="930"/>
      <c r="M78" s="930"/>
      <c r="N78" s="930"/>
      <c r="O78" s="930"/>
      <c r="P78" s="930"/>
      <c r="Q78" s="930"/>
      <c r="R78" s="930"/>
      <c r="S78" s="930"/>
      <c r="T78" s="930"/>
      <c r="U78" s="930"/>
      <c r="V78" s="930"/>
      <c r="W78" s="930"/>
      <c r="X78" s="930"/>
      <c r="Y78" s="930"/>
      <c r="Z78" s="930"/>
      <c r="AA78" s="930"/>
      <c r="AB78" s="930"/>
      <c r="AC78" s="930"/>
      <c r="AD78" s="930"/>
      <c r="AE78" s="930"/>
      <c r="AF78" s="930"/>
      <c r="AG78" s="930"/>
      <c r="AH78" s="930"/>
      <c r="AI78" s="930"/>
      <c r="AJ78" s="930"/>
      <c r="AK78" s="930"/>
      <c r="AL78" s="930"/>
      <c r="AM78" s="930"/>
      <c r="AN78" s="930"/>
      <c r="AO78" s="930"/>
      <c r="AP78" s="930"/>
      <c r="AQ78" s="930"/>
      <c r="AR78" s="930"/>
      <c r="AS78" s="930"/>
      <c r="AT78" s="930"/>
      <c r="AU78" s="930"/>
      <c r="AV78" s="930"/>
      <c r="AW78" s="930"/>
      <c r="AX78" s="930"/>
      <c r="AY78" s="930"/>
      <c r="AZ78" s="930"/>
      <c r="BA78" s="930"/>
      <c r="BB78" s="930"/>
      <c r="BC78" s="930"/>
      <c r="BD78" s="930"/>
      <c r="BE78" s="930"/>
      <c r="BF78" s="930"/>
      <c r="BG78" s="930"/>
      <c r="BH78" s="930"/>
      <c r="BI78" s="930"/>
      <c r="BJ78" s="930"/>
      <c r="BK78" s="930"/>
      <c r="BL78" s="930"/>
      <c r="BM78" s="930"/>
      <c r="BN78" s="930"/>
      <c r="BO78" s="930"/>
      <c r="BP78" s="930"/>
      <c r="BQ78" s="930"/>
      <c r="BR78" s="930"/>
      <c r="BS78" s="930"/>
      <c r="BT78" s="930"/>
    </row>
    <row r="79" spans="1:72" x14ac:dyDescent="0.25">
      <c r="A79" s="930" t="s">
        <v>473</v>
      </c>
      <c r="B79" s="930"/>
      <c r="C79" s="930"/>
      <c r="D79" s="930"/>
      <c r="E79" s="930"/>
      <c r="F79" s="930"/>
      <c r="G79" s="930"/>
      <c r="H79" s="930"/>
      <c r="I79" s="930"/>
      <c r="J79" s="930"/>
      <c r="K79" s="930"/>
      <c r="L79" s="930"/>
      <c r="M79" s="930"/>
      <c r="N79" s="930"/>
      <c r="O79" s="930"/>
      <c r="P79" s="930"/>
      <c r="Q79" s="930"/>
      <c r="R79" s="930"/>
      <c r="S79" s="930"/>
      <c r="T79" s="930"/>
      <c r="U79" s="930"/>
      <c r="V79" s="930"/>
      <c r="W79" s="930"/>
      <c r="X79" s="930"/>
      <c r="Y79" s="930"/>
      <c r="Z79" s="930"/>
      <c r="AA79" s="930"/>
      <c r="AB79" s="930"/>
      <c r="AC79" s="930"/>
      <c r="AD79" s="930"/>
      <c r="AE79" s="930"/>
      <c r="AF79" s="930"/>
      <c r="AG79" s="930"/>
      <c r="AH79" s="930"/>
      <c r="AI79" s="930"/>
      <c r="AJ79" s="930"/>
      <c r="AK79" s="930"/>
      <c r="AL79" s="930"/>
      <c r="AM79" s="930"/>
      <c r="AN79" s="930"/>
      <c r="AO79" s="930"/>
      <c r="AP79" s="930"/>
      <c r="AQ79" s="930"/>
      <c r="AR79" s="930"/>
      <c r="AS79" s="930"/>
      <c r="AT79" s="930"/>
      <c r="AU79" s="930"/>
      <c r="AV79" s="930"/>
      <c r="AW79" s="930"/>
      <c r="AX79" s="930"/>
      <c r="AY79" s="930"/>
      <c r="AZ79" s="930"/>
      <c r="BA79" s="930"/>
      <c r="BB79" s="930"/>
      <c r="BC79" s="930"/>
      <c r="BD79" s="930"/>
      <c r="BE79" s="930"/>
      <c r="BF79" s="930"/>
      <c r="BG79" s="930"/>
      <c r="BH79" s="930"/>
      <c r="BI79" s="930"/>
      <c r="BJ79" s="930"/>
      <c r="BK79" s="930"/>
      <c r="BL79" s="930"/>
      <c r="BM79" s="930"/>
      <c r="BN79" s="930"/>
      <c r="BO79" s="930"/>
      <c r="BP79" s="930"/>
      <c r="BQ79" s="930"/>
      <c r="BR79" s="930"/>
      <c r="BS79" s="930"/>
      <c r="BT79" s="930"/>
    </row>
    <row r="80" spans="1:72" x14ac:dyDescent="0.25">
      <c r="A80" s="930" t="s">
        <v>609</v>
      </c>
      <c r="B80" s="930">
        <v>26.25</v>
      </c>
      <c r="C80" s="930">
        <v>29.35</v>
      </c>
      <c r="D80" s="930">
        <v>24.9</v>
      </c>
      <c r="E80" s="930">
        <v>24.01</v>
      </c>
      <c r="F80" s="930">
        <v>24.09</v>
      </c>
      <c r="G80" s="930">
        <v>25.25</v>
      </c>
      <c r="H80" s="930">
        <v>26.47</v>
      </c>
      <c r="I80" s="930">
        <v>27.44</v>
      </c>
      <c r="J80" s="930">
        <v>28.03</v>
      </c>
      <c r="K80" s="930">
        <v>28.67</v>
      </c>
      <c r="L80" s="930">
        <v>29.21</v>
      </c>
      <c r="M80" s="930">
        <v>29.8</v>
      </c>
      <c r="N80" s="930">
        <v>30.06</v>
      </c>
      <c r="O80" s="930">
        <v>30.29</v>
      </c>
      <c r="P80" s="930">
        <v>30.53</v>
      </c>
      <c r="Q80" s="930">
        <v>30.73</v>
      </c>
      <c r="R80" s="930">
        <v>31.01</v>
      </c>
      <c r="S80" s="930">
        <v>31.28</v>
      </c>
      <c r="T80" s="930">
        <v>31.55</v>
      </c>
      <c r="U80" s="930">
        <v>31.7</v>
      </c>
      <c r="V80" s="930">
        <v>31.98</v>
      </c>
      <c r="W80" s="930">
        <v>32.229999999999997</v>
      </c>
      <c r="X80" s="930">
        <v>32.590000000000003</v>
      </c>
      <c r="Y80" s="930">
        <v>32.81</v>
      </c>
      <c r="Z80" s="930">
        <v>33.17</v>
      </c>
      <c r="AA80" s="930">
        <v>33.51</v>
      </c>
      <c r="AB80" s="930">
        <v>33.9</v>
      </c>
      <c r="AC80" s="930">
        <v>34.26</v>
      </c>
      <c r="AD80" s="930">
        <v>34.65</v>
      </c>
      <c r="AE80" s="969">
        <v>6.0000000000000001E-3</v>
      </c>
      <c r="AF80" s="930"/>
      <c r="AG80" s="930"/>
      <c r="AH80" s="930"/>
      <c r="AI80" s="930"/>
      <c r="AJ80" s="930"/>
      <c r="AK80" s="930"/>
      <c r="AL80" s="930"/>
      <c r="AM80" s="930"/>
      <c r="AN80" s="930"/>
      <c r="AO80" s="930"/>
      <c r="AP80" s="930"/>
      <c r="AQ80" s="930"/>
      <c r="AR80" s="930"/>
      <c r="AS80" s="930"/>
      <c r="AT80" s="930"/>
      <c r="AU80" s="930"/>
      <c r="AV80" s="930"/>
      <c r="AW80" s="930"/>
      <c r="AX80" s="930"/>
      <c r="AY80" s="930"/>
      <c r="AZ80" s="930"/>
      <c r="BA80" s="930"/>
      <c r="BB80" s="930"/>
      <c r="BC80" s="930"/>
      <c r="BD80" s="930"/>
      <c r="BE80" s="930"/>
      <c r="BF80" s="930"/>
      <c r="BG80" s="930"/>
      <c r="BH80" s="930"/>
      <c r="BI80" s="930"/>
      <c r="BJ80" s="930"/>
      <c r="BK80" s="930"/>
      <c r="BL80" s="930"/>
      <c r="BM80" s="930"/>
      <c r="BN80" s="930"/>
      <c r="BO80" s="930"/>
      <c r="BP80" s="930"/>
      <c r="BQ80" s="930"/>
      <c r="BR80" s="930"/>
      <c r="BS80" s="930"/>
      <c r="BT80" s="930"/>
    </row>
    <row r="81" spans="1:72" x14ac:dyDescent="0.25">
      <c r="A81" s="930" t="s">
        <v>610</v>
      </c>
      <c r="B81" s="930">
        <v>20.3</v>
      </c>
      <c r="C81" s="930">
        <v>24.47</v>
      </c>
      <c r="D81" s="930">
        <v>17.98</v>
      </c>
      <c r="E81" s="930">
        <v>17.57</v>
      </c>
      <c r="F81" s="930">
        <v>17.72</v>
      </c>
      <c r="G81" s="930">
        <v>18.84</v>
      </c>
      <c r="H81" s="930">
        <v>19.86</v>
      </c>
      <c r="I81" s="930">
        <v>20.58</v>
      </c>
      <c r="J81" s="930">
        <v>21.08</v>
      </c>
      <c r="K81" s="930">
        <v>22</v>
      </c>
      <c r="L81" s="930">
        <v>22.66</v>
      </c>
      <c r="M81" s="930">
        <v>23.32</v>
      </c>
      <c r="N81" s="930">
        <v>23.74</v>
      </c>
      <c r="O81" s="930">
        <v>24.1</v>
      </c>
      <c r="P81" s="930">
        <v>24.24</v>
      </c>
      <c r="Q81" s="930">
        <v>24.44</v>
      </c>
      <c r="R81" s="930">
        <v>24.76</v>
      </c>
      <c r="S81" s="930">
        <v>24.94</v>
      </c>
      <c r="T81" s="930">
        <v>25.23</v>
      </c>
      <c r="U81" s="930">
        <v>25.5</v>
      </c>
      <c r="V81" s="930">
        <v>25.72</v>
      </c>
      <c r="W81" s="930">
        <v>26.04</v>
      </c>
      <c r="X81" s="930">
        <v>26.44</v>
      </c>
      <c r="Y81" s="930">
        <v>26.61</v>
      </c>
      <c r="Z81" s="930">
        <v>27.05</v>
      </c>
      <c r="AA81" s="930">
        <v>27.45</v>
      </c>
      <c r="AB81" s="930">
        <v>27.82</v>
      </c>
      <c r="AC81" s="930">
        <v>28.24</v>
      </c>
      <c r="AD81" s="930">
        <v>28.66</v>
      </c>
      <c r="AE81" s="969">
        <v>6.0000000000000001E-3</v>
      </c>
      <c r="AF81" s="930"/>
      <c r="AG81" s="930"/>
      <c r="AH81" s="930"/>
      <c r="AI81" s="930"/>
      <c r="AJ81" s="930"/>
      <c r="AK81" s="930"/>
      <c r="AL81" s="930"/>
      <c r="AM81" s="930"/>
      <c r="AN81" s="930"/>
      <c r="AO81" s="930"/>
      <c r="AP81" s="930"/>
      <c r="AQ81" s="930"/>
      <c r="AR81" s="930"/>
      <c r="AS81" s="930"/>
      <c r="AT81" s="930"/>
      <c r="AU81" s="930"/>
      <c r="AV81" s="930"/>
      <c r="AW81" s="930"/>
      <c r="AX81" s="930"/>
      <c r="AY81" s="930"/>
      <c r="AZ81" s="930"/>
      <c r="BA81" s="930"/>
      <c r="BB81" s="930"/>
      <c r="BC81" s="930"/>
      <c r="BD81" s="930"/>
      <c r="BE81" s="930"/>
      <c r="BF81" s="930"/>
      <c r="BG81" s="930"/>
      <c r="BH81" s="930"/>
      <c r="BI81" s="930"/>
      <c r="BJ81" s="930"/>
      <c r="BK81" s="930"/>
      <c r="BL81" s="930"/>
      <c r="BM81" s="930"/>
      <c r="BN81" s="930"/>
      <c r="BO81" s="930"/>
      <c r="BP81" s="930"/>
      <c r="BQ81" s="930"/>
      <c r="BR81" s="930"/>
      <c r="BS81" s="930"/>
      <c r="BT81" s="930"/>
    </row>
    <row r="82" spans="1:72" x14ac:dyDescent="0.25">
      <c r="A82" s="930" t="s">
        <v>510</v>
      </c>
      <c r="B82" s="930">
        <v>12.94</v>
      </c>
      <c r="C82" s="930">
        <v>13.48</v>
      </c>
      <c r="D82" s="930">
        <v>11.39</v>
      </c>
      <c r="E82" s="930">
        <v>10.89</v>
      </c>
      <c r="F82" s="930">
        <v>11.78</v>
      </c>
      <c r="G82" s="930">
        <v>11.87</v>
      </c>
      <c r="H82" s="930">
        <v>11.48</v>
      </c>
      <c r="I82" s="930">
        <v>11.41</v>
      </c>
      <c r="J82" s="930">
        <v>11.56</v>
      </c>
      <c r="K82" s="930">
        <v>11.65</v>
      </c>
      <c r="L82" s="930">
        <v>11.69</v>
      </c>
      <c r="M82" s="930">
        <v>11.76</v>
      </c>
      <c r="N82" s="930">
        <v>11.83</v>
      </c>
      <c r="O82" s="930">
        <v>11.95</v>
      </c>
      <c r="P82" s="930">
        <v>12.07</v>
      </c>
      <c r="Q82" s="930">
        <v>12.26</v>
      </c>
      <c r="R82" s="930">
        <v>12.29</v>
      </c>
      <c r="S82" s="930">
        <v>12.2</v>
      </c>
      <c r="T82" s="930">
        <v>12.29</v>
      </c>
      <c r="U82" s="930">
        <v>12.46</v>
      </c>
      <c r="V82" s="930">
        <v>12.66</v>
      </c>
      <c r="W82" s="930">
        <v>12.9</v>
      </c>
      <c r="X82" s="930">
        <v>13.16</v>
      </c>
      <c r="Y82" s="930">
        <v>13.44</v>
      </c>
      <c r="Z82" s="930">
        <v>13.78</v>
      </c>
      <c r="AA82" s="930">
        <v>13.93</v>
      </c>
      <c r="AB82" s="930">
        <v>14.03</v>
      </c>
      <c r="AC82" s="930">
        <v>14.25</v>
      </c>
      <c r="AD82" s="930">
        <v>14.4</v>
      </c>
      <c r="AE82" s="969">
        <v>2E-3</v>
      </c>
      <c r="AF82" s="930"/>
      <c r="AG82" s="930"/>
      <c r="AH82" s="930"/>
      <c r="AI82" s="930"/>
      <c r="AJ82" s="930"/>
      <c r="AK82" s="930"/>
      <c r="AL82" s="930"/>
      <c r="AM82" s="930"/>
      <c r="AN82" s="930"/>
      <c r="AO82" s="930"/>
      <c r="AP82" s="930"/>
      <c r="AQ82" s="930"/>
      <c r="AR82" s="930"/>
      <c r="AS82" s="930"/>
      <c r="AT82" s="930"/>
      <c r="AU82" s="930"/>
      <c r="AV82" s="930"/>
      <c r="AW82" s="930"/>
      <c r="AX82" s="930"/>
      <c r="AY82" s="930"/>
      <c r="AZ82" s="930"/>
      <c r="BA82" s="930"/>
      <c r="BB82" s="930"/>
      <c r="BC82" s="930"/>
      <c r="BD82" s="930"/>
      <c r="BE82" s="930"/>
      <c r="BF82" s="930"/>
      <c r="BG82" s="930"/>
      <c r="BH82" s="930"/>
      <c r="BI82" s="930"/>
      <c r="BJ82" s="930"/>
      <c r="BK82" s="930"/>
      <c r="BL82" s="930"/>
      <c r="BM82" s="930"/>
      <c r="BN82" s="930"/>
      <c r="BO82" s="930"/>
      <c r="BP82" s="930"/>
      <c r="BQ82" s="930"/>
      <c r="BR82" s="930"/>
      <c r="BS82" s="930"/>
      <c r="BT82" s="930"/>
    </row>
    <row r="83" spans="1:72" x14ac:dyDescent="0.25">
      <c r="A83" s="930" t="s">
        <v>479</v>
      </c>
      <c r="B83" s="930">
        <v>31.82</v>
      </c>
      <c r="C83" s="930">
        <v>33.29</v>
      </c>
      <c r="D83" s="930">
        <v>32.33</v>
      </c>
      <c r="E83" s="930">
        <v>30.94</v>
      </c>
      <c r="F83" s="930">
        <v>29.9</v>
      </c>
      <c r="G83" s="930">
        <v>31.08</v>
      </c>
      <c r="H83" s="930">
        <v>31.47</v>
      </c>
      <c r="I83" s="930">
        <v>31.49</v>
      </c>
      <c r="J83" s="930">
        <v>31.43</v>
      </c>
      <c r="K83" s="930">
        <v>31.64</v>
      </c>
      <c r="L83" s="930">
        <v>31.8</v>
      </c>
      <c r="M83" s="930">
        <v>31.78</v>
      </c>
      <c r="N83" s="930">
        <v>31.68</v>
      </c>
      <c r="O83" s="930">
        <v>31.84</v>
      </c>
      <c r="P83" s="930">
        <v>32.01</v>
      </c>
      <c r="Q83" s="930">
        <v>32.08</v>
      </c>
      <c r="R83" s="930">
        <v>32.200000000000003</v>
      </c>
      <c r="S83" s="930">
        <v>32.28</v>
      </c>
      <c r="T83" s="930">
        <v>32.26</v>
      </c>
      <c r="U83" s="930">
        <v>32.4</v>
      </c>
      <c r="V83" s="930">
        <v>32.57</v>
      </c>
      <c r="W83" s="930">
        <v>32.729999999999997</v>
      </c>
      <c r="X83" s="930">
        <v>33.130000000000003</v>
      </c>
      <c r="Y83" s="930">
        <v>33.46</v>
      </c>
      <c r="Z83" s="930">
        <v>33.81</v>
      </c>
      <c r="AA83" s="930">
        <v>34.11</v>
      </c>
      <c r="AB83" s="930">
        <v>34.26</v>
      </c>
      <c r="AC83" s="930">
        <v>34.49</v>
      </c>
      <c r="AD83" s="930">
        <v>34.71</v>
      </c>
      <c r="AE83" s="969">
        <v>2E-3</v>
      </c>
      <c r="AF83" s="930"/>
      <c r="AG83" s="930"/>
      <c r="AH83" s="930"/>
      <c r="AI83" s="930"/>
      <c r="AJ83" s="930"/>
      <c r="AK83" s="930"/>
      <c r="AL83" s="930"/>
      <c r="AM83" s="930"/>
      <c r="AN83" s="930"/>
      <c r="AO83" s="930"/>
      <c r="AP83" s="930"/>
      <c r="AQ83" s="930"/>
      <c r="AR83" s="930"/>
      <c r="AS83" s="930"/>
      <c r="AT83" s="930"/>
      <c r="AU83" s="930"/>
      <c r="AV83" s="930"/>
      <c r="AW83" s="930"/>
      <c r="AX83" s="930"/>
      <c r="AY83" s="930"/>
      <c r="AZ83" s="930"/>
      <c r="BA83" s="930"/>
      <c r="BB83" s="930"/>
      <c r="BC83" s="930"/>
      <c r="BD83" s="930"/>
      <c r="BE83" s="930"/>
      <c r="BF83" s="930"/>
      <c r="BG83" s="930"/>
      <c r="BH83" s="930"/>
      <c r="BI83" s="930"/>
      <c r="BJ83" s="930"/>
      <c r="BK83" s="930"/>
      <c r="BL83" s="930"/>
      <c r="BM83" s="930"/>
      <c r="BN83" s="930"/>
      <c r="BO83" s="930"/>
      <c r="BP83" s="930"/>
      <c r="BQ83" s="930"/>
      <c r="BR83" s="930"/>
      <c r="BS83" s="930"/>
      <c r="BT83" s="930"/>
    </row>
    <row r="84" spans="1:72" x14ac:dyDescent="0.25">
      <c r="A84" s="930"/>
      <c r="B84" s="930"/>
      <c r="C84" s="930"/>
      <c r="D84" s="930"/>
      <c r="E84" s="930"/>
      <c r="F84" s="930"/>
      <c r="G84" s="930"/>
      <c r="H84" s="930"/>
      <c r="I84" s="930"/>
      <c r="J84" s="930"/>
      <c r="K84" s="930"/>
      <c r="L84" s="930"/>
      <c r="M84" s="930"/>
      <c r="N84" s="930"/>
      <c r="O84" s="930"/>
      <c r="P84" s="930"/>
      <c r="Q84" s="930"/>
      <c r="R84" s="930"/>
      <c r="S84" s="930"/>
      <c r="T84" s="930"/>
      <c r="U84" s="930"/>
      <c r="V84" s="930"/>
      <c r="W84" s="930"/>
      <c r="X84" s="930"/>
      <c r="Y84" s="930"/>
      <c r="Z84" s="930"/>
      <c r="AA84" s="930"/>
      <c r="AB84" s="930"/>
      <c r="AC84" s="930"/>
      <c r="AD84" s="930"/>
      <c r="AE84" s="930"/>
      <c r="AF84" s="930"/>
      <c r="AG84" s="930"/>
      <c r="AH84" s="930"/>
      <c r="AI84" s="930"/>
      <c r="AJ84" s="930"/>
      <c r="AK84" s="930"/>
      <c r="AL84" s="930"/>
      <c r="AM84" s="930"/>
      <c r="AN84" s="930"/>
      <c r="AO84" s="930"/>
      <c r="AP84" s="930"/>
      <c r="AQ84" s="930"/>
      <c r="AR84" s="930"/>
      <c r="AS84" s="930"/>
      <c r="AT84" s="930"/>
      <c r="AU84" s="930"/>
      <c r="AV84" s="930"/>
      <c r="AW84" s="930"/>
      <c r="AX84" s="930"/>
      <c r="AY84" s="930"/>
      <c r="AZ84" s="930"/>
      <c r="BA84" s="930"/>
      <c r="BB84" s="930"/>
      <c r="BC84" s="930"/>
      <c r="BD84" s="930"/>
      <c r="BE84" s="930"/>
      <c r="BF84" s="930"/>
      <c r="BG84" s="930"/>
      <c r="BH84" s="930"/>
      <c r="BI84" s="930"/>
      <c r="BJ84" s="930"/>
      <c r="BK84" s="930"/>
      <c r="BL84" s="930"/>
      <c r="BM84" s="930"/>
      <c r="BN84" s="930"/>
      <c r="BO84" s="930"/>
      <c r="BP84" s="930"/>
      <c r="BQ84" s="930"/>
      <c r="BR84" s="930"/>
      <c r="BS84" s="930"/>
      <c r="BT84" s="930"/>
    </row>
    <row r="85" spans="1:72" x14ac:dyDescent="0.25">
      <c r="A85" s="930" t="s">
        <v>480</v>
      </c>
      <c r="B85" s="930"/>
      <c r="C85" s="930"/>
      <c r="D85" s="930"/>
      <c r="E85" s="930"/>
      <c r="F85" s="930"/>
      <c r="G85" s="930"/>
      <c r="H85" s="930"/>
      <c r="I85" s="930"/>
      <c r="J85" s="930"/>
      <c r="K85" s="930"/>
      <c r="L85" s="930"/>
      <c r="M85" s="930"/>
      <c r="N85" s="930"/>
      <c r="O85" s="930"/>
      <c r="P85" s="930"/>
      <c r="Q85" s="930"/>
      <c r="R85" s="930"/>
      <c r="S85" s="930"/>
      <c r="T85" s="930"/>
      <c r="U85" s="930"/>
      <c r="V85" s="930"/>
      <c r="W85" s="930"/>
      <c r="X85" s="930"/>
      <c r="Y85" s="930"/>
      <c r="Z85" s="930"/>
      <c r="AA85" s="930"/>
      <c r="AB85" s="930"/>
      <c r="AC85" s="930"/>
      <c r="AD85" s="930"/>
      <c r="AE85" s="930"/>
      <c r="AF85" s="930"/>
      <c r="AG85" s="930"/>
      <c r="AH85" s="930"/>
      <c r="AI85" s="930"/>
      <c r="AJ85" s="930"/>
      <c r="AK85" s="930"/>
      <c r="AL85" s="930"/>
      <c r="AM85" s="930"/>
      <c r="AN85" s="930"/>
      <c r="AO85" s="930"/>
      <c r="AP85" s="930"/>
      <c r="AQ85" s="930"/>
      <c r="AR85" s="930"/>
      <c r="AS85" s="930"/>
      <c r="AT85" s="930"/>
      <c r="AU85" s="930"/>
      <c r="AV85" s="930"/>
      <c r="AW85" s="930"/>
      <c r="AX85" s="930"/>
      <c r="AY85" s="930"/>
      <c r="AZ85" s="930"/>
      <c r="BA85" s="930"/>
      <c r="BB85" s="930"/>
      <c r="BC85" s="930"/>
      <c r="BD85" s="930"/>
      <c r="BE85" s="930"/>
      <c r="BF85" s="930"/>
      <c r="BG85" s="930"/>
      <c r="BH85" s="930"/>
      <c r="BI85" s="930"/>
      <c r="BJ85" s="930"/>
      <c r="BK85" s="930"/>
      <c r="BL85" s="930"/>
      <c r="BM85" s="930"/>
      <c r="BN85" s="930"/>
      <c r="BO85" s="930"/>
      <c r="BP85" s="930"/>
      <c r="BQ85" s="930"/>
      <c r="BR85" s="930"/>
      <c r="BS85" s="930"/>
      <c r="BT85" s="930"/>
    </row>
    <row r="86" spans="1:72" x14ac:dyDescent="0.25">
      <c r="A86" s="930" t="s">
        <v>609</v>
      </c>
      <c r="B86" s="930">
        <v>20.65</v>
      </c>
      <c r="C86" s="930">
        <v>26.15</v>
      </c>
      <c r="D86" s="930">
        <v>19.82</v>
      </c>
      <c r="E86" s="930">
        <v>20.78</v>
      </c>
      <c r="F86" s="930">
        <v>20.86</v>
      </c>
      <c r="G86" s="930">
        <v>22.02</v>
      </c>
      <c r="H86" s="930">
        <v>23.23</v>
      </c>
      <c r="I86" s="930">
        <v>24.19</v>
      </c>
      <c r="J86" s="930">
        <v>24.77</v>
      </c>
      <c r="K86" s="930">
        <v>25.41</v>
      </c>
      <c r="L86" s="930">
        <v>25.95</v>
      </c>
      <c r="M86" s="930">
        <v>26.53</v>
      </c>
      <c r="N86" s="930">
        <v>26.79</v>
      </c>
      <c r="O86" s="930">
        <v>27.02</v>
      </c>
      <c r="P86" s="930">
        <v>27.25</v>
      </c>
      <c r="Q86" s="930">
        <v>27.46</v>
      </c>
      <c r="R86" s="930">
        <v>27.73</v>
      </c>
      <c r="S86" s="930">
        <v>28</v>
      </c>
      <c r="T86" s="930">
        <v>28.26</v>
      </c>
      <c r="U86" s="930">
        <v>28.41</v>
      </c>
      <c r="V86" s="930">
        <v>28.68</v>
      </c>
      <c r="W86" s="930">
        <v>28.93</v>
      </c>
      <c r="X86" s="930">
        <v>29.28</v>
      </c>
      <c r="Y86" s="930">
        <v>29.5</v>
      </c>
      <c r="Z86" s="930">
        <v>29.86</v>
      </c>
      <c r="AA86" s="930">
        <v>30.19</v>
      </c>
      <c r="AB86" s="930">
        <v>30.58</v>
      </c>
      <c r="AC86" s="930">
        <v>30.94</v>
      </c>
      <c r="AD86" s="930">
        <v>31.32</v>
      </c>
      <c r="AE86" s="969">
        <v>7.0000000000000001E-3</v>
      </c>
      <c r="AF86" s="930"/>
      <c r="AG86" s="930"/>
      <c r="AH86" s="930"/>
      <c r="AI86" s="930"/>
      <c r="AJ86" s="930"/>
      <c r="AK86" s="930"/>
      <c r="AL86" s="930"/>
      <c r="AM86" s="930"/>
      <c r="AN86" s="930"/>
      <c r="AO86" s="930"/>
      <c r="AP86" s="930"/>
      <c r="AQ86" s="930"/>
      <c r="AR86" s="930"/>
      <c r="AS86" s="930"/>
      <c r="AT86" s="930"/>
      <c r="AU86" s="930"/>
      <c r="AV86" s="930"/>
      <c r="AW86" s="930"/>
      <c r="AX86" s="930"/>
      <c r="AY86" s="930"/>
      <c r="AZ86" s="930"/>
      <c r="BA86" s="930"/>
      <c r="BB86" s="930"/>
      <c r="BC86" s="930"/>
      <c r="BD86" s="930"/>
      <c r="BE86" s="930"/>
      <c r="BF86" s="930"/>
      <c r="BG86" s="930"/>
      <c r="BH86" s="930"/>
      <c r="BI86" s="930"/>
      <c r="BJ86" s="930"/>
      <c r="BK86" s="930"/>
      <c r="BL86" s="930"/>
      <c r="BM86" s="930"/>
      <c r="BN86" s="930"/>
      <c r="BO86" s="930"/>
      <c r="BP86" s="930"/>
      <c r="BQ86" s="930"/>
      <c r="BR86" s="930"/>
      <c r="BS86" s="930"/>
      <c r="BT86" s="930"/>
    </row>
    <row r="87" spans="1:72" x14ac:dyDescent="0.25">
      <c r="A87" s="930" t="s">
        <v>610</v>
      </c>
      <c r="B87" s="930">
        <v>17.48</v>
      </c>
      <c r="C87" s="930">
        <v>21.5</v>
      </c>
      <c r="D87" s="930">
        <v>15.8</v>
      </c>
      <c r="E87" s="930">
        <v>14.82</v>
      </c>
      <c r="F87" s="930">
        <v>15.24</v>
      </c>
      <c r="G87" s="930">
        <v>16.38</v>
      </c>
      <c r="H87" s="930">
        <v>17.399999999999999</v>
      </c>
      <c r="I87" s="930">
        <v>18.11</v>
      </c>
      <c r="J87" s="930">
        <v>18.72</v>
      </c>
      <c r="K87" s="930">
        <v>19.559999999999999</v>
      </c>
      <c r="L87" s="930">
        <v>20.2</v>
      </c>
      <c r="M87" s="930">
        <v>20.84</v>
      </c>
      <c r="N87" s="930">
        <v>21.26</v>
      </c>
      <c r="O87" s="930">
        <v>21.6</v>
      </c>
      <c r="P87" s="930">
        <v>21.78</v>
      </c>
      <c r="Q87" s="930">
        <v>22.04</v>
      </c>
      <c r="R87" s="930">
        <v>22.29</v>
      </c>
      <c r="S87" s="930">
        <v>22.43</v>
      </c>
      <c r="T87" s="930">
        <v>22.72</v>
      </c>
      <c r="U87" s="930">
        <v>22.97</v>
      </c>
      <c r="V87" s="930">
        <v>23.21</v>
      </c>
      <c r="W87" s="930">
        <v>23.53</v>
      </c>
      <c r="X87" s="930">
        <v>23.93</v>
      </c>
      <c r="Y87" s="930">
        <v>24.11</v>
      </c>
      <c r="Z87" s="930">
        <v>24.54</v>
      </c>
      <c r="AA87" s="930">
        <v>24.94</v>
      </c>
      <c r="AB87" s="930">
        <v>25.28</v>
      </c>
      <c r="AC87" s="930">
        <v>25.69</v>
      </c>
      <c r="AD87" s="930">
        <v>26.13</v>
      </c>
      <c r="AE87" s="969">
        <v>7.0000000000000001E-3</v>
      </c>
      <c r="AF87" s="930"/>
      <c r="AG87" s="930"/>
      <c r="AH87" s="930"/>
      <c r="AI87" s="930"/>
      <c r="AJ87" s="930"/>
      <c r="AK87" s="930"/>
      <c r="AL87" s="930"/>
      <c r="AM87" s="930"/>
      <c r="AN87" s="930"/>
      <c r="AO87" s="930"/>
      <c r="AP87" s="930"/>
      <c r="AQ87" s="930"/>
      <c r="AR87" s="930"/>
      <c r="AS87" s="930"/>
      <c r="AT87" s="930"/>
      <c r="AU87" s="930"/>
      <c r="AV87" s="930"/>
      <c r="AW87" s="930"/>
      <c r="AX87" s="930"/>
      <c r="AY87" s="930"/>
      <c r="AZ87" s="930"/>
      <c r="BA87" s="930"/>
      <c r="BB87" s="930"/>
      <c r="BC87" s="930"/>
      <c r="BD87" s="930"/>
      <c r="BE87" s="930"/>
      <c r="BF87" s="930"/>
      <c r="BG87" s="930"/>
      <c r="BH87" s="930"/>
      <c r="BI87" s="930"/>
      <c r="BJ87" s="930"/>
      <c r="BK87" s="930"/>
      <c r="BL87" s="930"/>
      <c r="BM87" s="930"/>
      <c r="BN87" s="930"/>
      <c r="BO87" s="930"/>
      <c r="BP87" s="930"/>
      <c r="BQ87" s="930"/>
      <c r="BR87" s="930"/>
      <c r="BS87" s="930"/>
      <c r="BT87" s="930"/>
    </row>
    <row r="88" spans="1:72" x14ac:dyDescent="0.25">
      <c r="A88" s="930" t="s">
        <v>723</v>
      </c>
      <c r="B88" s="930">
        <v>8.39</v>
      </c>
      <c r="C88" s="930">
        <v>15.52</v>
      </c>
      <c r="D88" s="930">
        <v>9.27</v>
      </c>
      <c r="E88" s="930">
        <v>9.4499999999999993</v>
      </c>
      <c r="F88" s="930">
        <v>9.6300000000000008</v>
      </c>
      <c r="G88" s="930">
        <v>10.85</v>
      </c>
      <c r="H88" s="930">
        <v>11.98</v>
      </c>
      <c r="I88" s="930">
        <v>12.76</v>
      </c>
      <c r="J88" s="930">
        <v>13.13</v>
      </c>
      <c r="K88" s="930">
        <v>13.68</v>
      </c>
      <c r="L88" s="930">
        <v>14.17</v>
      </c>
      <c r="M88" s="930">
        <v>14.69</v>
      </c>
      <c r="N88" s="930">
        <v>15.26</v>
      </c>
      <c r="O88" s="930">
        <v>15.46</v>
      </c>
      <c r="P88" s="930">
        <v>15.68</v>
      </c>
      <c r="Q88" s="930">
        <v>15.89</v>
      </c>
      <c r="R88" s="930">
        <v>16.12</v>
      </c>
      <c r="S88" s="930">
        <v>16.34</v>
      </c>
      <c r="T88" s="930">
        <v>16.54</v>
      </c>
      <c r="U88" s="930">
        <v>16.63</v>
      </c>
      <c r="V88" s="930">
        <v>16.82</v>
      </c>
      <c r="W88" s="930">
        <v>17.059999999999999</v>
      </c>
      <c r="X88" s="930">
        <v>17.28</v>
      </c>
      <c r="Y88" s="930">
        <v>17.54</v>
      </c>
      <c r="Z88" s="930">
        <v>17.89</v>
      </c>
      <c r="AA88" s="930">
        <v>18.12</v>
      </c>
      <c r="AB88" s="930">
        <v>18.25</v>
      </c>
      <c r="AC88" s="930">
        <v>18.68</v>
      </c>
      <c r="AD88" s="930">
        <v>18.84</v>
      </c>
      <c r="AE88" s="969">
        <v>7.0000000000000001E-3</v>
      </c>
      <c r="AF88" s="930"/>
      <c r="AG88" s="930"/>
      <c r="AH88" s="930"/>
      <c r="AI88" s="930"/>
      <c r="AJ88" s="930"/>
      <c r="AK88" s="930"/>
      <c r="AL88" s="930"/>
      <c r="AM88" s="930"/>
      <c r="AN88" s="930"/>
      <c r="AO88" s="930"/>
      <c r="AP88" s="930"/>
      <c r="AQ88" s="930"/>
      <c r="AR88" s="930"/>
      <c r="AS88" s="930"/>
      <c r="AT88" s="930"/>
      <c r="AU88" s="930"/>
      <c r="AV88" s="930"/>
      <c r="AW88" s="930"/>
      <c r="AX88" s="930"/>
      <c r="AY88" s="930"/>
      <c r="AZ88" s="930"/>
      <c r="BA88" s="930"/>
      <c r="BB88" s="930"/>
      <c r="BC88" s="930"/>
      <c r="BD88" s="930"/>
      <c r="BE88" s="930"/>
      <c r="BF88" s="930"/>
      <c r="BG88" s="930"/>
      <c r="BH88" s="930"/>
      <c r="BI88" s="930"/>
      <c r="BJ88" s="930"/>
      <c r="BK88" s="930"/>
      <c r="BL88" s="930"/>
      <c r="BM88" s="930"/>
      <c r="BN88" s="930"/>
      <c r="BO88" s="930"/>
      <c r="BP88" s="930"/>
      <c r="BQ88" s="930"/>
      <c r="BR88" s="930"/>
      <c r="BS88" s="930"/>
      <c r="BT88" s="930"/>
    </row>
    <row r="89" spans="1:72" x14ac:dyDescent="0.25">
      <c r="A89" s="930" t="s">
        <v>510</v>
      </c>
      <c r="B89" s="930">
        <v>11.2</v>
      </c>
      <c r="C89" s="930">
        <v>11.94</v>
      </c>
      <c r="D89" s="930">
        <v>9.0500000000000007</v>
      </c>
      <c r="E89" s="930">
        <v>8.67</v>
      </c>
      <c r="F89" s="930">
        <v>9.7200000000000006</v>
      </c>
      <c r="G89" s="930">
        <v>10.07</v>
      </c>
      <c r="H89" s="930">
        <v>9.92</v>
      </c>
      <c r="I89" s="930">
        <v>9.85</v>
      </c>
      <c r="J89" s="930">
        <v>9.99</v>
      </c>
      <c r="K89" s="930">
        <v>10.08</v>
      </c>
      <c r="L89" s="930">
        <v>10.11</v>
      </c>
      <c r="M89" s="930">
        <v>10.16</v>
      </c>
      <c r="N89" s="930">
        <v>10.23</v>
      </c>
      <c r="O89" s="930">
        <v>10.35</v>
      </c>
      <c r="P89" s="930">
        <v>10.46</v>
      </c>
      <c r="Q89" s="930">
        <v>10.65</v>
      </c>
      <c r="R89" s="930">
        <v>10.69</v>
      </c>
      <c r="S89" s="930">
        <v>10.62</v>
      </c>
      <c r="T89" s="930">
        <v>10.7</v>
      </c>
      <c r="U89" s="930">
        <v>10.86</v>
      </c>
      <c r="V89" s="930">
        <v>11.04</v>
      </c>
      <c r="W89" s="930">
        <v>11.28</v>
      </c>
      <c r="X89" s="930">
        <v>11.52</v>
      </c>
      <c r="Y89" s="930">
        <v>11.78</v>
      </c>
      <c r="Z89" s="930">
        <v>12.11</v>
      </c>
      <c r="AA89" s="930">
        <v>12.26</v>
      </c>
      <c r="AB89" s="930">
        <v>12.32</v>
      </c>
      <c r="AC89" s="930">
        <v>12.52</v>
      </c>
      <c r="AD89" s="930">
        <v>12.66</v>
      </c>
      <c r="AE89" s="969">
        <v>2E-3</v>
      </c>
      <c r="AF89" s="930"/>
      <c r="AG89" s="930"/>
      <c r="AH89" s="930"/>
      <c r="AI89" s="930"/>
      <c r="AJ89" s="930"/>
      <c r="AK89" s="930"/>
      <c r="AL89" s="930"/>
      <c r="AM89" s="930"/>
      <c r="AN89" s="930"/>
      <c r="AO89" s="930"/>
      <c r="AP89" s="930"/>
      <c r="AQ89" s="930"/>
      <c r="AR89" s="930"/>
      <c r="AS89" s="930"/>
      <c r="AT89" s="930"/>
      <c r="AU89" s="930"/>
      <c r="AV89" s="930"/>
      <c r="AW89" s="930"/>
      <c r="AX89" s="930"/>
      <c r="AY89" s="930"/>
      <c r="AZ89" s="930"/>
      <c r="BA89" s="930"/>
      <c r="BB89" s="930"/>
      <c r="BC89" s="930"/>
      <c r="BD89" s="930"/>
      <c r="BE89" s="930"/>
      <c r="BF89" s="930"/>
      <c r="BG89" s="930"/>
      <c r="BH89" s="930"/>
      <c r="BI89" s="930"/>
      <c r="BJ89" s="930"/>
      <c r="BK89" s="930"/>
      <c r="BL89" s="930"/>
      <c r="BM89" s="930"/>
      <c r="BN89" s="930"/>
      <c r="BO89" s="930"/>
      <c r="BP89" s="930"/>
      <c r="BQ89" s="930"/>
      <c r="BR89" s="930"/>
      <c r="BS89" s="930"/>
      <c r="BT89" s="930"/>
    </row>
    <row r="90" spans="1:72" x14ac:dyDescent="0.25">
      <c r="A90" s="930" t="s">
        <v>479</v>
      </c>
      <c r="B90" s="930">
        <v>28.81</v>
      </c>
      <c r="C90" s="930">
        <v>30.47</v>
      </c>
      <c r="D90" s="930">
        <v>28.94</v>
      </c>
      <c r="E90" s="930">
        <v>27.37</v>
      </c>
      <c r="F90" s="930">
        <v>25.72</v>
      </c>
      <c r="G90" s="930">
        <v>26.72</v>
      </c>
      <c r="H90" s="930">
        <v>26.81</v>
      </c>
      <c r="I90" s="930">
        <v>26.55</v>
      </c>
      <c r="J90" s="930">
        <v>26.55</v>
      </c>
      <c r="K90" s="930">
        <v>26.81</v>
      </c>
      <c r="L90" s="930">
        <v>26.97</v>
      </c>
      <c r="M90" s="930">
        <v>26.98</v>
      </c>
      <c r="N90" s="930">
        <v>26.93</v>
      </c>
      <c r="O90" s="930">
        <v>27.12</v>
      </c>
      <c r="P90" s="930">
        <v>27.31</v>
      </c>
      <c r="Q90" s="930">
        <v>27.42</v>
      </c>
      <c r="R90" s="930">
        <v>27.62</v>
      </c>
      <c r="S90" s="930">
        <v>27.77</v>
      </c>
      <c r="T90" s="930">
        <v>27.72</v>
      </c>
      <c r="U90" s="930">
        <v>27.87</v>
      </c>
      <c r="V90" s="930">
        <v>28.05</v>
      </c>
      <c r="W90" s="930">
        <v>28.25</v>
      </c>
      <c r="X90" s="930">
        <v>28.67</v>
      </c>
      <c r="Y90" s="930">
        <v>28.99</v>
      </c>
      <c r="Z90" s="930">
        <v>29.37</v>
      </c>
      <c r="AA90" s="930">
        <v>29.73</v>
      </c>
      <c r="AB90" s="930">
        <v>29.9</v>
      </c>
      <c r="AC90" s="930">
        <v>30.15</v>
      </c>
      <c r="AD90" s="930">
        <v>30.37</v>
      </c>
      <c r="AE90" s="969">
        <v>0</v>
      </c>
      <c r="AF90" s="930"/>
      <c r="AG90" s="930"/>
      <c r="AH90" s="930"/>
      <c r="AI90" s="930"/>
      <c r="AJ90" s="930"/>
      <c r="AK90" s="930"/>
      <c r="AL90" s="930"/>
      <c r="AM90" s="930"/>
      <c r="AN90" s="930"/>
      <c r="AO90" s="930"/>
      <c r="AP90" s="930"/>
      <c r="AQ90" s="930"/>
      <c r="AR90" s="930"/>
      <c r="AS90" s="930"/>
      <c r="AT90" s="930"/>
      <c r="AU90" s="930"/>
      <c r="AV90" s="930"/>
      <c r="AW90" s="930"/>
      <c r="AX90" s="930"/>
      <c r="AY90" s="930"/>
      <c r="AZ90" s="930"/>
      <c r="BA90" s="930"/>
      <c r="BB90" s="930"/>
      <c r="BC90" s="930"/>
      <c r="BD90" s="930"/>
      <c r="BE90" s="930"/>
      <c r="BF90" s="930"/>
      <c r="BG90" s="930"/>
      <c r="BH90" s="930"/>
      <c r="BI90" s="930"/>
      <c r="BJ90" s="930"/>
      <c r="BK90" s="930"/>
      <c r="BL90" s="930"/>
      <c r="BM90" s="930"/>
      <c r="BN90" s="930"/>
      <c r="BO90" s="930"/>
      <c r="BP90" s="930"/>
      <c r="BQ90" s="930"/>
      <c r="BR90" s="930"/>
      <c r="BS90" s="930"/>
      <c r="BT90" s="930"/>
    </row>
    <row r="91" spans="1:72" x14ac:dyDescent="0.25">
      <c r="A91" s="930"/>
      <c r="B91" s="930"/>
      <c r="C91" s="930"/>
      <c r="D91" s="930"/>
      <c r="E91" s="930"/>
      <c r="F91" s="930"/>
      <c r="G91" s="930"/>
      <c r="H91" s="930"/>
      <c r="I91" s="930"/>
      <c r="J91" s="930"/>
      <c r="K91" s="930"/>
      <c r="L91" s="930"/>
      <c r="M91" s="930"/>
      <c r="N91" s="930"/>
      <c r="O91" s="930"/>
      <c r="P91" s="930"/>
      <c r="Q91" s="930"/>
      <c r="R91" s="930"/>
      <c r="S91" s="930"/>
      <c r="T91" s="930"/>
      <c r="U91" s="930"/>
      <c r="V91" s="930"/>
      <c r="W91" s="930"/>
      <c r="X91" s="930"/>
      <c r="Y91" s="930"/>
      <c r="Z91" s="930"/>
      <c r="AA91" s="930"/>
      <c r="AB91" s="930"/>
      <c r="AC91" s="930"/>
      <c r="AD91" s="930"/>
      <c r="AE91" s="930"/>
      <c r="AF91" s="930"/>
      <c r="AG91" s="930"/>
      <c r="AH91" s="930"/>
      <c r="AI91" s="930"/>
      <c r="AJ91" s="930"/>
      <c r="AK91" s="930"/>
      <c r="AL91" s="930"/>
      <c r="AM91" s="930"/>
      <c r="AN91" s="930"/>
      <c r="AO91" s="930"/>
      <c r="AP91" s="930"/>
      <c r="AQ91" s="930"/>
      <c r="AR91" s="930"/>
      <c r="AS91" s="930"/>
      <c r="AT91" s="930"/>
      <c r="AU91" s="930"/>
      <c r="AV91" s="930"/>
      <c r="AW91" s="930"/>
      <c r="AX91" s="930"/>
      <c r="AY91" s="930"/>
      <c r="AZ91" s="930"/>
      <c r="BA91" s="930"/>
      <c r="BB91" s="930"/>
      <c r="BC91" s="930"/>
      <c r="BD91" s="930"/>
      <c r="BE91" s="930"/>
      <c r="BF91" s="930"/>
      <c r="BG91" s="930"/>
      <c r="BH91" s="930"/>
      <c r="BI91" s="930"/>
      <c r="BJ91" s="930"/>
      <c r="BK91" s="930"/>
      <c r="BL91" s="930"/>
      <c r="BM91" s="930"/>
      <c r="BN91" s="930"/>
      <c r="BO91" s="930"/>
      <c r="BP91" s="930"/>
      <c r="BQ91" s="930"/>
      <c r="BR91" s="930"/>
      <c r="BS91" s="930"/>
      <c r="BT91" s="930"/>
    </row>
    <row r="92" spans="1:72" x14ac:dyDescent="0.25">
      <c r="A92" s="930" t="s">
        <v>612</v>
      </c>
      <c r="B92" s="930"/>
      <c r="C92" s="930"/>
      <c r="D92" s="930"/>
      <c r="E92" s="930"/>
      <c r="F92" s="930"/>
      <c r="G92" s="930"/>
      <c r="H92" s="930"/>
      <c r="I92" s="930"/>
      <c r="J92" s="930"/>
      <c r="K92" s="930"/>
      <c r="L92" s="930"/>
      <c r="M92" s="930"/>
      <c r="N92" s="930"/>
      <c r="O92" s="930"/>
      <c r="P92" s="930"/>
      <c r="Q92" s="930"/>
      <c r="R92" s="930"/>
      <c r="S92" s="930"/>
      <c r="T92" s="930"/>
      <c r="U92" s="930"/>
      <c r="V92" s="930"/>
      <c r="W92" s="930"/>
      <c r="X92" s="930"/>
      <c r="Y92" s="930"/>
      <c r="Z92" s="930"/>
      <c r="AA92" s="930"/>
      <c r="AB92" s="930"/>
      <c r="AC92" s="930"/>
      <c r="AD92" s="930"/>
      <c r="AE92" s="930"/>
      <c r="AF92" s="930"/>
      <c r="AG92" s="930"/>
      <c r="AH92" s="930"/>
      <c r="AI92" s="930"/>
      <c r="AJ92" s="930"/>
      <c r="AK92" s="930"/>
      <c r="AL92" s="930"/>
      <c r="AM92" s="930"/>
      <c r="AN92" s="930"/>
      <c r="AO92" s="930"/>
      <c r="AP92" s="930"/>
      <c r="AQ92" s="930"/>
      <c r="AR92" s="930"/>
      <c r="AS92" s="930"/>
      <c r="AT92" s="930"/>
      <c r="AU92" s="930"/>
      <c r="AV92" s="930"/>
      <c r="AW92" s="930"/>
      <c r="AX92" s="930"/>
      <c r="AY92" s="930"/>
      <c r="AZ92" s="930"/>
      <c r="BA92" s="930"/>
      <c r="BB92" s="930"/>
      <c r="BC92" s="930"/>
      <c r="BD92" s="930"/>
      <c r="BE92" s="930"/>
      <c r="BF92" s="930"/>
      <c r="BG92" s="930"/>
      <c r="BH92" s="930"/>
      <c r="BI92" s="930"/>
      <c r="BJ92" s="930"/>
      <c r="BK92" s="930"/>
      <c r="BL92" s="930"/>
      <c r="BM92" s="930"/>
      <c r="BN92" s="930"/>
      <c r="BO92" s="930"/>
      <c r="BP92" s="930"/>
      <c r="BQ92" s="930"/>
      <c r="BR92" s="930"/>
      <c r="BS92" s="930"/>
      <c r="BT92" s="930"/>
    </row>
    <row r="93" spans="1:72" x14ac:dyDescent="0.25">
      <c r="A93" s="930" t="s">
        <v>609</v>
      </c>
      <c r="B93" s="930">
        <v>22.01</v>
      </c>
      <c r="C93" s="930">
        <v>24.2</v>
      </c>
      <c r="D93" s="930">
        <v>18.64</v>
      </c>
      <c r="E93" s="930">
        <v>18.36</v>
      </c>
      <c r="F93" s="930">
        <v>18.46</v>
      </c>
      <c r="G93" s="930">
        <v>19.61</v>
      </c>
      <c r="H93" s="930">
        <v>20.9</v>
      </c>
      <c r="I93" s="930">
        <v>21.9</v>
      </c>
      <c r="J93" s="930">
        <v>22.49</v>
      </c>
      <c r="K93" s="930">
        <v>23.25</v>
      </c>
      <c r="L93" s="930">
        <v>23.76</v>
      </c>
      <c r="M93" s="930">
        <v>24.31</v>
      </c>
      <c r="N93" s="930">
        <v>24.62</v>
      </c>
      <c r="O93" s="930">
        <v>24.86</v>
      </c>
      <c r="P93" s="930">
        <v>25.09</v>
      </c>
      <c r="Q93" s="930">
        <v>25.3</v>
      </c>
      <c r="R93" s="930">
        <v>25.59</v>
      </c>
      <c r="S93" s="930">
        <v>25.86</v>
      </c>
      <c r="T93" s="930">
        <v>26.12</v>
      </c>
      <c r="U93" s="930">
        <v>26.27</v>
      </c>
      <c r="V93" s="930">
        <v>26.55</v>
      </c>
      <c r="W93" s="930">
        <v>26.8</v>
      </c>
      <c r="X93" s="930">
        <v>27.15</v>
      </c>
      <c r="Y93" s="930">
        <v>27.38</v>
      </c>
      <c r="Z93" s="930">
        <v>27.74</v>
      </c>
      <c r="AA93" s="930">
        <v>28.08</v>
      </c>
      <c r="AB93" s="930">
        <v>28.48</v>
      </c>
      <c r="AC93" s="930">
        <v>28.86</v>
      </c>
      <c r="AD93" s="930">
        <v>29.25</v>
      </c>
      <c r="AE93" s="969">
        <v>7.0000000000000001E-3</v>
      </c>
      <c r="AF93" s="930"/>
      <c r="AG93" s="930"/>
      <c r="AH93" s="930"/>
      <c r="AI93" s="930"/>
      <c r="AJ93" s="930"/>
      <c r="AK93" s="930"/>
      <c r="AL93" s="930"/>
      <c r="AM93" s="930"/>
      <c r="AN93" s="930"/>
      <c r="AO93" s="930"/>
      <c r="AP93" s="930"/>
      <c r="AQ93" s="930"/>
      <c r="AR93" s="930"/>
      <c r="AS93" s="930"/>
      <c r="AT93" s="930"/>
      <c r="AU93" s="930"/>
      <c r="AV93" s="930"/>
      <c r="AW93" s="930"/>
      <c r="AX93" s="930"/>
      <c r="AY93" s="930"/>
      <c r="AZ93" s="930"/>
      <c r="BA93" s="930"/>
      <c r="BB93" s="930"/>
      <c r="BC93" s="930"/>
      <c r="BD93" s="930"/>
      <c r="BE93" s="930"/>
      <c r="BF93" s="930"/>
      <c r="BG93" s="930"/>
      <c r="BH93" s="930"/>
      <c r="BI93" s="930"/>
      <c r="BJ93" s="930"/>
      <c r="BK93" s="930"/>
      <c r="BL93" s="930"/>
      <c r="BM93" s="930"/>
      <c r="BN93" s="930"/>
      <c r="BO93" s="930"/>
      <c r="BP93" s="930"/>
      <c r="BQ93" s="930"/>
      <c r="BR93" s="930"/>
      <c r="BS93" s="930"/>
      <c r="BT93" s="930"/>
    </row>
    <row r="94" spans="1:72" x14ac:dyDescent="0.25">
      <c r="A94" s="930" t="s">
        <v>610</v>
      </c>
      <c r="B94" s="930">
        <v>18.07</v>
      </c>
      <c r="C94" s="930">
        <v>22.31</v>
      </c>
      <c r="D94" s="930">
        <v>16.399999999999999</v>
      </c>
      <c r="E94" s="930">
        <v>14.38</v>
      </c>
      <c r="F94" s="930">
        <v>15.38</v>
      </c>
      <c r="G94" s="930">
        <v>16.55</v>
      </c>
      <c r="H94" s="930">
        <v>17.59</v>
      </c>
      <c r="I94" s="930">
        <v>18.32</v>
      </c>
      <c r="J94" s="930">
        <v>19</v>
      </c>
      <c r="K94" s="930">
        <v>19.8</v>
      </c>
      <c r="L94" s="930">
        <v>20.440000000000001</v>
      </c>
      <c r="M94" s="930">
        <v>21.08</v>
      </c>
      <c r="N94" s="930">
        <v>21.49</v>
      </c>
      <c r="O94" s="930">
        <v>21.83</v>
      </c>
      <c r="P94" s="930">
        <v>22.03</v>
      </c>
      <c r="Q94" s="930">
        <v>22.36</v>
      </c>
      <c r="R94" s="930">
        <v>22.56</v>
      </c>
      <c r="S94" s="930">
        <v>22.67</v>
      </c>
      <c r="T94" s="930">
        <v>22.97</v>
      </c>
      <c r="U94" s="930">
        <v>23.22</v>
      </c>
      <c r="V94" s="930">
        <v>23.48</v>
      </c>
      <c r="W94" s="930">
        <v>23.81</v>
      </c>
      <c r="X94" s="930">
        <v>24.22</v>
      </c>
      <c r="Y94" s="930">
        <v>24.4</v>
      </c>
      <c r="Z94" s="930">
        <v>24.84</v>
      </c>
      <c r="AA94" s="930">
        <v>25.25</v>
      </c>
      <c r="AB94" s="930">
        <v>25.6</v>
      </c>
      <c r="AC94" s="930">
        <v>26.02</v>
      </c>
      <c r="AD94" s="930">
        <v>26.48</v>
      </c>
      <c r="AE94" s="969">
        <v>6.0000000000000001E-3</v>
      </c>
      <c r="AF94" s="930"/>
      <c r="AG94" s="930"/>
      <c r="AH94" s="930"/>
      <c r="AI94" s="930"/>
      <c r="AJ94" s="930"/>
      <c r="AK94" s="930"/>
      <c r="AL94" s="930"/>
      <c r="AM94" s="930"/>
      <c r="AN94" s="930"/>
      <c r="AO94" s="930"/>
      <c r="AP94" s="930"/>
      <c r="AQ94" s="930"/>
      <c r="AR94" s="930"/>
      <c r="AS94" s="930"/>
      <c r="AT94" s="930"/>
      <c r="AU94" s="930"/>
      <c r="AV94" s="930"/>
      <c r="AW94" s="930"/>
      <c r="AX94" s="930"/>
      <c r="AY94" s="930"/>
      <c r="AZ94" s="930"/>
      <c r="BA94" s="930"/>
      <c r="BB94" s="930"/>
      <c r="BC94" s="930"/>
      <c r="BD94" s="930"/>
      <c r="BE94" s="930"/>
      <c r="BF94" s="930"/>
      <c r="BG94" s="930"/>
      <c r="BH94" s="930"/>
      <c r="BI94" s="930"/>
      <c r="BJ94" s="930"/>
      <c r="BK94" s="930"/>
      <c r="BL94" s="930"/>
      <c r="BM94" s="930"/>
      <c r="BN94" s="930"/>
      <c r="BO94" s="930"/>
      <c r="BP94" s="930"/>
      <c r="BQ94" s="930"/>
      <c r="BR94" s="930"/>
      <c r="BS94" s="930"/>
      <c r="BT94" s="930"/>
    </row>
    <row r="95" spans="1:72" x14ac:dyDescent="0.25">
      <c r="A95" s="930" t="s">
        <v>611</v>
      </c>
      <c r="B95" s="930">
        <v>8.84</v>
      </c>
      <c r="C95" s="930">
        <v>16.309999999999999</v>
      </c>
      <c r="D95" s="930">
        <v>9.75</v>
      </c>
      <c r="E95" s="930">
        <v>13.12</v>
      </c>
      <c r="F95" s="930">
        <v>13.24</v>
      </c>
      <c r="G95" s="930">
        <v>14.32</v>
      </c>
      <c r="H95" s="930">
        <v>15.31</v>
      </c>
      <c r="I95" s="930">
        <v>16.079999999999998</v>
      </c>
      <c r="J95" s="930">
        <v>16.47</v>
      </c>
      <c r="K95" s="930">
        <v>16.96</v>
      </c>
      <c r="L95" s="930">
        <v>17.37</v>
      </c>
      <c r="M95" s="930">
        <v>17.82</v>
      </c>
      <c r="N95" s="930">
        <v>18.09</v>
      </c>
      <c r="O95" s="930">
        <v>18.2</v>
      </c>
      <c r="P95" s="930">
        <v>18.43</v>
      </c>
      <c r="Q95" s="930">
        <v>18.61</v>
      </c>
      <c r="R95" s="930">
        <v>18.82</v>
      </c>
      <c r="S95" s="930">
        <v>19.03</v>
      </c>
      <c r="T95" s="930">
        <v>19.23</v>
      </c>
      <c r="U95" s="930">
        <v>19.3</v>
      </c>
      <c r="V95" s="930">
        <v>19.489999999999998</v>
      </c>
      <c r="W95" s="930">
        <v>19.73</v>
      </c>
      <c r="X95" s="930">
        <v>19.98</v>
      </c>
      <c r="Y95" s="930">
        <v>20.27</v>
      </c>
      <c r="Z95" s="930">
        <v>20.61</v>
      </c>
      <c r="AA95" s="930">
        <v>20.87</v>
      </c>
      <c r="AB95" s="930">
        <v>21.12</v>
      </c>
      <c r="AC95" s="930">
        <v>21.44</v>
      </c>
      <c r="AD95" s="930">
        <v>21.72</v>
      </c>
      <c r="AE95" s="969">
        <v>1.0999999999999999E-2</v>
      </c>
      <c r="AF95" s="930"/>
      <c r="AG95" s="930"/>
      <c r="AH95" s="930"/>
      <c r="AI95" s="930"/>
      <c r="AJ95" s="930"/>
      <c r="AK95" s="930"/>
      <c r="AL95" s="930"/>
      <c r="AM95" s="930"/>
      <c r="AN95" s="930"/>
      <c r="AO95" s="930"/>
      <c r="AP95" s="930"/>
      <c r="AQ95" s="930"/>
      <c r="AR95" s="930"/>
      <c r="AS95" s="930"/>
      <c r="AT95" s="930"/>
      <c r="AU95" s="930"/>
      <c r="AV95" s="930"/>
      <c r="AW95" s="930"/>
      <c r="AX95" s="930"/>
      <c r="AY95" s="930"/>
      <c r="AZ95" s="930"/>
      <c r="BA95" s="930"/>
      <c r="BB95" s="930"/>
      <c r="BC95" s="930"/>
      <c r="BD95" s="930"/>
      <c r="BE95" s="930"/>
      <c r="BF95" s="930"/>
      <c r="BG95" s="930"/>
      <c r="BH95" s="930"/>
      <c r="BI95" s="930"/>
      <c r="BJ95" s="930"/>
      <c r="BK95" s="930"/>
      <c r="BL95" s="930"/>
      <c r="BM95" s="930"/>
      <c r="BN95" s="930"/>
      <c r="BO95" s="930"/>
      <c r="BP95" s="930"/>
      <c r="BQ95" s="930"/>
      <c r="BR95" s="930"/>
      <c r="BS95" s="930"/>
      <c r="BT95" s="930"/>
    </row>
    <row r="96" spans="1:72" x14ac:dyDescent="0.25">
      <c r="A96" s="930" t="s">
        <v>613</v>
      </c>
      <c r="B96" s="930">
        <v>7.58</v>
      </c>
      <c r="C96" s="930">
        <v>9.11</v>
      </c>
      <c r="D96" s="930">
        <v>4.2</v>
      </c>
      <c r="E96" s="930">
        <v>4.87</v>
      </c>
      <c r="F96" s="930">
        <v>5.97</v>
      </c>
      <c r="G96" s="930">
        <v>6.39</v>
      </c>
      <c r="H96" s="930">
        <v>6.33</v>
      </c>
      <c r="I96" s="930">
        <v>6.28</v>
      </c>
      <c r="J96" s="930">
        <v>6.45</v>
      </c>
      <c r="K96" s="930">
        <v>6.52</v>
      </c>
      <c r="L96" s="930">
        <v>6.51</v>
      </c>
      <c r="M96" s="930">
        <v>6.55</v>
      </c>
      <c r="N96" s="930">
        <v>6.6</v>
      </c>
      <c r="O96" s="930">
        <v>6.7</v>
      </c>
      <c r="P96" s="930">
        <v>6.78</v>
      </c>
      <c r="Q96" s="930">
        <v>6.96</v>
      </c>
      <c r="R96" s="930">
        <v>7.01</v>
      </c>
      <c r="S96" s="930">
        <v>6.96</v>
      </c>
      <c r="T96" s="930">
        <v>7.02</v>
      </c>
      <c r="U96" s="930">
        <v>7.15</v>
      </c>
      <c r="V96" s="930">
        <v>7.29</v>
      </c>
      <c r="W96" s="930">
        <v>7.51</v>
      </c>
      <c r="X96" s="930">
        <v>7.73</v>
      </c>
      <c r="Y96" s="930">
        <v>7.98</v>
      </c>
      <c r="Z96" s="930">
        <v>8.2899999999999991</v>
      </c>
      <c r="AA96" s="930">
        <v>8.4</v>
      </c>
      <c r="AB96" s="930">
        <v>8.42</v>
      </c>
      <c r="AC96" s="930">
        <v>8.61</v>
      </c>
      <c r="AD96" s="930">
        <v>8.73</v>
      </c>
      <c r="AE96" s="969">
        <v>-2E-3</v>
      </c>
      <c r="AF96" s="930"/>
      <c r="AG96" s="930"/>
      <c r="AH96" s="930"/>
      <c r="AI96" s="930"/>
      <c r="AJ96" s="930"/>
      <c r="AK96" s="930"/>
      <c r="AL96" s="930"/>
      <c r="AM96" s="930"/>
      <c r="AN96" s="930"/>
      <c r="AO96" s="930"/>
      <c r="AP96" s="930"/>
      <c r="AQ96" s="930"/>
      <c r="AR96" s="930"/>
      <c r="AS96" s="930"/>
      <c r="AT96" s="930"/>
      <c r="AU96" s="930"/>
      <c r="AV96" s="930"/>
      <c r="AW96" s="930"/>
      <c r="AX96" s="930"/>
      <c r="AY96" s="930"/>
      <c r="AZ96" s="930"/>
      <c r="BA96" s="930"/>
      <c r="BB96" s="930"/>
      <c r="BC96" s="930"/>
      <c r="BD96" s="930"/>
      <c r="BE96" s="930"/>
      <c r="BF96" s="930"/>
      <c r="BG96" s="930"/>
      <c r="BH96" s="930"/>
      <c r="BI96" s="930"/>
      <c r="BJ96" s="930"/>
      <c r="BK96" s="930"/>
      <c r="BL96" s="930"/>
      <c r="BM96" s="930"/>
      <c r="BN96" s="930"/>
      <c r="BO96" s="930"/>
      <c r="BP96" s="930"/>
      <c r="BQ96" s="930"/>
      <c r="BR96" s="930"/>
      <c r="BS96" s="930"/>
      <c r="BT96" s="930"/>
    </row>
    <row r="97" spans="1:72" x14ac:dyDescent="0.25">
      <c r="A97" s="930" t="s">
        <v>614</v>
      </c>
      <c r="B97" s="930">
        <v>3.69</v>
      </c>
      <c r="C97" s="930">
        <v>4.49</v>
      </c>
      <c r="D97" s="930">
        <v>4.72</v>
      </c>
      <c r="E97" s="930">
        <v>4.8</v>
      </c>
      <c r="F97" s="930">
        <v>4.8600000000000003</v>
      </c>
      <c r="G97" s="930">
        <v>5.0199999999999996</v>
      </c>
      <c r="H97" s="930">
        <v>5.05</v>
      </c>
      <c r="I97" s="930">
        <v>5.08</v>
      </c>
      <c r="J97" s="930">
        <v>5.08</v>
      </c>
      <c r="K97" s="930">
        <v>5.09</v>
      </c>
      <c r="L97" s="930">
        <v>5.16</v>
      </c>
      <c r="M97" s="930">
        <v>5.22</v>
      </c>
      <c r="N97" s="930">
        <v>5.29</v>
      </c>
      <c r="O97" s="930">
        <v>5.32</v>
      </c>
      <c r="P97" s="930">
        <v>5.35</v>
      </c>
      <c r="Q97" s="930">
        <v>5.36</v>
      </c>
      <c r="R97" s="930">
        <v>5.35</v>
      </c>
      <c r="S97" s="930">
        <v>5.32</v>
      </c>
      <c r="T97" s="930">
        <v>5.24</v>
      </c>
      <c r="U97" s="930">
        <v>5.16</v>
      </c>
      <c r="V97" s="930">
        <v>5.14</v>
      </c>
      <c r="W97" s="930">
        <v>5.14</v>
      </c>
      <c r="X97" s="930">
        <v>5.1100000000000003</v>
      </c>
      <c r="Y97" s="930">
        <v>5.1100000000000003</v>
      </c>
      <c r="Z97" s="930">
        <v>5.09</v>
      </c>
      <c r="AA97" s="930">
        <v>5.08</v>
      </c>
      <c r="AB97" s="930">
        <v>5.08</v>
      </c>
      <c r="AC97" s="930">
        <v>5.0599999999999996</v>
      </c>
      <c r="AD97" s="930">
        <v>5.0599999999999996</v>
      </c>
      <c r="AE97" s="969">
        <v>4.0000000000000001E-3</v>
      </c>
      <c r="AF97" s="930"/>
      <c r="AG97" s="930"/>
      <c r="AH97" s="930"/>
      <c r="AI97" s="930"/>
      <c r="AJ97" s="930"/>
      <c r="AK97" s="930"/>
      <c r="AL97" s="930"/>
      <c r="AM97" s="930"/>
      <c r="AN97" s="930"/>
      <c r="AO97" s="930"/>
      <c r="AP97" s="930"/>
      <c r="AQ97" s="930"/>
      <c r="AR97" s="930"/>
      <c r="AS97" s="930"/>
      <c r="AT97" s="930"/>
      <c r="AU97" s="930"/>
      <c r="AV97" s="930"/>
      <c r="AW97" s="930"/>
      <c r="AX97" s="930"/>
      <c r="AY97" s="930"/>
      <c r="AZ97" s="930"/>
      <c r="BA97" s="930"/>
      <c r="BB97" s="930"/>
      <c r="BC97" s="930"/>
      <c r="BD97" s="930"/>
      <c r="BE97" s="930"/>
      <c r="BF97" s="930"/>
      <c r="BG97" s="930"/>
      <c r="BH97" s="930"/>
      <c r="BI97" s="930"/>
      <c r="BJ97" s="930"/>
      <c r="BK97" s="930"/>
      <c r="BL97" s="930"/>
      <c r="BM97" s="930"/>
      <c r="BN97" s="930"/>
      <c r="BO97" s="930"/>
      <c r="BP97" s="930"/>
      <c r="BQ97" s="930"/>
      <c r="BR97" s="930"/>
      <c r="BS97" s="930"/>
      <c r="BT97" s="930"/>
    </row>
    <row r="98" spans="1:72" x14ac:dyDescent="0.25">
      <c r="A98" s="930" t="s">
        <v>615</v>
      </c>
      <c r="B98" s="930">
        <v>2.48</v>
      </c>
      <c r="C98" s="930">
        <v>2.84</v>
      </c>
      <c r="D98" s="930">
        <v>2.79</v>
      </c>
      <c r="E98" s="930">
        <v>2.69</v>
      </c>
      <c r="F98" s="930">
        <v>2.69</v>
      </c>
      <c r="G98" s="930">
        <v>2.69</v>
      </c>
      <c r="H98" s="930">
        <v>2.66</v>
      </c>
      <c r="I98" s="930">
        <v>2.68</v>
      </c>
      <c r="J98" s="930">
        <v>2.69</v>
      </c>
      <c r="K98" s="930">
        <v>2.68</v>
      </c>
      <c r="L98" s="930">
        <v>2.69</v>
      </c>
      <c r="M98" s="930">
        <v>2.68</v>
      </c>
      <c r="N98" s="930">
        <v>2.67</v>
      </c>
      <c r="O98" s="930">
        <v>2.66</v>
      </c>
      <c r="P98" s="930">
        <v>2.65</v>
      </c>
      <c r="Q98" s="930">
        <v>2.65</v>
      </c>
      <c r="R98" s="930">
        <v>2.63</v>
      </c>
      <c r="S98" s="930">
        <v>2.63</v>
      </c>
      <c r="T98" s="930">
        <v>2.63</v>
      </c>
      <c r="U98" s="930">
        <v>2.64</v>
      </c>
      <c r="V98" s="930">
        <v>2.63</v>
      </c>
      <c r="W98" s="930">
        <v>2.64</v>
      </c>
      <c r="X98" s="930">
        <v>2.65</v>
      </c>
      <c r="Y98" s="930">
        <v>2.66</v>
      </c>
      <c r="Z98" s="930">
        <v>2.67</v>
      </c>
      <c r="AA98" s="930">
        <v>2.67</v>
      </c>
      <c r="AB98" s="930">
        <v>2.69</v>
      </c>
      <c r="AC98" s="930">
        <v>2.7</v>
      </c>
      <c r="AD98" s="930">
        <v>2.71</v>
      </c>
      <c r="AE98" s="969">
        <v>-2E-3</v>
      </c>
      <c r="AF98" s="930"/>
      <c r="AG98" s="930"/>
      <c r="AH98" s="930"/>
      <c r="AI98" s="930"/>
      <c r="AJ98" s="930"/>
      <c r="AK98" s="930"/>
      <c r="AL98" s="930"/>
      <c r="AM98" s="930"/>
      <c r="AN98" s="930"/>
      <c r="AO98" s="930"/>
      <c r="AP98" s="930"/>
      <c r="AQ98" s="930"/>
      <c r="AR98" s="930"/>
      <c r="AS98" s="930"/>
      <c r="AT98" s="930"/>
      <c r="AU98" s="930"/>
      <c r="AV98" s="930"/>
      <c r="AW98" s="930"/>
      <c r="AX98" s="930"/>
      <c r="AY98" s="930"/>
      <c r="AZ98" s="930"/>
      <c r="BA98" s="930"/>
      <c r="BB98" s="930"/>
      <c r="BC98" s="930"/>
      <c r="BD98" s="930"/>
      <c r="BE98" s="930"/>
      <c r="BF98" s="930"/>
      <c r="BG98" s="930"/>
      <c r="BH98" s="930"/>
      <c r="BI98" s="930"/>
      <c r="BJ98" s="930"/>
      <c r="BK98" s="930"/>
      <c r="BL98" s="930"/>
      <c r="BM98" s="930"/>
      <c r="BN98" s="930"/>
      <c r="BO98" s="930"/>
      <c r="BP98" s="930"/>
      <c r="BQ98" s="930"/>
      <c r="BR98" s="930"/>
      <c r="BS98" s="930"/>
      <c r="BT98" s="930"/>
    </row>
    <row r="99" spans="1:72" x14ac:dyDescent="0.25">
      <c r="A99" s="930" t="s">
        <v>616</v>
      </c>
      <c r="B99" s="930" t="s">
        <v>788</v>
      </c>
      <c r="C99" s="930" t="s">
        <v>788</v>
      </c>
      <c r="D99" s="930" t="s">
        <v>788</v>
      </c>
      <c r="E99" s="930" t="s">
        <v>788</v>
      </c>
      <c r="F99" s="930">
        <v>1.26</v>
      </c>
      <c r="G99" s="930">
        <v>1.04</v>
      </c>
      <c r="H99" s="930">
        <v>1.04</v>
      </c>
      <c r="I99" s="930">
        <v>1.41</v>
      </c>
      <c r="J99" s="930">
        <v>1.42</v>
      </c>
      <c r="K99" s="930">
        <v>1.46</v>
      </c>
      <c r="L99" s="930">
        <v>1.48</v>
      </c>
      <c r="M99" s="930">
        <v>1.48</v>
      </c>
      <c r="N99" s="930">
        <v>1.47</v>
      </c>
      <c r="O99" s="930">
        <v>1.46</v>
      </c>
      <c r="P99" s="930">
        <v>1.49</v>
      </c>
      <c r="Q99" s="930">
        <v>1.5</v>
      </c>
      <c r="R99" s="930">
        <v>1.52</v>
      </c>
      <c r="S99" s="930">
        <v>1.49</v>
      </c>
      <c r="T99" s="930">
        <v>1.49</v>
      </c>
      <c r="U99" s="930">
        <v>1.47</v>
      </c>
      <c r="V99" s="930">
        <v>1.46</v>
      </c>
      <c r="W99" s="930">
        <v>1.45</v>
      </c>
      <c r="X99" s="930">
        <v>1.44</v>
      </c>
      <c r="Y99" s="930">
        <v>1.44</v>
      </c>
      <c r="Z99" s="930">
        <v>1.44</v>
      </c>
      <c r="AA99" s="930">
        <v>1.44</v>
      </c>
      <c r="AB99" s="930">
        <v>1.46</v>
      </c>
      <c r="AC99" s="930">
        <v>1.48</v>
      </c>
      <c r="AD99" s="930">
        <v>1.51</v>
      </c>
      <c r="AE99" s="930" t="s">
        <v>788</v>
      </c>
      <c r="AF99" s="930"/>
      <c r="AG99" s="930"/>
      <c r="AH99" s="930"/>
      <c r="AI99" s="930"/>
      <c r="AJ99" s="930"/>
      <c r="AK99" s="930"/>
      <c r="AL99" s="930"/>
      <c r="AM99" s="930"/>
      <c r="AN99" s="930"/>
      <c r="AO99" s="930"/>
      <c r="AP99" s="930"/>
      <c r="AQ99" s="930"/>
      <c r="AR99" s="930"/>
      <c r="AS99" s="930"/>
      <c r="AT99" s="930"/>
      <c r="AU99" s="930"/>
      <c r="AV99" s="930"/>
      <c r="AW99" s="930"/>
      <c r="AX99" s="930"/>
      <c r="AY99" s="930"/>
      <c r="AZ99" s="930"/>
      <c r="BA99" s="930"/>
      <c r="BB99" s="930"/>
      <c r="BC99" s="930"/>
      <c r="BD99" s="930"/>
      <c r="BE99" s="930"/>
      <c r="BF99" s="930"/>
      <c r="BG99" s="930"/>
      <c r="BH99" s="930"/>
      <c r="BI99" s="930"/>
      <c r="BJ99" s="930"/>
      <c r="BK99" s="930"/>
      <c r="BL99" s="930"/>
      <c r="BM99" s="930"/>
      <c r="BN99" s="930"/>
      <c r="BO99" s="930"/>
      <c r="BP99" s="930"/>
      <c r="BQ99" s="930"/>
      <c r="BR99" s="930"/>
      <c r="BS99" s="930"/>
      <c r="BT99" s="930"/>
    </row>
    <row r="100" spans="1:72" x14ac:dyDescent="0.25">
      <c r="A100" s="930" t="s">
        <v>479</v>
      </c>
      <c r="B100" s="930">
        <v>19.02</v>
      </c>
      <c r="C100" s="930">
        <v>20.21</v>
      </c>
      <c r="D100" s="930">
        <v>20.04</v>
      </c>
      <c r="E100" s="930">
        <v>19.149999999999999</v>
      </c>
      <c r="F100" s="930">
        <v>17.11</v>
      </c>
      <c r="G100" s="930">
        <v>17.73</v>
      </c>
      <c r="H100" s="930">
        <v>17.62</v>
      </c>
      <c r="I100" s="930">
        <v>17.350000000000001</v>
      </c>
      <c r="J100" s="930">
        <v>17.37</v>
      </c>
      <c r="K100" s="930">
        <v>17.62</v>
      </c>
      <c r="L100" s="930">
        <v>17.75</v>
      </c>
      <c r="M100" s="930">
        <v>17.77</v>
      </c>
      <c r="N100" s="930">
        <v>17.75</v>
      </c>
      <c r="O100" s="930">
        <v>17.920000000000002</v>
      </c>
      <c r="P100" s="930">
        <v>18.07</v>
      </c>
      <c r="Q100" s="930">
        <v>18.190000000000001</v>
      </c>
      <c r="R100" s="930">
        <v>18.38</v>
      </c>
      <c r="S100" s="930">
        <v>18.53</v>
      </c>
      <c r="T100" s="930">
        <v>18.5</v>
      </c>
      <c r="U100" s="930">
        <v>18.61</v>
      </c>
      <c r="V100" s="930">
        <v>18.78</v>
      </c>
      <c r="W100" s="930">
        <v>18.97</v>
      </c>
      <c r="X100" s="930">
        <v>19.3</v>
      </c>
      <c r="Y100" s="930">
        <v>19.579999999999998</v>
      </c>
      <c r="Z100" s="930">
        <v>19.88</v>
      </c>
      <c r="AA100" s="930">
        <v>20.16</v>
      </c>
      <c r="AB100" s="930">
        <v>20.3</v>
      </c>
      <c r="AC100" s="930">
        <v>20.52</v>
      </c>
      <c r="AD100" s="930">
        <v>20.71</v>
      </c>
      <c r="AE100" s="969">
        <v>1E-3</v>
      </c>
      <c r="AF100" s="930"/>
      <c r="AG100" s="930"/>
      <c r="AH100" s="930"/>
      <c r="AI100" s="930"/>
      <c r="AJ100" s="930"/>
      <c r="AK100" s="930"/>
      <c r="AL100" s="930"/>
      <c r="AM100" s="930"/>
      <c r="AN100" s="930"/>
      <c r="AO100" s="930"/>
      <c r="AP100" s="930"/>
      <c r="AQ100" s="930"/>
      <c r="AR100" s="930"/>
      <c r="AS100" s="930"/>
      <c r="AT100" s="930"/>
      <c r="AU100" s="930"/>
      <c r="AV100" s="930"/>
      <c r="AW100" s="930"/>
      <c r="AX100" s="930"/>
      <c r="AY100" s="930"/>
      <c r="AZ100" s="930"/>
      <c r="BA100" s="930"/>
      <c r="BB100" s="930"/>
      <c r="BC100" s="930"/>
      <c r="BD100" s="930"/>
      <c r="BE100" s="930"/>
      <c r="BF100" s="930"/>
      <c r="BG100" s="930"/>
      <c r="BH100" s="930"/>
      <c r="BI100" s="930"/>
      <c r="BJ100" s="930"/>
      <c r="BK100" s="930"/>
      <c r="BL100" s="930"/>
      <c r="BM100" s="930"/>
      <c r="BN100" s="930"/>
      <c r="BO100" s="930"/>
      <c r="BP100" s="930"/>
      <c r="BQ100" s="930"/>
      <c r="BR100" s="930"/>
      <c r="BS100" s="930"/>
      <c r="BT100" s="930"/>
    </row>
    <row r="101" spans="1:72" x14ac:dyDescent="0.25">
      <c r="A101" s="930"/>
      <c r="B101" s="930"/>
      <c r="C101" s="930"/>
      <c r="D101" s="930"/>
      <c r="E101" s="930"/>
      <c r="F101" s="930"/>
      <c r="G101" s="930"/>
      <c r="H101" s="930"/>
      <c r="I101" s="930"/>
      <c r="J101" s="930"/>
      <c r="K101" s="930"/>
      <c r="L101" s="930"/>
      <c r="M101" s="930"/>
      <c r="N101" s="930"/>
      <c r="O101" s="930"/>
      <c r="P101" s="930"/>
      <c r="Q101" s="930"/>
      <c r="R101" s="930"/>
      <c r="S101" s="930"/>
      <c r="T101" s="930"/>
      <c r="U101" s="930"/>
      <c r="V101" s="930"/>
      <c r="W101" s="930"/>
      <c r="X101" s="930"/>
      <c r="Y101" s="930"/>
      <c r="Z101" s="930"/>
      <c r="AA101" s="930"/>
      <c r="AB101" s="930"/>
      <c r="AC101" s="930"/>
      <c r="AD101" s="930"/>
      <c r="AE101" s="930"/>
      <c r="AF101" s="930"/>
      <c r="AG101" s="930"/>
      <c r="AH101" s="930"/>
      <c r="AI101" s="930"/>
      <c r="AJ101" s="930"/>
      <c r="AK101" s="930"/>
      <c r="AL101" s="930"/>
      <c r="AM101" s="930"/>
      <c r="AN101" s="930"/>
      <c r="AO101" s="930"/>
      <c r="AP101" s="930"/>
      <c r="AQ101" s="930"/>
      <c r="AR101" s="930"/>
      <c r="AS101" s="930"/>
      <c r="AT101" s="930"/>
      <c r="AU101" s="930"/>
      <c r="AV101" s="930"/>
      <c r="AW101" s="930"/>
      <c r="AX101" s="930"/>
      <c r="AY101" s="930"/>
      <c r="AZ101" s="930"/>
      <c r="BA101" s="930"/>
      <c r="BB101" s="930"/>
      <c r="BC101" s="930"/>
      <c r="BD101" s="930"/>
      <c r="BE101" s="930"/>
      <c r="BF101" s="930"/>
      <c r="BG101" s="930"/>
      <c r="BH101" s="930"/>
      <c r="BI101" s="930"/>
      <c r="BJ101" s="930"/>
      <c r="BK101" s="930"/>
      <c r="BL101" s="930"/>
      <c r="BM101" s="930"/>
      <c r="BN101" s="930"/>
      <c r="BO101" s="930"/>
      <c r="BP101" s="930"/>
      <c r="BQ101" s="930"/>
      <c r="BR101" s="930"/>
      <c r="BS101" s="930"/>
      <c r="BT101" s="930"/>
    </row>
    <row r="102" spans="1:72" x14ac:dyDescent="0.25">
      <c r="A102" s="930" t="s">
        <v>487</v>
      </c>
      <c r="B102" s="930"/>
      <c r="C102" s="930"/>
      <c r="D102" s="930"/>
      <c r="E102" s="930"/>
      <c r="F102" s="930"/>
      <c r="G102" s="930"/>
      <c r="H102" s="930"/>
      <c r="I102" s="930"/>
      <c r="J102" s="930"/>
      <c r="K102" s="930"/>
      <c r="L102" s="930"/>
      <c r="M102" s="930"/>
      <c r="N102" s="930"/>
      <c r="O102" s="930"/>
      <c r="P102" s="930"/>
      <c r="Q102" s="930"/>
      <c r="R102" s="930"/>
      <c r="S102" s="930"/>
      <c r="T102" s="930"/>
      <c r="U102" s="930"/>
      <c r="V102" s="930"/>
      <c r="W102" s="930"/>
      <c r="X102" s="930"/>
      <c r="Y102" s="930"/>
      <c r="Z102" s="930"/>
      <c r="AA102" s="930"/>
      <c r="AB102" s="930"/>
      <c r="AC102" s="930"/>
      <c r="AD102" s="930"/>
      <c r="AE102" s="930"/>
      <c r="AF102" s="930"/>
      <c r="AG102" s="930"/>
      <c r="AH102" s="930"/>
      <c r="AI102" s="930"/>
      <c r="AJ102" s="930"/>
      <c r="AK102" s="930"/>
      <c r="AL102" s="930"/>
      <c r="AM102" s="930"/>
      <c r="AN102" s="930"/>
      <c r="AO102" s="930"/>
      <c r="AP102" s="930"/>
      <c r="AQ102" s="930"/>
      <c r="AR102" s="930"/>
      <c r="AS102" s="930"/>
      <c r="AT102" s="930"/>
      <c r="AU102" s="930"/>
      <c r="AV102" s="930"/>
      <c r="AW102" s="930"/>
      <c r="AX102" s="930"/>
      <c r="AY102" s="930"/>
      <c r="AZ102" s="930"/>
      <c r="BA102" s="930"/>
      <c r="BB102" s="930"/>
      <c r="BC102" s="930"/>
      <c r="BD102" s="930"/>
      <c r="BE102" s="930"/>
      <c r="BF102" s="930"/>
      <c r="BG102" s="930"/>
      <c r="BH102" s="930"/>
      <c r="BI102" s="930"/>
      <c r="BJ102" s="930"/>
      <c r="BK102" s="930"/>
      <c r="BL102" s="930"/>
      <c r="BM102" s="930"/>
      <c r="BN102" s="930"/>
      <c r="BO102" s="930"/>
      <c r="BP102" s="930"/>
      <c r="BQ102" s="930"/>
      <c r="BR102" s="930"/>
      <c r="BS102" s="930"/>
      <c r="BT102" s="930"/>
    </row>
    <row r="103" spans="1:72" x14ac:dyDescent="0.25">
      <c r="A103" s="930" t="s">
        <v>617</v>
      </c>
      <c r="B103" s="930">
        <v>23.83</v>
      </c>
      <c r="C103" s="930">
        <v>29.93</v>
      </c>
      <c r="D103" s="930">
        <v>25.2</v>
      </c>
      <c r="E103" s="930">
        <v>23.89</v>
      </c>
      <c r="F103" s="930">
        <v>23.98</v>
      </c>
      <c r="G103" s="930">
        <v>25.13</v>
      </c>
      <c r="H103" s="930">
        <v>26.33</v>
      </c>
      <c r="I103" s="930">
        <v>27.29</v>
      </c>
      <c r="J103" s="930">
        <v>27.88</v>
      </c>
      <c r="K103" s="930">
        <v>28.53</v>
      </c>
      <c r="L103" s="930">
        <v>29.07</v>
      </c>
      <c r="M103" s="930">
        <v>29.65</v>
      </c>
      <c r="N103" s="930">
        <v>29.91</v>
      </c>
      <c r="O103" s="930">
        <v>30.13</v>
      </c>
      <c r="P103" s="930">
        <v>30.36</v>
      </c>
      <c r="Q103" s="930">
        <v>30.56</v>
      </c>
      <c r="R103" s="930">
        <v>30.83</v>
      </c>
      <c r="S103" s="930">
        <v>31.1</v>
      </c>
      <c r="T103" s="930">
        <v>31.36</v>
      </c>
      <c r="U103" s="930">
        <v>31.5</v>
      </c>
      <c r="V103" s="930">
        <v>31.77</v>
      </c>
      <c r="W103" s="930">
        <v>32.01</v>
      </c>
      <c r="X103" s="930">
        <v>32.36</v>
      </c>
      <c r="Y103" s="930">
        <v>32.58</v>
      </c>
      <c r="Z103" s="930">
        <v>32.93</v>
      </c>
      <c r="AA103" s="930">
        <v>33.26</v>
      </c>
      <c r="AB103" s="930">
        <v>33.64</v>
      </c>
      <c r="AC103" s="930">
        <v>34</v>
      </c>
      <c r="AD103" s="930">
        <v>34.380000000000003</v>
      </c>
      <c r="AE103" s="969">
        <v>5.0000000000000001E-3</v>
      </c>
      <c r="AF103" s="930"/>
      <c r="AG103" s="930"/>
      <c r="AH103" s="930"/>
      <c r="AI103" s="930"/>
      <c r="AJ103" s="930"/>
      <c r="AK103" s="930"/>
      <c r="AL103" s="930"/>
      <c r="AM103" s="930"/>
      <c r="AN103" s="930"/>
      <c r="AO103" s="930"/>
      <c r="AP103" s="930"/>
      <c r="AQ103" s="930"/>
      <c r="AR103" s="930"/>
      <c r="AS103" s="930"/>
      <c r="AT103" s="930"/>
      <c r="AU103" s="930"/>
      <c r="AV103" s="930"/>
      <c r="AW103" s="930"/>
      <c r="AX103" s="930"/>
      <c r="AY103" s="930"/>
      <c r="AZ103" s="930"/>
      <c r="BA103" s="930"/>
      <c r="BB103" s="930"/>
      <c r="BC103" s="930"/>
      <c r="BD103" s="930"/>
      <c r="BE103" s="930"/>
      <c r="BF103" s="930"/>
      <c r="BG103" s="930"/>
      <c r="BH103" s="930"/>
      <c r="BI103" s="930"/>
      <c r="BJ103" s="930"/>
      <c r="BK103" s="930"/>
      <c r="BL103" s="930"/>
      <c r="BM103" s="930"/>
      <c r="BN103" s="930"/>
      <c r="BO103" s="930"/>
      <c r="BP103" s="930"/>
      <c r="BQ103" s="930"/>
      <c r="BR103" s="930"/>
      <c r="BS103" s="930"/>
      <c r="BT103" s="930"/>
    </row>
    <row r="104" spans="1:72" x14ac:dyDescent="0.25">
      <c r="A104" s="930" t="s">
        <v>618</v>
      </c>
      <c r="B104" s="930">
        <v>27.43</v>
      </c>
      <c r="C104" s="930">
        <v>26.93</v>
      </c>
      <c r="D104" s="930">
        <v>23.29</v>
      </c>
      <c r="E104" s="930">
        <v>20.64</v>
      </c>
      <c r="F104" s="930">
        <v>20.97</v>
      </c>
      <c r="G104" s="930">
        <v>22.13</v>
      </c>
      <c r="H104" s="930">
        <v>24.21</v>
      </c>
      <c r="I104" s="930">
        <v>25.23</v>
      </c>
      <c r="J104" s="930">
        <v>25.55</v>
      </c>
      <c r="K104" s="930">
        <v>25.08</v>
      </c>
      <c r="L104" s="930">
        <v>25.9</v>
      </c>
      <c r="M104" s="930">
        <v>26.54</v>
      </c>
      <c r="N104" s="930">
        <v>26.68</v>
      </c>
      <c r="O104" s="930">
        <v>26.95</v>
      </c>
      <c r="P104" s="930">
        <v>27.32</v>
      </c>
      <c r="Q104" s="930">
        <v>27.82</v>
      </c>
      <c r="R104" s="930">
        <v>28.31</v>
      </c>
      <c r="S104" s="930">
        <v>28.55</v>
      </c>
      <c r="T104" s="930">
        <v>28.86</v>
      </c>
      <c r="U104" s="930">
        <v>29.22</v>
      </c>
      <c r="V104" s="930">
        <v>29.49</v>
      </c>
      <c r="W104" s="930">
        <v>30.03</v>
      </c>
      <c r="X104" s="930">
        <v>30.44</v>
      </c>
      <c r="Y104" s="930">
        <v>30.64</v>
      </c>
      <c r="Z104" s="930">
        <v>30.86</v>
      </c>
      <c r="AA104" s="930">
        <v>31.29</v>
      </c>
      <c r="AB104" s="930">
        <v>31.49</v>
      </c>
      <c r="AC104" s="930">
        <v>31.77</v>
      </c>
      <c r="AD104" s="930">
        <v>32.229999999999997</v>
      </c>
      <c r="AE104" s="969">
        <v>7.0000000000000001E-3</v>
      </c>
      <c r="AF104" s="930"/>
      <c r="AG104" s="930"/>
      <c r="AH104" s="930"/>
      <c r="AI104" s="930"/>
      <c r="AJ104" s="930"/>
      <c r="AK104" s="930"/>
      <c r="AL104" s="930"/>
      <c r="AM104" s="930"/>
      <c r="AN104" s="930"/>
      <c r="AO104" s="930"/>
      <c r="AP104" s="930"/>
      <c r="AQ104" s="930"/>
      <c r="AR104" s="930"/>
      <c r="AS104" s="930"/>
      <c r="AT104" s="930"/>
      <c r="AU104" s="930"/>
      <c r="AV104" s="930"/>
      <c r="AW104" s="930"/>
      <c r="AX104" s="930"/>
      <c r="AY104" s="930"/>
      <c r="AZ104" s="930"/>
      <c r="BA104" s="930"/>
      <c r="BB104" s="930"/>
      <c r="BC104" s="930"/>
      <c r="BD104" s="930"/>
      <c r="BE104" s="930"/>
      <c r="BF104" s="930"/>
      <c r="BG104" s="930"/>
      <c r="BH104" s="930"/>
      <c r="BI104" s="930"/>
      <c r="BJ104" s="930"/>
      <c r="BK104" s="930"/>
      <c r="BL104" s="930"/>
      <c r="BM104" s="930"/>
      <c r="BN104" s="930"/>
      <c r="BO104" s="930"/>
      <c r="BP104" s="930"/>
      <c r="BQ104" s="930"/>
      <c r="BR104" s="930"/>
      <c r="BS104" s="930"/>
      <c r="BT104" s="930"/>
    </row>
    <row r="105" spans="1:72" x14ac:dyDescent="0.25">
      <c r="A105" s="930" t="s">
        <v>619</v>
      </c>
      <c r="B105" s="930">
        <v>23.66</v>
      </c>
      <c r="C105" s="930">
        <v>26.76</v>
      </c>
      <c r="D105" s="930">
        <v>19.14</v>
      </c>
      <c r="E105" s="930">
        <v>20.55</v>
      </c>
      <c r="F105" s="930">
        <v>20.88</v>
      </c>
      <c r="G105" s="930">
        <v>22.03</v>
      </c>
      <c r="H105" s="930">
        <v>24.02</v>
      </c>
      <c r="I105" s="930">
        <v>24.94</v>
      </c>
      <c r="J105" s="930">
        <v>25.37</v>
      </c>
      <c r="K105" s="930">
        <v>25.94</v>
      </c>
      <c r="L105" s="930">
        <v>26.47</v>
      </c>
      <c r="M105" s="930">
        <v>26.89</v>
      </c>
      <c r="N105" s="930">
        <v>27.2</v>
      </c>
      <c r="O105" s="930">
        <v>27.59</v>
      </c>
      <c r="P105" s="930">
        <v>27.82</v>
      </c>
      <c r="Q105" s="930">
        <v>28.18</v>
      </c>
      <c r="R105" s="930">
        <v>28.42</v>
      </c>
      <c r="S105" s="930">
        <v>28.54</v>
      </c>
      <c r="T105" s="930">
        <v>28.87</v>
      </c>
      <c r="U105" s="930">
        <v>29.19</v>
      </c>
      <c r="V105" s="930">
        <v>29.47</v>
      </c>
      <c r="W105" s="930">
        <v>29.9</v>
      </c>
      <c r="X105" s="930">
        <v>30.27</v>
      </c>
      <c r="Y105" s="930">
        <v>30.42</v>
      </c>
      <c r="Z105" s="930">
        <v>30.77</v>
      </c>
      <c r="AA105" s="930">
        <v>31.16</v>
      </c>
      <c r="AB105" s="930">
        <v>31.44</v>
      </c>
      <c r="AC105" s="930">
        <v>31.81</v>
      </c>
      <c r="AD105" s="930">
        <v>32.33</v>
      </c>
      <c r="AE105" s="969">
        <v>7.0000000000000001E-3</v>
      </c>
      <c r="AF105" s="930"/>
      <c r="AG105" s="930"/>
      <c r="AH105" s="930"/>
      <c r="AI105" s="930"/>
      <c r="AJ105" s="930"/>
      <c r="AK105" s="930"/>
      <c r="AL105" s="930"/>
      <c r="AM105" s="930"/>
      <c r="AN105" s="930"/>
      <c r="AO105" s="930"/>
      <c r="AP105" s="930"/>
      <c r="AQ105" s="930"/>
      <c r="AR105" s="930"/>
      <c r="AS105" s="930"/>
      <c r="AT105" s="930"/>
      <c r="AU105" s="930"/>
      <c r="AV105" s="930"/>
      <c r="AW105" s="930"/>
      <c r="AX105" s="930"/>
      <c r="AY105" s="930"/>
      <c r="AZ105" s="930"/>
      <c r="BA105" s="930"/>
      <c r="BB105" s="930"/>
      <c r="BC105" s="930"/>
      <c r="BD105" s="930"/>
      <c r="BE105" s="930"/>
      <c r="BF105" s="930"/>
      <c r="BG105" s="930"/>
      <c r="BH105" s="930"/>
      <c r="BI105" s="930"/>
      <c r="BJ105" s="930"/>
      <c r="BK105" s="930"/>
      <c r="BL105" s="930"/>
      <c r="BM105" s="930"/>
      <c r="BN105" s="930"/>
      <c r="BO105" s="930"/>
      <c r="BP105" s="930"/>
      <c r="BQ105" s="930"/>
      <c r="BR105" s="930"/>
      <c r="BS105" s="930"/>
      <c r="BT105" s="930"/>
    </row>
    <row r="106" spans="1:72" x14ac:dyDescent="0.25">
      <c r="A106" s="930" t="s">
        <v>620</v>
      </c>
      <c r="B106" s="930">
        <v>15.77</v>
      </c>
      <c r="C106" s="930">
        <v>22.71</v>
      </c>
      <c r="D106" s="930">
        <v>12.73</v>
      </c>
      <c r="E106" s="930">
        <v>14.79</v>
      </c>
      <c r="F106" s="930">
        <v>15.16</v>
      </c>
      <c r="G106" s="930">
        <v>16.54</v>
      </c>
      <c r="H106" s="930">
        <v>17.690000000000001</v>
      </c>
      <c r="I106" s="930">
        <v>18.46</v>
      </c>
      <c r="J106" s="930">
        <v>19.04</v>
      </c>
      <c r="K106" s="930">
        <v>19.760000000000002</v>
      </c>
      <c r="L106" s="930">
        <v>20.41</v>
      </c>
      <c r="M106" s="930">
        <v>20.97</v>
      </c>
      <c r="N106" s="930">
        <v>21.35</v>
      </c>
      <c r="O106" s="930">
        <v>21.69</v>
      </c>
      <c r="P106" s="930">
        <v>21.85</v>
      </c>
      <c r="Q106" s="930">
        <v>22.09</v>
      </c>
      <c r="R106" s="930">
        <v>22.41</v>
      </c>
      <c r="S106" s="930">
        <v>22.61</v>
      </c>
      <c r="T106" s="930">
        <v>22.92</v>
      </c>
      <c r="U106" s="930">
        <v>23.19</v>
      </c>
      <c r="V106" s="930">
        <v>23.48</v>
      </c>
      <c r="W106" s="930">
        <v>23.9</v>
      </c>
      <c r="X106" s="930">
        <v>24.26</v>
      </c>
      <c r="Y106" s="930">
        <v>24.51</v>
      </c>
      <c r="Z106" s="930">
        <v>24.9</v>
      </c>
      <c r="AA106" s="930">
        <v>25.3</v>
      </c>
      <c r="AB106" s="930">
        <v>25.64</v>
      </c>
      <c r="AC106" s="930">
        <v>26.05</v>
      </c>
      <c r="AD106" s="930">
        <v>26.48</v>
      </c>
      <c r="AE106" s="969">
        <v>6.0000000000000001E-3</v>
      </c>
      <c r="AF106" s="930"/>
      <c r="AG106" s="930"/>
      <c r="AH106" s="930"/>
      <c r="AI106" s="930"/>
      <c r="AJ106" s="930"/>
      <c r="AK106" s="930"/>
      <c r="AL106" s="930"/>
      <c r="AM106" s="930"/>
      <c r="AN106" s="930"/>
      <c r="AO106" s="930"/>
      <c r="AP106" s="930"/>
      <c r="AQ106" s="930"/>
      <c r="AR106" s="930"/>
      <c r="AS106" s="930"/>
      <c r="AT106" s="930"/>
      <c r="AU106" s="930"/>
      <c r="AV106" s="930"/>
      <c r="AW106" s="930"/>
      <c r="AX106" s="930"/>
      <c r="AY106" s="930"/>
      <c r="AZ106" s="930"/>
      <c r="BA106" s="930"/>
      <c r="BB106" s="930"/>
      <c r="BC106" s="930"/>
      <c r="BD106" s="930"/>
      <c r="BE106" s="930"/>
      <c r="BF106" s="930"/>
      <c r="BG106" s="930"/>
      <c r="BH106" s="930"/>
      <c r="BI106" s="930"/>
      <c r="BJ106" s="930"/>
      <c r="BK106" s="930"/>
      <c r="BL106" s="930"/>
      <c r="BM106" s="930"/>
      <c r="BN106" s="930"/>
      <c r="BO106" s="930"/>
      <c r="BP106" s="930"/>
      <c r="BQ106" s="930"/>
      <c r="BR106" s="930"/>
      <c r="BS106" s="930"/>
      <c r="BT106" s="930"/>
    </row>
    <row r="107" spans="1:72" x14ac:dyDescent="0.25">
      <c r="A107" s="930" t="s">
        <v>724</v>
      </c>
      <c r="B107" s="930">
        <v>21.55</v>
      </c>
      <c r="C107" s="930">
        <v>27.65</v>
      </c>
      <c r="D107" s="930">
        <v>17.77</v>
      </c>
      <c r="E107" s="930">
        <v>19.12</v>
      </c>
      <c r="F107" s="930">
        <v>19.309999999999999</v>
      </c>
      <c r="G107" s="930">
        <v>20.51</v>
      </c>
      <c r="H107" s="930">
        <v>21.54</v>
      </c>
      <c r="I107" s="930">
        <v>22.25</v>
      </c>
      <c r="J107" s="930">
        <v>22.93</v>
      </c>
      <c r="K107" s="930">
        <v>23.68</v>
      </c>
      <c r="L107" s="930">
        <v>24.26</v>
      </c>
      <c r="M107" s="930">
        <v>24.91</v>
      </c>
      <c r="N107" s="930">
        <v>25.29</v>
      </c>
      <c r="O107" s="930">
        <v>25.6</v>
      </c>
      <c r="P107" s="930">
        <v>25.79</v>
      </c>
      <c r="Q107" s="930">
        <v>26.12</v>
      </c>
      <c r="R107" s="930">
        <v>26.26</v>
      </c>
      <c r="S107" s="930">
        <v>26.34</v>
      </c>
      <c r="T107" s="930">
        <v>26.63</v>
      </c>
      <c r="U107" s="930">
        <v>26.83</v>
      </c>
      <c r="V107" s="930">
        <v>27.09</v>
      </c>
      <c r="W107" s="930">
        <v>27.4</v>
      </c>
      <c r="X107" s="930">
        <v>27.8</v>
      </c>
      <c r="Y107" s="930">
        <v>27.96</v>
      </c>
      <c r="Z107" s="930">
        <v>28.38</v>
      </c>
      <c r="AA107" s="930">
        <v>28.78</v>
      </c>
      <c r="AB107" s="930">
        <v>29.09</v>
      </c>
      <c r="AC107" s="930">
        <v>29.49</v>
      </c>
      <c r="AD107" s="930">
        <v>29.96</v>
      </c>
      <c r="AE107" s="969">
        <v>3.0000000000000001E-3</v>
      </c>
      <c r="AF107" s="930"/>
      <c r="AG107" s="930"/>
      <c r="AH107" s="930"/>
      <c r="AI107" s="930"/>
      <c r="AJ107" s="930"/>
      <c r="AK107" s="930"/>
      <c r="AL107" s="930"/>
      <c r="AM107" s="930"/>
      <c r="AN107" s="930"/>
      <c r="AO107" s="930"/>
      <c r="AP107" s="930"/>
      <c r="AQ107" s="930"/>
      <c r="AR107" s="930"/>
      <c r="AS107" s="930"/>
      <c r="AT107" s="930"/>
      <c r="AU107" s="930"/>
      <c r="AV107" s="930"/>
      <c r="AW107" s="930"/>
      <c r="AX107" s="930"/>
      <c r="AY107" s="930"/>
      <c r="AZ107" s="930"/>
      <c r="BA107" s="930"/>
      <c r="BB107" s="930"/>
      <c r="BC107" s="930"/>
      <c r="BD107" s="930"/>
      <c r="BE107" s="930"/>
      <c r="BF107" s="930"/>
      <c r="BG107" s="930"/>
      <c r="BH107" s="930"/>
      <c r="BI107" s="930"/>
      <c r="BJ107" s="930"/>
      <c r="BK107" s="930"/>
      <c r="BL107" s="930"/>
      <c r="BM107" s="930"/>
      <c r="BN107" s="930"/>
      <c r="BO107" s="930"/>
      <c r="BP107" s="930"/>
      <c r="BQ107" s="930"/>
      <c r="BR107" s="930"/>
      <c r="BS107" s="930"/>
      <c r="BT107" s="930"/>
    </row>
    <row r="108" spans="1:72" x14ac:dyDescent="0.25">
      <c r="A108" s="930" t="s">
        <v>611</v>
      </c>
      <c r="B108" s="930">
        <v>9.19</v>
      </c>
      <c r="C108" s="930">
        <v>14.49</v>
      </c>
      <c r="D108" s="930">
        <v>8.86</v>
      </c>
      <c r="E108" s="930">
        <v>10.210000000000001</v>
      </c>
      <c r="F108" s="930">
        <v>10.32</v>
      </c>
      <c r="G108" s="930">
        <v>11.5</v>
      </c>
      <c r="H108" s="930">
        <v>12.44</v>
      </c>
      <c r="I108" s="930">
        <v>13.18</v>
      </c>
      <c r="J108" s="930">
        <v>13.58</v>
      </c>
      <c r="K108" s="930">
        <v>13.9</v>
      </c>
      <c r="L108" s="930">
        <v>14.43</v>
      </c>
      <c r="M108" s="930">
        <v>14.81</v>
      </c>
      <c r="N108" s="930">
        <v>14.97</v>
      </c>
      <c r="O108" s="930">
        <v>14.99</v>
      </c>
      <c r="P108" s="930">
        <v>15.23</v>
      </c>
      <c r="Q108" s="930">
        <v>15.34</v>
      </c>
      <c r="R108" s="930">
        <v>15.55</v>
      </c>
      <c r="S108" s="930">
        <v>15.75</v>
      </c>
      <c r="T108" s="930">
        <v>15.93</v>
      </c>
      <c r="U108" s="930">
        <v>15.98</v>
      </c>
      <c r="V108" s="930">
        <v>16.27</v>
      </c>
      <c r="W108" s="930">
        <v>16.5</v>
      </c>
      <c r="X108" s="930">
        <v>16.8</v>
      </c>
      <c r="Y108" s="930">
        <v>17.100000000000001</v>
      </c>
      <c r="Z108" s="930">
        <v>17.420000000000002</v>
      </c>
      <c r="AA108" s="930">
        <v>17.690000000000001</v>
      </c>
      <c r="AB108" s="930">
        <v>17.93</v>
      </c>
      <c r="AC108" s="930">
        <v>18.239999999999998</v>
      </c>
      <c r="AD108" s="930">
        <v>18.600000000000001</v>
      </c>
      <c r="AE108" s="969">
        <v>8.9999999999999993E-3</v>
      </c>
      <c r="AF108" s="930"/>
      <c r="AG108" s="930"/>
      <c r="AH108" s="930"/>
      <c r="AI108" s="930"/>
      <c r="AJ108" s="930"/>
      <c r="AK108" s="930"/>
      <c r="AL108" s="930"/>
      <c r="AM108" s="930"/>
      <c r="AN108" s="930"/>
      <c r="AO108" s="930"/>
      <c r="AP108" s="930"/>
      <c r="AQ108" s="930"/>
      <c r="AR108" s="930"/>
      <c r="AS108" s="930"/>
      <c r="AT108" s="930"/>
      <c r="AU108" s="930"/>
      <c r="AV108" s="930"/>
      <c r="AW108" s="930"/>
      <c r="AX108" s="930"/>
      <c r="AY108" s="930"/>
      <c r="AZ108" s="930"/>
      <c r="BA108" s="930"/>
      <c r="BB108" s="930"/>
      <c r="BC108" s="930"/>
      <c r="BD108" s="930"/>
      <c r="BE108" s="930"/>
      <c r="BF108" s="930"/>
      <c r="BG108" s="930"/>
      <c r="BH108" s="930"/>
      <c r="BI108" s="930"/>
      <c r="BJ108" s="930"/>
      <c r="BK108" s="930"/>
      <c r="BL108" s="930"/>
      <c r="BM108" s="930"/>
      <c r="BN108" s="930"/>
      <c r="BO108" s="930"/>
      <c r="BP108" s="930"/>
      <c r="BQ108" s="930"/>
      <c r="BR108" s="930"/>
      <c r="BS108" s="930"/>
      <c r="BT108" s="930"/>
    </row>
    <row r="109" spans="1:72" x14ac:dyDescent="0.25">
      <c r="A109" s="930" t="s">
        <v>622</v>
      </c>
      <c r="B109" s="930">
        <v>13.84</v>
      </c>
      <c r="C109" s="930">
        <v>15.96</v>
      </c>
      <c r="D109" s="930">
        <v>11.36</v>
      </c>
      <c r="E109" s="930">
        <v>12</v>
      </c>
      <c r="F109" s="930">
        <v>13.09</v>
      </c>
      <c r="G109" s="930">
        <v>13.49</v>
      </c>
      <c r="H109" s="930">
        <v>13.36</v>
      </c>
      <c r="I109" s="930">
        <v>13.25</v>
      </c>
      <c r="J109" s="930">
        <v>13.37</v>
      </c>
      <c r="K109" s="930">
        <v>13.41</v>
      </c>
      <c r="L109" s="930">
        <v>13.38</v>
      </c>
      <c r="M109" s="930">
        <v>13.37</v>
      </c>
      <c r="N109" s="930">
        <v>13.38</v>
      </c>
      <c r="O109" s="930">
        <v>13.44</v>
      </c>
      <c r="P109" s="930">
        <v>13.46</v>
      </c>
      <c r="Q109" s="930">
        <v>13.58</v>
      </c>
      <c r="R109" s="930">
        <v>13.54</v>
      </c>
      <c r="S109" s="930">
        <v>13.41</v>
      </c>
      <c r="T109" s="930">
        <v>13.43</v>
      </c>
      <c r="U109" s="930">
        <v>13.54</v>
      </c>
      <c r="V109" s="930">
        <v>13.65</v>
      </c>
      <c r="W109" s="930">
        <v>13.83</v>
      </c>
      <c r="X109" s="930">
        <v>14</v>
      </c>
      <c r="Y109" s="930">
        <v>14.19</v>
      </c>
      <c r="Z109" s="930">
        <v>14.46</v>
      </c>
      <c r="AA109" s="930">
        <v>14.54</v>
      </c>
      <c r="AB109" s="930">
        <v>14.55</v>
      </c>
      <c r="AC109" s="930">
        <v>14.7</v>
      </c>
      <c r="AD109" s="930">
        <v>14.78</v>
      </c>
      <c r="AE109" s="969">
        <v>-3.0000000000000001E-3</v>
      </c>
      <c r="AF109" s="930"/>
      <c r="AG109" s="930"/>
      <c r="AH109" s="930"/>
      <c r="AI109" s="930"/>
      <c r="AJ109" s="930"/>
      <c r="AK109" s="930"/>
      <c r="AL109" s="930"/>
      <c r="AM109" s="930"/>
      <c r="AN109" s="930"/>
      <c r="AO109" s="930"/>
      <c r="AP109" s="930"/>
      <c r="AQ109" s="930"/>
      <c r="AR109" s="930"/>
      <c r="AS109" s="930"/>
      <c r="AT109" s="930"/>
      <c r="AU109" s="930"/>
      <c r="AV109" s="930"/>
      <c r="AW109" s="930"/>
      <c r="AX109" s="930"/>
      <c r="AY109" s="930"/>
      <c r="AZ109" s="930"/>
      <c r="BA109" s="930"/>
      <c r="BB109" s="930"/>
      <c r="BC109" s="930"/>
      <c r="BD109" s="930"/>
      <c r="BE109" s="930"/>
      <c r="BF109" s="930"/>
      <c r="BG109" s="930"/>
      <c r="BH109" s="930"/>
      <c r="BI109" s="930"/>
      <c r="BJ109" s="930"/>
      <c r="BK109" s="930"/>
      <c r="BL109" s="930"/>
      <c r="BM109" s="930"/>
      <c r="BN109" s="930"/>
      <c r="BO109" s="930"/>
      <c r="BP109" s="930"/>
      <c r="BQ109" s="930"/>
      <c r="BR109" s="930"/>
      <c r="BS109" s="930"/>
      <c r="BT109" s="930"/>
    </row>
    <row r="110" spans="1:72" x14ac:dyDescent="0.25">
      <c r="A110" s="930" t="s">
        <v>479</v>
      </c>
      <c r="B110" s="930">
        <v>32.03</v>
      </c>
      <c r="C110" s="930">
        <v>33.729999999999997</v>
      </c>
      <c r="D110" s="930">
        <v>32.299999999999997</v>
      </c>
      <c r="E110" s="930">
        <v>30.29</v>
      </c>
      <c r="F110" s="930">
        <v>27.63</v>
      </c>
      <c r="G110" s="930">
        <v>29.66</v>
      </c>
      <c r="H110" s="930">
        <v>29.72</v>
      </c>
      <c r="I110" s="930">
        <v>29.07</v>
      </c>
      <c r="J110" s="930">
        <v>28.79</v>
      </c>
      <c r="K110" s="930">
        <v>29.01</v>
      </c>
      <c r="L110" s="930">
        <v>29.04</v>
      </c>
      <c r="M110" s="930">
        <v>28.87</v>
      </c>
      <c r="N110" s="930">
        <v>28.59</v>
      </c>
      <c r="O110" s="930">
        <v>28.55</v>
      </c>
      <c r="P110" s="930">
        <v>28.54</v>
      </c>
      <c r="Q110" s="930">
        <v>28.43</v>
      </c>
      <c r="R110" s="930">
        <v>28.48</v>
      </c>
      <c r="S110" s="930">
        <v>28.64</v>
      </c>
      <c r="T110" s="930">
        <v>28.63</v>
      </c>
      <c r="U110" s="930">
        <v>28.88</v>
      </c>
      <c r="V110" s="930">
        <v>29.32</v>
      </c>
      <c r="W110" s="930">
        <v>29.79</v>
      </c>
      <c r="X110" s="930">
        <v>30.51</v>
      </c>
      <c r="Y110" s="930">
        <v>31.01</v>
      </c>
      <c r="Z110" s="930">
        <v>31.61</v>
      </c>
      <c r="AA110" s="930">
        <v>32.15</v>
      </c>
      <c r="AB110" s="930">
        <v>32.47</v>
      </c>
      <c r="AC110" s="930">
        <v>32.89</v>
      </c>
      <c r="AD110" s="930">
        <v>33.26</v>
      </c>
      <c r="AE110" s="969">
        <v>-1E-3</v>
      </c>
      <c r="AF110" s="930"/>
      <c r="AG110" s="930"/>
      <c r="AH110" s="930"/>
      <c r="AI110" s="930"/>
      <c r="AJ110" s="930"/>
      <c r="AK110" s="930"/>
      <c r="AL110" s="930"/>
      <c r="AM110" s="930"/>
      <c r="AN110" s="930"/>
      <c r="AO110" s="930"/>
      <c r="AP110" s="930"/>
      <c r="AQ110" s="930"/>
      <c r="AR110" s="930"/>
      <c r="AS110" s="930"/>
      <c r="AT110" s="930"/>
      <c r="AU110" s="930"/>
      <c r="AV110" s="930"/>
      <c r="AW110" s="930"/>
      <c r="AX110" s="930"/>
      <c r="AY110" s="930"/>
      <c r="AZ110" s="930"/>
      <c r="BA110" s="930"/>
      <c r="BB110" s="930"/>
      <c r="BC110" s="930"/>
      <c r="BD110" s="930"/>
      <c r="BE110" s="930"/>
      <c r="BF110" s="930"/>
      <c r="BG110" s="930"/>
      <c r="BH110" s="930"/>
      <c r="BI110" s="930"/>
      <c r="BJ110" s="930"/>
      <c r="BK110" s="930"/>
      <c r="BL110" s="930"/>
      <c r="BM110" s="930"/>
      <c r="BN110" s="930"/>
      <c r="BO110" s="930"/>
      <c r="BP110" s="930"/>
      <c r="BQ110" s="930"/>
      <c r="BR110" s="930"/>
      <c r="BS110" s="930"/>
      <c r="BT110" s="930"/>
    </row>
    <row r="111" spans="1:72" x14ac:dyDescent="0.25">
      <c r="A111" s="930"/>
      <c r="B111" s="930"/>
      <c r="C111" s="930"/>
      <c r="D111" s="930"/>
      <c r="E111" s="930"/>
      <c r="F111" s="930"/>
      <c r="G111" s="930"/>
      <c r="H111" s="930"/>
      <c r="I111" s="930"/>
      <c r="J111" s="930"/>
      <c r="K111" s="930"/>
      <c r="L111" s="930"/>
      <c r="M111" s="930"/>
      <c r="N111" s="930"/>
      <c r="O111" s="930"/>
      <c r="P111" s="930"/>
      <c r="Q111" s="930"/>
      <c r="R111" s="930"/>
      <c r="S111" s="930"/>
      <c r="T111" s="930"/>
      <c r="U111" s="930"/>
      <c r="V111" s="930"/>
      <c r="W111" s="930"/>
      <c r="X111" s="930"/>
      <c r="Y111" s="930"/>
      <c r="Z111" s="930"/>
      <c r="AA111" s="930"/>
      <c r="AB111" s="930"/>
      <c r="AC111" s="930"/>
      <c r="AD111" s="930"/>
      <c r="AE111" s="930"/>
      <c r="AF111" s="930"/>
      <c r="AG111" s="930"/>
      <c r="AH111" s="930"/>
      <c r="AI111" s="930"/>
      <c r="AJ111" s="930"/>
      <c r="AK111" s="930"/>
      <c r="AL111" s="930"/>
      <c r="AM111" s="930"/>
      <c r="AN111" s="930"/>
      <c r="AO111" s="930"/>
      <c r="AP111" s="930"/>
      <c r="AQ111" s="930"/>
      <c r="AR111" s="930"/>
      <c r="AS111" s="930"/>
      <c r="AT111" s="930"/>
      <c r="AU111" s="930"/>
      <c r="AV111" s="930"/>
      <c r="AW111" s="930"/>
      <c r="AX111" s="930"/>
      <c r="AY111" s="930"/>
      <c r="AZ111" s="930"/>
      <c r="BA111" s="930"/>
      <c r="BB111" s="930"/>
      <c r="BC111" s="930"/>
      <c r="BD111" s="930"/>
      <c r="BE111" s="930"/>
      <c r="BF111" s="930"/>
      <c r="BG111" s="930"/>
      <c r="BH111" s="930"/>
      <c r="BI111" s="930"/>
      <c r="BJ111" s="930"/>
      <c r="BK111" s="930"/>
      <c r="BL111" s="930"/>
      <c r="BM111" s="930"/>
      <c r="BN111" s="930"/>
      <c r="BO111" s="930"/>
      <c r="BP111" s="930"/>
      <c r="BQ111" s="930"/>
      <c r="BR111" s="930"/>
      <c r="BS111" s="930"/>
      <c r="BT111" s="930"/>
    </row>
    <row r="112" spans="1:72" x14ac:dyDescent="0.25">
      <c r="A112" s="930" t="s">
        <v>623</v>
      </c>
      <c r="B112" s="930"/>
      <c r="C112" s="930"/>
      <c r="D112" s="930"/>
      <c r="E112" s="930"/>
      <c r="F112" s="930"/>
      <c r="G112" s="930"/>
      <c r="H112" s="930"/>
      <c r="I112" s="930"/>
      <c r="J112" s="930"/>
      <c r="K112" s="930"/>
      <c r="L112" s="930"/>
      <c r="M112" s="930"/>
      <c r="N112" s="930"/>
      <c r="O112" s="930"/>
      <c r="P112" s="930"/>
      <c r="Q112" s="930"/>
      <c r="R112" s="930"/>
      <c r="S112" s="930"/>
      <c r="T112" s="930"/>
      <c r="U112" s="930"/>
      <c r="V112" s="930"/>
      <c r="W112" s="930"/>
      <c r="X112" s="930"/>
      <c r="Y112" s="930"/>
      <c r="Z112" s="930"/>
      <c r="AA112" s="930"/>
      <c r="AB112" s="930"/>
      <c r="AC112" s="930"/>
      <c r="AD112" s="930"/>
      <c r="AE112" s="930"/>
      <c r="AF112" s="930"/>
      <c r="AG112" s="930"/>
      <c r="AH112" s="930"/>
      <c r="AI112" s="930"/>
      <c r="AJ112" s="930"/>
      <c r="AK112" s="930"/>
      <c r="AL112" s="930"/>
      <c r="AM112" s="930"/>
      <c r="AN112" s="930"/>
      <c r="AO112" s="930"/>
      <c r="AP112" s="930"/>
      <c r="AQ112" s="930"/>
      <c r="AR112" s="930"/>
      <c r="AS112" s="930"/>
      <c r="AT112" s="930"/>
      <c r="AU112" s="930"/>
      <c r="AV112" s="930"/>
      <c r="AW112" s="930"/>
      <c r="AX112" s="930"/>
      <c r="AY112" s="930"/>
      <c r="AZ112" s="930"/>
      <c r="BA112" s="930"/>
      <c r="BB112" s="930"/>
      <c r="BC112" s="930"/>
      <c r="BD112" s="930"/>
      <c r="BE112" s="930"/>
      <c r="BF112" s="930"/>
      <c r="BG112" s="930"/>
      <c r="BH112" s="930"/>
      <c r="BI112" s="930"/>
      <c r="BJ112" s="930"/>
      <c r="BK112" s="930"/>
      <c r="BL112" s="930"/>
      <c r="BM112" s="930"/>
      <c r="BN112" s="930"/>
      <c r="BO112" s="930"/>
      <c r="BP112" s="930"/>
      <c r="BQ112" s="930"/>
      <c r="BR112" s="930"/>
      <c r="BS112" s="930"/>
      <c r="BT112" s="930"/>
    </row>
    <row r="113" spans="1:72" x14ac:dyDescent="0.25">
      <c r="A113" s="930" t="s">
        <v>610</v>
      </c>
      <c r="B113" s="930">
        <v>15.75</v>
      </c>
      <c r="C113" s="930">
        <v>19.37</v>
      </c>
      <c r="D113" s="930">
        <v>14.24</v>
      </c>
      <c r="E113" s="930">
        <v>13.91</v>
      </c>
      <c r="F113" s="930">
        <v>14.06</v>
      </c>
      <c r="G113" s="930">
        <v>15.2</v>
      </c>
      <c r="H113" s="930">
        <v>16.21</v>
      </c>
      <c r="I113" s="930">
        <v>16.89</v>
      </c>
      <c r="J113" s="930">
        <v>17.36</v>
      </c>
      <c r="K113" s="930">
        <v>18.22</v>
      </c>
      <c r="L113" s="930">
        <v>18.88</v>
      </c>
      <c r="M113" s="930">
        <v>19.510000000000002</v>
      </c>
      <c r="N113" s="930">
        <v>19.920000000000002</v>
      </c>
      <c r="O113" s="930">
        <v>20.25</v>
      </c>
      <c r="P113" s="930">
        <v>20.399999999999999</v>
      </c>
      <c r="Q113" s="930">
        <v>20.58</v>
      </c>
      <c r="R113" s="930">
        <v>20.89</v>
      </c>
      <c r="S113" s="930">
        <v>21.07</v>
      </c>
      <c r="T113" s="930">
        <v>21.35</v>
      </c>
      <c r="U113" s="930">
        <v>21.6</v>
      </c>
      <c r="V113" s="930">
        <v>21.83</v>
      </c>
      <c r="W113" s="930">
        <v>22.14</v>
      </c>
      <c r="X113" s="930">
        <v>22.54</v>
      </c>
      <c r="Y113" s="930">
        <v>22.71</v>
      </c>
      <c r="Z113" s="930">
        <v>23.14</v>
      </c>
      <c r="AA113" s="930">
        <v>23.54</v>
      </c>
      <c r="AB113" s="930">
        <v>23.87</v>
      </c>
      <c r="AC113" s="930">
        <v>24.28</v>
      </c>
      <c r="AD113" s="930">
        <v>24.7</v>
      </c>
      <c r="AE113" s="969">
        <v>8.9999999999999993E-3</v>
      </c>
      <c r="AF113" s="930"/>
      <c r="AG113" s="930"/>
      <c r="AH113" s="930"/>
      <c r="AI113" s="930"/>
      <c r="AJ113" s="930"/>
      <c r="AK113" s="930"/>
      <c r="AL113" s="930"/>
      <c r="AM113" s="930"/>
      <c r="AN113" s="930"/>
      <c r="AO113" s="930"/>
      <c r="AP113" s="930"/>
      <c r="AQ113" s="930"/>
      <c r="AR113" s="930"/>
      <c r="AS113" s="930"/>
      <c r="AT113" s="930"/>
      <c r="AU113" s="930"/>
      <c r="AV113" s="930"/>
      <c r="AW113" s="930"/>
      <c r="AX113" s="930"/>
      <c r="AY113" s="930"/>
      <c r="AZ113" s="930"/>
      <c r="BA113" s="930"/>
      <c r="BB113" s="930"/>
      <c r="BC113" s="930"/>
      <c r="BD113" s="930"/>
      <c r="BE113" s="930"/>
      <c r="BF113" s="930"/>
      <c r="BG113" s="930"/>
      <c r="BH113" s="930"/>
      <c r="BI113" s="930"/>
      <c r="BJ113" s="930"/>
      <c r="BK113" s="930"/>
      <c r="BL113" s="930"/>
      <c r="BM113" s="930"/>
      <c r="BN113" s="930"/>
      <c r="BO113" s="930"/>
      <c r="BP113" s="930"/>
      <c r="BQ113" s="930"/>
      <c r="BR113" s="930"/>
      <c r="BS113" s="930"/>
      <c r="BT113" s="930"/>
    </row>
    <row r="114" spans="1:72" x14ac:dyDescent="0.25">
      <c r="A114" s="930" t="s">
        <v>611</v>
      </c>
      <c r="B114" s="930">
        <v>9.0399999999999991</v>
      </c>
      <c r="C114" s="930">
        <v>14.56</v>
      </c>
      <c r="D114" s="930">
        <v>8.7799999999999994</v>
      </c>
      <c r="E114" s="930">
        <v>12</v>
      </c>
      <c r="F114" s="930">
        <v>12.17</v>
      </c>
      <c r="G114" s="930">
        <v>13.34</v>
      </c>
      <c r="H114" s="930">
        <v>14.37</v>
      </c>
      <c r="I114" s="930">
        <v>15.11</v>
      </c>
      <c r="J114" s="930">
        <v>15.53</v>
      </c>
      <c r="K114" s="930">
        <v>15.93</v>
      </c>
      <c r="L114" s="930">
        <v>16.45</v>
      </c>
      <c r="M114" s="930">
        <v>16.89</v>
      </c>
      <c r="N114" s="930">
        <v>17.14</v>
      </c>
      <c r="O114" s="930">
        <v>17.22</v>
      </c>
      <c r="P114" s="930">
        <v>17.47</v>
      </c>
      <c r="Q114" s="930">
        <v>17.63</v>
      </c>
      <c r="R114" s="930">
        <v>17.850000000000001</v>
      </c>
      <c r="S114" s="930">
        <v>18.079999999999998</v>
      </c>
      <c r="T114" s="930">
        <v>18.3</v>
      </c>
      <c r="U114" s="930">
        <v>18.38</v>
      </c>
      <c r="V114" s="930">
        <v>18.68</v>
      </c>
      <c r="W114" s="930">
        <v>18.940000000000001</v>
      </c>
      <c r="X114" s="930">
        <v>19.23</v>
      </c>
      <c r="Y114" s="930">
        <v>19.55</v>
      </c>
      <c r="Z114" s="930">
        <v>19.899999999999999</v>
      </c>
      <c r="AA114" s="930">
        <v>20.190000000000001</v>
      </c>
      <c r="AB114" s="930">
        <v>20.43</v>
      </c>
      <c r="AC114" s="930">
        <v>20.77</v>
      </c>
      <c r="AD114" s="930">
        <v>21.12</v>
      </c>
      <c r="AE114" s="969">
        <v>1.4E-2</v>
      </c>
      <c r="AF114" s="930"/>
      <c r="AG114" s="930"/>
      <c r="AH114" s="930"/>
      <c r="AI114" s="930"/>
      <c r="AJ114" s="930"/>
      <c r="AK114" s="930"/>
      <c r="AL114" s="930"/>
      <c r="AM114" s="930"/>
      <c r="AN114" s="930"/>
      <c r="AO114" s="930"/>
      <c r="AP114" s="930"/>
      <c r="AQ114" s="930"/>
      <c r="AR114" s="930"/>
      <c r="AS114" s="930"/>
      <c r="AT114" s="930"/>
      <c r="AU114" s="930"/>
      <c r="AV114" s="930"/>
      <c r="AW114" s="930"/>
      <c r="AX114" s="930"/>
      <c r="AY114" s="930"/>
      <c r="AZ114" s="930"/>
      <c r="BA114" s="930"/>
      <c r="BB114" s="930"/>
      <c r="BC114" s="930"/>
      <c r="BD114" s="930"/>
      <c r="BE114" s="930"/>
      <c r="BF114" s="930"/>
      <c r="BG114" s="930"/>
      <c r="BH114" s="930"/>
      <c r="BI114" s="930"/>
      <c r="BJ114" s="930"/>
      <c r="BK114" s="930"/>
      <c r="BL114" s="930"/>
      <c r="BM114" s="930"/>
      <c r="BN114" s="930"/>
      <c r="BO114" s="930"/>
      <c r="BP114" s="930"/>
      <c r="BQ114" s="930"/>
      <c r="BR114" s="930"/>
      <c r="BS114" s="930"/>
      <c r="BT114" s="930"/>
    </row>
    <row r="115" spans="1:72" x14ac:dyDescent="0.25">
      <c r="A115" s="930" t="s">
        <v>510</v>
      </c>
      <c r="B115" s="930">
        <v>7.26</v>
      </c>
      <c r="C115" s="930">
        <v>9.09</v>
      </c>
      <c r="D115" s="930">
        <v>4.1399999999999997</v>
      </c>
      <c r="E115" s="930">
        <v>4.8499999999999996</v>
      </c>
      <c r="F115" s="930">
        <v>5.82</v>
      </c>
      <c r="G115" s="930">
        <v>6.17</v>
      </c>
      <c r="H115" s="930">
        <v>5.94</v>
      </c>
      <c r="I115" s="930">
        <v>5.9</v>
      </c>
      <c r="J115" s="930">
        <v>6.08</v>
      </c>
      <c r="K115" s="930">
        <v>6.16</v>
      </c>
      <c r="L115" s="930">
        <v>6.17</v>
      </c>
      <c r="M115" s="930">
        <v>6.22</v>
      </c>
      <c r="N115" s="930">
        <v>6.29</v>
      </c>
      <c r="O115" s="930">
        <v>6.42</v>
      </c>
      <c r="P115" s="930">
        <v>6.52</v>
      </c>
      <c r="Q115" s="930">
        <v>6.69</v>
      </c>
      <c r="R115" s="930">
        <v>6.74</v>
      </c>
      <c r="S115" s="930">
        <v>6.7</v>
      </c>
      <c r="T115" s="930">
        <v>6.75</v>
      </c>
      <c r="U115" s="930">
        <v>6.91</v>
      </c>
      <c r="V115" s="930">
        <v>7.05</v>
      </c>
      <c r="W115" s="930">
        <v>7.27</v>
      </c>
      <c r="X115" s="930">
        <v>7.51</v>
      </c>
      <c r="Y115" s="930">
        <v>7.73</v>
      </c>
      <c r="Z115" s="930">
        <v>8.02</v>
      </c>
      <c r="AA115" s="930">
        <v>8.14</v>
      </c>
      <c r="AB115" s="930">
        <v>8.17</v>
      </c>
      <c r="AC115" s="930">
        <v>8.35</v>
      </c>
      <c r="AD115" s="930">
        <v>8.4600000000000009</v>
      </c>
      <c r="AE115" s="969">
        <v>-3.0000000000000001E-3</v>
      </c>
      <c r="AF115" s="930"/>
      <c r="AG115" s="930"/>
      <c r="AH115" s="930"/>
      <c r="AI115" s="930"/>
      <c r="AJ115" s="930"/>
      <c r="AK115" s="930"/>
      <c r="AL115" s="930"/>
      <c r="AM115" s="930"/>
      <c r="AN115" s="930"/>
      <c r="AO115" s="930"/>
      <c r="AP115" s="930"/>
      <c r="AQ115" s="930"/>
      <c r="AR115" s="930"/>
      <c r="AS115" s="930"/>
      <c r="AT115" s="930"/>
      <c r="AU115" s="930"/>
      <c r="AV115" s="930"/>
      <c r="AW115" s="930"/>
      <c r="AX115" s="930"/>
      <c r="AY115" s="930"/>
      <c r="AZ115" s="930"/>
      <c r="BA115" s="930"/>
      <c r="BB115" s="930"/>
      <c r="BC115" s="930"/>
      <c r="BD115" s="930"/>
      <c r="BE115" s="930"/>
      <c r="BF115" s="930"/>
      <c r="BG115" s="930"/>
      <c r="BH115" s="930"/>
      <c r="BI115" s="930"/>
      <c r="BJ115" s="930"/>
      <c r="BK115" s="930"/>
      <c r="BL115" s="930"/>
      <c r="BM115" s="930"/>
      <c r="BN115" s="930"/>
      <c r="BO115" s="930"/>
      <c r="BP115" s="930"/>
      <c r="BQ115" s="930"/>
      <c r="BR115" s="930"/>
      <c r="BS115" s="930"/>
      <c r="BT115" s="930"/>
    </row>
    <row r="116" spans="1:72" x14ac:dyDescent="0.25">
      <c r="A116" s="930" t="s">
        <v>624</v>
      </c>
      <c r="B116" s="930">
        <v>1.8</v>
      </c>
      <c r="C116" s="930">
        <v>2.0499999999999998</v>
      </c>
      <c r="D116" s="930">
        <v>2.15</v>
      </c>
      <c r="E116" s="930">
        <v>1.99</v>
      </c>
      <c r="F116" s="930">
        <v>1.98</v>
      </c>
      <c r="G116" s="930">
        <v>1.99</v>
      </c>
      <c r="H116" s="930">
        <v>1.99</v>
      </c>
      <c r="I116" s="930">
        <v>1.99</v>
      </c>
      <c r="J116" s="930">
        <v>2.0099999999999998</v>
      </c>
      <c r="K116" s="930">
        <v>1.99</v>
      </c>
      <c r="L116" s="930">
        <v>2</v>
      </c>
      <c r="M116" s="930">
        <v>1.99</v>
      </c>
      <c r="N116" s="930">
        <v>1.99</v>
      </c>
      <c r="O116" s="930">
        <v>1.98</v>
      </c>
      <c r="P116" s="930">
        <v>1.98</v>
      </c>
      <c r="Q116" s="930">
        <v>1.99</v>
      </c>
      <c r="R116" s="930">
        <v>1.99</v>
      </c>
      <c r="S116" s="930">
        <v>1.99</v>
      </c>
      <c r="T116" s="930">
        <v>1.99</v>
      </c>
      <c r="U116" s="930">
        <v>2</v>
      </c>
      <c r="V116" s="930">
        <v>2</v>
      </c>
      <c r="W116" s="930">
        <v>2.0099999999999998</v>
      </c>
      <c r="X116" s="930">
        <v>2.02</v>
      </c>
      <c r="Y116" s="930">
        <v>2.0299999999999998</v>
      </c>
      <c r="Z116" s="930">
        <v>2.04</v>
      </c>
      <c r="AA116" s="930">
        <v>2.0499999999999998</v>
      </c>
      <c r="AB116" s="930">
        <v>2.06</v>
      </c>
      <c r="AC116" s="930">
        <v>2.0699999999999998</v>
      </c>
      <c r="AD116" s="930">
        <v>2.09</v>
      </c>
      <c r="AE116" s="969">
        <v>1E-3</v>
      </c>
      <c r="AF116" s="930"/>
      <c r="AG116" s="930"/>
      <c r="AH116" s="930"/>
      <c r="AI116" s="930"/>
      <c r="AJ116" s="930"/>
      <c r="AK116" s="930"/>
      <c r="AL116" s="930"/>
      <c r="AM116" s="930"/>
      <c r="AN116" s="930"/>
      <c r="AO116" s="930"/>
      <c r="AP116" s="930"/>
      <c r="AQ116" s="930"/>
      <c r="AR116" s="930"/>
      <c r="AS116" s="930"/>
      <c r="AT116" s="930"/>
      <c r="AU116" s="930"/>
      <c r="AV116" s="930"/>
      <c r="AW116" s="930"/>
      <c r="AX116" s="930"/>
      <c r="AY116" s="930"/>
      <c r="AZ116" s="930"/>
      <c r="BA116" s="930"/>
      <c r="BB116" s="930"/>
      <c r="BC116" s="930"/>
      <c r="BD116" s="930"/>
      <c r="BE116" s="930"/>
      <c r="BF116" s="930"/>
      <c r="BG116" s="930"/>
      <c r="BH116" s="930"/>
      <c r="BI116" s="930"/>
      <c r="BJ116" s="930"/>
      <c r="BK116" s="930"/>
      <c r="BL116" s="930"/>
      <c r="BM116" s="930"/>
      <c r="BN116" s="930"/>
      <c r="BO116" s="930"/>
      <c r="BP116" s="930"/>
      <c r="BQ116" s="930"/>
      <c r="BR116" s="930"/>
      <c r="BS116" s="930"/>
      <c r="BT116" s="930"/>
    </row>
    <row r="117" spans="1:72" x14ac:dyDescent="0.25">
      <c r="A117" s="930"/>
      <c r="B117" s="930"/>
      <c r="C117" s="930"/>
      <c r="D117" s="930"/>
      <c r="E117" s="930"/>
      <c r="F117" s="930"/>
      <c r="G117" s="930"/>
      <c r="H117" s="930"/>
      <c r="I117" s="930"/>
      <c r="J117" s="930"/>
      <c r="K117" s="930"/>
      <c r="L117" s="930"/>
      <c r="M117" s="930"/>
      <c r="N117" s="930"/>
      <c r="O117" s="930"/>
      <c r="P117" s="930"/>
      <c r="Q117" s="930"/>
      <c r="R117" s="930"/>
      <c r="S117" s="930"/>
      <c r="T117" s="930"/>
      <c r="U117" s="930"/>
      <c r="V117" s="930"/>
      <c r="W117" s="930"/>
      <c r="X117" s="930"/>
      <c r="Y117" s="930"/>
      <c r="Z117" s="930"/>
      <c r="AA117" s="930"/>
      <c r="AB117" s="930"/>
      <c r="AC117" s="930"/>
      <c r="AD117" s="930"/>
      <c r="AE117" s="930"/>
      <c r="AF117" s="930"/>
      <c r="AG117" s="930"/>
      <c r="AH117" s="930"/>
      <c r="AI117" s="930"/>
      <c r="AJ117" s="930"/>
      <c r="AK117" s="930"/>
      <c r="AL117" s="930"/>
      <c r="AM117" s="930"/>
      <c r="AN117" s="930"/>
      <c r="AO117" s="930"/>
      <c r="AP117" s="930"/>
      <c r="AQ117" s="930"/>
      <c r="AR117" s="930"/>
      <c r="AS117" s="930"/>
      <c r="AT117" s="930"/>
      <c r="AU117" s="930"/>
      <c r="AV117" s="930"/>
      <c r="AW117" s="930"/>
      <c r="AX117" s="930"/>
      <c r="AY117" s="930"/>
      <c r="AZ117" s="930"/>
      <c r="BA117" s="930"/>
      <c r="BB117" s="930"/>
      <c r="BC117" s="930"/>
      <c r="BD117" s="930"/>
      <c r="BE117" s="930"/>
      <c r="BF117" s="930"/>
      <c r="BG117" s="930"/>
      <c r="BH117" s="930"/>
      <c r="BI117" s="930"/>
      <c r="BJ117" s="930"/>
      <c r="BK117" s="930"/>
      <c r="BL117" s="930"/>
      <c r="BM117" s="930"/>
      <c r="BN117" s="930"/>
      <c r="BO117" s="930"/>
      <c r="BP117" s="930"/>
      <c r="BQ117" s="930"/>
      <c r="BR117" s="930"/>
      <c r="BS117" s="930"/>
      <c r="BT117" s="930"/>
    </row>
    <row r="118" spans="1:72" x14ac:dyDescent="0.25">
      <c r="A118" s="930" t="s">
        <v>625</v>
      </c>
      <c r="B118" s="930"/>
      <c r="C118" s="930"/>
      <c r="D118" s="930"/>
      <c r="E118" s="930"/>
      <c r="F118" s="930"/>
      <c r="G118" s="930"/>
      <c r="H118" s="930"/>
      <c r="I118" s="930"/>
      <c r="J118" s="930"/>
      <c r="K118" s="930"/>
      <c r="L118" s="930"/>
      <c r="M118" s="930"/>
      <c r="N118" s="930"/>
      <c r="O118" s="930"/>
      <c r="P118" s="930"/>
      <c r="Q118" s="930"/>
      <c r="R118" s="930"/>
      <c r="S118" s="930"/>
      <c r="T118" s="930"/>
      <c r="U118" s="930"/>
      <c r="V118" s="930"/>
      <c r="W118" s="930"/>
      <c r="X118" s="930"/>
      <c r="Y118" s="930"/>
      <c r="Z118" s="930"/>
      <c r="AA118" s="930"/>
      <c r="AB118" s="930"/>
      <c r="AC118" s="930"/>
      <c r="AD118" s="930"/>
      <c r="AE118" s="930"/>
      <c r="AF118" s="930"/>
      <c r="AG118" s="930"/>
      <c r="AH118" s="930"/>
      <c r="AI118" s="930"/>
      <c r="AJ118" s="930"/>
      <c r="AK118" s="930"/>
      <c r="AL118" s="930"/>
      <c r="AM118" s="930"/>
      <c r="AN118" s="930"/>
      <c r="AO118" s="930"/>
      <c r="AP118" s="930"/>
      <c r="AQ118" s="930"/>
      <c r="AR118" s="930"/>
      <c r="AS118" s="930"/>
      <c r="AT118" s="930"/>
      <c r="AU118" s="930"/>
      <c r="AV118" s="930"/>
      <c r="AW118" s="930"/>
      <c r="AX118" s="930"/>
      <c r="AY118" s="930"/>
      <c r="AZ118" s="930"/>
      <c r="BA118" s="930"/>
      <c r="BB118" s="930"/>
      <c r="BC118" s="930"/>
      <c r="BD118" s="930"/>
      <c r="BE118" s="930"/>
      <c r="BF118" s="930"/>
      <c r="BG118" s="930"/>
      <c r="BH118" s="930"/>
      <c r="BI118" s="930"/>
      <c r="BJ118" s="930"/>
      <c r="BK118" s="930"/>
      <c r="BL118" s="930"/>
      <c r="BM118" s="930"/>
      <c r="BN118" s="930"/>
      <c r="BO118" s="930"/>
      <c r="BP118" s="930"/>
      <c r="BQ118" s="930"/>
      <c r="BR118" s="930"/>
      <c r="BS118" s="930"/>
      <c r="BT118" s="930"/>
    </row>
    <row r="119" spans="1:72" x14ac:dyDescent="0.25">
      <c r="A119" s="930" t="s">
        <v>609</v>
      </c>
      <c r="B119" s="930">
        <v>18.940000000000001</v>
      </c>
      <c r="C119" s="930">
        <v>20.190000000000001</v>
      </c>
      <c r="D119" s="930">
        <v>18.36</v>
      </c>
      <c r="E119" s="930">
        <v>16.850000000000001</v>
      </c>
      <c r="F119" s="930">
        <v>16.87</v>
      </c>
      <c r="G119" s="930">
        <v>17.87</v>
      </c>
      <c r="H119" s="930">
        <v>18.97</v>
      </c>
      <c r="I119" s="930">
        <v>19.82</v>
      </c>
      <c r="J119" s="930">
        <v>20.3</v>
      </c>
      <c r="K119" s="930">
        <v>20.84</v>
      </c>
      <c r="L119" s="930">
        <v>21.26</v>
      </c>
      <c r="M119" s="930">
        <v>21.71</v>
      </c>
      <c r="N119" s="930">
        <v>21.93</v>
      </c>
      <c r="O119" s="930">
        <v>22.15</v>
      </c>
      <c r="P119" s="930">
        <v>22.36</v>
      </c>
      <c r="Q119" s="930">
        <v>22.56</v>
      </c>
      <c r="R119" s="930">
        <v>22.83</v>
      </c>
      <c r="S119" s="930">
        <v>23.09</v>
      </c>
      <c r="T119" s="930">
        <v>23.34</v>
      </c>
      <c r="U119" s="930">
        <v>23.49</v>
      </c>
      <c r="V119" s="930">
        <v>23.75</v>
      </c>
      <c r="W119" s="930">
        <v>24</v>
      </c>
      <c r="X119" s="930">
        <v>24.34</v>
      </c>
      <c r="Y119" s="930">
        <v>24.55</v>
      </c>
      <c r="Z119" s="930">
        <v>24.91</v>
      </c>
      <c r="AA119" s="930">
        <v>25.25</v>
      </c>
      <c r="AB119" s="930">
        <v>25.63</v>
      </c>
      <c r="AC119" s="930">
        <v>25.99</v>
      </c>
      <c r="AD119" s="930">
        <v>26.37</v>
      </c>
      <c r="AE119" s="969">
        <v>0.01</v>
      </c>
      <c r="AF119" s="930"/>
      <c r="AG119" s="930"/>
      <c r="AH119" s="930"/>
      <c r="AI119" s="930"/>
      <c r="AJ119" s="930"/>
      <c r="AK119" s="930"/>
      <c r="AL119" s="930"/>
      <c r="AM119" s="930"/>
      <c r="AN119" s="930"/>
      <c r="AO119" s="930"/>
      <c r="AP119" s="930"/>
      <c r="AQ119" s="930"/>
      <c r="AR119" s="930"/>
      <c r="AS119" s="930"/>
      <c r="AT119" s="930"/>
      <c r="AU119" s="930"/>
      <c r="AV119" s="930"/>
      <c r="AW119" s="930"/>
      <c r="AX119" s="930"/>
      <c r="AY119" s="930"/>
      <c r="AZ119" s="930"/>
      <c r="BA119" s="930"/>
      <c r="BB119" s="930"/>
      <c r="BC119" s="930"/>
      <c r="BD119" s="930"/>
      <c r="BE119" s="930"/>
      <c r="BF119" s="930"/>
      <c r="BG119" s="930"/>
      <c r="BH119" s="930"/>
      <c r="BI119" s="930"/>
      <c r="BJ119" s="930"/>
      <c r="BK119" s="930"/>
      <c r="BL119" s="930"/>
      <c r="BM119" s="930"/>
      <c r="BN119" s="930"/>
      <c r="BO119" s="930"/>
      <c r="BP119" s="930"/>
      <c r="BQ119" s="930"/>
      <c r="BR119" s="930"/>
      <c r="BS119" s="930"/>
      <c r="BT119" s="930"/>
    </row>
    <row r="120" spans="1:72" x14ac:dyDescent="0.25">
      <c r="A120" s="930" t="s">
        <v>618</v>
      </c>
      <c r="B120" s="930">
        <v>27.43</v>
      </c>
      <c r="C120" s="930">
        <v>26.93</v>
      </c>
      <c r="D120" s="930">
        <v>23.29</v>
      </c>
      <c r="E120" s="930">
        <v>20.64</v>
      </c>
      <c r="F120" s="930">
        <v>20.97</v>
      </c>
      <c r="G120" s="930">
        <v>22.13</v>
      </c>
      <c r="H120" s="930">
        <v>24.21</v>
      </c>
      <c r="I120" s="930">
        <v>25.23</v>
      </c>
      <c r="J120" s="930">
        <v>25.55</v>
      </c>
      <c r="K120" s="930">
        <v>25.08</v>
      </c>
      <c r="L120" s="930">
        <v>25.9</v>
      </c>
      <c r="M120" s="930">
        <v>26.54</v>
      </c>
      <c r="N120" s="930">
        <v>26.68</v>
      </c>
      <c r="O120" s="930">
        <v>26.95</v>
      </c>
      <c r="P120" s="930">
        <v>27.32</v>
      </c>
      <c r="Q120" s="930">
        <v>27.82</v>
      </c>
      <c r="R120" s="930">
        <v>28.31</v>
      </c>
      <c r="S120" s="930">
        <v>28.55</v>
      </c>
      <c r="T120" s="930">
        <v>28.86</v>
      </c>
      <c r="U120" s="930">
        <v>29.22</v>
      </c>
      <c r="V120" s="930">
        <v>29.49</v>
      </c>
      <c r="W120" s="930">
        <v>30.03</v>
      </c>
      <c r="X120" s="930">
        <v>30.44</v>
      </c>
      <c r="Y120" s="930">
        <v>30.64</v>
      </c>
      <c r="Z120" s="930">
        <v>30.86</v>
      </c>
      <c r="AA120" s="930">
        <v>31.29</v>
      </c>
      <c r="AB120" s="930">
        <v>31.49</v>
      </c>
      <c r="AC120" s="930">
        <v>31.77</v>
      </c>
      <c r="AD120" s="930">
        <v>32.229999999999997</v>
      </c>
      <c r="AE120" s="969">
        <v>7.0000000000000001E-3</v>
      </c>
      <c r="AF120" s="930"/>
      <c r="AG120" s="930"/>
      <c r="AH120" s="930"/>
      <c r="AI120" s="930"/>
      <c r="AJ120" s="930"/>
      <c r="AK120" s="930"/>
      <c r="AL120" s="930"/>
      <c r="AM120" s="930"/>
      <c r="AN120" s="930"/>
      <c r="AO120" s="930"/>
      <c r="AP120" s="930"/>
      <c r="AQ120" s="930"/>
      <c r="AR120" s="930"/>
      <c r="AS120" s="930"/>
      <c r="AT120" s="930"/>
      <c r="AU120" s="930"/>
      <c r="AV120" s="930"/>
      <c r="AW120" s="930"/>
      <c r="AX120" s="930"/>
      <c r="AY120" s="930"/>
      <c r="AZ120" s="930"/>
      <c r="BA120" s="930"/>
      <c r="BB120" s="930"/>
      <c r="BC120" s="930"/>
      <c r="BD120" s="930"/>
      <c r="BE120" s="930"/>
      <c r="BF120" s="930"/>
      <c r="BG120" s="930"/>
      <c r="BH120" s="930"/>
      <c r="BI120" s="930"/>
      <c r="BJ120" s="930"/>
      <c r="BK120" s="930"/>
      <c r="BL120" s="930"/>
      <c r="BM120" s="930"/>
      <c r="BN120" s="930"/>
      <c r="BO120" s="930"/>
      <c r="BP120" s="930"/>
      <c r="BQ120" s="930"/>
      <c r="BR120" s="930"/>
      <c r="BS120" s="930"/>
      <c r="BT120" s="930"/>
    </row>
    <row r="121" spans="1:72" x14ac:dyDescent="0.25">
      <c r="A121" s="930" t="s">
        <v>619</v>
      </c>
      <c r="B121" s="930">
        <v>23.55</v>
      </c>
      <c r="C121" s="930">
        <v>26.54</v>
      </c>
      <c r="D121" s="930">
        <v>19.149999999999999</v>
      </c>
      <c r="E121" s="930">
        <v>20.55</v>
      </c>
      <c r="F121" s="930">
        <v>20.88</v>
      </c>
      <c r="G121" s="930">
        <v>22.03</v>
      </c>
      <c r="H121" s="930">
        <v>24.01</v>
      </c>
      <c r="I121" s="930">
        <v>24.94</v>
      </c>
      <c r="J121" s="930">
        <v>25.36</v>
      </c>
      <c r="K121" s="930">
        <v>25.93</v>
      </c>
      <c r="L121" s="930">
        <v>26.46</v>
      </c>
      <c r="M121" s="930">
        <v>26.89</v>
      </c>
      <c r="N121" s="930">
        <v>27.2</v>
      </c>
      <c r="O121" s="930">
        <v>27.59</v>
      </c>
      <c r="P121" s="930">
        <v>27.82</v>
      </c>
      <c r="Q121" s="930">
        <v>28.17</v>
      </c>
      <c r="R121" s="930">
        <v>28.41</v>
      </c>
      <c r="S121" s="930">
        <v>28.54</v>
      </c>
      <c r="T121" s="930">
        <v>28.87</v>
      </c>
      <c r="U121" s="930">
        <v>29.18</v>
      </c>
      <c r="V121" s="930">
        <v>29.47</v>
      </c>
      <c r="W121" s="930">
        <v>29.9</v>
      </c>
      <c r="X121" s="930">
        <v>30.27</v>
      </c>
      <c r="Y121" s="930">
        <v>30.41</v>
      </c>
      <c r="Z121" s="930">
        <v>30.76</v>
      </c>
      <c r="AA121" s="930">
        <v>31.16</v>
      </c>
      <c r="AB121" s="930">
        <v>31.43</v>
      </c>
      <c r="AC121" s="930">
        <v>31.81</v>
      </c>
      <c r="AD121" s="930">
        <v>32.32</v>
      </c>
      <c r="AE121" s="969">
        <v>7.0000000000000001E-3</v>
      </c>
      <c r="AF121" s="930"/>
      <c r="AG121" s="930"/>
      <c r="AH121" s="930"/>
      <c r="AI121" s="930"/>
      <c r="AJ121" s="930"/>
      <c r="AK121" s="930"/>
      <c r="AL121" s="930"/>
      <c r="AM121" s="930"/>
      <c r="AN121" s="930"/>
      <c r="AO121" s="930"/>
      <c r="AP121" s="930"/>
      <c r="AQ121" s="930"/>
      <c r="AR121" s="930"/>
      <c r="AS121" s="930"/>
      <c r="AT121" s="930"/>
      <c r="AU121" s="930"/>
      <c r="AV121" s="930"/>
      <c r="AW121" s="930"/>
      <c r="AX121" s="930"/>
      <c r="AY121" s="930"/>
      <c r="AZ121" s="930"/>
      <c r="BA121" s="930"/>
      <c r="BB121" s="930"/>
      <c r="BC121" s="930"/>
      <c r="BD121" s="930"/>
      <c r="BE121" s="930"/>
      <c r="BF121" s="930"/>
      <c r="BG121" s="930"/>
      <c r="BH121" s="930"/>
      <c r="BI121" s="930"/>
      <c r="BJ121" s="930"/>
      <c r="BK121" s="930"/>
      <c r="BL121" s="930"/>
      <c r="BM121" s="930"/>
      <c r="BN121" s="930"/>
      <c r="BO121" s="930"/>
      <c r="BP121" s="930"/>
      <c r="BQ121" s="930"/>
      <c r="BR121" s="930"/>
      <c r="BS121" s="930"/>
      <c r="BT121" s="930"/>
    </row>
    <row r="122" spans="1:72" x14ac:dyDescent="0.25">
      <c r="A122" s="930" t="s">
        <v>626</v>
      </c>
      <c r="B122" s="930">
        <v>15.77</v>
      </c>
      <c r="C122" s="930">
        <v>22.71</v>
      </c>
      <c r="D122" s="930">
        <v>12.73</v>
      </c>
      <c r="E122" s="930">
        <v>14.79</v>
      </c>
      <c r="F122" s="930">
        <v>15.16</v>
      </c>
      <c r="G122" s="930">
        <v>16.54</v>
      </c>
      <c r="H122" s="930">
        <v>17.690000000000001</v>
      </c>
      <c r="I122" s="930">
        <v>18.46</v>
      </c>
      <c r="J122" s="930">
        <v>19.04</v>
      </c>
      <c r="K122" s="930">
        <v>19.760000000000002</v>
      </c>
      <c r="L122" s="930">
        <v>20.41</v>
      </c>
      <c r="M122" s="930">
        <v>20.97</v>
      </c>
      <c r="N122" s="930">
        <v>21.35</v>
      </c>
      <c r="O122" s="930">
        <v>21.69</v>
      </c>
      <c r="P122" s="930">
        <v>21.85</v>
      </c>
      <c r="Q122" s="930">
        <v>22.09</v>
      </c>
      <c r="R122" s="930">
        <v>22.41</v>
      </c>
      <c r="S122" s="930">
        <v>22.61</v>
      </c>
      <c r="T122" s="930">
        <v>22.92</v>
      </c>
      <c r="U122" s="930">
        <v>23.19</v>
      </c>
      <c r="V122" s="930">
        <v>23.48</v>
      </c>
      <c r="W122" s="930">
        <v>23.9</v>
      </c>
      <c r="X122" s="930">
        <v>24.26</v>
      </c>
      <c r="Y122" s="930">
        <v>24.51</v>
      </c>
      <c r="Z122" s="930">
        <v>24.9</v>
      </c>
      <c r="AA122" s="930">
        <v>25.3</v>
      </c>
      <c r="AB122" s="930">
        <v>25.64</v>
      </c>
      <c r="AC122" s="930">
        <v>26.05</v>
      </c>
      <c r="AD122" s="930">
        <v>26.48</v>
      </c>
      <c r="AE122" s="969">
        <v>6.0000000000000001E-3</v>
      </c>
      <c r="AF122" s="930"/>
      <c r="AG122" s="930"/>
      <c r="AH122" s="930"/>
      <c r="AI122" s="930"/>
      <c r="AJ122" s="930"/>
      <c r="AK122" s="930"/>
      <c r="AL122" s="930"/>
      <c r="AM122" s="930"/>
      <c r="AN122" s="930"/>
      <c r="AO122" s="930"/>
      <c r="AP122" s="930"/>
      <c r="AQ122" s="930"/>
      <c r="AR122" s="930"/>
      <c r="AS122" s="930"/>
      <c r="AT122" s="930"/>
      <c r="AU122" s="930"/>
      <c r="AV122" s="930"/>
      <c r="AW122" s="930"/>
      <c r="AX122" s="930"/>
      <c r="AY122" s="930"/>
      <c r="AZ122" s="930"/>
      <c r="BA122" s="930"/>
      <c r="BB122" s="930"/>
      <c r="BC122" s="930"/>
      <c r="BD122" s="930"/>
      <c r="BE122" s="930"/>
      <c r="BF122" s="930"/>
      <c r="BG122" s="930"/>
      <c r="BH122" s="930"/>
      <c r="BI122" s="930"/>
      <c r="BJ122" s="930"/>
      <c r="BK122" s="930"/>
      <c r="BL122" s="930"/>
      <c r="BM122" s="930"/>
      <c r="BN122" s="930"/>
      <c r="BO122" s="930"/>
      <c r="BP122" s="930"/>
      <c r="BQ122" s="930"/>
      <c r="BR122" s="930"/>
      <c r="BS122" s="930"/>
      <c r="BT122" s="930"/>
    </row>
    <row r="123" spans="1:72" x14ac:dyDescent="0.25">
      <c r="A123" s="930" t="s">
        <v>610</v>
      </c>
      <c r="B123" s="930">
        <v>20.71</v>
      </c>
      <c r="C123" s="930">
        <v>26.27</v>
      </c>
      <c r="D123" s="930">
        <v>17.46</v>
      </c>
      <c r="E123" s="930">
        <v>17.73</v>
      </c>
      <c r="F123" s="930">
        <v>18.149999999999999</v>
      </c>
      <c r="G123" s="930">
        <v>19.45</v>
      </c>
      <c r="H123" s="930">
        <v>20.62</v>
      </c>
      <c r="I123" s="930">
        <v>21.35</v>
      </c>
      <c r="J123" s="930">
        <v>22.03</v>
      </c>
      <c r="K123" s="930">
        <v>22.8</v>
      </c>
      <c r="L123" s="930">
        <v>23.45</v>
      </c>
      <c r="M123" s="930">
        <v>24.07</v>
      </c>
      <c r="N123" s="930">
        <v>24.47</v>
      </c>
      <c r="O123" s="930">
        <v>24.79</v>
      </c>
      <c r="P123" s="930">
        <v>24.99</v>
      </c>
      <c r="Q123" s="930">
        <v>25.32</v>
      </c>
      <c r="R123" s="930">
        <v>25.5</v>
      </c>
      <c r="S123" s="930">
        <v>25.59</v>
      </c>
      <c r="T123" s="930">
        <v>25.89</v>
      </c>
      <c r="U123" s="930">
        <v>26.12</v>
      </c>
      <c r="V123" s="930">
        <v>26.38</v>
      </c>
      <c r="W123" s="930">
        <v>26.71</v>
      </c>
      <c r="X123" s="930">
        <v>27.11</v>
      </c>
      <c r="Y123" s="930">
        <v>27.29</v>
      </c>
      <c r="Z123" s="930">
        <v>27.73</v>
      </c>
      <c r="AA123" s="930">
        <v>28.13</v>
      </c>
      <c r="AB123" s="930">
        <v>28.46</v>
      </c>
      <c r="AC123" s="930">
        <v>28.87</v>
      </c>
      <c r="AD123" s="930">
        <v>29.34</v>
      </c>
      <c r="AE123" s="969">
        <v>4.0000000000000001E-3</v>
      </c>
      <c r="AF123" s="930"/>
      <c r="AG123" s="930"/>
      <c r="AH123" s="930"/>
      <c r="AI123" s="930"/>
      <c r="AJ123" s="930"/>
      <c r="AK123" s="930"/>
      <c r="AL123" s="930"/>
      <c r="AM123" s="930"/>
      <c r="AN123" s="930"/>
      <c r="AO123" s="930"/>
      <c r="AP123" s="930"/>
      <c r="AQ123" s="930"/>
      <c r="AR123" s="930"/>
      <c r="AS123" s="930"/>
      <c r="AT123" s="930"/>
      <c r="AU123" s="930"/>
      <c r="AV123" s="930"/>
      <c r="AW123" s="930"/>
      <c r="AX123" s="930"/>
      <c r="AY123" s="930"/>
      <c r="AZ123" s="930"/>
      <c r="BA123" s="930"/>
      <c r="BB123" s="930"/>
      <c r="BC123" s="930"/>
      <c r="BD123" s="930"/>
      <c r="BE123" s="930"/>
      <c r="BF123" s="930"/>
      <c r="BG123" s="930"/>
      <c r="BH123" s="930"/>
      <c r="BI123" s="930"/>
      <c r="BJ123" s="930"/>
      <c r="BK123" s="930"/>
      <c r="BL123" s="930"/>
      <c r="BM123" s="930"/>
      <c r="BN123" s="930"/>
      <c r="BO123" s="930"/>
      <c r="BP123" s="930"/>
      <c r="BQ123" s="930"/>
      <c r="BR123" s="930"/>
      <c r="BS123" s="930"/>
      <c r="BT123" s="930"/>
    </row>
    <row r="124" spans="1:72" x14ac:dyDescent="0.25">
      <c r="A124" s="930" t="s">
        <v>611</v>
      </c>
      <c r="B124" s="930">
        <v>9.07</v>
      </c>
      <c r="C124" s="930">
        <v>14.77</v>
      </c>
      <c r="D124" s="930">
        <v>8.9600000000000009</v>
      </c>
      <c r="E124" s="930">
        <v>10.9</v>
      </c>
      <c r="F124" s="930">
        <v>11.01</v>
      </c>
      <c r="G124" s="930">
        <v>12.17</v>
      </c>
      <c r="H124" s="930">
        <v>13.13</v>
      </c>
      <c r="I124" s="930">
        <v>13.86</v>
      </c>
      <c r="J124" s="930">
        <v>14.26</v>
      </c>
      <c r="K124" s="930">
        <v>14.63</v>
      </c>
      <c r="L124" s="930">
        <v>15.14</v>
      </c>
      <c r="M124" s="930">
        <v>15.55</v>
      </c>
      <c r="N124" s="930">
        <v>15.76</v>
      </c>
      <c r="O124" s="930">
        <v>15.81</v>
      </c>
      <c r="P124" s="930">
        <v>16.05</v>
      </c>
      <c r="Q124" s="930">
        <v>16.190000000000001</v>
      </c>
      <c r="R124" s="930">
        <v>16.399999999999999</v>
      </c>
      <c r="S124" s="930">
        <v>16.600000000000001</v>
      </c>
      <c r="T124" s="930">
        <v>16.8</v>
      </c>
      <c r="U124" s="930">
        <v>16.850000000000001</v>
      </c>
      <c r="V124" s="930">
        <v>17.13</v>
      </c>
      <c r="W124" s="930">
        <v>17.37</v>
      </c>
      <c r="X124" s="930">
        <v>17.66</v>
      </c>
      <c r="Y124" s="930">
        <v>17.96</v>
      </c>
      <c r="Z124" s="930">
        <v>18.3</v>
      </c>
      <c r="AA124" s="930">
        <v>18.559999999999999</v>
      </c>
      <c r="AB124" s="930">
        <v>18.79</v>
      </c>
      <c r="AC124" s="930">
        <v>19.12</v>
      </c>
      <c r="AD124" s="930">
        <v>19.46</v>
      </c>
      <c r="AE124" s="969">
        <v>0.01</v>
      </c>
      <c r="AF124" s="930"/>
      <c r="AG124" s="930"/>
      <c r="AH124" s="930"/>
      <c r="AI124" s="930"/>
      <c r="AJ124" s="930"/>
      <c r="AK124" s="930"/>
      <c r="AL124" s="930"/>
      <c r="AM124" s="930"/>
      <c r="AN124" s="930"/>
      <c r="AO124" s="930"/>
      <c r="AP124" s="930"/>
      <c r="AQ124" s="930"/>
      <c r="AR124" s="930"/>
      <c r="AS124" s="930"/>
      <c r="AT124" s="930"/>
      <c r="AU124" s="930"/>
      <c r="AV124" s="930"/>
      <c r="AW124" s="930"/>
      <c r="AX124" s="930"/>
      <c r="AY124" s="930"/>
      <c r="AZ124" s="930"/>
      <c r="BA124" s="930"/>
      <c r="BB124" s="930"/>
      <c r="BC124" s="930"/>
      <c r="BD124" s="930"/>
      <c r="BE124" s="930"/>
      <c r="BF124" s="930"/>
      <c r="BG124" s="930"/>
      <c r="BH124" s="930"/>
      <c r="BI124" s="930"/>
      <c r="BJ124" s="930"/>
      <c r="BK124" s="930"/>
      <c r="BL124" s="930"/>
      <c r="BM124" s="930"/>
      <c r="BN124" s="930"/>
      <c r="BO124" s="930"/>
      <c r="BP124" s="930"/>
      <c r="BQ124" s="930"/>
      <c r="BR124" s="930"/>
      <c r="BS124" s="930"/>
      <c r="BT124" s="930"/>
    </row>
    <row r="125" spans="1:72" x14ac:dyDescent="0.25">
      <c r="A125" s="930" t="s">
        <v>510</v>
      </c>
      <c r="B125" s="930">
        <v>9.19</v>
      </c>
      <c r="C125" s="930">
        <v>10.53</v>
      </c>
      <c r="D125" s="930">
        <v>6.57</v>
      </c>
      <c r="E125" s="930">
        <v>6.87</v>
      </c>
      <c r="F125" s="930">
        <v>7.87</v>
      </c>
      <c r="G125" s="930">
        <v>8.1999999999999993</v>
      </c>
      <c r="H125" s="930">
        <v>8.0500000000000007</v>
      </c>
      <c r="I125" s="930">
        <v>8.02</v>
      </c>
      <c r="J125" s="930">
        <v>8.14</v>
      </c>
      <c r="K125" s="930">
        <v>8.2200000000000006</v>
      </c>
      <c r="L125" s="930">
        <v>8.2200000000000006</v>
      </c>
      <c r="M125" s="930">
        <v>8.27</v>
      </c>
      <c r="N125" s="930">
        <v>8.33</v>
      </c>
      <c r="O125" s="930">
        <v>8.44</v>
      </c>
      <c r="P125" s="930">
        <v>8.5500000000000007</v>
      </c>
      <c r="Q125" s="930">
        <v>8.73</v>
      </c>
      <c r="R125" s="930">
        <v>8.77</v>
      </c>
      <c r="S125" s="930">
        <v>8.68</v>
      </c>
      <c r="T125" s="930">
        <v>8.75</v>
      </c>
      <c r="U125" s="930">
        <v>8.89</v>
      </c>
      <c r="V125" s="930">
        <v>9.0399999999999991</v>
      </c>
      <c r="W125" s="930">
        <v>9.26</v>
      </c>
      <c r="X125" s="930">
        <v>9.49</v>
      </c>
      <c r="Y125" s="930">
        <v>9.74</v>
      </c>
      <c r="Z125" s="930">
        <v>10.050000000000001</v>
      </c>
      <c r="AA125" s="930">
        <v>10.17</v>
      </c>
      <c r="AB125" s="930">
        <v>10.210000000000001</v>
      </c>
      <c r="AC125" s="930">
        <v>10.4</v>
      </c>
      <c r="AD125" s="930">
        <v>10.54</v>
      </c>
      <c r="AE125" s="969">
        <v>0</v>
      </c>
      <c r="AF125" s="930"/>
      <c r="AG125" s="930"/>
      <c r="AH125" s="930"/>
      <c r="AI125" s="930"/>
      <c r="AJ125" s="930"/>
      <c r="AK125" s="930"/>
      <c r="AL125" s="930"/>
      <c r="AM125" s="930"/>
      <c r="AN125" s="930"/>
      <c r="AO125" s="930"/>
      <c r="AP125" s="930"/>
      <c r="AQ125" s="930"/>
      <c r="AR125" s="930"/>
      <c r="AS125" s="930"/>
      <c r="AT125" s="930"/>
      <c r="AU125" s="930"/>
      <c r="AV125" s="930"/>
      <c r="AW125" s="930"/>
      <c r="AX125" s="930"/>
      <c r="AY125" s="930"/>
      <c r="AZ125" s="930"/>
      <c r="BA125" s="930"/>
      <c r="BB125" s="930"/>
      <c r="BC125" s="930"/>
      <c r="BD125" s="930"/>
      <c r="BE125" s="930"/>
      <c r="BF125" s="930"/>
      <c r="BG125" s="930"/>
      <c r="BH125" s="930"/>
      <c r="BI125" s="930"/>
      <c r="BJ125" s="930"/>
      <c r="BK125" s="930"/>
      <c r="BL125" s="930"/>
      <c r="BM125" s="930"/>
      <c r="BN125" s="930"/>
      <c r="BO125" s="930"/>
      <c r="BP125" s="930"/>
      <c r="BQ125" s="930"/>
      <c r="BR125" s="930"/>
      <c r="BS125" s="930"/>
      <c r="BT125" s="930"/>
    </row>
    <row r="126" spans="1:72" x14ac:dyDescent="0.25">
      <c r="A126" s="930" t="s">
        <v>614</v>
      </c>
      <c r="B126" s="930">
        <v>3.69</v>
      </c>
      <c r="C126" s="930">
        <v>4.49</v>
      </c>
      <c r="D126" s="930">
        <v>4.72</v>
      </c>
      <c r="E126" s="930">
        <v>4.8</v>
      </c>
      <c r="F126" s="930">
        <v>4.8600000000000003</v>
      </c>
      <c r="G126" s="930">
        <v>5.0199999999999996</v>
      </c>
      <c r="H126" s="930">
        <v>5.05</v>
      </c>
      <c r="I126" s="930">
        <v>5.08</v>
      </c>
      <c r="J126" s="930">
        <v>5.08</v>
      </c>
      <c r="K126" s="930">
        <v>5.09</v>
      </c>
      <c r="L126" s="930">
        <v>5.16</v>
      </c>
      <c r="M126" s="930">
        <v>5.22</v>
      </c>
      <c r="N126" s="930">
        <v>5.29</v>
      </c>
      <c r="O126" s="930">
        <v>5.32</v>
      </c>
      <c r="P126" s="930">
        <v>5.35</v>
      </c>
      <c r="Q126" s="930">
        <v>5.36</v>
      </c>
      <c r="R126" s="930">
        <v>5.35</v>
      </c>
      <c r="S126" s="930">
        <v>5.32</v>
      </c>
      <c r="T126" s="930">
        <v>5.24</v>
      </c>
      <c r="U126" s="930">
        <v>5.16</v>
      </c>
      <c r="V126" s="930">
        <v>5.14</v>
      </c>
      <c r="W126" s="930">
        <v>5.14</v>
      </c>
      <c r="X126" s="930">
        <v>5.1100000000000003</v>
      </c>
      <c r="Y126" s="930">
        <v>5.1100000000000003</v>
      </c>
      <c r="Z126" s="930">
        <v>5.09</v>
      </c>
      <c r="AA126" s="930">
        <v>5.08</v>
      </c>
      <c r="AB126" s="930">
        <v>5.08</v>
      </c>
      <c r="AC126" s="930">
        <v>5.0599999999999996</v>
      </c>
      <c r="AD126" s="930">
        <v>5.0599999999999996</v>
      </c>
      <c r="AE126" s="969">
        <v>4.0000000000000001E-3</v>
      </c>
      <c r="AF126" s="930"/>
      <c r="AG126" s="930"/>
      <c r="AH126" s="930"/>
      <c r="AI126" s="930"/>
      <c r="AJ126" s="930"/>
      <c r="AK126" s="930"/>
      <c r="AL126" s="930"/>
      <c r="AM126" s="930"/>
      <c r="AN126" s="930"/>
      <c r="AO126" s="930"/>
      <c r="AP126" s="930"/>
      <c r="AQ126" s="930"/>
      <c r="AR126" s="930"/>
      <c r="AS126" s="930"/>
      <c r="AT126" s="930"/>
      <c r="AU126" s="930"/>
      <c r="AV126" s="930"/>
      <c r="AW126" s="930"/>
      <c r="AX126" s="930"/>
      <c r="AY126" s="930"/>
      <c r="AZ126" s="930"/>
      <c r="BA126" s="930"/>
      <c r="BB126" s="930"/>
      <c r="BC126" s="930"/>
      <c r="BD126" s="930"/>
      <c r="BE126" s="930"/>
      <c r="BF126" s="930"/>
      <c r="BG126" s="930"/>
      <c r="BH126" s="930"/>
      <c r="BI126" s="930"/>
      <c r="BJ126" s="930"/>
      <c r="BK126" s="930"/>
      <c r="BL126" s="930"/>
      <c r="BM126" s="930"/>
      <c r="BN126" s="930"/>
      <c r="BO126" s="930"/>
      <c r="BP126" s="930"/>
      <c r="BQ126" s="930"/>
      <c r="BR126" s="930"/>
      <c r="BS126" s="930"/>
      <c r="BT126" s="930"/>
    </row>
    <row r="127" spans="1:72" x14ac:dyDescent="0.25">
      <c r="A127" s="930" t="s">
        <v>627</v>
      </c>
      <c r="B127" s="930">
        <v>1.84</v>
      </c>
      <c r="C127" s="930">
        <v>2.1</v>
      </c>
      <c r="D127" s="930">
        <v>2.19</v>
      </c>
      <c r="E127" s="930">
        <v>2.0299999999999998</v>
      </c>
      <c r="F127" s="930">
        <v>2.02</v>
      </c>
      <c r="G127" s="930">
        <v>2.0299999999999998</v>
      </c>
      <c r="H127" s="930">
        <v>2.0299999999999998</v>
      </c>
      <c r="I127" s="930">
        <v>2.0299999999999998</v>
      </c>
      <c r="J127" s="930">
        <v>2.0499999999999998</v>
      </c>
      <c r="K127" s="930">
        <v>2.0299999999999998</v>
      </c>
      <c r="L127" s="930">
        <v>2.04</v>
      </c>
      <c r="M127" s="930">
        <v>2.0299999999999998</v>
      </c>
      <c r="N127" s="930">
        <v>2.02</v>
      </c>
      <c r="O127" s="930">
        <v>2.02</v>
      </c>
      <c r="P127" s="930">
        <v>2.02</v>
      </c>
      <c r="Q127" s="930">
        <v>2.0299999999999998</v>
      </c>
      <c r="R127" s="930">
        <v>2.02</v>
      </c>
      <c r="S127" s="930">
        <v>2.02</v>
      </c>
      <c r="T127" s="930">
        <v>2.02</v>
      </c>
      <c r="U127" s="930">
        <v>2.0299999999999998</v>
      </c>
      <c r="V127" s="930">
        <v>2.0299999999999998</v>
      </c>
      <c r="W127" s="930">
        <v>2.04</v>
      </c>
      <c r="X127" s="930">
        <v>2.0499999999999998</v>
      </c>
      <c r="Y127" s="930">
        <v>2.06</v>
      </c>
      <c r="Z127" s="930">
        <v>2.0699999999999998</v>
      </c>
      <c r="AA127" s="930">
        <v>2.08</v>
      </c>
      <c r="AB127" s="930">
        <v>2.09</v>
      </c>
      <c r="AC127" s="930">
        <v>2.1</v>
      </c>
      <c r="AD127" s="930">
        <v>2.12</v>
      </c>
      <c r="AE127" s="969">
        <v>0</v>
      </c>
      <c r="AF127" s="930"/>
      <c r="AG127" s="930"/>
      <c r="AH127" s="930"/>
      <c r="AI127" s="930"/>
      <c r="AJ127" s="930"/>
      <c r="AK127" s="930"/>
      <c r="AL127" s="930"/>
      <c r="AM127" s="930"/>
      <c r="AN127" s="930"/>
      <c r="AO127" s="930"/>
      <c r="AP127" s="930"/>
      <c r="AQ127" s="930"/>
      <c r="AR127" s="930"/>
      <c r="AS127" s="930"/>
      <c r="AT127" s="930"/>
      <c r="AU127" s="930"/>
      <c r="AV127" s="930"/>
      <c r="AW127" s="930"/>
      <c r="AX127" s="930"/>
      <c r="AY127" s="930"/>
      <c r="AZ127" s="930"/>
      <c r="BA127" s="930"/>
      <c r="BB127" s="930"/>
      <c r="BC127" s="930"/>
      <c r="BD127" s="930"/>
      <c r="BE127" s="930"/>
      <c r="BF127" s="930"/>
      <c r="BG127" s="930"/>
      <c r="BH127" s="930"/>
      <c r="BI127" s="930"/>
      <c r="BJ127" s="930"/>
      <c r="BK127" s="930"/>
      <c r="BL127" s="930"/>
      <c r="BM127" s="930"/>
      <c r="BN127" s="930"/>
      <c r="BO127" s="930"/>
      <c r="BP127" s="930"/>
      <c r="BQ127" s="930"/>
      <c r="BR127" s="930"/>
      <c r="BS127" s="930"/>
      <c r="BT127" s="930"/>
    </row>
    <row r="128" spans="1:72" x14ac:dyDescent="0.25">
      <c r="A128" s="930" t="s">
        <v>616</v>
      </c>
      <c r="B128" s="930" t="s">
        <v>788</v>
      </c>
      <c r="C128" s="930" t="s">
        <v>788</v>
      </c>
      <c r="D128" s="930" t="s">
        <v>788</v>
      </c>
      <c r="E128" s="930" t="s">
        <v>788</v>
      </c>
      <c r="F128" s="930">
        <v>1.26</v>
      </c>
      <c r="G128" s="930">
        <v>1.04</v>
      </c>
      <c r="H128" s="930">
        <v>1.04</v>
      </c>
      <c r="I128" s="930">
        <v>1.41</v>
      </c>
      <c r="J128" s="930">
        <v>1.42</v>
      </c>
      <c r="K128" s="930">
        <v>1.46</v>
      </c>
      <c r="L128" s="930">
        <v>1.48</v>
      </c>
      <c r="M128" s="930">
        <v>1.48</v>
      </c>
      <c r="N128" s="930">
        <v>1.47</v>
      </c>
      <c r="O128" s="930">
        <v>1.46</v>
      </c>
      <c r="P128" s="930">
        <v>1.49</v>
      </c>
      <c r="Q128" s="930">
        <v>1.5</v>
      </c>
      <c r="R128" s="930">
        <v>1.52</v>
      </c>
      <c r="S128" s="930">
        <v>1.49</v>
      </c>
      <c r="T128" s="930">
        <v>1.49</v>
      </c>
      <c r="U128" s="930">
        <v>1.47</v>
      </c>
      <c r="V128" s="930">
        <v>1.46</v>
      </c>
      <c r="W128" s="930">
        <v>1.45</v>
      </c>
      <c r="X128" s="930">
        <v>1.44</v>
      </c>
      <c r="Y128" s="930">
        <v>1.44</v>
      </c>
      <c r="Z128" s="930">
        <v>1.44</v>
      </c>
      <c r="AA128" s="930">
        <v>1.44</v>
      </c>
      <c r="AB128" s="930">
        <v>1.46</v>
      </c>
      <c r="AC128" s="930">
        <v>1.48</v>
      </c>
      <c r="AD128" s="930">
        <v>1.51</v>
      </c>
      <c r="AE128" s="930" t="s">
        <v>788</v>
      </c>
      <c r="AF128" s="930"/>
      <c r="AG128" s="930"/>
      <c r="AH128" s="930"/>
      <c r="AI128" s="930"/>
      <c r="AJ128" s="930"/>
      <c r="AK128" s="930"/>
      <c r="AL128" s="930"/>
      <c r="AM128" s="930"/>
      <c r="AN128" s="930"/>
      <c r="AO128" s="930"/>
      <c r="AP128" s="930"/>
      <c r="AQ128" s="930"/>
      <c r="AR128" s="930"/>
      <c r="AS128" s="930"/>
      <c r="AT128" s="930"/>
      <c r="AU128" s="930"/>
      <c r="AV128" s="930"/>
      <c r="AW128" s="930"/>
      <c r="AX128" s="930"/>
      <c r="AY128" s="930"/>
      <c r="AZ128" s="930"/>
      <c r="BA128" s="930"/>
      <c r="BB128" s="930"/>
      <c r="BC128" s="930"/>
      <c r="BD128" s="930"/>
      <c r="BE128" s="930"/>
      <c r="BF128" s="930"/>
      <c r="BG128" s="930"/>
      <c r="BH128" s="930"/>
      <c r="BI128" s="930"/>
      <c r="BJ128" s="930"/>
      <c r="BK128" s="930"/>
      <c r="BL128" s="930"/>
      <c r="BM128" s="930"/>
      <c r="BN128" s="930"/>
      <c r="BO128" s="930"/>
      <c r="BP128" s="930"/>
      <c r="BQ128" s="930"/>
      <c r="BR128" s="930"/>
      <c r="BS128" s="930"/>
      <c r="BT128" s="930"/>
    </row>
    <row r="129" spans="1:72" x14ac:dyDescent="0.25">
      <c r="A129" s="930" t="s">
        <v>479</v>
      </c>
      <c r="B129" s="930">
        <v>27.25</v>
      </c>
      <c r="C129" s="930">
        <v>28.81</v>
      </c>
      <c r="D129" s="930">
        <v>28.07</v>
      </c>
      <c r="E129" s="930">
        <v>26.77</v>
      </c>
      <c r="F129" s="930">
        <v>25.2</v>
      </c>
      <c r="G129" s="930">
        <v>26.1</v>
      </c>
      <c r="H129" s="930">
        <v>26.17</v>
      </c>
      <c r="I129" s="930">
        <v>25.97</v>
      </c>
      <c r="J129" s="930">
        <v>25.95</v>
      </c>
      <c r="K129" s="930">
        <v>26.2</v>
      </c>
      <c r="L129" s="930">
        <v>26.36</v>
      </c>
      <c r="M129" s="930">
        <v>26.37</v>
      </c>
      <c r="N129" s="930">
        <v>26.31</v>
      </c>
      <c r="O129" s="930">
        <v>26.51</v>
      </c>
      <c r="P129" s="930">
        <v>26.7</v>
      </c>
      <c r="Q129" s="930">
        <v>26.84</v>
      </c>
      <c r="R129" s="930">
        <v>27.04</v>
      </c>
      <c r="S129" s="930">
        <v>27.19</v>
      </c>
      <c r="T129" s="930">
        <v>27.17</v>
      </c>
      <c r="U129" s="930">
        <v>27.33</v>
      </c>
      <c r="V129" s="930">
        <v>27.53</v>
      </c>
      <c r="W129" s="930">
        <v>27.74</v>
      </c>
      <c r="X129" s="930">
        <v>28.16</v>
      </c>
      <c r="Y129" s="930">
        <v>28.49</v>
      </c>
      <c r="Z129" s="930">
        <v>28.86</v>
      </c>
      <c r="AA129" s="930">
        <v>29.21</v>
      </c>
      <c r="AB129" s="930">
        <v>29.38</v>
      </c>
      <c r="AC129" s="930">
        <v>29.64</v>
      </c>
      <c r="AD129" s="930">
        <v>29.87</v>
      </c>
      <c r="AE129" s="969">
        <v>1E-3</v>
      </c>
      <c r="AF129" s="930"/>
      <c r="AG129" s="930"/>
      <c r="AH129" s="930"/>
      <c r="AI129" s="930"/>
      <c r="AJ129" s="930"/>
      <c r="AK129" s="930"/>
      <c r="AL129" s="930"/>
      <c r="AM129" s="930"/>
      <c r="AN129" s="930"/>
      <c r="AO129" s="930"/>
      <c r="AP129" s="930"/>
      <c r="AQ129" s="930"/>
      <c r="AR129" s="930"/>
      <c r="AS129" s="930"/>
      <c r="AT129" s="930"/>
      <c r="AU129" s="930"/>
      <c r="AV129" s="930"/>
      <c r="AW129" s="930"/>
      <c r="AX129" s="930"/>
      <c r="AY129" s="930"/>
      <c r="AZ129" s="930"/>
      <c r="BA129" s="930"/>
      <c r="BB129" s="930"/>
      <c r="BC129" s="930"/>
      <c r="BD129" s="930"/>
      <c r="BE129" s="930"/>
      <c r="BF129" s="930"/>
      <c r="BG129" s="930"/>
      <c r="BH129" s="930"/>
      <c r="BI129" s="930"/>
      <c r="BJ129" s="930"/>
      <c r="BK129" s="930"/>
      <c r="BL129" s="930"/>
      <c r="BM129" s="930"/>
      <c r="BN129" s="930"/>
      <c r="BO129" s="930"/>
      <c r="BP129" s="930"/>
      <c r="BQ129" s="930"/>
      <c r="BR129" s="930"/>
      <c r="BS129" s="930"/>
      <c r="BT129" s="930"/>
    </row>
    <row r="130" spans="1:72" x14ac:dyDescent="0.25">
      <c r="A130" s="930"/>
      <c r="B130" s="930"/>
      <c r="C130" s="930"/>
      <c r="D130" s="930"/>
      <c r="E130" s="930"/>
      <c r="F130" s="930"/>
      <c r="G130" s="930"/>
      <c r="H130" s="930"/>
      <c r="I130" s="930"/>
      <c r="J130" s="930"/>
      <c r="K130" s="930"/>
      <c r="L130" s="930"/>
      <c r="M130" s="930"/>
      <c r="N130" s="930"/>
      <c r="O130" s="930"/>
      <c r="P130" s="930"/>
      <c r="Q130" s="930"/>
      <c r="R130" s="930"/>
      <c r="S130" s="930"/>
      <c r="T130" s="930"/>
      <c r="U130" s="930"/>
      <c r="V130" s="930"/>
      <c r="W130" s="930"/>
      <c r="X130" s="930"/>
      <c r="Y130" s="930"/>
      <c r="Z130" s="930"/>
      <c r="AA130" s="930"/>
      <c r="AB130" s="930"/>
      <c r="AC130" s="930"/>
      <c r="AD130" s="930"/>
      <c r="AE130" s="930"/>
      <c r="AF130" s="930"/>
      <c r="AG130" s="930"/>
      <c r="AH130" s="930"/>
      <c r="AI130" s="930"/>
      <c r="AJ130" s="930"/>
      <c r="AK130" s="930"/>
      <c r="AL130" s="930"/>
      <c r="AM130" s="930"/>
      <c r="AN130" s="930"/>
      <c r="AO130" s="930"/>
      <c r="AP130" s="930"/>
      <c r="AQ130" s="930"/>
      <c r="AR130" s="930"/>
      <c r="AS130" s="930"/>
      <c r="AT130" s="930"/>
      <c r="AU130" s="930"/>
      <c r="AV130" s="930"/>
      <c r="AW130" s="930"/>
      <c r="AX130" s="930"/>
      <c r="AY130" s="930"/>
      <c r="AZ130" s="930"/>
      <c r="BA130" s="930"/>
      <c r="BB130" s="930"/>
      <c r="BC130" s="930"/>
      <c r="BD130" s="930"/>
      <c r="BE130" s="930"/>
      <c r="BF130" s="930"/>
      <c r="BG130" s="930"/>
      <c r="BH130" s="930"/>
      <c r="BI130" s="930"/>
      <c r="BJ130" s="930"/>
      <c r="BK130" s="930"/>
      <c r="BL130" s="930"/>
      <c r="BM130" s="930"/>
      <c r="BN130" s="930"/>
      <c r="BO130" s="930"/>
      <c r="BP130" s="930"/>
      <c r="BQ130" s="930"/>
      <c r="BR130" s="930"/>
      <c r="BS130" s="930"/>
      <c r="BT130" s="930"/>
    </row>
    <row r="131" spans="1:72" x14ac:dyDescent="0.25">
      <c r="A131" s="930" t="s">
        <v>513</v>
      </c>
      <c r="B131" s="930"/>
      <c r="C131" s="930"/>
      <c r="D131" s="930"/>
      <c r="E131" s="930"/>
      <c r="F131" s="930"/>
      <c r="G131" s="930"/>
      <c r="H131" s="930"/>
      <c r="I131" s="930"/>
      <c r="J131" s="930"/>
      <c r="K131" s="930"/>
      <c r="L131" s="930"/>
      <c r="M131" s="930"/>
      <c r="N131" s="930"/>
      <c r="O131" s="930"/>
      <c r="P131" s="930"/>
      <c r="Q131" s="930"/>
      <c r="R131" s="930"/>
      <c r="S131" s="930"/>
      <c r="T131" s="930"/>
      <c r="U131" s="930"/>
      <c r="V131" s="930"/>
      <c r="W131" s="930"/>
      <c r="X131" s="930"/>
      <c r="Y131" s="930"/>
      <c r="Z131" s="930"/>
      <c r="AA131" s="930"/>
      <c r="AB131" s="930"/>
      <c r="AC131" s="930"/>
      <c r="AD131" s="930"/>
      <c r="AE131" s="930"/>
      <c r="AF131" s="930"/>
      <c r="AG131" s="930"/>
      <c r="AH131" s="930"/>
      <c r="AI131" s="930"/>
      <c r="AJ131" s="930"/>
      <c r="AK131" s="930"/>
      <c r="AL131" s="930"/>
      <c r="AM131" s="930"/>
      <c r="AN131" s="930"/>
      <c r="AO131" s="930"/>
      <c r="AP131" s="930"/>
      <c r="AQ131" s="930"/>
      <c r="AR131" s="930"/>
      <c r="AS131" s="930"/>
      <c r="AT131" s="930"/>
      <c r="AU131" s="930"/>
      <c r="AV131" s="930"/>
      <c r="AW131" s="930"/>
      <c r="AX131" s="930"/>
      <c r="AY131" s="930"/>
      <c r="AZ131" s="930"/>
      <c r="BA131" s="930"/>
      <c r="BB131" s="930"/>
      <c r="BC131" s="930"/>
      <c r="BD131" s="930"/>
      <c r="BE131" s="930"/>
      <c r="BF131" s="930"/>
      <c r="BG131" s="930"/>
      <c r="BH131" s="930"/>
      <c r="BI131" s="930"/>
      <c r="BJ131" s="930"/>
      <c r="BK131" s="930"/>
      <c r="BL131" s="930"/>
      <c r="BM131" s="930"/>
      <c r="BN131" s="930"/>
      <c r="BO131" s="930"/>
      <c r="BP131" s="930"/>
      <c r="BQ131" s="930"/>
      <c r="BR131" s="930"/>
      <c r="BS131" s="930"/>
      <c r="BT131" s="930"/>
    </row>
    <row r="132" spans="1:72" x14ac:dyDescent="0.25">
      <c r="A132" s="930" t="s">
        <v>789</v>
      </c>
      <c r="B132" s="930"/>
      <c r="C132" s="930"/>
      <c r="D132" s="930"/>
      <c r="E132" s="930"/>
      <c r="F132" s="930"/>
      <c r="G132" s="930"/>
      <c r="H132" s="930"/>
      <c r="I132" s="930"/>
      <c r="J132" s="930"/>
      <c r="K132" s="930"/>
      <c r="L132" s="930"/>
      <c r="M132" s="930"/>
      <c r="N132" s="930"/>
      <c r="O132" s="930"/>
      <c r="P132" s="930"/>
      <c r="Q132" s="930"/>
      <c r="R132" s="930"/>
      <c r="S132" s="930"/>
      <c r="T132" s="930"/>
      <c r="U132" s="930"/>
      <c r="V132" s="930"/>
      <c r="W132" s="930"/>
      <c r="X132" s="930"/>
      <c r="Y132" s="930"/>
      <c r="Z132" s="930"/>
      <c r="AA132" s="930"/>
      <c r="AB132" s="930"/>
      <c r="AC132" s="930"/>
      <c r="AD132" s="930"/>
      <c r="AE132" s="930"/>
      <c r="AF132" s="930"/>
      <c r="AG132" s="930"/>
      <c r="AH132" s="930"/>
      <c r="AI132" s="930"/>
      <c r="AJ132" s="930"/>
      <c r="AK132" s="930"/>
      <c r="AL132" s="930"/>
      <c r="AM132" s="930"/>
      <c r="AN132" s="930"/>
      <c r="AO132" s="930"/>
      <c r="AP132" s="930"/>
      <c r="AQ132" s="930"/>
      <c r="AR132" s="930"/>
      <c r="AS132" s="930"/>
      <c r="AT132" s="930"/>
      <c r="AU132" s="930"/>
      <c r="AV132" s="930"/>
      <c r="AW132" s="930"/>
      <c r="AX132" s="930"/>
      <c r="AY132" s="930"/>
      <c r="AZ132" s="930"/>
      <c r="BA132" s="930"/>
      <c r="BB132" s="930"/>
      <c r="BC132" s="930"/>
      <c r="BD132" s="930"/>
      <c r="BE132" s="930"/>
      <c r="BF132" s="930"/>
      <c r="BG132" s="930"/>
      <c r="BH132" s="930"/>
      <c r="BI132" s="930"/>
      <c r="BJ132" s="930"/>
      <c r="BK132" s="930"/>
      <c r="BL132" s="930"/>
      <c r="BM132" s="930"/>
      <c r="BN132" s="930"/>
      <c r="BO132" s="930"/>
      <c r="BP132" s="930"/>
      <c r="BQ132" s="930"/>
      <c r="BR132" s="930"/>
      <c r="BS132" s="930"/>
      <c r="BT132" s="930"/>
    </row>
    <row r="133" spans="1:72" x14ac:dyDescent="0.25">
      <c r="A133" s="930" t="s">
        <v>473</v>
      </c>
      <c r="B133" s="930">
        <v>241.67</v>
      </c>
      <c r="C133" s="930">
        <v>254.66</v>
      </c>
      <c r="D133" s="930">
        <v>231.65</v>
      </c>
      <c r="E133" s="930">
        <v>223.76</v>
      </c>
      <c r="F133" s="930">
        <v>222.61</v>
      </c>
      <c r="G133" s="930">
        <v>230.62</v>
      </c>
      <c r="H133" s="930">
        <v>228.9</v>
      </c>
      <c r="I133" s="930">
        <v>229.4</v>
      </c>
      <c r="J133" s="930">
        <v>230.89</v>
      </c>
      <c r="K133" s="930">
        <v>234.53</v>
      </c>
      <c r="L133" s="930">
        <v>236.76</v>
      </c>
      <c r="M133" s="930">
        <v>239.14</v>
      </c>
      <c r="N133" s="930">
        <v>241.36</v>
      </c>
      <c r="O133" s="930">
        <v>245.14</v>
      </c>
      <c r="P133" s="930">
        <v>247.96</v>
      </c>
      <c r="Q133" s="930">
        <v>251.14</v>
      </c>
      <c r="R133" s="930">
        <v>253.92</v>
      </c>
      <c r="S133" s="930">
        <v>256.67</v>
      </c>
      <c r="T133" s="930">
        <v>258.7</v>
      </c>
      <c r="U133" s="930">
        <v>262.54000000000002</v>
      </c>
      <c r="V133" s="930">
        <v>266.58999999999997</v>
      </c>
      <c r="W133" s="930">
        <v>271.26</v>
      </c>
      <c r="X133" s="930">
        <v>275.8</v>
      </c>
      <c r="Y133" s="930">
        <v>280.39999999999998</v>
      </c>
      <c r="Z133" s="930">
        <v>285.83</v>
      </c>
      <c r="AA133" s="930">
        <v>290.58999999999997</v>
      </c>
      <c r="AB133" s="930">
        <v>292.89999999999998</v>
      </c>
      <c r="AC133" s="930">
        <v>297.16000000000003</v>
      </c>
      <c r="AD133" s="930">
        <v>301.11</v>
      </c>
      <c r="AE133" s="969">
        <v>6.0000000000000001E-3</v>
      </c>
      <c r="AF133" s="930"/>
      <c r="AG133" s="930"/>
      <c r="AH133" s="930"/>
      <c r="AI133" s="930"/>
      <c r="AJ133" s="930"/>
      <c r="AK133" s="930"/>
      <c r="AL133" s="930"/>
      <c r="AM133" s="930"/>
      <c r="AN133" s="930"/>
      <c r="AO133" s="930"/>
      <c r="AP133" s="930"/>
      <c r="AQ133" s="930"/>
      <c r="AR133" s="930"/>
      <c r="AS133" s="930"/>
      <c r="AT133" s="930"/>
      <c r="AU133" s="930"/>
      <c r="AV133" s="930"/>
      <c r="AW133" s="930"/>
      <c r="AX133" s="930"/>
      <c r="AY133" s="930"/>
      <c r="AZ133" s="930"/>
      <c r="BA133" s="930"/>
      <c r="BB133" s="930"/>
      <c r="BC133" s="930"/>
      <c r="BD133" s="930"/>
      <c r="BE133" s="930"/>
      <c r="BF133" s="930"/>
      <c r="BG133" s="930"/>
      <c r="BH133" s="930"/>
      <c r="BI133" s="930"/>
      <c r="BJ133" s="930"/>
      <c r="BK133" s="930"/>
      <c r="BL133" s="930"/>
      <c r="BM133" s="930"/>
      <c r="BN133" s="930"/>
      <c r="BO133" s="930"/>
      <c r="BP133" s="930"/>
      <c r="BQ133" s="930"/>
      <c r="BR133" s="930"/>
      <c r="BS133" s="930"/>
      <c r="BT133" s="930"/>
    </row>
    <row r="134" spans="1:72" x14ac:dyDescent="0.25">
      <c r="A134" s="930" t="s">
        <v>480</v>
      </c>
      <c r="B134" s="930">
        <v>176.61</v>
      </c>
      <c r="C134" s="930">
        <v>191.19</v>
      </c>
      <c r="D134" s="930">
        <v>168.7</v>
      </c>
      <c r="E134" s="930">
        <v>163.43</v>
      </c>
      <c r="F134" s="930">
        <v>163.69</v>
      </c>
      <c r="G134" s="930">
        <v>172.64</v>
      </c>
      <c r="H134" s="930">
        <v>173.85</v>
      </c>
      <c r="I134" s="930">
        <v>174.18</v>
      </c>
      <c r="J134" s="930">
        <v>176.9</v>
      </c>
      <c r="K134" s="930">
        <v>180.82</v>
      </c>
      <c r="L134" s="930">
        <v>184.11</v>
      </c>
      <c r="M134" s="930">
        <v>186.86</v>
      </c>
      <c r="N134" s="930">
        <v>189.36</v>
      </c>
      <c r="O134" s="930">
        <v>193.15</v>
      </c>
      <c r="P134" s="930">
        <v>196.83</v>
      </c>
      <c r="Q134" s="930">
        <v>200.4</v>
      </c>
      <c r="R134" s="930">
        <v>204.1</v>
      </c>
      <c r="S134" s="930">
        <v>207.27</v>
      </c>
      <c r="T134" s="930">
        <v>210.07</v>
      </c>
      <c r="U134" s="930">
        <v>214.23</v>
      </c>
      <c r="V134" s="930">
        <v>218.63</v>
      </c>
      <c r="W134" s="930">
        <v>223.34</v>
      </c>
      <c r="X134" s="930">
        <v>229.36</v>
      </c>
      <c r="Y134" s="930">
        <v>234.79</v>
      </c>
      <c r="Z134" s="930">
        <v>240.94</v>
      </c>
      <c r="AA134" s="930">
        <v>246.37</v>
      </c>
      <c r="AB134" s="930">
        <v>250.61</v>
      </c>
      <c r="AC134" s="930">
        <v>256.01</v>
      </c>
      <c r="AD134" s="930">
        <v>261.07</v>
      </c>
      <c r="AE134" s="969">
        <v>1.2E-2</v>
      </c>
      <c r="AF134" s="930"/>
      <c r="AG134" s="930"/>
      <c r="AH134" s="930"/>
      <c r="AI134" s="930"/>
      <c r="AJ134" s="930"/>
      <c r="AK134" s="930"/>
      <c r="AL134" s="930"/>
      <c r="AM134" s="930"/>
      <c r="AN134" s="930"/>
      <c r="AO134" s="930"/>
      <c r="AP134" s="930"/>
      <c r="AQ134" s="930"/>
      <c r="AR134" s="930"/>
      <c r="AS134" s="930"/>
      <c r="AT134" s="930"/>
      <c r="AU134" s="930"/>
      <c r="AV134" s="930"/>
      <c r="AW134" s="930"/>
      <c r="AX134" s="930"/>
      <c r="AY134" s="930"/>
      <c r="AZ134" s="930"/>
      <c r="BA134" s="930"/>
      <c r="BB134" s="930"/>
      <c r="BC134" s="930"/>
      <c r="BD134" s="930"/>
      <c r="BE134" s="930"/>
      <c r="BF134" s="930"/>
      <c r="BG134" s="930"/>
      <c r="BH134" s="930"/>
      <c r="BI134" s="930"/>
      <c r="BJ134" s="930"/>
      <c r="BK134" s="930"/>
      <c r="BL134" s="930"/>
      <c r="BM134" s="930"/>
      <c r="BN134" s="930"/>
      <c r="BO134" s="930"/>
      <c r="BP134" s="930"/>
      <c r="BQ134" s="930"/>
      <c r="BR134" s="930"/>
      <c r="BS134" s="930"/>
      <c r="BT134" s="930"/>
    </row>
    <row r="135" spans="1:72" x14ac:dyDescent="0.25">
      <c r="A135" s="930" t="s">
        <v>515</v>
      </c>
      <c r="B135" s="930">
        <v>219.69</v>
      </c>
      <c r="C135" s="930">
        <v>244.81</v>
      </c>
      <c r="D135" s="930">
        <v>175.42</v>
      </c>
      <c r="E135" s="930">
        <v>163.24</v>
      </c>
      <c r="F135" s="930">
        <v>173.51</v>
      </c>
      <c r="G135" s="930">
        <v>191.66</v>
      </c>
      <c r="H135" s="930">
        <v>201.52</v>
      </c>
      <c r="I135" s="930">
        <v>207.49</v>
      </c>
      <c r="J135" s="930">
        <v>213.14</v>
      </c>
      <c r="K135" s="930">
        <v>218.86</v>
      </c>
      <c r="L135" s="930">
        <v>223.15</v>
      </c>
      <c r="M135" s="930">
        <v>228.05</v>
      </c>
      <c r="N135" s="930">
        <v>231.33</v>
      </c>
      <c r="O135" s="930">
        <v>234.86</v>
      </c>
      <c r="P135" s="930">
        <v>236.42</v>
      </c>
      <c r="Q135" s="930">
        <v>237.67</v>
      </c>
      <c r="R135" s="930">
        <v>239.07</v>
      </c>
      <c r="S135" s="930">
        <v>240.3</v>
      </c>
      <c r="T135" s="930">
        <v>241.75</v>
      </c>
      <c r="U135" s="930">
        <v>242.96</v>
      </c>
      <c r="V135" s="930">
        <v>245.17</v>
      </c>
      <c r="W135" s="930">
        <v>247.67</v>
      </c>
      <c r="X135" s="930">
        <v>250.95</v>
      </c>
      <c r="Y135" s="930">
        <v>253.51</v>
      </c>
      <c r="Z135" s="930">
        <v>257.7</v>
      </c>
      <c r="AA135" s="930">
        <v>259.55</v>
      </c>
      <c r="AB135" s="930">
        <v>261.58</v>
      </c>
      <c r="AC135" s="930">
        <v>265.05</v>
      </c>
      <c r="AD135" s="930">
        <v>267.18</v>
      </c>
      <c r="AE135" s="969">
        <v>3.0000000000000001E-3</v>
      </c>
      <c r="AF135" s="930"/>
      <c r="AG135" s="930"/>
      <c r="AH135" s="930"/>
      <c r="AI135" s="930"/>
      <c r="AJ135" s="930"/>
      <c r="AK135" s="930"/>
      <c r="AL135" s="930"/>
      <c r="AM135" s="930"/>
      <c r="AN135" s="930"/>
      <c r="AO135" s="930"/>
      <c r="AP135" s="930"/>
      <c r="AQ135" s="930"/>
      <c r="AR135" s="930"/>
      <c r="AS135" s="930"/>
      <c r="AT135" s="930"/>
      <c r="AU135" s="930"/>
      <c r="AV135" s="930"/>
      <c r="AW135" s="930"/>
      <c r="AX135" s="930"/>
      <c r="AY135" s="930"/>
      <c r="AZ135" s="930"/>
      <c r="BA135" s="930"/>
      <c r="BB135" s="930"/>
      <c r="BC135" s="930"/>
      <c r="BD135" s="930"/>
      <c r="BE135" s="930"/>
      <c r="BF135" s="930"/>
      <c r="BG135" s="930"/>
      <c r="BH135" s="930"/>
      <c r="BI135" s="930"/>
      <c r="BJ135" s="930"/>
      <c r="BK135" s="930"/>
      <c r="BL135" s="930"/>
      <c r="BM135" s="930"/>
      <c r="BN135" s="930"/>
      <c r="BO135" s="930"/>
      <c r="BP135" s="930"/>
      <c r="BQ135" s="930"/>
      <c r="BR135" s="930"/>
      <c r="BS135" s="930"/>
      <c r="BT135" s="930"/>
    </row>
    <row r="136" spans="1:72" x14ac:dyDescent="0.25">
      <c r="A136" s="930" t="s">
        <v>487</v>
      </c>
      <c r="B136" s="930">
        <v>613.37</v>
      </c>
      <c r="C136" s="930">
        <v>705.86</v>
      </c>
      <c r="D136" s="930">
        <v>465.68</v>
      </c>
      <c r="E136" s="930">
        <v>508.22</v>
      </c>
      <c r="F136" s="930">
        <v>528.5</v>
      </c>
      <c r="G136" s="930">
        <v>567.33000000000004</v>
      </c>
      <c r="H136" s="930">
        <v>615.79</v>
      </c>
      <c r="I136" s="930">
        <v>640.91999999999996</v>
      </c>
      <c r="J136" s="930">
        <v>655.77</v>
      </c>
      <c r="K136" s="930">
        <v>671.91</v>
      </c>
      <c r="L136" s="930">
        <v>690.32</v>
      </c>
      <c r="M136" s="930">
        <v>704.34</v>
      </c>
      <c r="N136" s="930">
        <v>717.08</v>
      </c>
      <c r="O136" s="930">
        <v>729.77</v>
      </c>
      <c r="P136" s="930">
        <v>737.71</v>
      </c>
      <c r="Q136" s="930">
        <v>743.52</v>
      </c>
      <c r="R136" s="930">
        <v>757.24</v>
      </c>
      <c r="S136" s="930">
        <v>767.89</v>
      </c>
      <c r="T136" s="930">
        <v>782.71</v>
      </c>
      <c r="U136" s="930">
        <v>795.25</v>
      </c>
      <c r="V136" s="930">
        <v>808.06</v>
      </c>
      <c r="W136" s="930">
        <v>822.03</v>
      </c>
      <c r="X136" s="930">
        <v>834.45</v>
      </c>
      <c r="Y136" s="930">
        <v>846.64</v>
      </c>
      <c r="Z136" s="930">
        <v>856.24</v>
      </c>
      <c r="AA136" s="930">
        <v>869.12</v>
      </c>
      <c r="AB136" s="930">
        <v>883.55</v>
      </c>
      <c r="AC136" s="930">
        <v>894.05</v>
      </c>
      <c r="AD136" s="930">
        <v>908.01</v>
      </c>
      <c r="AE136" s="969">
        <v>8.9999999999999993E-3</v>
      </c>
      <c r="AF136" s="930"/>
      <c r="AG136" s="930"/>
      <c r="AH136" s="930"/>
      <c r="AI136" s="930"/>
      <c r="AJ136" s="930"/>
      <c r="AK136" s="930"/>
      <c r="AL136" s="930"/>
      <c r="AM136" s="930"/>
      <c r="AN136" s="930"/>
      <c r="AO136" s="930"/>
      <c r="AP136" s="930"/>
      <c r="AQ136" s="930"/>
      <c r="AR136" s="930"/>
      <c r="AS136" s="930"/>
      <c r="AT136" s="930"/>
      <c r="AU136" s="930"/>
      <c r="AV136" s="930"/>
      <c r="AW136" s="930"/>
      <c r="AX136" s="930"/>
      <c r="AY136" s="930"/>
      <c r="AZ136" s="930"/>
      <c r="BA136" s="930"/>
      <c r="BB136" s="930"/>
      <c r="BC136" s="930"/>
      <c r="BD136" s="930"/>
      <c r="BE136" s="930"/>
      <c r="BF136" s="930"/>
      <c r="BG136" s="930"/>
      <c r="BH136" s="930"/>
      <c r="BI136" s="930"/>
      <c r="BJ136" s="930"/>
      <c r="BK136" s="930"/>
      <c r="BL136" s="930"/>
      <c r="BM136" s="930"/>
      <c r="BN136" s="930"/>
      <c r="BO136" s="930"/>
      <c r="BP136" s="930"/>
      <c r="BQ136" s="930"/>
      <c r="BR136" s="930"/>
      <c r="BS136" s="930"/>
      <c r="BT136" s="930"/>
    </row>
    <row r="137" spans="1:72" x14ac:dyDescent="0.25">
      <c r="A137" s="930" t="s">
        <v>516</v>
      </c>
      <c r="B137" s="930">
        <v>1251.3499999999999</v>
      </c>
      <c r="C137" s="930">
        <v>1396.52</v>
      </c>
      <c r="D137" s="930">
        <v>1041.45</v>
      </c>
      <c r="E137" s="930">
        <v>1058.6500000000001</v>
      </c>
      <c r="F137" s="930">
        <v>1088.31</v>
      </c>
      <c r="G137" s="930">
        <v>1162.25</v>
      </c>
      <c r="H137" s="930">
        <v>1220.05</v>
      </c>
      <c r="I137" s="930">
        <v>1251.99</v>
      </c>
      <c r="J137" s="930">
        <v>1276.69</v>
      </c>
      <c r="K137" s="930">
        <v>1306.1199999999999</v>
      </c>
      <c r="L137" s="930">
        <v>1334.33</v>
      </c>
      <c r="M137" s="930">
        <v>1358.39</v>
      </c>
      <c r="N137" s="930">
        <v>1379.14</v>
      </c>
      <c r="O137" s="930">
        <v>1402.91</v>
      </c>
      <c r="P137" s="930">
        <v>1418.92</v>
      </c>
      <c r="Q137" s="930">
        <v>1432.73</v>
      </c>
      <c r="R137" s="930">
        <v>1454.32</v>
      </c>
      <c r="S137" s="930">
        <v>1472.13</v>
      </c>
      <c r="T137" s="930">
        <v>1493.23</v>
      </c>
      <c r="U137" s="930">
        <v>1514.98</v>
      </c>
      <c r="V137" s="930">
        <v>1538.45</v>
      </c>
      <c r="W137" s="930">
        <v>1564.3</v>
      </c>
      <c r="X137" s="930">
        <v>1590.55</v>
      </c>
      <c r="Y137" s="930">
        <v>1615.34</v>
      </c>
      <c r="Z137" s="930">
        <v>1640.71</v>
      </c>
      <c r="AA137" s="930">
        <v>1665.62</v>
      </c>
      <c r="AB137" s="930">
        <v>1688.65</v>
      </c>
      <c r="AC137" s="930">
        <v>1712.28</v>
      </c>
      <c r="AD137" s="930">
        <v>1737.37</v>
      </c>
      <c r="AE137" s="969">
        <v>8.0000000000000002E-3</v>
      </c>
      <c r="AF137" s="930"/>
      <c r="AG137" s="930"/>
      <c r="AH137" s="930"/>
      <c r="AI137" s="930"/>
      <c r="AJ137" s="930"/>
      <c r="AK137" s="930"/>
      <c r="AL137" s="930"/>
      <c r="AM137" s="930"/>
      <c r="AN137" s="930"/>
      <c r="AO137" s="930"/>
      <c r="AP137" s="930"/>
      <c r="AQ137" s="930"/>
      <c r="AR137" s="930"/>
      <c r="AS137" s="930"/>
      <c r="AT137" s="930"/>
      <c r="AU137" s="930"/>
      <c r="AV137" s="930"/>
      <c r="AW137" s="930"/>
      <c r="AX137" s="930"/>
      <c r="AY137" s="930"/>
      <c r="AZ137" s="930"/>
      <c r="BA137" s="930"/>
      <c r="BB137" s="930"/>
      <c r="BC137" s="930"/>
      <c r="BD137" s="930"/>
      <c r="BE137" s="930"/>
      <c r="BF137" s="930"/>
      <c r="BG137" s="930"/>
      <c r="BH137" s="930"/>
      <c r="BI137" s="930"/>
      <c r="BJ137" s="930"/>
      <c r="BK137" s="930"/>
      <c r="BL137" s="930"/>
      <c r="BM137" s="930"/>
      <c r="BN137" s="930"/>
      <c r="BO137" s="930"/>
      <c r="BP137" s="930"/>
      <c r="BQ137" s="930"/>
      <c r="BR137" s="930"/>
      <c r="BS137" s="930"/>
      <c r="BT137" s="930"/>
    </row>
    <row r="138" spans="1:72" x14ac:dyDescent="0.25">
      <c r="A138" s="930" t="s">
        <v>629</v>
      </c>
      <c r="B138" s="930">
        <v>0.05</v>
      </c>
      <c r="C138" s="930">
        <v>0.17</v>
      </c>
      <c r="D138" s="930">
        <v>0.04</v>
      </c>
      <c r="E138" s="930">
        <v>0.09</v>
      </c>
      <c r="F138" s="930">
        <v>0.11</v>
      </c>
      <c r="G138" s="930">
        <v>0.13</v>
      </c>
      <c r="H138" s="930">
        <v>0.15</v>
      </c>
      <c r="I138" s="930">
        <v>0.17</v>
      </c>
      <c r="J138" s="930">
        <v>0.21</v>
      </c>
      <c r="K138" s="930">
        <v>2.34</v>
      </c>
      <c r="L138" s="930">
        <v>3.15</v>
      </c>
      <c r="M138" s="930">
        <v>4</v>
      </c>
      <c r="N138" s="930">
        <v>5.31</v>
      </c>
      <c r="O138" s="930">
        <v>7.12</v>
      </c>
      <c r="P138" s="930">
        <v>9.59</v>
      </c>
      <c r="Q138" s="930">
        <v>17.39</v>
      </c>
      <c r="R138" s="930">
        <v>15.56</v>
      </c>
      <c r="S138" s="930">
        <v>14.53</v>
      </c>
      <c r="T138" s="930">
        <v>15.06</v>
      </c>
      <c r="U138" s="930">
        <v>16.98</v>
      </c>
      <c r="V138" s="930">
        <v>18.95</v>
      </c>
      <c r="W138" s="930">
        <v>20.57</v>
      </c>
      <c r="X138" s="930">
        <v>23.66</v>
      </c>
      <c r="Y138" s="930">
        <v>25.05</v>
      </c>
      <c r="Z138" s="930">
        <v>31.91</v>
      </c>
      <c r="AA138" s="930">
        <v>36.74</v>
      </c>
      <c r="AB138" s="930">
        <v>40.74</v>
      </c>
      <c r="AC138" s="930">
        <v>48.35</v>
      </c>
      <c r="AD138" s="930">
        <v>56.42</v>
      </c>
      <c r="AE138" s="969">
        <v>0.24099999999999999</v>
      </c>
      <c r="AF138" s="930"/>
      <c r="AG138" s="930"/>
      <c r="AH138" s="930"/>
      <c r="AI138" s="930"/>
      <c r="AJ138" s="930"/>
      <c r="AK138" s="930"/>
      <c r="AL138" s="930"/>
      <c r="AM138" s="930"/>
      <c r="AN138" s="930"/>
      <c r="AO138" s="930"/>
      <c r="AP138" s="930"/>
      <c r="AQ138" s="930"/>
      <c r="AR138" s="930"/>
      <c r="AS138" s="930"/>
      <c r="AT138" s="930"/>
      <c r="AU138" s="930"/>
      <c r="AV138" s="930"/>
      <c r="AW138" s="930"/>
      <c r="AX138" s="930"/>
      <c r="AY138" s="930"/>
      <c r="AZ138" s="930"/>
      <c r="BA138" s="930"/>
      <c r="BB138" s="930"/>
      <c r="BC138" s="930"/>
      <c r="BD138" s="930"/>
      <c r="BE138" s="930"/>
      <c r="BF138" s="930"/>
      <c r="BG138" s="930"/>
      <c r="BH138" s="930"/>
      <c r="BI138" s="930"/>
      <c r="BJ138" s="930"/>
      <c r="BK138" s="930"/>
      <c r="BL138" s="930"/>
      <c r="BM138" s="930"/>
      <c r="BN138" s="930"/>
      <c r="BO138" s="930"/>
      <c r="BP138" s="930"/>
      <c r="BQ138" s="930"/>
      <c r="BR138" s="930"/>
      <c r="BS138" s="930"/>
      <c r="BT138" s="930"/>
    </row>
    <row r="139" spans="1:72" x14ac:dyDescent="0.25">
      <c r="A139" s="930" t="s">
        <v>518</v>
      </c>
      <c r="B139" s="930">
        <v>1251.3900000000001</v>
      </c>
      <c r="C139" s="930">
        <v>1396.69</v>
      </c>
      <c r="D139" s="930">
        <v>1041.49</v>
      </c>
      <c r="E139" s="930">
        <v>1058.74</v>
      </c>
      <c r="F139" s="930">
        <v>1088.42</v>
      </c>
      <c r="G139" s="930">
        <v>1162.3699999999999</v>
      </c>
      <c r="H139" s="930">
        <v>1220.2</v>
      </c>
      <c r="I139" s="930">
        <v>1252.1600000000001</v>
      </c>
      <c r="J139" s="930">
        <v>1276.9000000000001</v>
      </c>
      <c r="K139" s="930">
        <v>1308.46</v>
      </c>
      <c r="L139" s="930">
        <v>1337.48</v>
      </c>
      <c r="M139" s="930">
        <v>1362.4</v>
      </c>
      <c r="N139" s="930">
        <v>1384.44</v>
      </c>
      <c r="O139" s="930">
        <v>1410.03</v>
      </c>
      <c r="P139" s="930">
        <v>1428.51</v>
      </c>
      <c r="Q139" s="930">
        <v>1450.12</v>
      </c>
      <c r="R139" s="930">
        <v>1469.88</v>
      </c>
      <c r="S139" s="930">
        <v>1486.66</v>
      </c>
      <c r="T139" s="930">
        <v>1508.29</v>
      </c>
      <c r="U139" s="930">
        <v>1531.96</v>
      </c>
      <c r="V139" s="930">
        <v>1557.41</v>
      </c>
      <c r="W139" s="930">
        <v>1584.86</v>
      </c>
      <c r="X139" s="930">
        <v>1614.21</v>
      </c>
      <c r="Y139" s="930">
        <v>1640.39</v>
      </c>
      <c r="Z139" s="930">
        <v>1672.62</v>
      </c>
      <c r="AA139" s="930">
        <v>1702.37</v>
      </c>
      <c r="AB139" s="930">
        <v>1729.39</v>
      </c>
      <c r="AC139" s="930">
        <v>1760.62</v>
      </c>
      <c r="AD139" s="930">
        <v>1793.79</v>
      </c>
      <c r="AE139" s="969">
        <v>8.9999999999999993E-3</v>
      </c>
      <c r="AF139" s="930"/>
      <c r="AG139" s="930"/>
      <c r="AH139" s="930"/>
      <c r="AI139" s="930"/>
      <c r="AJ139" s="930"/>
      <c r="AK139" s="930"/>
      <c r="AL139" s="930"/>
      <c r="AM139" s="930"/>
      <c r="AN139" s="930"/>
      <c r="AO139" s="930"/>
      <c r="AP139" s="930"/>
      <c r="AQ139" s="930"/>
      <c r="AR139" s="930"/>
      <c r="AS139" s="930"/>
      <c r="AT139" s="930"/>
      <c r="AU139" s="930"/>
      <c r="AV139" s="930"/>
      <c r="AW139" s="930"/>
      <c r="AX139" s="930"/>
      <c r="AY139" s="930"/>
      <c r="AZ139" s="930"/>
      <c r="BA139" s="930"/>
      <c r="BB139" s="930"/>
      <c r="BC139" s="930"/>
      <c r="BD139" s="930"/>
      <c r="BE139" s="930"/>
      <c r="BF139" s="930"/>
      <c r="BG139" s="930"/>
      <c r="BH139" s="930"/>
      <c r="BI139" s="930"/>
      <c r="BJ139" s="930"/>
      <c r="BK139" s="930"/>
      <c r="BL139" s="930"/>
      <c r="BM139" s="930"/>
      <c r="BN139" s="930"/>
      <c r="BO139" s="930"/>
      <c r="BP139" s="930"/>
      <c r="BQ139" s="930"/>
      <c r="BR139" s="930"/>
      <c r="BS139" s="930"/>
      <c r="BT139" s="930"/>
    </row>
    <row r="140" spans="1:72" x14ac:dyDescent="0.25">
      <c r="A140" s="930"/>
      <c r="B140" s="930"/>
      <c r="C140" s="930"/>
      <c r="D140" s="930"/>
      <c r="E140" s="930"/>
      <c r="F140" s="930"/>
      <c r="G140" s="930"/>
      <c r="H140" s="930"/>
      <c r="I140" s="930"/>
      <c r="J140" s="930"/>
      <c r="K140" s="930"/>
      <c r="L140" s="930"/>
      <c r="M140" s="930"/>
      <c r="N140" s="930"/>
      <c r="O140" s="930"/>
      <c r="P140" s="930"/>
      <c r="Q140" s="930"/>
      <c r="R140" s="930"/>
      <c r="S140" s="930"/>
      <c r="T140" s="930"/>
      <c r="U140" s="930"/>
      <c r="V140" s="930"/>
      <c r="W140" s="930"/>
      <c r="X140" s="930"/>
      <c r="Y140" s="930"/>
      <c r="Z140" s="930"/>
      <c r="AA140" s="930"/>
      <c r="AB140" s="930"/>
      <c r="AC140" s="930"/>
      <c r="AD140" s="930"/>
      <c r="AE140" s="930"/>
      <c r="AF140" s="930"/>
      <c r="AG140" s="930"/>
      <c r="AH140" s="930"/>
      <c r="AI140" s="930"/>
      <c r="AJ140" s="930"/>
      <c r="AK140" s="930"/>
      <c r="AL140" s="930"/>
      <c r="AM140" s="930"/>
      <c r="AN140" s="930"/>
      <c r="AO140" s="930"/>
      <c r="AP140" s="930"/>
      <c r="AQ140" s="930"/>
      <c r="AR140" s="930"/>
      <c r="AS140" s="930"/>
      <c r="AT140" s="930"/>
      <c r="AU140" s="930"/>
      <c r="AV140" s="930"/>
      <c r="AW140" s="930"/>
      <c r="AX140" s="930"/>
      <c r="AY140" s="930"/>
      <c r="AZ140" s="930"/>
      <c r="BA140" s="930"/>
      <c r="BB140" s="930"/>
      <c r="BC140" s="930"/>
      <c r="BD140" s="930"/>
      <c r="BE140" s="930"/>
      <c r="BF140" s="930"/>
      <c r="BG140" s="930"/>
      <c r="BH140" s="930"/>
      <c r="BI140" s="930"/>
      <c r="BJ140" s="930"/>
      <c r="BK140" s="930"/>
      <c r="BL140" s="930"/>
      <c r="BM140" s="930"/>
      <c r="BN140" s="930"/>
      <c r="BO140" s="930"/>
      <c r="BP140" s="930"/>
      <c r="BQ140" s="930"/>
      <c r="BR140" s="930"/>
      <c r="BS140" s="930"/>
      <c r="BT140" s="930"/>
    </row>
    <row r="141" spans="1:72" x14ac:dyDescent="0.25">
      <c r="A141" s="930"/>
      <c r="B141" s="930"/>
      <c r="C141" s="930"/>
      <c r="D141" s="930"/>
      <c r="E141" s="930"/>
      <c r="F141" s="930"/>
      <c r="G141" s="930"/>
      <c r="H141" s="930"/>
      <c r="I141" s="930"/>
      <c r="J141" s="930"/>
      <c r="K141" s="930"/>
      <c r="L141" s="930"/>
      <c r="M141" s="930"/>
      <c r="N141" s="930"/>
      <c r="O141" s="930"/>
      <c r="P141" s="930"/>
      <c r="Q141" s="930"/>
      <c r="R141" s="930"/>
      <c r="S141" s="930"/>
      <c r="T141" s="930"/>
      <c r="U141" s="930"/>
      <c r="V141" s="930"/>
      <c r="W141" s="930"/>
      <c r="X141" s="930"/>
      <c r="Y141" s="930"/>
      <c r="Z141" s="930"/>
      <c r="AA141" s="930"/>
      <c r="AB141" s="930"/>
      <c r="AC141" s="930"/>
      <c r="AD141" s="930"/>
      <c r="AE141" s="930"/>
      <c r="AF141" s="930"/>
      <c r="AG141" s="930"/>
      <c r="AH141" s="930"/>
      <c r="AI141" s="930"/>
      <c r="AJ141" s="930"/>
      <c r="AK141" s="930"/>
      <c r="AL141" s="930"/>
      <c r="AM141" s="930"/>
      <c r="AN141" s="930"/>
      <c r="AO141" s="930"/>
      <c r="AP141" s="930"/>
      <c r="AQ141" s="930"/>
      <c r="AR141" s="930"/>
      <c r="AS141" s="930"/>
      <c r="AT141" s="930"/>
      <c r="AU141" s="930"/>
      <c r="AV141" s="930"/>
      <c r="AW141" s="930"/>
      <c r="AX141" s="930"/>
      <c r="AY141" s="930"/>
      <c r="AZ141" s="930"/>
      <c r="BA141" s="930"/>
      <c r="BB141" s="930"/>
      <c r="BC141" s="930"/>
      <c r="BD141" s="930"/>
      <c r="BE141" s="930"/>
      <c r="BF141" s="930"/>
      <c r="BG141" s="930"/>
      <c r="BH141" s="930"/>
      <c r="BI141" s="930"/>
      <c r="BJ141" s="930"/>
      <c r="BK141" s="930"/>
      <c r="BL141" s="930"/>
      <c r="BM141" s="930"/>
      <c r="BN141" s="930"/>
      <c r="BO141" s="930"/>
      <c r="BP141" s="930"/>
      <c r="BQ141" s="930"/>
      <c r="BR141" s="930"/>
      <c r="BS141" s="930"/>
      <c r="BT141" s="930"/>
    </row>
    <row r="142" spans="1:72" x14ac:dyDescent="0.25">
      <c r="A142" s="930" t="s">
        <v>726</v>
      </c>
      <c r="B142" s="930"/>
      <c r="C142" s="930"/>
      <c r="D142" s="930"/>
      <c r="E142" s="930"/>
      <c r="F142" s="930"/>
      <c r="G142" s="930"/>
      <c r="H142" s="930"/>
      <c r="I142" s="930"/>
      <c r="J142" s="930"/>
      <c r="K142" s="930"/>
      <c r="L142" s="930"/>
      <c r="M142" s="930"/>
      <c r="N142" s="930"/>
      <c r="O142" s="930"/>
      <c r="P142" s="930"/>
      <c r="Q142" s="930"/>
      <c r="R142" s="930"/>
      <c r="S142" s="930"/>
      <c r="T142" s="930"/>
      <c r="U142" s="930"/>
      <c r="V142" s="930"/>
      <c r="W142" s="930"/>
      <c r="X142" s="930"/>
      <c r="Y142" s="930"/>
      <c r="Z142" s="930"/>
      <c r="AA142" s="930"/>
      <c r="AB142" s="930"/>
      <c r="AC142" s="930"/>
      <c r="AD142" s="930"/>
      <c r="AE142" s="930"/>
      <c r="AF142" s="930"/>
      <c r="AG142" s="930"/>
      <c r="AH142" s="930"/>
      <c r="AI142" s="930"/>
      <c r="AJ142" s="930"/>
      <c r="AK142" s="930"/>
      <c r="AL142" s="930"/>
      <c r="AM142" s="930"/>
      <c r="AN142" s="930"/>
      <c r="AO142" s="930"/>
      <c r="AP142" s="930"/>
      <c r="AQ142" s="930"/>
      <c r="AR142" s="930"/>
      <c r="AS142" s="930"/>
      <c r="AT142" s="930"/>
      <c r="AU142" s="930"/>
      <c r="AV142" s="930"/>
      <c r="AW142" s="930"/>
      <c r="AX142" s="930"/>
      <c r="AY142" s="930"/>
      <c r="AZ142" s="930"/>
      <c r="BA142" s="930"/>
      <c r="BB142" s="930"/>
      <c r="BC142" s="930"/>
      <c r="BD142" s="930"/>
      <c r="BE142" s="930"/>
      <c r="BF142" s="930"/>
      <c r="BG142" s="930"/>
      <c r="BH142" s="930"/>
      <c r="BI142" s="930"/>
      <c r="BJ142" s="930"/>
      <c r="BK142" s="930"/>
      <c r="BL142" s="930"/>
      <c r="BM142" s="930"/>
      <c r="BN142" s="930"/>
      <c r="BO142" s="930"/>
      <c r="BP142" s="930"/>
      <c r="BQ142" s="930"/>
      <c r="BR142" s="930"/>
      <c r="BS142" s="930"/>
      <c r="BT142" s="930"/>
    </row>
    <row r="143" spans="1:72" x14ac:dyDescent="0.25">
      <c r="A143" s="930" t="s">
        <v>473</v>
      </c>
      <c r="B143" s="930"/>
      <c r="C143" s="930"/>
      <c r="D143" s="930"/>
      <c r="E143" s="930"/>
      <c r="F143" s="930"/>
      <c r="G143" s="930"/>
      <c r="H143" s="930"/>
      <c r="I143" s="930"/>
      <c r="J143" s="930"/>
      <c r="K143" s="930"/>
      <c r="L143" s="930"/>
      <c r="M143" s="930"/>
      <c r="N143" s="930"/>
      <c r="O143" s="930"/>
      <c r="P143" s="930"/>
      <c r="Q143" s="930"/>
      <c r="R143" s="930"/>
      <c r="S143" s="930"/>
      <c r="T143" s="930"/>
      <c r="U143" s="930"/>
      <c r="V143" s="930"/>
      <c r="W143" s="930"/>
      <c r="X143" s="930"/>
      <c r="Y143" s="930"/>
      <c r="Z143" s="930"/>
      <c r="AA143" s="930"/>
      <c r="AB143" s="930"/>
      <c r="AC143" s="930"/>
      <c r="AD143" s="930"/>
      <c r="AE143" s="930"/>
      <c r="AF143" s="930"/>
      <c r="AG143" s="930"/>
      <c r="AH143" s="930"/>
      <c r="AI143" s="930"/>
      <c r="AJ143" s="930"/>
      <c r="AK143" s="930"/>
      <c r="AL143" s="930"/>
      <c r="AM143" s="930"/>
      <c r="AN143" s="930"/>
      <c r="AO143" s="930"/>
      <c r="AP143" s="930"/>
      <c r="AQ143" s="930"/>
      <c r="AR143" s="930"/>
      <c r="AS143" s="930"/>
      <c r="AT143" s="930"/>
      <c r="AU143" s="930"/>
      <c r="AV143" s="930"/>
      <c r="AW143" s="930"/>
      <c r="AX143" s="930"/>
      <c r="AY143" s="930"/>
      <c r="AZ143" s="930"/>
      <c r="BA143" s="930"/>
      <c r="BB143" s="930"/>
      <c r="BC143" s="930"/>
      <c r="BD143" s="930"/>
      <c r="BE143" s="930"/>
      <c r="BF143" s="930"/>
      <c r="BG143" s="930"/>
      <c r="BH143" s="930"/>
      <c r="BI143" s="930"/>
      <c r="BJ143" s="930"/>
      <c r="BK143" s="930"/>
      <c r="BL143" s="930"/>
      <c r="BM143" s="930"/>
      <c r="BN143" s="930"/>
      <c r="BO143" s="930"/>
      <c r="BP143" s="930"/>
      <c r="BQ143" s="930"/>
      <c r="BR143" s="930"/>
      <c r="BS143" s="930"/>
      <c r="BT143" s="930"/>
    </row>
    <row r="144" spans="1:72" x14ac:dyDescent="0.25">
      <c r="A144" s="930" t="s">
        <v>609</v>
      </c>
      <c r="B144" s="930">
        <v>25.67</v>
      </c>
      <c r="C144" s="930">
        <v>29.35</v>
      </c>
      <c r="D144" s="930">
        <v>25.28</v>
      </c>
      <c r="E144" s="930">
        <v>24.73</v>
      </c>
      <c r="F144" s="930">
        <v>25.15</v>
      </c>
      <c r="G144" s="930">
        <v>26.73</v>
      </c>
      <c r="H144" s="930">
        <v>28.51</v>
      </c>
      <c r="I144" s="930">
        <v>30.06</v>
      </c>
      <c r="J144" s="930">
        <v>31.23</v>
      </c>
      <c r="K144" s="930">
        <v>32.520000000000003</v>
      </c>
      <c r="L144" s="930">
        <v>33.75</v>
      </c>
      <c r="M144" s="930">
        <v>35.06</v>
      </c>
      <c r="N144" s="930">
        <v>36.020000000000003</v>
      </c>
      <c r="O144" s="930">
        <v>37.020000000000003</v>
      </c>
      <c r="P144" s="930">
        <v>38.1</v>
      </c>
      <c r="Q144" s="930">
        <v>39.200000000000003</v>
      </c>
      <c r="R144" s="930">
        <v>40.409999999999997</v>
      </c>
      <c r="S144" s="930">
        <v>41.61</v>
      </c>
      <c r="T144" s="930">
        <v>42.82</v>
      </c>
      <c r="U144" s="930">
        <v>43.92</v>
      </c>
      <c r="V144" s="930">
        <v>45.24</v>
      </c>
      <c r="W144" s="930">
        <v>46.58</v>
      </c>
      <c r="X144" s="930">
        <v>48.12</v>
      </c>
      <c r="Y144" s="930">
        <v>49.52</v>
      </c>
      <c r="Z144" s="930">
        <v>51.18</v>
      </c>
      <c r="AA144" s="930">
        <v>52.85</v>
      </c>
      <c r="AB144" s="930">
        <v>54.62</v>
      </c>
      <c r="AC144" s="930">
        <v>56.39</v>
      </c>
      <c r="AD144" s="930">
        <v>58.23</v>
      </c>
      <c r="AE144" s="969">
        <v>2.5999999999999999E-2</v>
      </c>
      <c r="AF144" s="930"/>
      <c r="AG144" s="930"/>
      <c r="AH144" s="930"/>
      <c r="AI144" s="930"/>
      <c r="AJ144" s="930"/>
      <c r="AK144" s="930"/>
      <c r="AL144" s="930"/>
      <c r="AM144" s="930"/>
      <c r="AN144" s="930"/>
      <c r="AO144" s="930"/>
      <c r="AP144" s="930"/>
      <c r="AQ144" s="930"/>
      <c r="AR144" s="930"/>
      <c r="AS144" s="930"/>
      <c r="AT144" s="930"/>
      <c r="AU144" s="930"/>
      <c r="AV144" s="930"/>
      <c r="AW144" s="930"/>
      <c r="AX144" s="930"/>
      <c r="AY144" s="930"/>
      <c r="AZ144" s="930"/>
      <c r="BA144" s="930"/>
      <c r="BB144" s="930"/>
      <c r="BC144" s="930"/>
      <c r="BD144" s="930"/>
      <c r="BE144" s="930"/>
      <c r="BF144" s="930"/>
      <c r="BG144" s="930"/>
      <c r="BH144" s="930"/>
      <c r="BI144" s="930"/>
      <c r="BJ144" s="930"/>
      <c r="BK144" s="930"/>
      <c r="BL144" s="930"/>
      <c r="BM144" s="930"/>
      <c r="BN144" s="930"/>
      <c r="BO144" s="930"/>
      <c r="BP144" s="930"/>
      <c r="BQ144" s="930"/>
      <c r="BR144" s="930"/>
      <c r="BS144" s="930"/>
      <c r="BT144" s="930"/>
    </row>
    <row r="145" spans="1:72" x14ac:dyDescent="0.25">
      <c r="A145" s="930" t="s">
        <v>610</v>
      </c>
      <c r="B145" s="930">
        <v>19.86</v>
      </c>
      <c r="C145" s="930">
        <v>24.47</v>
      </c>
      <c r="D145" s="930">
        <v>18.260000000000002</v>
      </c>
      <c r="E145" s="930">
        <v>18.100000000000001</v>
      </c>
      <c r="F145" s="930">
        <v>18.489999999999998</v>
      </c>
      <c r="G145" s="930">
        <v>19.940000000000001</v>
      </c>
      <c r="H145" s="930">
        <v>21.4</v>
      </c>
      <c r="I145" s="930">
        <v>22.55</v>
      </c>
      <c r="J145" s="930">
        <v>23.49</v>
      </c>
      <c r="K145" s="930">
        <v>24.96</v>
      </c>
      <c r="L145" s="930">
        <v>26.17</v>
      </c>
      <c r="M145" s="930">
        <v>27.44</v>
      </c>
      <c r="N145" s="930">
        <v>28.46</v>
      </c>
      <c r="O145" s="930">
        <v>29.45</v>
      </c>
      <c r="P145" s="930">
        <v>30.25</v>
      </c>
      <c r="Q145" s="930">
        <v>31.17</v>
      </c>
      <c r="R145" s="930">
        <v>32.25</v>
      </c>
      <c r="S145" s="930">
        <v>33.17</v>
      </c>
      <c r="T145" s="930">
        <v>34.24</v>
      </c>
      <c r="U145" s="930">
        <v>35.33</v>
      </c>
      <c r="V145" s="930">
        <v>36.380000000000003</v>
      </c>
      <c r="W145" s="930">
        <v>37.630000000000003</v>
      </c>
      <c r="X145" s="930">
        <v>39.049999999999997</v>
      </c>
      <c r="Y145" s="930">
        <v>40.159999999999997</v>
      </c>
      <c r="Z145" s="930">
        <v>41.73</v>
      </c>
      <c r="AA145" s="930">
        <v>43.3</v>
      </c>
      <c r="AB145" s="930">
        <v>44.82</v>
      </c>
      <c r="AC145" s="930">
        <v>46.47</v>
      </c>
      <c r="AD145" s="930">
        <v>48.16</v>
      </c>
      <c r="AE145" s="969">
        <v>2.5000000000000001E-2</v>
      </c>
      <c r="AF145" s="930"/>
      <c r="AG145" s="930"/>
      <c r="AH145" s="930"/>
      <c r="AI145" s="930"/>
      <c r="AJ145" s="930"/>
      <c r="AK145" s="930"/>
      <c r="AL145" s="930"/>
      <c r="AM145" s="930"/>
      <c r="AN145" s="930"/>
      <c r="AO145" s="930"/>
      <c r="AP145" s="930"/>
      <c r="AQ145" s="930"/>
      <c r="AR145" s="930"/>
      <c r="AS145" s="930"/>
      <c r="AT145" s="930"/>
      <c r="AU145" s="930"/>
      <c r="AV145" s="930"/>
      <c r="AW145" s="930"/>
      <c r="AX145" s="930"/>
      <c r="AY145" s="930"/>
      <c r="AZ145" s="930"/>
      <c r="BA145" s="930"/>
      <c r="BB145" s="930"/>
      <c r="BC145" s="930"/>
      <c r="BD145" s="930"/>
      <c r="BE145" s="930"/>
      <c r="BF145" s="930"/>
      <c r="BG145" s="930"/>
      <c r="BH145" s="930"/>
      <c r="BI145" s="930"/>
      <c r="BJ145" s="930"/>
      <c r="BK145" s="930"/>
      <c r="BL145" s="930"/>
      <c r="BM145" s="930"/>
      <c r="BN145" s="930"/>
      <c r="BO145" s="930"/>
      <c r="BP145" s="930"/>
      <c r="BQ145" s="930"/>
      <c r="BR145" s="930"/>
      <c r="BS145" s="930"/>
      <c r="BT145" s="930"/>
    </row>
    <row r="146" spans="1:72" x14ac:dyDescent="0.25">
      <c r="A146" s="930" t="s">
        <v>510</v>
      </c>
      <c r="B146" s="930">
        <v>12.66</v>
      </c>
      <c r="C146" s="930">
        <v>13.48</v>
      </c>
      <c r="D146" s="930">
        <v>11.57</v>
      </c>
      <c r="E146" s="930">
        <v>11.22</v>
      </c>
      <c r="F146" s="930">
        <v>12.29</v>
      </c>
      <c r="G146" s="930">
        <v>12.56</v>
      </c>
      <c r="H146" s="930">
        <v>12.36</v>
      </c>
      <c r="I146" s="930">
        <v>12.51</v>
      </c>
      <c r="J146" s="930">
        <v>12.88</v>
      </c>
      <c r="K146" s="930">
        <v>13.22</v>
      </c>
      <c r="L146" s="930">
        <v>13.5</v>
      </c>
      <c r="M146" s="930">
        <v>13.83</v>
      </c>
      <c r="N146" s="930">
        <v>14.18</v>
      </c>
      <c r="O146" s="930">
        <v>14.61</v>
      </c>
      <c r="P146" s="930">
        <v>15.06</v>
      </c>
      <c r="Q146" s="930">
        <v>15.64</v>
      </c>
      <c r="R146" s="930">
        <v>16.010000000000002</v>
      </c>
      <c r="S146" s="930">
        <v>16.22</v>
      </c>
      <c r="T146" s="930">
        <v>16.68</v>
      </c>
      <c r="U146" s="930">
        <v>17.260000000000002</v>
      </c>
      <c r="V146" s="930">
        <v>17.91</v>
      </c>
      <c r="W146" s="930">
        <v>18.649999999999999</v>
      </c>
      <c r="X146" s="930">
        <v>19.440000000000001</v>
      </c>
      <c r="Y146" s="930">
        <v>20.29</v>
      </c>
      <c r="Z146" s="930">
        <v>21.26</v>
      </c>
      <c r="AA146" s="930">
        <v>21.98</v>
      </c>
      <c r="AB146" s="930">
        <v>22.61</v>
      </c>
      <c r="AC146" s="930">
        <v>23.44</v>
      </c>
      <c r="AD146" s="930">
        <v>24.2</v>
      </c>
      <c r="AE146" s="969">
        <v>2.1999999999999999E-2</v>
      </c>
      <c r="AF146" s="930"/>
      <c r="AG146" s="930"/>
      <c r="AH146" s="930"/>
      <c r="AI146" s="930"/>
      <c r="AJ146" s="930"/>
      <c r="AK146" s="930"/>
      <c r="AL146" s="930"/>
      <c r="AM146" s="930"/>
      <c r="AN146" s="930"/>
      <c r="AO146" s="930"/>
      <c r="AP146" s="930"/>
      <c r="AQ146" s="930"/>
      <c r="AR146" s="930"/>
      <c r="AS146" s="930"/>
      <c r="AT146" s="930"/>
      <c r="AU146" s="930"/>
      <c r="AV146" s="930"/>
      <c r="AW146" s="930"/>
      <c r="AX146" s="930"/>
      <c r="AY146" s="930"/>
      <c r="AZ146" s="930"/>
      <c r="BA146" s="930"/>
      <c r="BB146" s="930"/>
      <c r="BC146" s="930"/>
      <c r="BD146" s="930"/>
      <c r="BE146" s="930"/>
      <c r="BF146" s="930"/>
      <c r="BG146" s="930"/>
      <c r="BH146" s="930"/>
      <c r="BI146" s="930"/>
      <c r="BJ146" s="930"/>
      <c r="BK146" s="930"/>
      <c r="BL146" s="930"/>
      <c r="BM146" s="930"/>
      <c r="BN146" s="930"/>
      <c r="BO146" s="930"/>
      <c r="BP146" s="930"/>
      <c r="BQ146" s="930"/>
      <c r="BR146" s="930"/>
      <c r="BS146" s="930"/>
      <c r="BT146" s="930"/>
    </row>
    <row r="147" spans="1:72" x14ac:dyDescent="0.25">
      <c r="A147" s="930" t="s">
        <v>479</v>
      </c>
      <c r="B147" s="930">
        <v>31.12</v>
      </c>
      <c r="C147" s="930">
        <v>33.29</v>
      </c>
      <c r="D147" s="930">
        <v>32.83</v>
      </c>
      <c r="E147" s="930">
        <v>31.88</v>
      </c>
      <c r="F147" s="930">
        <v>31.21</v>
      </c>
      <c r="G147" s="930">
        <v>32.9</v>
      </c>
      <c r="H147" s="930">
        <v>33.9</v>
      </c>
      <c r="I147" s="930">
        <v>34.5</v>
      </c>
      <c r="J147" s="930">
        <v>35.020000000000003</v>
      </c>
      <c r="K147" s="930">
        <v>35.89</v>
      </c>
      <c r="L147" s="930">
        <v>36.74</v>
      </c>
      <c r="M147" s="930">
        <v>37.39</v>
      </c>
      <c r="N147" s="930">
        <v>37.97</v>
      </c>
      <c r="O147" s="930">
        <v>38.92</v>
      </c>
      <c r="P147" s="930">
        <v>39.950000000000003</v>
      </c>
      <c r="Q147" s="930">
        <v>40.92</v>
      </c>
      <c r="R147" s="930">
        <v>41.95</v>
      </c>
      <c r="S147" s="930">
        <v>42.94</v>
      </c>
      <c r="T147" s="930">
        <v>43.78</v>
      </c>
      <c r="U147" s="930">
        <v>44.88</v>
      </c>
      <c r="V147" s="930">
        <v>46.07</v>
      </c>
      <c r="W147" s="930">
        <v>47.3</v>
      </c>
      <c r="X147" s="930">
        <v>48.93</v>
      </c>
      <c r="Y147" s="930">
        <v>50.5</v>
      </c>
      <c r="Z147" s="930">
        <v>52.16</v>
      </c>
      <c r="AA147" s="930">
        <v>53.81</v>
      </c>
      <c r="AB147" s="930">
        <v>55.2</v>
      </c>
      <c r="AC147" s="930">
        <v>56.77</v>
      </c>
      <c r="AD147" s="930">
        <v>58.33</v>
      </c>
      <c r="AE147" s="969">
        <v>2.1000000000000001E-2</v>
      </c>
      <c r="AF147" s="930"/>
      <c r="AG147" s="930"/>
      <c r="AH147" s="930"/>
      <c r="AI147" s="930"/>
      <c r="AJ147" s="930"/>
      <c r="AK147" s="930"/>
      <c r="AL147" s="930"/>
      <c r="AM147" s="930"/>
      <c r="AN147" s="930"/>
      <c r="AO147" s="930"/>
      <c r="AP147" s="930"/>
      <c r="AQ147" s="930"/>
      <c r="AR147" s="930"/>
      <c r="AS147" s="930"/>
      <c r="AT147" s="930"/>
      <c r="AU147" s="930"/>
      <c r="AV147" s="930"/>
      <c r="AW147" s="930"/>
      <c r="AX147" s="930"/>
      <c r="AY147" s="930"/>
      <c r="AZ147" s="930"/>
      <c r="BA147" s="930"/>
      <c r="BB147" s="930"/>
      <c r="BC147" s="930"/>
      <c r="BD147" s="930"/>
      <c r="BE147" s="930"/>
      <c r="BF147" s="930"/>
      <c r="BG147" s="930"/>
      <c r="BH147" s="930"/>
      <c r="BI147" s="930"/>
      <c r="BJ147" s="930"/>
      <c r="BK147" s="930"/>
      <c r="BL147" s="930"/>
      <c r="BM147" s="930"/>
      <c r="BN147" s="930"/>
      <c r="BO147" s="930"/>
      <c r="BP147" s="930"/>
      <c r="BQ147" s="930"/>
      <c r="BR147" s="930"/>
      <c r="BS147" s="930"/>
      <c r="BT147" s="930"/>
    </row>
    <row r="148" spans="1:72" x14ac:dyDescent="0.25">
      <c r="A148" s="930"/>
      <c r="B148" s="930"/>
      <c r="C148" s="930"/>
      <c r="D148" s="930"/>
      <c r="E148" s="930"/>
      <c r="F148" s="930"/>
      <c r="G148" s="930"/>
      <c r="H148" s="930"/>
      <c r="I148" s="930"/>
      <c r="J148" s="930"/>
      <c r="K148" s="930"/>
      <c r="L148" s="930"/>
      <c r="M148" s="930"/>
      <c r="N148" s="930"/>
      <c r="O148" s="930"/>
      <c r="P148" s="930"/>
      <c r="Q148" s="930"/>
      <c r="R148" s="930"/>
      <c r="S148" s="930"/>
      <c r="T148" s="930"/>
      <c r="U148" s="930"/>
      <c r="V148" s="930"/>
      <c r="W148" s="930"/>
      <c r="X148" s="930"/>
      <c r="Y148" s="930"/>
      <c r="Z148" s="930"/>
      <c r="AA148" s="930"/>
      <c r="AB148" s="930"/>
      <c r="AC148" s="930"/>
      <c r="AD148" s="930"/>
      <c r="AE148" s="930"/>
      <c r="AF148" s="930"/>
      <c r="AG148" s="930"/>
      <c r="AH148" s="930"/>
      <c r="AI148" s="930"/>
      <c r="AJ148" s="930"/>
      <c r="AK148" s="930"/>
      <c r="AL148" s="930"/>
      <c r="AM148" s="930"/>
      <c r="AN148" s="930"/>
      <c r="AO148" s="930"/>
      <c r="AP148" s="930"/>
      <c r="AQ148" s="930"/>
      <c r="AR148" s="930"/>
      <c r="AS148" s="930"/>
      <c r="AT148" s="930"/>
      <c r="AU148" s="930"/>
      <c r="AV148" s="930"/>
      <c r="AW148" s="930"/>
      <c r="AX148" s="930"/>
      <c r="AY148" s="930"/>
      <c r="AZ148" s="930"/>
      <c r="BA148" s="930"/>
      <c r="BB148" s="930"/>
      <c r="BC148" s="930"/>
      <c r="BD148" s="930"/>
      <c r="BE148" s="930"/>
      <c r="BF148" s="930"/>
      <c r="BG148" s="930"/>
      <c r="BH148" s="930"/>
      <c r="BI148" s="930"/>
      <c r="BJ148" s="930"/>
      <c r="BK148" s="930"/>
      <c r="BL148" s="930"/>
      <c r="BM148" s="930"/>
      <c r="BN148" s="930"/>
      <c r="BO148" s="930"/>
      <c r="BP148" s="930"/>
      <c r="BQ148" s="930"/>
      <c r="BR148" s="930"/>
      <c r="BS148" s="930"/>
      <c r="BT148" s="930"/>
    </row>
    <row r="149" spans="1:72" x14ac:dyDescent="0.25">
      <c r="A149" s="930" t="s">
        <v>480</v>
      </c>
      <c r="B149" s="930"/>
      <c r="C149" s="930"/>
      <c r="D149" s="930"/>
      <c r="E149" s="930"/>
      <c r="F149" s="930"/>
      <c r="G149" s="930"/>
      <c r="H149" s="930"/>
      <c r="I149" s="930"/>
      <c r="J149" s="930"/>
      <c r="K149" s="930"/>
      <c r="L149" s="930"/>
      <c r="M149" s="930"/>
      <c r="N149" s="930"/>
      <c r="O149" s="930"/>
      <c r="P149" s="930"/>
      <c r="Q149" s="930"/>
      <c r="R149" s="930"/>
      <c r="S149" s="930"/>
      <c r="T149" s="930"/>
      <c r="U149" s="930"/>
      <c r="V149" s="930"/>
      <c r="W149" s="930"/>
      <c r="X149" s="930"/>
      <c r="Y149" s="930"/>
      <c r="Z149" s="930"/>
      <c r="AA149" s="930"/>
      <c r="AB149" s="930"/>
      <c r="AC149" s="930"/>
      <c r="AD149" s="930"/>
      <c r="AE149" s="930"/>
      <c r="AF149" s="930"/>
      <c r="AG149" s="930"/>
      <c r="AH149" s="930"/>
      <c r="AI149" s="930"/>
      <c r="AJ149" s="930"/>
      <c r="AK149" s="930"/>
      <c r="AL149" s="930"/>
      <c r="AM149" s="930"/>
      <c r="AN149" s="930"/>
      <c r="AO149" s="930"/>
      <c r="AP149" s="930"/>
      <c r="AQ149" s="930"/>
      <c r="AR149" s="930"/>
      <c r="AS149" s="930"/>
      <c r="AT149" s="930"/>
      <c r="AU149" s="930"/>
      <c r="AV149" s="930"/>
      <c r="AW149" s="930"/>
      <c r="AX149" s="930"/>
      <c r="AY149" s="930"/>
      <c r="AZ149" s="930"/>
      <c r="BA149" s="930"/>
      <c r="BB149" s="930"/>
      <c r="BC149" s="930"/>
      <c r="BD149" s="930"/>
      <c r="BE149" s="930"/>
      <c r="BF149" s="930"/>
      <c r="BG149" s="930"/>
      <c r="BH149" s="930"/>
      <c r="BI149" s="930"/>
      <c r="BJ149" s="930"/>
      <c r="BK149" s="930"/>
      <c r="BL149" s="930"/>
      <c r="BM149" s="930"/>
      <c r="BN149" s="930"/>
      <c r="BO149" s="930"/>
      <c r="BP149" s="930"/>
      <c r="BQ149" s="930"/>
      <c r="BR149" s="930"/>
      <c r="BS149" s="930"/>
      <c r="BT149" s="930"/>
    </row>
    <row r="150" spans="1:72" x14ac:dyDescent="0.25">
      <c r="A150" s="930" t="s">
        <v>609</v>
      </c>
      <c r="B150" s="930">
        <v>20.2</v>
      </c>
      <c r="C150" s="930">
        <v>26.15</v>
      </c>
      <c r="D150" s="930">
        <v>20.12</v>
      </c>
      <c r="E150" s="930">
        <v>21.4</v>
      </c>
      <c r="F150" s="930">
        <v>21.77</v>
      </c>
      <c r="G150" s="930">
        <v>23.3</v>
      </c>
      <c r="H150" s="930">
        <v>25.02</v>
      </c>
      <c r="I150" s="930">
        <v>26.51</v>
      </c>
      <c r="J150" s="930">
        <v>27.61</v>
      </c>
      <c r="K150" s="930">
        <v>28.83</v>
      </c>
      <c r="L150" s="930">
        <v>29.98</v>
      </c>
      <c r="M150" s="930">
        <v>31.22</v>
      </c>
      <c r="N150" s="930">
        <v>32.11</v>
      </c>
      <c r="O150" s="930">
        <v>33.020000000000003</v>
      </c>
      <c r="P150" s="930">
        <v>34.01</v>
      </c>
      <c r="Q150" s="930">
        <v>35.020000000000003</v>
      </c>
      <c r="R150" s="930">
        <v>36.130000000000003</v>
      </c>
      <c r="S150" s="930">
        <v>37.24</v>
      </c>
      <c r="T150" s="930">
        <v>38.35</v>
      </c>
      <c r="U150" s="930">
        <v>39.36</v>
      </c>
      <c r="V150" s="930">
        <v>40.57</v>
      </c>
      <c r="W150" s="930">
        <v>41.81</v>
      </c>
      <c r="X150" s="930">
        <v>43.24</v>
      </c>
      <c r="Y150" s="930">
        <v>44.53</v>
      </c>
      <c r="Z150" s="930">
        <v>46.07</v>
      </c>
      <c r="AA150" s="930">
        <v>47.62</v>
      </c>
      <c r="AB150" s="930">
        <v>49.27</v>
      </c>
      <c r="AC150" s="930">
        <v>50.92</v>
      </c>
      <c r="AD150" s="930">
        <v>52.64</v>
      </c>
      <c r="AE150" s="969">
        <v>2.5999999999999999E-2</v>
      </c>
      <c r="AF150" s="930"/>
      <c r="AG150" s="930"/>
      <c r="AH150" s="930"/>
      <c r="AI150" s="930"/>
      <c r="AJ150" s="930"/>
      <c r="AK150" s="930"/>
      <c r="AL150" s="930"/>
      <c r="AM150" s="930"/>
      <c r="AN150" s="930"/>
      <c r="AO150" s="930"/>
      <c r="AP150" s="930"/>
      <c r="AQ150" s="930"/>
      <c r="AR150" s="930"/>
      <c r="AS150" s="930"/>
      <c r="AT150" s="930"/>
      <c r="AU150" s="930"/>
      <c r="AV150" s="930"/>
      <c r="AW150" s="930"/>
      <c r="AX150" s="930"/>
      <c r="AY150" s="930"/>
      <c r="AZ150" s="930"/>
      <c r="BA150" s="930"/>
      <c r="BB150" s="930"/>
      <c r="BC150" s="930"/>
      <c r="BD150" s="930"/>
      <c r="BE150" s="930"/>
      <c r="BF150" s="930"/>
      <c r="BG150" s="930"/>
      <c r="BH150" s="930"/>
      <c r="BI150" s="930"/>
      <c r="BJ150" s="930"/>
      <c r="BK150" s="930"/>
      <c r="BL150" s="930"/>
      <c r="BM150" s="930"/>
      <c r="BN150" s="930"/>
      <c r="BO150" s="930"/>
      <c r="BP150" s="930"/>
      <c r="BQ150" s="930"/>
      <c r="BR150" s="930"/>
      <c r="BS150" s="930"/>
      <c r="BT150" s="930"/>
    </row>
    <row r="151" spans="1:72" x14ac:dyDescent="0.25">
      <c r="A151" s="930" t="s">
        <v>610</v>
      </c>
      <c r="B151" s="930">
        <v>17.100000000000001</v>
      </c>
      <c r="C151" s="930">
        <v>21.5</v>
      </c>
      <c r="D151" s="930">
        <v>16.04</v>
      </c>
      <c r="E151" s="930">
        <v>15.27</v>
      </c>
      <c r="F151" s="930">
        <v>15.91</v>
      </c>
      <c r="G151" s="930">
        <v>17.34</v>
      </c>
      <c r="H151" s="930">
        <v>18.739999999999998</v>
      </c>
      <c r="I151" s="930">
        <v>19.850000000000001</v>
      </c>
      <c r="J151" s="930">
        <v>20.86</v>
      </c>
      <c r="K151" s="930">
        <v>22.18</v>
      </c>
      <c r="L151" s="930">
        <v>23.33</v>
      </c>
      <c r="M151" s="930">
        <v>24.52</v>
      </c>
      <c r="N151" s="930">
        <v>25.47</v>
      </c>
      <c r="O151" s="930">
        <v>26.39</v>
      </c>
      <c r="P151" s="930">
        <v>27.18</v>
      </c>
      <c r="Q151" s="930">
        <v>28.11</v>
      </c>
      <c r="R151" s="930">
        <v>29.04</v>
      </c>
      <c r="S151" s="930">
        <v>29.83</v>
      </c>
      <c r="T151" s="930">
        <v>30.83</v>
      </c>
      <c r="U151" s="930">
        <v>31.82</v>
      </c>
      <c r="V151" s="930">
        <v>32.83</v>
      </c>
      <c r="W151" s="930">
        <v>34.01</v>
      </c>
      <c r="X151" s="930">
        <v>35.340000000000003</v>
      </c>
      <c r="Y151" s="930">
        <v>36.380000000000003</v>
      </c>
      <c r="Z151" s="930">
        <v>37.86</v>
      </c>
      <c r="AA151" s="930">
        <v>39.340000000000003</v>
      </c>
      <c r="AB151" s="930">
        <v>40.74</v>
      </c>
      <c r="AC151" s="930">
        <v>42.29</v>
      </c>
      <c r="AD151" s="930">
        <v>43.92</v>
      </c>
      <c r="AE151" s="969">
        <v>2.7E-2</v>
      </c>
      <c r="AF151" s="930"/>
      <c r="AG151" s="930"/>
      <c r="AH151" s="930"/>
      <c r="AI151" s="930"/>
      <c r="AJ151" s="930"/>
      <c r="AK151" s="930"/>
      <c r="AL151" s="930"/>
      <c r="AM151" s="930"/>
      <c r="AN151" s="930"/>
      <c r="AO151" s="930"/>
      <c r="AP151" s="930"/>
      <c r="AQ151" s="930"/>
      <c r="AR151" s="930"/>
      <c r="AS151" s="930"/>
      <c r="AT151" s="930"/>
      <c r="AU151" s="930"/>
      <c r="AV151" s="930"/>
      <c r="AW151" s="930"/>
      <c r="AX151" s="930"/>
      <c r="AY151" s="930"/>
      <c r="AZ151" s="930"/>
      <c r="BA151" s="930"/>
      <c r="BB151" s="930"/>
      <c r="BC151" s="930"/>
      <c r="BD151" s="930"/>
      <c r="BE151" s="930"/>
      <c r="BF151" s="930"/>
      <c r="BG151" s="930"/>
      <c r="BH151" s="930"/>
      <c r="BI151" s="930"/>
      <c r="BJ151" s="930"/>
      <c r="BK151" s="930"/>
      <c r="BL151" s="930"/>
      <c r="BM151" s="930"/>
      <c r="BN151" s="930"/>
      <c r="BO151" s="930"/>
      <c r="BP151" s="930"/>
      <c r="BQ151" s="930"/>
      <c r="BR151" s="930"/>
      <c r="BS151" s="930"/>
      <c r="BT151" s="930"/>
    </row>
    <row r="152" spans="1:72" x14ac:dyDescent="0.25">
      <c r="A152" s="930" t="s">
        <v>723</v>
      </c>
      <c r="B152" s="930">
        <v>8.2100000000000009</v>
      </c>
      <c r="C152" s="930">
        <v>15.52</v>
      </c>
      <c r="D152" s="930">
        <v>9.41</v>
      </c>
      <c r="E152" s="930">
        <v>9.74</v>
      </c>
      <c r="F152" s="930">
        <v>10.050000000000001</v>
      </c>
      <c r="G152" s="930">
        <v>11.48</v>
      </c>
      <c r="H152" s="930">
        <v>12.9</v>
      </c>
      <c r="I152" s="930">
        <v>13.98</v>
      </c>
      <c r="J152" s="930">
        <v>14.63</v>
      </c>
      <c r="K152" s="930">
        <v>15.52</v>
      </c>
      <c r="L152" s="930">
        <v>16.37</v>
      </c>
      <c r="M152" s="930">
        <v>17.29</v>
      </c>
      <c r="N152" s="930">
        <v>18.29</v>
      </c>
      <c r="O152" s="930">
        <v>18.899999999999999</v>
      </c>
      <c r="P152" s="930">
        <v>19.57</v>
      </c>
      <c r="Q152" s="930">
        <v>20.27</v>
      </c>
      <c r="R152" s="930">
        <v>21.01</v>
      </c>
      <c r="S152" s="930">
        <v>21.73</v>
      </c>
      <c r="T152" s="930">
        <v>22.45</v>
      </c>
      <c r="U152" s="930">
        <v>23.04</v>
      </c>
      <c r="V152" s="930">
        <v>23.8</v>
      </c>
      <c r="W152" s="930">
        <v>24.66</v>
      </c>
      <c r="X152" s="930">
        <v>25.52</v>
      </c>
      <c r="Y152" s="930">
        <v>26.47</v>
      </c>
      <c r="Z152" s="930">
        <v>27.6</v>
      </c>
      <c r="AA152" s="930">
        <v>28.58</v>
      </c>
      <c r="AB152" s="930">
        <v>29.4</v>
      </c>
      <c r="AC152" s="930">
        <v>30.75</v>
      </c>
      <c r="AD152" s="930">
        <v>31.66</v>
      </c>
      <c r="AE152" s="969">
        <v>2.7E-2</v>
      </c>
      <c r="AF152" s="930"/>
      <c r="AG152" s="930"/>
      <c r="AH152" s="930"/>
      <c r="AI152" s="930"/>
      <c r="AJ152" s="930"/>
      <c r="AK152" s="930"/>
      <c r="AL152" s="930"/>
      <c r="AM152" s="930"/>
      <c r="AN152" s="930"/>
      <c r="AO152" s="930"/>
      <c r="AP152" s="930"/>
      <c r="AQ152" s="930"/>
      <c r="AR152" s="930"/>
      <c r="AS152" s="930"/>
      <c r="AT152" s="930"/>
      <c r="AU152" s="930"/>
      <c r="AV152" s="930"/>
      <c r="AW152" s="930"/>
      <c r="AX152" s="930"/>
      <c r="AY152" s="930"/>
      <c r="AZ152" s="930"/>
      <c r="BA152" s="930"/>
      <c r="BB152" s="930"/>
      <c r="BC152" s="930"/>
      <c r="BD152" s="930"/>
      <c r="BE152" s="930"/>
      <c r="BF152" s="930"/>
      <c r="BG152" s="930"/>
      <c r="BH152" s="930"/>
      <c r="BI152" s="930"/>
      <c r="BJ152" s="930"/>
      <c r="BK152" s="930"/>
      <c r="BL152" s="930"/>
      <c r="BM152" s="930"/>
      <c r="BN152" s="930"/>
      <c r="BO152" s="930"/>
      <c r="BP152" s="930"/>
      <c r="BQ152" s="930"/>
      <c r="BR152" s="930"/>
      <c r="BS152" s="930"/>
      <c r="BT152" s="930"/>
    </row>
    <row r="153" spans="1:72" x14ac:dyDescent="0.25">
      <c r="A153" s="930" t="s">
        <v>510</v>
      </c>
      <c r="B153" s="930">
        <v>10.96</v>
      </c>
      <c r="C153" s="930">
        <v>11.94</v>
      </c>
      <c r="D153" s="930">
        <v>9.18</v>
      </c>
      <c r="E153" s="930">
        <v>8.93</v>
      </c>
      <c r="F153" s="930">
        <v>10.15</v>
      </c>
      <c r="G153" s="930">
        <v>10.65</v>
      </c>
      <c r="H153" s="930">
        <v>10.68</v>
      </c>
      <c r="I153" s="930">
        <v>10.8</v>
      </c>
      <c r="J153" s="930">
        <v>11.14</v>
      </c>
      <c r="K153" s="930">
        <v>11.44</v>
      </c>
      <c r="L153" s="930">
        <v>11.67</v>
      </c>
      <c r="M153" s="930">
        <v>11.96</v>
      </c>
      <c r="N153" s="930">
        <v>12.27</v>
      </c>
      <c r="O153" s="930">
        <v>12.65</v>
      </c>
      <c r="P153" s="930">
        <v>13.05</v>
      </c>
      <c r="Q153" s="930">
        <v>13.58</v>
      </c>
      <c r="R153" s="930">
        <v>13.92</v>
      </c>
      <c r="S153" s="930">
        <v>14.13</v>
      </c>
      <c r="T153" s="930">
        <v>14.53</v>
      </c>
      <c r="U153" s="930">
        <v>15.05</v>
      </c>
      <c r="V153" s="930">
        <v>15.62</v>
      </c>
      <c r="W153" s="930">
        <v>16.3</v>
      </c>
      <c r="X153" s="930">
        <v>17.010000000000002</v>
      </c>
      <c r="Y153" s="930">
        <v>17.78</v>
      </c>
      <c r="Z153" s="930">
        <v>18.690000000000001</v>
      </c>
      <c r="AA153" s="930">
        <v>19.329999999999998</v>
      </c>
      <c r="AB153" s="930">
        <v>19.86</v>
      </c>
      <c r="AC153" s="930">
        <v>20.61</v>
      </c>
      <c r="AD153" s="930">
        <v>21.27</v>
      </c>
      <c r="AE153" s="969">
        <v>2.1999999999999999E-2</v>
      </c>
      <c r="AF153" s="930"/>
      <c r="AG153" s="930"/>
      <c r="AH153" s="930"/>
      <c r="AI153" s="930"/>
      <c r="AJ153" s="930"/>
      <c r="AK153" s="930"/>
      <c r="AL153" s="930"/>
      <c r="AM153" s="930"/>
      <c r="AN153" s="930"/>
      <c r="AO153" s="930"/>
      <c r="AP153" s="930"/>
      <c r="AQ153" s="930"/>
      <c r="AR153" s="930"/>
      <c r="AS153" s="930"/>
      <c r="AT153" s="930"/>
      <c r="AU153" s="930"/>
      <c r="AV153" s="930"/>
      <c r="AW153" s="930"/>
      <c r="AX153" s="930"/>
      <c r="AY153" s="930"/>
      <c r="AZ153" s="930"/>
      <c r="BA153" s="930"/>
      <c r="BB153" s="930"/>
      <c r="BC153" s="930"/>
      <c r="BD153" s="930"/>
      <c r="BE153" s="930"/>
      <c r="BF153" s="930"/>
      <c r="BG153" s="930"/>
      <c r="BH153" s="930"/>
      <c r="BI153" s="930"/>
      <c r="BJ153" s="930"/>
      <c r="BK153" s="930"/>
      <c r="BL153" s="930"/>
      <c r="BM153" s="930"/>
      <c r="BN153" s="930"/>
      <c r="BO153" s="930"/>
      <c r="BP153" s="930"/>
      <c r="BQ153" s="930"/>
      <c r="BR153" s="930"/>
      <c r="BS153" s="930"/>
      <c r="BT153" s="930"/>
    </row>
    <row r="154" spans="1:72" x14ac:dyDescent="0.25">
      <c r="A154" s="930" t="s">
        <v>479</v>
      </c>
      <c r="B154" s="930">
        <v>28.18</v>
      </c>
      <c r="C154" s="930">
        <v>30.47</v>
      </c>
      <c r="D154" s="930">
        <v>29.38</v>
      </c>
      <c r="E154" s="930">
        <v>28.19</v>
      </c>
      <c r="F154" s="930">
        <v>26.85</v>
      </c>
      <c r="G154" s="930">
        <v>28.28</v>
      </c>
      <c r="H154" s="930">
        <v>28.88</v>
      </c>
      <c r="I154" s="930">
        <v>29.09</v>
      </c>
      <c r="J154" s="930">
        <v>29.58</v>
      </c>
      <c r="K154" s="930">
        <v>30.41</v>
      </c>
      <c r="L154" s="930">
        <v>31.16</v>
      </c>
      <c r="M154" s="930">
        <v>31.75</v>
      </c>
      <c r="N154" s="930">
        <v>32.270000000000003</v>
      </c>
      <c r="O154" s="930">
        <v>33.15</v>
      </c>
      <c r="P154" s="930">
        <v>34.090000000000003</v>
      </c>
      <c r="Q154" s="930">
        <v>34.97</v>
      </c>
      <c r="R154" s="930">
        <v>35.99</v>
      </c>
      <c r="S154" s="930">
        <v>36.94</v>
      </c>
      <c r="T154" s="930">
        <v>37.619999999999997</v>
      </c>
      <c r="U154" s="930">
        <v>38.61</v>
      </c>
      <c r="V154" s="930">
        <v>39.68</v>
      </c>
      <c r="W154" s="930">
        <v>40.82</v>
      </c>
      <c r="X154" s="930">
        <v>42.33</v>
      </c>
      <c r="Y154" s="930">
        <v>43.75</v>
      </c>
      <c r="Z154" s="930">
        <v>45.32</v>
      </c>
      <c r="AA154" s="930">
        <v>46.89</v>
      </c>
      <c r="AB154" s="930">
        <v>48.18</v>
      </c>
      <c r="AC154" s="930">
        <v>49.63</v>
      </c>
      <c r="AD154" s="930">
        <v>51.04</v>
      </c>
      <c r="AE154" s="969">
        <v>1.9E-2</v>
      </c>
      <c r="AF154" s="930"/>
      <c r="AG154" s="930"/>
      <c r="AH154" s="930"/>
      <c r="AI154" s="930"/>
      <c r="AJ154" s="930"/>
      <c r="AK154" s="930"/>
      <c r="AL154" s="930"/>
      <c r="AM154" s="930"/>
      <c r="AN154" s="930"/>
      <c r="AO154" s="930"/>
      <c r="AP154" s="930"/>
      <c r="AQ154" s="930"/>
      <c r="AR154" s="930"/>
      <c r="AS154" s="930"/>
      <c r="AT154" s="930"/>
      <c r="AU154" s="930"/>
      <c r="AV154" s="930"/>
      <c r="AW154" s="930"/>
      <c r="AX154" s="930"/>
      <c r="AY154" s="930"/>
      <c r="AZ154" s="930"/>
      <c r="BA154" s="930"/>
      <c r="BB154" s="930"/>
      <c r="BC154" s="930"/>
      <c r="BD154" s="930"/>
      <c r="BE154" s="930"/>
      <c r="BF154" s="930"/>
      <c r="BG154" s="930"/>
      <c r="BH154" s="930"/>
      <c r="BI154" s="930"/>
      <c r="BJ154" s="930"/>
      <c r="BK154" s="930"/>
      <c r="BL154" s="930"/>
      <c r="BM154" s="930"/>
      <c r="BN154" s="930"/>
      <c r="BO154" s="930"/>
      <c r="BP154" s="930"/>
      <c r="BQ154" s="930"/>
      <c r="BR154" s="930"/>
      <c r="BS154" s="930"/>
      <c r="BT154" s="930"/>
    </row>
    <row r="155" spans="1:72" x14ac:dyDescent="0.25">
      <c r="A155" s="930"/>
      <c r="B155" s="930"/>
      <c r="C155" s="930"/>
      <c r="D155" s="930"/>
      <c r="E155" s="930"/>
      <c r="F155" s="930"/>
      <c r="G155" s="930"/>
      <c r="H155" s="930"/>
      <c r="I155" s="930"/>
      <c r="J155" s="930"/>
      <c r="K155" s="930"/>
      <c r="L155" s="930"/>
      <c r="M155" s="930"/>
      <c r="N155" s="930"/>
      <c r="O155" s="930"/>
      <c r="P155" s="930"/>
      <c r="Q155" s="930"/>
      <c r="R155" s="930"/>
      <c r="S155" s="930"/>
      <c r="T155" s="930"/>
      <c r="U155" s="930"/>
      <c r="V155" s="930"/>
      <c r="W155" s="930"/>
      <c r="X155" s="930"/>
      <c r="Y155" s="930"/>
      <c r="Z155" s="930"/>
      <c r="AA155" s="930"/>
      <c r="AB155" s="930"/>
      <c r="AC155" s="930"/>
      <c r="AD155" s="930"/>
      <c r="AE155" s="930"/>
      <c r="AF155" s="930"/>
      <c r="AG155" s="930"/>
      <c r="AH155" s="930"/>
      <c r="AI155" s="930"/>
      <c r="AJ155" s="930"/>
      <c r="AK155" s="930"/>
      <c r="AL155" s="930"/>
      <c r="AM155" s="930"/>
      <c r="AN155" s="930"/>
      <c r="AO155" s="930"/>
      <c r="AP155" s="930"/>
      <c r="AQ155" s="930"/>
      <c r="AR155" s="930"/>
      <c r="AS155" s="930"/>
      <c r="AT155" s="930"/>
      <c r="AU155" s="930"/>
      <c r="AV155" s="930"/>
      <c r="AW155" s="930"/>
      <c r="AX155" s="930"/>
      <c r="AY155" s="930"/>
      <c r="AZ155" s="930"/>
      <c r="BA155" s="930"/>
      <c r="BB155" s="930"/>
      <c r="BC155" s="930"/>
      <c r="BD155" s="930"/>
      <c r="BE155" s="930"/>
      <c r="BF155" s="930"/>
      <c r="BG155" s="930"/>
      <c r="BH155" s="930"/>
      <c r="BI155" s="930"/>
      <c r="BJ155" s="930"/>
      <c r="BK155" s="930"/>
      <c r="BL155" s="930"/>
      <c r="BM155" s="930"/>
      <c r="BN155" s="930"/>
      <c r="BO155" s="930"/>
      <c r="BP155" s="930"/>
      <c r="BQ155" s="930"/>
      <c r="BR155" s="930"/>
      <c r="BS155" s="930"/>
      <c r="BT155" s="930"/>
    </row>
    <row r="156" spans="1:72" x14ac:dyDescent="0.25">
      <c r="A156" s="930" t="s">
        <v>612</v>
      </c>
      <c r="B156" s="930"/>
      <c r="C156" s="930"/>
      <c r="D156" s="930"/>
      <c r="E156" s="930"/>
      <c r="F156" s="930"/>
      <c r="G156" s="930"/>
      <c r="H156" s="930"/>
      <c r="I156" s="930"/>
      <c r="J156" s="930"/>
      <c r="K156" s="930"/>
      <c r="L156" s="930"/>
      <c r="M156" s="930"/>
      <c r="N156" s="930"/>
      <c r="O156" s="930"/>
      <c r="P156" s="930"/>
      <c r="Q156" s="930"/>
      <c r="R156" s="930"/>
      <c r="S156" s="930"/>
      <c r="T156" s="930"/>
      <c r="U156" s="930"/>
      <c r="V156" s="930"/>
      <c r="W156" s="930"/>
      <c r="X156" s="930"/>
      <c r="Y156" s="930"/>
      <c r="Z156" s="930"/>
      <c r="AA156" s="930"/>
      <c r="AB156" s="930"/>
      <c r="AC156" s="930"/>
      <c r="AD156" s="930"/>
      <c r="AE156" s="930"/>
      <c r="AF156" s="930"/>
      <c r="AG156" s="930"/>
      <c r="AH156" s="930"/>
      <c r="AI156" s="930"/>
      <c r="AJ156" s="930"/>
      <c r="AK156" s="930"/>
      <c r="AL156" s="930"/>
      <c r="AM156" s="930"/>
      <c r="AN156" s="930"/>
      <c r="AO156" s="930"/>
      <c r="AP156" s="930"/>
      <c r="AQ156" s="930"/>
      <c r="AR156" s="930"/>
      <c r="AS156" s="930"/>
      <c r="AT156" s="930"/>
      <c r="AU156" s="930"/>
      <c r="AV156" s="930"/>
      <c r="AW156" s="930"/>
      <c r="AX156" s="930"/>
      <c r="AY156" s="930"/>
      <c r="AZ156" s="930"/>
      <c r="BA156" s="930"/>
      <c r="BB156" s="930"/>
      <c r="BC156" s="930"/>
      <c r="BD156" s="930"/>
      <c r="BE156" s="930"/>
      <c r="BF156" s="930"/>
      <c r="BG156" s="930"/>
      <c r="BH156" s="930"/>
      <c r="BI156" s="930"/>
      <c r="BJ156" s="930"/>
      <c r="BK156" s="930"/>
      <c r="BL156" s="930"/>
      <c r="BM156" s="930"/>
      <c r="BN156" s="930"/>
      <c r="BO156" s="930"/>
      <c r="BP156" s="930"/>
      <c r="BQ156" s="930"/>
      <c r="BR156" s="930"/>
      <c r="BS156" s="930"/>
      <c r="BT156" s="930"/>
    </row>
    <row r="157" spans="1:72" x14ac:dyDescent="0.25">
      <c r="A157" s="930" t="s">
        <v>609</v>
      </c>
      <c r="B157" s="930">
        <v>21.53</v>
      </c>
      <c r="C157" s="930">
        <v>24.2</v>
      </c>
      <c r="D157" s="930">
        <v>18.920000000000002</v>
      </c>
      <c r="E157" s="930">
        <v>18.920000000000002</v>
      </c>
      <c r="F157" s="930">
        <v>19.260000000000002</v>
      </c>
      <c r="G157" s="930">
        <v>20.76</v>
      </c>
      <c r="H157" s="930">
        <v>22.51</v>
      </c>
      <c r="I157" s="930">
        <v>24</v>
      </c>
      <c r="J157" s="930">
        <v>25.06</v>
      </c>
      <c r="K157" s="930">
        <v>26.38</v>
      </c>
      <c r="L157" s="930">
        <v>27.45</v>
      </c>
      <c r="M157" s="930">
        <v>28.6</v>
      </c>
      <c r="N157" s="930">
        <v>29.51</v>
      </c>
      <c r="O157" s="930">
        <v>30.38</v>
      </c>
      <c r="P157" s="930">
        <v>31.31</v>
      </c>
      <c r="Q157" s="930">
        <v>32.270000000000003</v>
      </c>
      <c r="R157" s="930">
        <v>33.340000000000003</v>
      </c>
      <c r="S157" s="930">
        <v>34.39</v>
      </c>
      <c r="T157" s="930">
        <v>35.450000000000003</v>
      </c>
      <c r="U157" s="930">
        <v>36.4</v>
      </c>
      <c r="V157" s="930">
        <v>37.549999999999997</v>
      </c>
      <c r="W157" s="930">
        <v>38.729999999999997</v>
      </c>
      <c r="X157" s="930">
        <v>40.1</v>
      </c>
      <c r="Y157" s="930">
        <v>41.33</v>
      </c>
      <c r="Z157" s="930">
        <v>42.81</v>
      </c>
      <c r="AA157" s="930">
        <v>44.29</v>
      </c>
      <c r="AB157" s="930">
        <v>45.9</v>
      </c>
      <c r="AC157" s="930">
        <v>47.5</v>
      </c>
      <c r="AD157" s="930">
        <v>49.15</v>
      </c>
      <c r="AE157" s="969">
        <v>2.7E-2</v>
      </c>
      <c r="AF157" s="930"/>
      <c r="AG157" s="930"/>
      <c r="AH157" s="930"/>
      <c r="AI157" s="930"/>
      <c r="AJ157" s="930"/>
      <c r="AK157" s="930"/>
      <c r="AL157" s="930"/>
      <c r="AM157" s="930"/>
      <c r="AN157" s="930"/>
      <c r="AO157" s="930"/>
      <c r="AP157" s="930"/>
      <c r="AQ157" s="930"/>
      <c r="AR157" s="930"/>
      <c r="AS157" s="930"/>
      <c r="AT157" s="930"/>
      <c r="AU157" s="930"/>
      <c r="AV157" s="930"/>
      <c r="AW157" s="930"/>
      <c r="AX157" s="930"/>
      <c r="AY157" s="930"/>
      <c r="AZ157" s="930"/>
      <c r="BA157" s="930"/>
      <c r="BB157" s="930"/>
      <c r="BC157" s="930"/>
      <c r="BD157" s="930"/>
      <c r="BE157" s="930"/>
      <c r="BF157" s="930"/>
      <c r="BG157" s="930"/>
      <c r="BH157" s="930"/>
      <c r="BI157" s="930"/>
      <c r="BJ157" s="930"/>
      <c r="BK157" s="930"/>
      <c r="BL157" s="930"/>
      <c r="BM157" s="930"/>
      <c r="BN157" s="930"/>
      <c r="BO157" s="930"/>
      <c r="BP157" s="930"/>
      <c r="BQ157" s="930"/>
      <c r="BR157" s="930"/>
      <c r="BS157" s="930"/>
      <c r="BT157" s="930"/>
    </row>
    <row r="158" spans="1:72" x14ac:dyDescent="0.25">
      <c r="A158" s="930" t="s">
        <v>610</v>
      </c>
      <c r="B158" s="930">
        <v>17.68</v>
      </c>
      <c r="C158" s="930">
        <v>22.31</v>
      </c>
      <c r="D158" s="930">
        <v>16.649999999999999</v>
      </c>
      <c r="E158" s="930">
        <v>14.82</v>
      </c>
      <c r="F158" s="930">
        <v>16.05</v>
      </c>
      <c r="G158" s="930">
        <v>17.52</v>
      </c>
      <c r="H158" s="930">
        <v>18.95</v>
      </c>
      <c r="I158" s="930">
        <v>20.07</v>
      </c>
      <c r="J158" s="930">
        <v>21.18</v>
      </c>
      <c r="K158" s="930">
        <v>22.46</v>
      </c>
      <c r="L158" s="930">
        <v>23.62</v>
      </c>
      <c r="M158" s="930">
        <v>24.81</v>
      </c>
      <c r="N158" s="930">
        <v>25.76</v>
      </c>
      <c r="O158" s="930">
        <v>26.68</v>
      </c>
      <c r="P158" s="930">
        <v>27.5</v>
      </c>
      <c r="Q158" s="930">
        <v>28.52</v>
      </c>
      <c r="R158" s="930">
        <v>29.39</v>
      </c>
      <c r="S158" s="930">
        <v>30.15</v>
      </c>
      <c r="T158" s="930">
        <v>31.18</v>
      </c>
      <c r="U158" s="930">
        <v>32.159999999999997</v>
      </c>
      <c r="V158" s="930">
        <v>33.21</v>
      </c>
      <c r="W158" s="930">
        <v>34.409999999999997</v>
      </c>
      <c r="X158" s="930">
        <v>35.770000000000003</v>
      </c>
      <c r="Y158" s="930">
        <v>36.83</v>
      </c>
      <c r="Z158" s="930">
        <v>38.33</v>
      </c>
      <c r="AA158" s="930">
        <v>39.83</v>
      </c>
      <c r="AB158" s="930">
        <v>41.25</v>
      </c>
      <c r="AC158" s="930">
        <v>42.82</v>
      </c>
      <c r="AD158" s="930">
        <v>44.51</v>
      </c>
      <c r="AE158" s="969">
        <v>2.5999999999999999E-2</v>
      </c>
      <c r="AF158" s="930"/>
      <c r="AG158" s="930"/>
      <c r="AH158" s="930"/>
      <c r="AI158" s="930"/>
      <c r="AJ158" s="930"/>
      <c r="AK158" s="930"/>
      <c r="AL158" s="930"/>
      <c r="AM158" s="930"/>
      <c r="AN158" s="930"/>
      <c r="AO158" s="930"/>
      <c r="AP158" s="930"/>
      <c r="AQ158" s="930"/>
      <c r="AR158" s="930"/>
      <c r="AS158" s="930"/>
      <c r="AT158" s="930"/>
      <c r="AU158" s="930"/>
      <c r="AV158" s="930"/>
      <c r="AW158" s="930"/>
      <c r="AX158" s="930"/>
      <c r="AY158" s="930"/>
      <c r="AZ158" s="930"/>
      <c r="BA158" s="930"/>
      <c r="BB158" s="930"/>
      <c r="BC158" s="930"/>
      <c r="BD158" s="930"/>
      <c r="BE158" s="930"/>
      <c r="BF158" s="930"/>
      <c r="BG158" s="930"/>
      <c r="BH158" s="930"/>
      <c r="BI158" s="930"/>
      <c r="BJ158" s="930"/>
      <c r="BK158" s="930"/>
      <c r="BL158" s="930"/>
      <c r="BM158" s="930"/>
      <c r="BN158" s="930"/>
      <c r="BO158" s="930"/>
      <c r="BP158" s="930"/>
      <c r="BQ158" s="930"/>
      <c r="BR158" s="930"/>
      <c r="BS158" s="930"/>
      <c r="BT158" s="930"/>
    </row>
    <row r="159" spans="1:72" x14ac:dyDescent="0.25">
      <c r="A159" s="930" t="s">
        <v>611</v>
      </c>
      <c r="B159" s="930">
        <v>8.65</v>
      </c>
      <c r="C159" s="930">
        <v>16.309999999999999</v>
      </c>
      <c r="D159" s="930">
        <v>9.89</v>
      </c>
      <c r="E159" s="930">
        <v>13.52</v>
      </c>
      <c r="F159" s="930">
        <v>13.82</v>
      </c>
      <c r="G159" s="930">
        <v>15.16</v>
      </c>
      <c r="H159" s="930">
        <v>16.489999999999998</v>
      </c>
      <c r="I159" s="930">
        <v>17.62</v>
      </c>
      <c r="J159" s="930">
        <v>18.350000000000001</v>
      </c>
      <c r="K159" s="930">
        <v>19.239999999999998</v>
      </c>
      <c r="L159" s="930">
        <v>20.059999999999999</v>
      </c>
      <c r="M159" s="930">
        <v>20.97</v>
      </c>
      <c r="N159" s="930">
        <v>21.68</v>
      </c>
      <c r="O159" s="930">
        <v>22.24</v>
      </c>
      <c r="P159" s="930">
        <v>23</v>
      </c>
      <c r="Q159" s="930">
        <v>23.74</v>
      </c>
      <c r="R159" s="930">
        <v>24.52</v>
      </c>
      <c r="S159" s="930">
        <v>25.31</v>
      </c>
      <c r="T159" s="930">
        <v>26.1</v>
      </c>
      <c r="U159" s="930">
        <v>26.74</v>
      </c>
      <c r="V159" s="930">
        <v>27.57</v>
      </c>
      <c r="W159" s="930">
        <v>28.51</v>
      </c>
      <c r="X159" s="930">
        <v>29.51</v>
      </c>
      <c r="Y159" s="930">
        <v>30.6</v>
      </c>
      <c r="Z159" s="930">
        <v>31.8</v>
      </c>
      <c r="AA159" s="930">
        <v>32.92</v>
      </c>
      <c r="AB159" s="930">
        <v>34.03</v>
      </c>
      <c r="AC159" s="930">
        <v>35.29</v>
      </c>
      <c r="AD159" s="930">
        <v>36.5</v>
      </c>
      <c r="AE159" s="969">
        <v>0.03</v>
      </c>
      <c r="AF159" s="930"/>
      <c r="AG159" s="930"/>
      <c r="AH159" s="930"/>
      <c r="AI159" s="930"/>
      <c r="AJ159" s="930"/>
      <c r="AK159" s="930"/>
      <c r="AL159" s="930"/>
      <c r="AM159" s="930"/>
      <c r="AN159" s="930"/>
      <c r="AO159" s="930"/>
      <c r="AP159" s="930"/>
      <c r="AQ159" s="930"/>
      <c r="AR159" s="930"/>
      <c r="AS159" s="930"/>
      <c r="AT159" s="930"/>
      <c r="AU159" s="930"/>
      <c r="AV159" s="930"/>
      <c r="AW159" s="930"/>
      <c r="AX159" s="930"/>
      <c r="AY159" s="930"/>
      <c r="AZ159" s="930"/>
      <c r="BA159" s="930"/>
      <c r="BB159" s="930"/>
      <c r="BC159" s="930"/>
      <c r="BD159" s="930"/>
      <c r="BE159" s="930"/>
      <c r="BF159" s="930"/>
      <c r="BG159" s="930"/>
      <c r="BH159" s="930"/>
      <c r="BI159" s="930"/>
      <c r="BJ159" s="930"/>
      <c r="BK159" s="930"/>
      <c r="BL159" s="930"/>
      <c r="BM159" s="930"/>
      <c r="BN159" s="930"/>
      <c r="BO159" s="930"/>
      <c r="BP159" s="930"/>
      <c r="BQ159" s="930"/>
      <c r="BR159" s="930"/>
      <c r="BS159" s="930"/>
      <c r="BT159" s="930"/>
    </row>
    <row r="160" spans="1:72" x14ac:dyDescent="0.25">
      <c r="A160" s="930" t="s">
        <v>613</v>
      </c>
      <c r="B160" s="930">
        <v>7.41</v>
      </c>
      <c r="C160" s="930">
        <v>9.11</v>
      </c>
      <c r="D160" s="930">
        <v>4.26</v>
      </c>
      <c r="E160" s="930">
        <v>5.0199999999999996</v>
      </c>
      <c r="F160" s="930">
        <v>6.23</v>
      </c>
      <c r="G160" s="930">
        <v>6.76</v>
      </c>
      <c r="H160" s="930">
        <v>6.82</v>
      </c>
      <c r="I160" s="930">
        <v>6.89</v>
      </c>
      <c r="J160" s="930">
        <v>7.18</v>
      </c>
      <c r="K160" s="930">
        <v>7.39</v>
      </c>
      <c r="L160" s="930">
        <v>7.52</v>
      </c>
      <c r="M160" s="930">
        <v>7.71</v>
      </c>
      <c r="N160" s="930">
        <v>7.91</v>
      </c>
      <c r="O160" s="930">
        <v>8.19</v>
      </c>
      <c r="P160" s="930">
        <v>8.4700000000000006</v>
      </c>
      <c r="Q160" s="930">
        <v>8.8800000000000008</v>
      </c>
      <c r="R160" s="930">
        <v>9.14</v>
      </c>
      <c r="S160" s="930">
        <v>9.26</v>
      </c>
      <c r="T160" s="930">
        <v>9.52</v>
      </c>
      <c r="U160" s="930">
        <v>9.9</v>
      </c>
      <c r="V160" s="930">
        <v>10.31</v>
      </c>
      <c r="W160" s="930">
        <v>10.85</v>
      </c>
      <c r="X160" s="930">
        <v>11.41</v>
      </c>
      <c r="Y160" s="930">
        <v>12.04</v>
      </c>
      <c r="Z160" s="930">
        <v>12.79</v>
      </c>
      <c r="AA160" s="930">
        <v>13.25</v>
      </c>
      <c r="AB160" s="930">
        <v>13.56</v>
      </c>
      <c r="AC160" s="930">
        <v>14.17</v>
      </c>
      <c r="AD160" s="930">
        <v>14.67</v>
      </c>
      <c r="AE160" s="969">
        <v>1.7999999999999999E-2</v>
      </c>
      <c r="AF160" s="930"/>
      <c r="AG160" s="930"/>
      <c r="AH160" s="930"/>
      <c r="AI160" s="930"/>
      <c r="AJ160" s="930"/>
      <c r="AK160" s="930"/>
      <c r="AL160" s="930"/>
      <c r="AM160" s="930"/>
      <c r="AN160" s="930"/>
      <c r="AO160" s="930"/>
      <c r="AP160" s="930"/>
      <c r="AQ160" s="930"/>
      <c r="AR160" s="930"/>
      <c r="AS160" s="930"/>
      <c r="AT160" s="930"/>
      <c r="AU160" s="930"/>
      <c r="AV160" s="930"/>
      <c r="AW160" s="930"/>
      <c r="AX160" s="930"/>
      <c r="AY160" s="930"/>
      <c r="AZ160" s="930"/>
      <c r="BA160" s="930"/>
      <c r="BB160" s="930"/>
      <c r="BC160" s="930"/>
      <c r="BD160" s="930"/>
      <c r="BE160" s="930"/>
      <c r="BF160" s="930"/>
      <c r="BG160" s="930"/>
      <c r="BH160" s="930"/>
      <c r="BI160" s="930"/>
      <c r="BJ160" s="930"/>
      <c r="BK160" s="930"/>
      <c r="BL160" s="930"/>
      <c r="BM160" s="930"/>
      <c r="BN160" s="930"/>
      <c r="BO160" s="930"/>
      <c r="BP160" s="930"/>
      <c r="BQ160" s="930"/>
      <c r="BR160" s="930"/>
      <c r="BS160" s="930"/>
      <c r="BT160" s="930"/>
    </row>
    <row r="161" spans="1:72" x14ac:dyDescent="0.25">
      <c r="A161" s="930" t="s">
        <v>614</v>
      </c>
      <c r="B161" s="930">
        <v>3.61</v>
      </c>
      <c r="C161" s="930">
        <v>4.49</v>
      </c>
      <c r="D161" s="930">
        <v>4.79</v>
      </c>
      <c r="E161" s="930">
        <v>4.9400000000000004</v>
      </c>
      <c r="F161" s="930">
        <v>5.07</v>
      </c>
      <c r="G161" s="930">
        <v>5.31</v>
      </c>
      <c r="H161" s="930">
        <v>5.44</v>
      </c>
      <c r="I161" s="930">
        <v>5.56</v>
      </c>
      <c r="J161" s="930">
        <v>5.66</v>
      </c>
      <c r="K161" s="930">
        <v>5.77</v>
      </c>
      <c r="L161" s="930">
        <v>5.97</v>
      </c>
      <c r="M161" s="930">
        <v>6.14</v>
      </c>
      <c r="N161" s="930">
        <v>6.34</v>
      </c>
      <c r="O161" s="930">
        <v>6.5</v>
      </c>
      <c r="P161" s="930">
        <v>6.68</v>
      </c>
      <c r="Q161" s="930">
        <v>6.84</v>
      </c>
      <c r="R161" s="930">
        <v>6.98</v>
      </c>
      <c r="S161" s="930">
        <v>7.07</v>
      </c>
      <c r="T161" s="930">
        <v>7.11</v>
      </c>
      <c r="U161" s="930">
        <v>7.15</v>
      </c>
      <c r="V161" s="930">
        <v>7.27</v>
      </c>
      <c r="W161" s="930">
        <v>7.43</v>
      </c>
      <c r="X161" s="930">
        <v>7.55</v>
      </c>
      <c r="Y161" s="930">
        <v>7.72</v>
      </c>
      <c r="Z161" s="930">
        <v>7.86</v>
      </c>
      <c r="AA161" s="930">
        <v>8.02</v>
      </c>
      <c r="AB161" s="930">
        <v>8.18</v>
      </c>
      <c r="AC161" s="930">
        <v>8.33</v>
      </c>
      <c r="AD161" s="930">
        <v>8.5</v>
      </c>
      <c r="AE161" s="969">
        <v>2.4E-2</v>
      </c>
      <c r="AF161" s="930"/>
      <c r="AG161" s="930"/>
      <c r="AH161" s="930"/>
      <c r="AI161" s="930"/>
      <c r="AJ161" s="930"/>
      <c r="AK161" s="930"/>
      <c r="AL161" s="930"/>
      <c r="AM161" s="930"/>
      <c r="AN161" s="930"/>
      <c r="AO161" s="930"/>
      <c r="AP161" s="930"/>
      <c r="AQ161" s="930"/>
      <c r="AR161" s="930"/>
      <c r="AS161" s="930"/>
      <c r="AT161" s="930"/>
      <c r="AU161" s="930"/>
      <c r="AV161" s="930"/>
      <c r="AW161" s="930"/>
      <c r="AX161" s="930"/>
      <c r="AY161" s="930"/>
      <c r="AZ161" s="930"/>
      <c r="BA161" s="930"/>
      <c r="BB161" s="930"/>
      <c r="BC161" s="930"/>
      <c r="BD161" s="930"/>
      <c r="BE161" s="930"/>
      <c r="BF161" s="930"/>
      <c r="BG161" s="930"/>
      <c r="BH161" s="930"/>
      <c r="BI161" s="930"/>
      <c r="BJ161" s="930"/>
      <c r="BK161" s="930"/>
      <c r="BL161" s="930"/>
      <c r="BM161" s="930"/>
      <c r="BN161" s="930"/>
      <c r="BO161" s="930"/>
      <c r="BP161" s="930"/>
      <c r="BQ161" s="930"/>
      <c r="BR161" s="930"/>
      <c r="BS161" s="930"/>
      <c r="BT161" s="930"/>
    </row>
    <row r="162" spans="1:72" x14ac:dyDescent="0.25">
      <c r="A162" s="930" t="s">
        <v>615</v>
      </c>
      <c r="B162" s="930">
        <v>2.4300000000000002</v>
      </c>
      <c r="C162" s="930">
        <v>2.84</v>
      </c>
      <c r="D162" s="930">
        <v>2.83</v>
      </c>
      <c r="E162" s="930">
        <v>2.77</v>
      </c>
      <c r="F162" s="930">
        <v>2.81</v>
      </c>
      <c r="G162" s="930">
        <v>2.85</v>
      </c>
      <c r="H162" s="930">
        <v>2.86</v>
      </c>
      <c r="I162" s="930">
        <v>2.93</v>
      </c>
      <c r="J162" s="930">
        <v>3</v>
      </c>
      <c r="K162" s="930">
        <v>3.04</v>
      </c>
      <c r="L162" s="930">
        <v>3.11</v>
      </c>
      <c r="M162" s="930">
        <v>3.16</v>
      </c>
      <c r="N162" s="930">
        <v>3.2</v>
      </c>
      <c r="O162" s="930">
        <v>3.26</v>
      </c>
      <c r="P162" s="930">
        <v>3.31</v>
      </c>
      <c r="Q162" s="930">
        <v>3.38</v>
      </c>
      <c r="R162" s="930">
        <v>3.43</v>
      </c>
      <c r="S162" s="930">
        <v>3.5</v>
      </c>
      <c r="T162" s="930">
        <v>3.56</v>
      </c>
      <c r="U162" s="930">
        <v>3.65</v>
      </c>
      <c r="V162" s="930">
        <v>3.72</v>
      </c>
      <c r="W162" s="930">
        <v>3.82</v>
      </c>
      <c r="X162" s="930">
        <v>3.91</v>
      </c>
      <c r="Y162" s="930">
        <v>4.01</v>
      </c>
      <c r="Z162" s="930">
        <v>4.12</v>
      </c>
      <c r="AA162" s="930">
        <v>4.21</v>
      </c>
      <c r="AB162" s="930">
        <v>4.33</v>
      </c>
      <c r="AC162" s="930">
        <v>4.4400000000000004</v>
      </c>
      <c r="AD162" s="930">
        <v>4.55</v>
      </c>
      <c r="AE162" s="969">
        <v>1.7999999999999999E-2</v>
      </c>
      <c r="AF162" s="930"/>
      <c r="AG162" s="930"/>
      <c r="AH162" s="930"/>
      <c r="AI162" s="930"/>
      <c r="AJ162" s="930"/>
      <c r="AK162" s="930"/>
      <c r="AL162" s="930"/>
      <c r="AM162" s="930"/>
      <c r="AN162" s="930"/>
      <c r="AO162" s="930"/>
      <c r="AP162" s="930"/>
      <c r="AQ162" s="930"/>
      <c r="AR162" s="930"/>
      <c r="AS162" s="930"/>
      <c r="AT162" s="930"/>
      <c r="AU162" s="930"/>
      <c r="AV162" s="930"/>
      <c r="AW162" s="930"/>
      <c r="AX162" s="930"/>
      <c r="AY162" s="930"/>
      <c r="AZ162" s="930"/>
      <c r="BA162" s="930"/>
      <c r="BB162" s="930"/>
      <c r="BC162" s="930"/>
      <c r="BD162" s="930"/>
      <c r="BE162" s="930"/>
      <c r="BF162" s="930"/>
      <c r="BG162" s="930"/>
      <c r="BH162" s="930"/>
      <c r="BI162" s="930"/>
      <c r="BJ162" s="930"/>
      <c r="BK162" s="930"/>
      <c r="BL162" s="930"/>
      <c r="BM162" s="930"/>
      <c r="BN162" s="930"/>
      <c r="BO162" s="930"/>
      <c r="BP162" s="930"/>
      <c r="BQ162" s="930"/>
      <c r="BR162" s="930"/>
      <c r="BS162" s="930"/>
      <c r="BT162" s="930"/>
    </row>
    <row r="163" spans="1:72" x14ac:dyDescent="0.25">
      <c r="A163" s="930" t="s">
        <v>616</v>
      </c>
      <c r="B163" s="930" t="s">
        <v>788</v>
      </c>
      <c r="C163" s="930" t="s">
        <v>788</v>
      </c>
      <c r="D163" s="930" t="s">
        <v>788</v>
      </c>
      <c r="E163" s="930" t="s">
        <v>788</v>
      </c>
      <c r="F163" s="930">
        <v>1.32</v>
      </c>
      <c r="G163" s="930">
        <v>1.1000000000000001</v>
      </c>
      <c r="H163" s="930">
        <v>1.1200000000000001</v>
      </c>
      <c r="I163" s="930">
        <v>1.55</v>
      </c>
      <c r="J163" s="930">
        <v>1.58</v>
      </c>
      <c r="K163" s="930">
        <v>1.65</v>
      </c>
      <c r="L163" s="930">
        <v>1.72</v>
      </c>
      <c r="M163" s="930">
        <v>1.74</v>
      </c>
      <c r="N163" s="930">
        <v>1.76</v>
      </c>
      <c r="O163" s="930">
        <v>1.79</v>
      </c>
      <c r="P163" s="930">
        <v>1.86</v>
      </c>
      <c r="Q163" s="930">
        <v>1.91</v>
      </c>
      <c r="R163" s="930">
        <v>1.98</v>
      </c>
      <c r="S163" s="930">
        <v>1.99</v>
      </c>
      <c r="T163" s="930">
        <v>2.02</v>
      </c>
      <c r="U163" s="930">
        <v>2.04</v>
      </c>
      <c r="V163" s="930">
        <v>2.0699999999999998</v>
      </c>
      <c r="W163" s="930">
        <v>2.1</v>
      </c>
      <c r="X163" s="930">
        <v>2.13</v>
      </c>
      <c r="Y163" s="930">
        <v>2.1800000000000002</v>
      </c>
      <c r="Z163" s="930">
        <v>2.2200000000000002</v>
      </c>
      <c r="AA163" s="930">
        <v>2.2799999999999998</v>
      </c>
      <c r="AB163" s="930">
        <v>2.35</v>
      </c>
      <c r="AC163" s="930">
        <v>2.44</v>
      </c>
      <c r="AD163" s="930">
        <v>2.5299999999999998</v>
      </c>
      <c r="AE163" s="930" t="s">
        <v>788</v>
      </c>
      <c r="AF163" s="930"/>
      <c r="AG163" s="930"/>
      <c r="AH163" s="930"/>
      <c r="AI163" s="930"/>
      <c r="AJ163" s="930"/>
      <c r="AK163" s="930"/>
      <c r="AL163" s="930"/>
      <c r="AM163" s="930"/>
      <c r="AN163" s="930"/>
      <c r="AO163" s="930"/>
      <c r="AP163" s="930"/>
      <c r="AQ163" s="930"/>
      <c r="AR163" s="930"/>
      <c r="AS163" s="930"/>
      <c r="AT163" s="930"/>
      <c r="AU163" s="930"/>
      <c r="AV163" s="930"/>
      <c r="AW163" s="930"/>
      <c r="AX163" s="930"/>
      <c r="AY163" s="930"/>
      <c r="AZ163" s="930"/>
      <c r="BA163" s="930"/>
      <c r="BB163" s="930"/>
      <c r="BC163" s="930"/>
      <c r="BD163" s="930"/>
      <c r="BE163" s="930"/>
      <c r="BF163" s="930"/>
      <c r="BG163" s="930"/>
      <c r="BH163" s="930"/>
      <c r="BI163" s="930"/>
      <c r="BJ163" s="930"/>
      <c r="BK163" s="930"/>
      <c r="BL163" s="930"/>
      <c r="BM163" s="930"/>
      <c r="BN163" s="930"/>
      <c r="BO163" s="930"/>
      <c r="BP163" s="930"/>
      <c r="BQ163" s="930"/>
      <c r="BR163" s="930"/>
      <c r="BS163" s="930"/>
      <c r="BT163" s="930"/>
    </row>
    <row r="164" spans="1:72" x14ac:dyDescent="0.25">
      <c r="A164" s="930" t="s">
        <v>479</v>
      </c>
      <c r="B164" s="930">
        <v>18.600000000000001</v>
      </c>
      <c r="C164" s="930">
        <v>20.21</v>
      </c>
      <c r="D164" s="930">
        <v>20.350000000000001</v>
      </c>
      <c r="E164" s="930">
        <v>19.73</v>
      </c>
      <c r="F164" s="930">
        <v>17.86</v>
      </c>
      <c r="G164" s="930">
        <v>18.77</v>
      </c>
      <c r="H164" s="930">
        <v>18.98</v>
      </c>
      <c r="I164" s="930">
        <v>19.010000000000002</v>
      </c>
      <c r="J164" s="930">
        <v>19.36</v>
      </c>
      <c r="K164" s="930">
        <v>19.989999999999998</v>
      </c>
      <c r="L164" s="930">
        <v>20.51</v>
      </c>
      <c r="M164" s="930">
        <v>20.91</v>
      </c>
      <c r="N164" s="930">
        <v>21.27</v>
      </c>
      <c r="O164" s="930">
        <v>21.9</v>
      </c>
      <c r="P164" s="930">
        <v>22.56</v>
      </c>
      <c r="Q164" s="930">
        <v>23.2</v>
      </c>
      <c r="R164" s="930">
        <v>23.95</v>
      </c>
      <c r="S164" s="930">
        <v>24.64</v>
      </c>
      <c r="T164" s="930">
        <v>25.11</v>
      </c>
      <c r="U164" s="930">
        <v>25.79</v>
      </c>
      <c r="V164" s="930">
        <v>26.57</v>
      </c>
      <c r="W164" s="930">
        <v>27.41</v>
      </c>
      <c r="X164" s="930">
        <v>28.5</v>
      </c>
      <c r="Y164" s="930">
        <v>29.55</v>
      </c>
      <c r="Z164" s="930">
        <v>30.67</v>
      </c>
      <c r="AA164" s="930">
        <v>31.8</v>
      </c>
      <c r="AB164" s="930">
        <v>32.71</v>
      </c>
      <c r="AC164" s="930">
        <v>33.76</v>
      </c>
      <c r="AD164" s="930">
        <v>34.799999999999997</v>
      </c>
      <c r="AE164" s="969">
        <v>0.02</v>
      </c>
      <c r="AF164" s="930"/>
      <c r="AG164" s="930"/>
      <c r="AH164" s="930"/>
      <c r="AI164" s="930"/>
      <c r="AJ164" s="930"/>
      <c r="AK164" s="930"/>
      <c r="AL164" s="930"/>
      <c r="AM164" s="930"/>
      <c r="AN164" s="930"/>
      <c r="AO164" s="930"/>
      <c r="AP164" s="930"/>
      <c r="AQ164" s="930"/>
      <c r="AR164" s="930"/>
      <c r="AS164" s="930"/>
      <c r="AT164" s="930"/>
      <c r="AU164" s="930"/>
      <c r="AV164" s="930"/>
      <c r="AW164" s="930"/>
      <c r="AX164" s="930"/>
      <c r="AY164" s="930"/>
      <c r="AZ164" s="930"/>
      <c r="BA164" s="930"/>
      <c r="BB164" s="930"/>
      <c r="BC164" s="930"/>
      <c r="BD164" s="930"/>
      <c r="BE164" s="930"/>
      <c r="BF164" s="930"/>
      <c r="BG164" s="930"/>
      <c r="BH164" s="930"/>
      <c r="BI164" s="930"/>
      <c r="BJ164" s="930"/>
      <c r="BK164" s="930"/>
      <c r="BL164" s="930"/>
      <c r="BM164" s="930"/>
      <c r="BN164" s="930"/>
      <c r="BO164" s="930"/>
      <c r="BP164" s="930"/>
      <c r="BQ164" s="930"/>
      <c r="BR164" s="930"/>
      <c r="BS164" s="930"/>
      <c r="BT164" s="930"/>
    </row>
    <row r="165" spans="1:72" x14ac:dyDescent="0.25">
      <c r="A165" s="930"/>
      <c r="B165" s="930"/>
      <c r="C165" s="930"/>
      <c r="D165" s="930"/>
      <c r="E165" s="930"/>
      <c r="F165" s="930"/>
      <c r="G165" s="930"/>
      <c r="H165" s="930"/>
      <c r="I165" s="930"/>
      <c r="J165" s="930"/>
      <c r="K165" s="930"/>
      <c r="L165" s="930"/>
      <c r="M165" s="930"/>
      <c r="N165" s="930"/>
      <c r="O165" s="930"/>
      <c r="P165" s="930"/>
      <c r="Q165" s="930"/>
      <c r="R165" s="930"/>
      <c r="S165" s="930"/>
      <c r="T165" s="930"/>
      <c r="U165" s="930"/>
      <c r="V165" s="930"/>
      <c r="W165" s="930"/>
      <c r="X165" s="930"/>
      <c r="Y165" s="930"/>
      <c r="Z165" s="930"/>
      <c r="AA165" s="930"/>
      <c r="AB165" s="930"/>
      <c r="AC165" s="930"/>
      <c r="AD165" s="930"/>
      <c r="AE165" s="930"/>
      <c r="AF165" s="930"/>
      <c r="AG165" s="930"/>
      <c r="AH165" s="930"/>
      <c r="AI165" s="930"/>
      <c r="AJ165" s="930"/>
      <c r="AK165" s="930"/>
      <c r="AL165" s="930"/>
      <c r="AM165" s="930"/>
      <c r="AN165" s="930"/>
      <c r="AO165" s="930"/>
      <c r="AP165" s="930"/>
      <c r="AQ165" s="930"/>
      <c r="AR165" s="930"/>
      <c r="AS165" s="930"/>
      <c r="AT165" s="930"/>
      <c r="AU165" s="930"/>
      <c r="AV165" s="930"/>
      <c r="AW165" s="930"/>
      <c r="AX165" s="930"/>
      <c r="AY165" s="930"/>
      <c r="AZ165" s="930"/>
      <c r="BA165" s="930"/>
      <c r="BB165" s="930"/>
      <c r="BC165" s="930"/>
      <c r="BD165" s="930"/>
      <c r="BE165" s="930"/>
      <c r="BF165" s="930"/>
      <c r="BG165" s="930"/>
      <c r="BH165" s="930"/>
      <c r="BI165" s="930"/>
      <c r="BJ165" s="930"/>
      <c r="BK165" s="930"/>
      <c r="BL165" s="930"/>
      <c r="BM165" s="930"/>
      <c r="BN165" s="930"/>
      <c r="BO165" s="930"/>
      <c r="BP165" s="930"/>
      <c r="BQ165" s="930"/>
      <c r="BR165" s="930"/>
      <c r="BS165" s="930"/>
      <c r="BT165" s="930"/>
    </row>
    <row r="166" spans="1:72" x14ac:dyDescent="0.25">
      <c r="A166" s="930" t="s">
        <v>487</v>
      </c>
      <c r="B166" s="930"/>
      <c r="C166" s="930"/>
      <c r="D166" s="930"/>
      <c r="E166" s="930"/>
      <c r="F166" s="930"/>
      <c r="G166" s="930"/>
      <c r="H166" s="930"/>
      <c r="I166" s="930"/>
      <c r="J166" s="930"/>
      <c r="K166" s="930"/>
      <c r="L166" s="930"/>
      <c r="M166" s="930"/>
      <c r="N166" s="930"/>
      <c r="O166" s="930"/>
      <c r="P166" s="930"/>
      <c r="Q166" s="930"/>
      <c r="R166" s="930"/>
      <c r="S166" s="930"/>
      <c r="T166" s="930"/>
      <c r="U166" s="930"/>
      <c r="V166" s="930"/>
      <c r="W166" s="930"/>
      <c r="X166" s="930"/>
      <c r="Y166" s="930"/>
      <c r="Z166" s="930"/>
      <c r="AA166" s="930"/>
      <c r="AB166" s="930"/>
      <c r="AC166" s="930"/>
      <c r="AD166" s="930"/>
      <c r="AE166" s="930"/>
      <c r="AF166" s="930"/>
      <c r="AG166" s="930"/>
      <c r="AH166" s="930"/>
      <c r="AI166" s="930"/>
      <c r="AJ166" s="930"/>
      <c r="AK166" s="930"/>
      <c r="AL166" s="930"/>
      <c r="AM166" s="930"/>
      <c r="AN166" s="930"/>
      <c r="AO166" s="930"/>
      <c r="AP166" s="930"/>
      <c r="AQ166" s="930"/>
      <c r="AR166" s="930"/>
      <c r="AS166" s="930"/>
      <c r="AT166" s="930"/>
      <c r="AU166" s="930"/>
      <c r="AV166" s="930"/>
      <c r="AW166" s="930"/>
      <c r="AX166" s="930"/>
      <c r="AY166" s="930"/>
      <c r="AZ166" s="930"/>
      <c r="BA166" s="930"/>
      <c r="BB166" s="930"/>
      <c r="BC166" s="930"/>
      <c r="BD166" s="930"/>
      <c r="BE166" s="930"/>
      <c r="BF166" s="930"/>
      <c r="BG166" s="930"/>
      <c r="BH166" s="930"/>
      <c r="BI166" s="930"/>
      <c r="BJ166" s="930"/>
      <c r="BK166" s="930"/>
      <c r="BL166" s="930"/>
      <c r="BM166" s="930"/>
      <c r="BN166" s="930"/>
      <c r="BO166" s="930"/>
      <c r="BP166" s="930"/>
      <c r="BQ166" s="930"/>
      <c r="BR166" s="930"/>
      <c r="BS166" s="930"/>
      <c r="BT166" s="930"/>
    </row>
    <row r="167" spans="1:72" x14ac:dyDescent="0.25">
      <c r="A167" s="930" t="s">
        <v>617</v>
      </c>
      <c r="B167" s="930">
        <v>23.31</v>
      </c>
      <c r="C167" s="930">
        <v>29.93</v>
      </c>
      <c r="D167" s="930">
        <v>25.58</v>
      </c>
      <c r="E167" s="930">
        <v>24.61</v>
      </c>
      <c r="F167" s="930">
        <v>25.02</v>
      </c>
      <c r="G167" s="930">
        <v>26.61</v>
      </c>
      <c r="H167" s="930">
        <v>28.36</v>
      </c>
      <c r="I167" s="930">
        <v>29.9</v>
      </c>
      <c r="J167" s="930">
        <v>31.07</v>
      </c>
      <c r="K167" s="930">
        <v>32.36</v>
      </c>
      <c r="L167" s="930">
        <v>33.58</v>
      </c>
      <c r="M167" s="930">
        <v>34.89</v>
      </c>
      <c r="N167" s="930">
        <v>35.840000000000003</v>
      </c>
      <c r="O167" s="930">
        <v>36.82</v>
      </c>
      <c r="P167" s="930">
        <v>37.89</v>
      </c>
      <c r="Q167" s="930">
        <v>38.979999999999997</v>
      </c>
      <c r="R167" s="930">
        <v>40.17</v>
      </c>
      <c r="S167" s="930">
        <v>41.36</v>
      </c>
      <c r="T167" s="930">
        <v>42.56</v>
      </c>
      <c r="U167" s="930">
        <v>43.64</v>
      </c>
      <c r="V167" s="930">
        <v>44.94</v>
      </c>
      <c r="W167" s="930">
        <v>46.27</v>
      </c>
      <c r="X167" s="930">
        <v>47.79</v>
      </c>
      <c r="Y167" s="930">
        <v>49.17</v>
      </c>
      <c r="Z167" s="930">
        <v>50.81</v>
      </c>
      <c r="AA167" s="930">
        <v>52.46</v>
      </c>
      <c r="AB167" s="930">
        <v>54.21</v>
      </c>
      <c r="AC167" s="930">
        <v>55.95</v>
      </c>
      <c r="AD167" s="930">
        <v>57.77</v>
      </c>
      <c r="AE167" s="969">
        <v>2.5000000000000001E-2</v>
      </c>
      <c r="AF167" s="930"/>
      <c r="AG167" s="930"/>
      <c r="AH167" s="930"/>
      <c r="AI167" s="930"/>
      <c r="AJ167" s="930"/>
      <c r="AK167" s="930"/>
      <c r="AL167" s="930"/>
      <c r="AM167" s="930"/>
      <c r="AN167" s="930"/>
      <c r="AO167" s="930"/>
      <c r="AP167" s="930"/>
      <c r="AQ167" s="930"/>
      <c r="AR167" s="930"/>
      <c r="AS167" s="930"/>
      <c r="AT167" s="930"/>
      <c r="AU167" s="930"/>
      <c r="AV167" s="930"/>
      <c r="AW167" s="930"/>
      <c r="AX167" s="930"/>
      <c r="AY167" s="930"/>
      <c r="AZ167" s="930"/>
      <c r="BA167" s="930"/>
      <c r="BB167" s="930"/>
      <c r="BC167" s="930"/>
      <c r="BD167" s="930"/>
      <c r="BE167" s="930"/>
      <c r="BF167" s="930"/>
      <c r="BG167" s="930"/>
      <c r="BH167" s="930"/>
      <c r="BI167" s="930"/>
      <c r="BJ167" s="930"/>
      <c r="BK167" s="930"/>
      <c r="BL167" s="930"/>
      <c r="BM167" s="930"/>
      <c r="BN167" s="930"/>
      <c r="BO167" s="930"/>
      <c r="BP167" s="930"/>
      <c r="BQ167" s="930"/>
      <c r="BR167" s="930"/>
      <c r="BS167" s="930"/>
      <c r="BT167" s="930"/>
    </row>
    <row r="168" spans="1:72" x14ac:dyDescent="0.25">
      <c r="A168" s="930" t="s">
        <v>618</v>
      </c>
      <c r="B168" s="930">
        <v>26.83</v>
      </c>
      <c r="C168" s="930">
        <v>26.93</v>
      </c>
      <c r="D168" s="930">
        <v>23.64</v>
      </c>
      <c r="E168" s="930">
        <v>21.26</v>
      </c>
      <c r="F168" s="930">
        <v>21.89</v>
      </c>
      <c r="G168" s="930">
        <v>23.43</v>
      </c>
      <c r="H168" s="930">
        <v>26.07</v>
      </c>
      <c r="I168" s="930">
        <v>27.64</v>
      </c>
      <c r="J168" s="930">
        <v>28.47</v>
      </c>
      <c r="K168" s="930">
        <v>28.45</v>
      </c>
      <c r="L168" s="930">
        <v>29.92</v>
      </c>
      <c r="M168" s="930">
        <v>31.23</v>
      </c>
      <c r="N168" s="930">
        <v>31.97</v>
      </c>
      <c r="O168" s="930">
        <v>32.94</v>
      </c>
      <c r="P168" s="930">
        <v>34.090000000000003</v>
      </c>
      <c r="Q168" s="930">
        <v>35.479999999999997</v>
      </c>
      <c r="R168" s="930">
        <v>36.880000000000003</v>
      </c>
      <c r="S168" s="930">
        <v>37.979999999999997</v>
      </c>
      <c r="T168" s="930">
        <v>39.17</v>
      </c>
      <c r="U168" s="930">
        <v>40.479999999999997</v>
      </c>
      <c r="V168" s="930">
        <v>41.72</v>
      </c>
      <c r="W168" s="930">
        <v>43.4</v>
      </c>
      <c r="X168" s="930">
        <v>44.96</v>
      </c>
      <c r="Y168" s="930">
        <v>46.25</v>
      </c>
      <c r="Z168" s="930">
        <v>47.62</v>
      </c>
      <c r="AA168" s="930">
        <v>49.36</v>
      </c>
      <c r="AB168" s="930">
        <v>50.75</v>
      </c>
      <c r="AC168" s="930">
        <v>52.29</v>
      </c>
      <c r="AD168" s="930">
        <v>54.17</v>
      </c>
      <c r="AE168" s="969">
        <v>2.5999999999999999E-2</v>
      </c>
      <c r="AF168" s="930"/>
      <c r="AG168" s="930"/>
      <c r="AH168" s="930"/>
      <c r="AI168" s="930"/>
      <c r="AJ168" s="930"/>
      <c r="AK168" s="930"/>
      <c r="AL168" s="930"/>
      <c r="AM168" s="930"/>
      <c r="AN168" s="930"/>
      <c r="AO168" s="930"/>
      <c r="AP168" s="930"/>
      <c r="AQ168" s="930"/>
      <c r="AR168" s="930"/>
      <c r="AS168" s="930"/>
      <c r="AT168" s="930"/>
      <c r="AU168" s="930"/>
      <c r="AV168" s="930"/>
      <c r="AW168" s="930"/>
      <c r="AX168" s="930"/>
      <c r="AY168" s="930"/>
      <c r="AZ168" s="930"/>
      <c r="BA168" s="930"/>
      <c r="BB168" s="930"/>
      <c r="BC168" s="930"/>
      <c r="BD168" s="930"/>
      <c r="BE168" s="930"/>
      <c r="BF168" s="930"/>
      <c r="BG168" s="930"/>
      <c r="BH168" s="930"/>
      <c r="BI168" s="930"/>
      <c r="BJ168" s="930"/>
      <c r="BK168" s="930"/>
      <c r="BL168" s="930"/>
      <c r="BM168" s="930"/>
      <c r="BN168" s="930"/>
      <c r="BO168" s="930"/>
      <c r="BP168" s="930"/>
      <c r="BQ168" s="930"/>
      <c r="BR168" s="930"/>
      <c r="BS168" s="930"/>
      <c r="BT168" s="930"/>
    </row>
    <row r="169" spans="1:72" x14ac:dyDescent="0.25">
      <c r="A169" s="930" t="s">
        <v>619</v>
      </c>
      <c r="B169" s="930">
        <v>23.15</v>
      </c>
      <c r="C169" s="930">
        <v>26.76</v>
      </c>
      <c r="D169" s="930">
        <v>19.43</v>
      </c>
      <c r="E169" s="930">
        <v>21.17</v>
      </c>
      <c r="F169" s="930">
        <v>21.79</v>
      </c>
      <c r="G169" s="930">
        <v>23.32</v>
      </c>
      <c r="H169" s="930">
        <v>25.87</v>
      </c>
      <c r="I169" s="930">
        <v>27.33</v>
      </c>
      <c r="J169" s="930">
        <v>28.27</v>
      </c>
      <c r="K169" s="930">
        <v>29.42</v>
      </c>
      <c r="L169" s="930">
        <v>30.58</v>
      </c>
      <c r="M169" s="930">
        <v>31.65</v>
      </c>
      <c r="N169" s="930">
        <v>32.6</v>
      </c>
      <c r="O169" s="930">
        <v>33.72</v>
      </c>
      <c r="P169" s="930">
        <v>34.72</v>
      </c>
      <c r="Q169" s="930">
        <v>35.94</v>
      </c>
      <c r="R169" s="930">
        <v>37.020000000000003</v>
      </c>
      <c r="S169" s="930">
        <v>37.96</v>
      </c>
      <c r="T169" s="930">
        <v>39.18</v>
      </c>
      <c r="U169" s="930">
        <v>40.44</v>
      </c>
      <c r="V169" s="930">
        <v>41.69</v>
      </c>
      <c r="W169" s="930">
        <v>43.21</v>
      </c>
      <c r="X169" s="930">
        <v>44.7</v>
      </c>
      <c r="Y169" s="930">
        <v>45.91</v>
      </c>
      <c r="Z169" s="930">
        <v>47.47</v>
      </c>
      <c r="AA169" s="930">
        <v>49.16</v>
      </c>
      <c r="AB169" s="930">
        <v>50.66</v>
      </c>
      <c r="AC169" s="930">
        <v>52.36</v>
      </c>
      <c r="AD169" s="930">
        <v>54.33</v>
      </c>
      <c r="AE169" s="969">
        <v>2.7E-2</v>
      </c>
      <c r="AF169" s="930"/>
      <c r="AG169" s="930"/>
      <c r="AH169" s="930"/>
      <c r="AI169" s="930"/>
      <c r="AJ169" s="930"/>
      <c r="AK169" s="930"/>
      <c r="AL169" s="930"/>
      <c r="AM169" s="930"/>
      <c r="AN169" s="930"/>
      <c r="AO169" s="930"/>
      <c r="AP169" s="930"/>
      <c r="AQ169" s="930"/>
      <c r="AR169" s="930"/>
      <c r="AS169" s="930"/>
      <c r="AT169" s="930"/>
      <c r="AU169" s="930"/>
      <c r="AV169" s="930"/>
      <c r="AW169" s="930"/>
      <c r="AX169" s="930"/>
      <c r="AY169" s="930"/>
      <c r="AZ169" s="930"/>
      <c r="BA169" s="930"/>
      <c r="BB169" s="930"/>
      <c r="BC169" s="930"/>
      <c r="BD169" s="930"/>
      <c r="BE169" s="930"/>
      <c r="BF169" s="930"/>
      <c r="BG169" s="930"/>
      <c r="BH169" s="930"/>
      <c r="BI169" s="930"/>
      <c r="BJ169" s="930"/>
      <c r="BK169" s="930"/>
      <c r="BL169" s="930"/>
      <c r="BM169" s="930"/>
      <c r="BN169" s="930"/>
      <c r="BO169" s="930"/>
      <c r="BP169" s="930"/>
      <c r="BQ169" s="930"/>
      <c r="BR169" s="930"/>
      <c r="BS169" s="930"/>
      <c r="BT169" s="930"/>
    </row>
    <row r="170" spans="1:72" x14ac:dyDescent="0.25">
      <c r="A170" s="930" t="s">
        <v>620</v>
      </c>
      <c r="B170" s="930">
        <v>15.42</v>
      </c>
      <c r="C170" s="930">
        <v>22.71</v>
      </c>
      <c r="D170" s="930">
        <v>12.92</v>
      </c>
      <c r="E170" s="930">
        <v>15.23</v>
      </c>
      <c r="F170" s="930">
        <v>15.82</v>
      </c>
      <c r="G170" s="930">
        <v>17.510000000000002</v>
      </c>
      <c r="H170" s="930">
        <v>19.05</v>
      </c>
      <c r="I170" s="930">
        <v>20.23</v>
      </c>
      <c r="J170" s="930">
        <v>21.21</v>
      </c>
      <c r="K170" s="930">
        <v>22.42</v>
      </c>
      <c r="L170" s="930">
        <v>23.58</v>
      </c>
      <c r="M170" s="930">
        <v>24.67</v>
      </c>
      <c r="N170" s="930">
        <v>25.58</v>
      </c>
      <c r="O170" s="930">
        <v>26.51</v>
      </c>
      <c r="P170" s="930">
        <v>27.27</v>
      </c>
      <c r="Q170" s="930">
        <v>28.18</v>
      </c>
      <c r="R170" s="930">
        <v>29.2</v>
      </c>
      <c r="S170" s="930">
        <v>30.07</v>
      </c>
      <c r="T170" s="930">
        <v>31.1</v>
      </c>
      <c r="U170" s="930">
        <v>32.130000000000003</v>
      </c>
      <c r="V170" s="930">
        <v>33.21</v>
      </c>
      <c r="W170" s="930">
        <v>34.54</v>
      </c>
      <c r="X170" s="930">
        <v>35.83</v>
      </c>
      <c r="Y170" s="930">
        <v>36.99</v>
      </c>
      <c r="Z170" s="930">
        <v>38.42</v>
      </c>
      <c r="AA170" s="930">
        <v>39.92</v>
      </c>
      <c r="AB170" s="930">
        <v>41.32</v>
      </c>
      <c r="AC170" s="930">
        <v>42.87</v>
      </c>
      <c r="AD170" s="930">
        <v>44.51</v>
      </c>
      <c r="AE170" s="969">
        <v>2.5000000000000001E-2</v>
      </c>
      <c r="AF170" s="930"/>
      <c r="AG170" s="930"/>
      <c r="AH170" s="930"/>
      <c r="AI170" s="930"/>
      <c r="AJ170" s="930"/>
      <c r="AK170" s="930"/>
      <c r="AL170" s="930"/>
      <c r="AM170" s="930"/>
      <c r="AN170" s="930"/>
      <c r="AO170" s="930"/>
      <c r="AP170" s="930"/>
      <c r="AQ170" s="930"/>
      <c r="AR170" s="930"/>
      <c r="AS170" s="930"/>
      <c r="AT170" s="930"/>
      <c r="AU170" s="930"/>
      <c r="AV170" s="930"/>
      <c r="AW170" s="930"/>
      <c r="AX170" s="930"/>
      <c r="AY170" s="930"/>
      <c r="AZ170" s="930"/>
      <c r="BA170" s="930"/>
      <c r="BB170" s="930"/>
      <c r="BC170" s="930"/>
      <c r="BD170" s="930"/>
      <c r="BE170" s="930"/>
      <c r="BF170" s="930"/>
      <c r="BG170" s="930"/>
      <c r="BH170" s="930"/>
      <c r="BI170" s="930"/>
      <c r="BJ170" s="930"/>
      <c r="BK170" s="930"/>
      <c r="BL170" s="930"/>
      <c r="BM170" s="930"/>
      <c r="BN170" s="930"/>
      <c r="BO170" s="930"/>
      <c r="BP170" s="930"/>
      <c r="BQ170" s="930"/>
      <c r="BR170" s="930"/>
      <c r="BS170" s="930"/>
      <c r="BT170" s="930"/>
    </row>
    <row r="171" spans="1:72" x14ac:dyDescent="0.25">
      <c r="A171" s="930" t="s">
        <v>724</v>
      </c>
      <c r="B171" s="930">
        <v>21.08</v>
      </c>
      <c r="C171" s="930">
        <v>27.65</v>
      </c>
      <c r="D171" s="930">
        <v>18.04</v>
      </c>
      <c r="E171" s="930">
        <v>19.7</v>
      </c>
      <c r="F171" s="930">
        <v>20.149999999999999</v>
      </c>
      <c r="G171" s="930">
        <v>21.71</v>
      </c>
      <c r="H171" s="930">
        <v>23.2</v>
      </c>
      <c r="I171" s="930">
        <v>24.38</v>
      </c>
      <c r="J171" s="930">
        <v>25.56</v>
      </c>
      <c r="K171" s="930">
        <v>26.86</v>
      </c>
      <c r="L171" s="930">
        <v>28.03</v>
      </c>
      <c r="M171" s="930">
        <v>29.31</v>
      </c>
      <c r="N171" s="930">
        <v>30.31</v>
      </c>
      <c r="O171" s="930">
        <v>31.28</v>
      </c>
      <c r="P171" s="930">
        <v>32.19</v>
      </c>
      <c r="Q171" s="930">
        <v>33.32</v>
      </c>
      <c r="R171" s="930">
        <v>34.22</v>
      </c>
      <c r="S171" s="930">
        <v>35.03</v>
      </c>
      <c r="T171" s="930">
        <v>36.130000000000003</v>
      </c>
      <c r="U171" s="930">
        <v>37.17</v>
      </c>
      <c r="V171" s="930">
        <v>38.32</v>
      </c>
      <c r="W171" s="930">
        <v>39.61</v>
      </c>
      <c r="X171" s="930">
        <v>41.05</v>
      </c>
      <c r="Y171" s="930">
        <v>42.2</v>
      </c>
      <c r="Z171" s="930">
        <v>43.79</v>
      </c>
      <c r="AA171" s="930">
        <v>45.41</v>
      </c>
      <c r="AB171" s="930">
        <v>46.88</v>
      </c>
      <c r="AC171" s="930">
        <v>48.53</v>
      </c>
      <c r="AD171" s="930">
        <v>50.35</v>
      </c>
      <c r="AE171" s="969">
        <v>2.1999999999999999E-2</v>
      </c>
      <c r="AF171" s="930"/>
      <c r="AG171" s="930"/>
      <c r="AH171" s="930"/>
      <c r="AI171" s="930"/>
      <c r="AJ171" s="930"/>
      <c r="AK171" s="930"/>
      <c r="AL171" s="930"/>
      <c r="AM171" s="930"/>
      <c r="AN171" s="930"/>
      <c r="AO171" s="930"/>
      <c r="AP171" s="930"/>
      <c r="AQ171" s="930"/>
      <c r="AR171" s="930"/>
      <c r="AS171" s="930"/>
      <c r="AT171" s="930"/>
      <c r="AU171" s="930"/>
      <c r="AV171" s="930"/>
      <c r="AW171" s="930"/>
      <c r="AX171" s="930"/>
      <c r="AY171" s="930"/>
      <c r="AZ171" s="930"/>
      <c r="BA171" s="930"/>
      <c r="BB171" s="930"/>
      <c r="BC171" s="930"/>
      <c r="BD171" s="930"/>
      <c r="BE171" s="930"/>
      <c r="BF171" s="930"/>
      <c r="BG171" s="930"/>
      <c r="BH171" s="930"/>
      <c r="BI171" s="930"/>
      <c r="BJ171" s="930"/>
      <c r="BK171" s="930"/>
      <c r="BL171" s="930"/>
      <c r="BM171" s="930"/>
      <c r="BN171" s="930"/>
      <c r="BO171" s="930"/>
      <c r="BP171" s="930"/>
      <c r="BQ171" s="930"/>
      <c r="BR171" s="930"/>
      <c r="BS171" s="930"/>
      <c r="BT171" s="930"/>
    </row>
    <row r="172" spans="1:72" x14ac:dyDescent="0.25">
      <c r="A172" s="930" t="s">
        <v>611</v>
      </c>
      <c r="B172" s="930">
        <v>8.99</v>
      </c>
      <c r="C172" s="930">
        <v>14.49</v>
      </c>
      <c r="D172" s="930">
        <v>9</v>
      </c>
      <c r="E172" s="930">
        <v>10.51</v>
      </c>
      <c r="F172" s="930">
        <v>10.77</v>
      </c>
      <c r="G172" s="930">
        <v>12.17</v>
      </c>
      <c r="H172" s="930">
        <v>13.4</v>
      </c>
      <c r="I172" s="930">
        <v>14.45</v>
      </c>
      <c r="J172" s="930">
        <v>15.13</v>
      </c>
      <c r="K172" s="930">
        <v>15.77</v>
      </c>
      <c r="L172" s="930">
        <v>16.670000000000002</v>
      </c>
      <c r="M172" s="930">
        <v>17.43</v>
      </c>
      <c r="N172" s="930">
        <v>17.940000000000001</v>
      </c>
      <c r="O172" s="930">
        <v>18.32</v>
      </c>
      <c r="P172" s="930">
        <v>19</v>
      </c>
      <c r="Q172" s="930">
        <v>19.57</v>
      </c>
      <c r="R172" s="930">
        <v>20.260000000000002</v>
      </c>
      <c r="S172" s="930">
        <v>20.94</v>
      </c>
      <c r="T172" s="930">
        <v>21.63</v>
      </c>
      <c r="U172" s="930">
        <v>22.13</v>
      </c>
      <c r="V172" s="930">
        <v>23.02</v>
      </c>
      <c r="W172" s="930">
        <v>23.85</v>
      </c>
      <c r="X172" s="930">
        <v>24.8</v>
      </c>
      <c r="Y172" s="930">
        <v>25.81</v>
      </c>
      <c r="Z172" s="930">
        <v>26.88</v>
      </c>
      <c r="AA172" s="930">
        <v>27.91</v>
      </c>
      <c r="AB172" s="930">
        <v>28.9</v>
      </c>
      <c r="AC172" s="930">
        <v>30.02</v>
      </c>
      <c r="AD172" s="930">
        <v>31.26</v>
      </c>
      <c r="AE172" s="969">
        <v>2.9000000000000001E-2</v>
      </c>
      <c r="AF172" s="930"/>
      <c r="AG172" s="930"/>
      <c r="AH172" s="930"/>
      <c r="AI172" s="930"/>
      <c r="AJ172" s="930"/>
      <c r="AK172" s="930"/>
      <c r="AL172" s="930"/>
      <c r="AM172" s="930"/>
      <c r="AN172" s="930"/>
      <c r="AO172" s="930"/>
      <c r="AP172" s="930"/>
      <c r="AQ172" s="930"/>
      <c r="AR172" s="930"/>
      <c r="AS172" s="930"/>
      <c r="AT172" s="930"/>
      <c r="AU172" s="930"/>
      <c r="AV172" s="930"/>
      <c r="AW172" s="930"/>
      <c r="AX172" s="930"/>
      <c r="AY172" s="930"/>
      <c r="AZ172" s="930"/>
      <c r="BA172" s="930"/>
      <c r="BB172" s="930"/>
      <c r="BC172" s="930"/>
      <c r="BD172" s="930"/>
      <c r="BE172" s="930"/>
      <c r="BF172" s="930"/>
      <c r="BG172" s="930"/>
      <c r="BH172" s="930"/>
      <c r="BI172" s="930"/>
      <c r="BJ172" s="930"/>
      <c r="BK172" s="930"/>
      <c r="BL172" s="930"/>
      <c r="BM172" s="930"/>
      <c r="BN172" s="930"/>
      <c r="BO172" s="930"/>
      <c r="BP172" s="930"/>
      <c r="BQ172" s="930"/>
      <c r="BR172" s="930"/>
      <c r="BS172" s="930"/>
      <c r="BT172" s="930"/>
    </row>
    <row r="173" spans="1:72" x14ac:dyDescent="0.25">
      <c r="A173" s="930" t="s">
        <v>622</v>
      </c>
      <c r="B173" s="930">
        <v>13.54</v>
      </c>
      <c r="C173" s="930">
        <v>15.96</v>
      </c>
      <c r="D173" s="930">
        <v>11.54</v>
      </c>
      <c r="E173" s="930">
        <v>12.36</v>
      </c>
      <c r="F173" s="930">
        <v>13.66</v>
      </c>
      <c r="G173" s="930">
        <v>14.28</v>
      </c>
      <c r="H173" s="930">
        <v>14.39</v>
      </c>
      <c r="I173" s="930">
        <v>14.52</v>
      </c>
      <c r="J173" s="930">
        <v>14.9</v>
      </c>
      <c r="K173" s="930">
        <v>15.21</v>
      </c>
      <c r="L173" s="930">
        <v>15.46</v>
      </c>
      <c r="M173" s="930">
        <v>15.74</v>
      </c>
      <c r="N173" s="930">
        <v>16.04</v>
      </c>
      <c r="O173" s="930">
        <v>16.43</v>
      </c>
      <c r="P173" s="930">
        <v>16.8</v>
      </c>
      <c r="Q173" s="930">
        <v>17.32</v>
      </c>
      <c r="R173" s="930">
        <v>17.64</v>
      </c>
      <c r="S173" s="930">
        <v>17.829999999999998</v>
      </c>
      <c r="T173" s="930">
        <v>18.23</v>
      </c>
      <c r="U173" s="930">
        <v>18.760000000000002</v>
      </c>
      <c r="V173" s="930">
        <v>19.309999999999999</v>
      </c>
      <c r="W173" s="930">
        <v>19.98</v>
      </c>
      <c r="X173" s="930">
        <v>20.67</v>
      </c>
      <c r="Y173" s="930">
        <v>21.42</v>
      </c>
      <c r="Z173" s="930">
        <v>22.31</v>
      </c>
      <c r="AA173" s="930">
        <v>22.94</v>
      </c>
      <c r="AB173" s="930">
        <v>23.44</v>
      </c>
      <c r="AC173" s="930">
        <v>24.19</v>
      </c>
      <c r="AD173" s="930">
        <v>24.84</v>
      </c>
      <c r="AE173" s="969">
        <v>1.7000000000000001E-2</v>
      </c>
      <c r="AF173" s="930"/>
      <c r="AG173" s="930"/>
      <c r="AH173" s="930"/>
      <c r="AI173" s="930"/>
      <c r="AJ173" s="930"/>
      <c r="AK173" s="930"/>
      <c r="AL173" s="930"/>
      <c r="AM173" s="930"/>
      <c r="AN173" s="930"/>
      <c r="AO173" s="930"/>
      <c r="AP173" s="930"/>
      <c r="AQ173" s="930"/>
      <c r="AR173" s="930"/>
      <c r="AS173" s="930"/>
      <c r="AT173" s="930"/>
      <c r="AU173" s="930"/>
      <c r="AV173" s="930"/>
      <c r="AW173" s="930"/>
      <c r="AX173" s="930"/>
      <c r="AY173" s="930"/>
      <c r="AZ173" s="930"/>
      <c r="BA173" s="930"/>
      <c r="BB173" s="930"/>
      <c r="BC173" s="930"/>
      <c r="BD173" s="930"/>
      <c r="BE173" s="930"/>
      <c r="BF173" s="930"/>
      <c r="BG173" s="930"/>
      <c r="BH173" s="930"/>
      <c r="BI173" s="930"/>
      <c r="BJ173" s="930"/>
      <c r="BK173" s="930"/>
      <c r="BL173" s="930"/>
      <c r="BM173" s="930"/>
      <c r="BN173" s="930"/>
      <c r="BO173" s="930"/>
      <c r="BP173" s="930"/>
      <c r="BQ173" s="930"/>
      <c r="BR173" s="930"/>
      <c r="BS173" s="930"/>
      <c r="BT173" s="930"/>
    </row>
    <row r="174" spans="1:72" x14ac:dyDescent="0.25">
      <c r="A174" s="930" t="s">
        <v>479</v>
      </c>
      <c r="B174" s="930">
        <v>31.32</v>
      </c>
      <c r="C174" s="930">
        <v>33.729999999999997</v>
      </c>
      <c r="D174" s="930">
        <v>32.79</v>
      </c>
      <c r="E174" s="930">
        <v>31.2</v>
      </c>
      <c r="F174" s="930">
        <v>28.83</v>
      </c>
      <c r="G174" s="930">
        <v>31.39</v>
      </c>
      <c r="H174" s="930">
        <v>32.01</v>
      </c>
      <c r="I174" s="930">
        <v>31.85</v>
      </c>
      <c r="J174" s="930">
        <v>32.08</v>
      </c>
      <c r="K174" s="930">
        <v>32.909999999999997</v>
      </c>
      <c r="L174" s="930">
        <v>33.549999999999997</v>
      </c>
      <c r="M174" s="930">
        <v>33.97</v>
      </c>
      <c r="N174" s="930">
        <v>34.26</v>
      </c>
      <c r="O174" s="930">
        <v>34.89</v>
      </c>
      <c r="P174" s="930">
        <v>35.61</v>
      </c>
      <c r="Q174" s="930">
        <v>36.26</v>
      </c>
      <c r="R174" s="930">
        <v>37.11</v>
      </c>
      <c r="S174" s="930">
        <v>38.1</v>
      </c>
      <c r="T174" s="930">
        <v>38.86</v>
      </c>
      <c r="U174" s="930">
        <v>40</v>
      </c>
      <c r="V174" s="930">
        <v>41.47</v>
      </c>
      <c r="W174" s="930">
        <v>43.05</v>
      </c>
      <c r="X174" s="930">
        <v>45.05</v>
      </c>
      <c r="Y174" s="930">
        <v>46.8</v>
      </c>
      <c r="Z174" s="930">
        <v>48.78</v>
      </c>
      <c r="AA174" s="930">
        <v>50.72</v>
      </c>
      <c r="AB174" s="930">
        <v>52.33</v>
      </c>
      <c r="AC174" s="930">
        <v>54.13</v>
      </c>
      <c r="AD174" s="930">
        <v>55.89</v>
      </c>
      <c r="AE174" s="969">
        <v>1.9E-2</v>
      </c>
      <c r="AF174" s="930"/>
      <c r="AG174" s="930"/>
      <c r="AH174" s="930"/>
      <c r="AI174" s="930"/>
      <c r="AJ174" s="930"/>
      <c r="AK174" s="930"/>
      <c r="AL174" s="930"/>
      <c r="AM174" s="930"/>
      <c r="AN174" s="930"/>
      <c r="AO174" s="930"/>
      <c r="AP174" s="930"/>
      <c r="AQ174" s="930"/>
      <c r="AR174" s="930"/>
      <c r="AS174" s="930"/>
      <c r="AT174" s="930"/>
      <c r="AU174" s="930"/>
      <c r="AV174" s="930"/>
      <c r="AW174" s="930"/>
      <c r="AX174" s="930"/>
      <c r="AY174" s="930"/>
      <c r="AZ174" s="930"/>
      <c r="BA174" s="930"/>
      <c r="BB174" s="930"/>
      <c r="BC174" s="930"/>
      <c r="BD174" s="930"/>
      <c r="BE174" s="930"/>
      <c r="BF174" s="930"/>
      <c r="BG174" s="930"/>
      <c r="BH174" s="930"/>
      <c r="BI174" s="930"/>
      <c r="BJ174" s="930"/>
      <c r="BK174" s="930"/>
      <c r="BL174" s="930"/>
      <c r="BM174" s="930"/>
      <c r="BN174" s="930"/>
      <c r="BO174" s="930"/>
      <c r="BP174" s="930"/>
      <c r="BQ174" s="930"/>
      <c r="BR174" s="930"/>
      <c r="BS174" s="930"/>
      <c r="BT174" s="930"/>
    </row>
    <row r="175" spans="1:72" x14ac:dyDescent="0.25">
      <c r="A175" s="930"/>
      <c r="B175" s="930"/>
      <c r="C175" s="930"/>
      <c r="D175" s="930"/>
      <c r="E175" s="930"/>
      <c r="F175" s="930"/>
      <c r="G175" s="930"/>
      <c r="H175" s="930"/>
      <c r="I175" s="930"/>
      <c r="J175" s="930"/>
      <c r="K175" s="930"/>
      <c r="L175" s="930"/>
      <c r="M175" s="930"/>
      <c r="N175" s="930"/>
      <c r="O175" s="930"/>
      <c r="P175" s="930"/>
      <c r="Q175" s="930"/>
      <c r="R175" s="930"/>
      <c r="S175" s="930"/>
      <c r="T175" s="930"/>
      <c r="U175" s="930"/>
      <c r="V175" s="930"/>
      <c r="W175" s="930"/>
      <c r="X175" s="930"/>
      <c r="Y175" s="930"/>
      <c r="Z175" s="930"/>
      <c r="AA175" s="930"/>
      <c r="AB175" s="930"/>
      <c r="AC175" s="930"/>
      <c r="AD175" s="930"/>
      <c r="AE175" s="930"/>
      <c r="AF175" s="930"/>
      <c r="AG175" s="930"/>
      <c r="AH175" s="930"/>
      <c r="AI175" s="930"/>
      <c r="AJ175" s="930"/>
      <c r="AK175" s="930"/>
      <c r="AL175" s="930"/>
      <c r="AM175" s="930"/>
      <c r="AN175" s="930"/>
      <c r="AO175" s="930"/>
      <c r="AP175" s="930"/>
      <c r="AQ175" s="930"/>
      <c r="AR175" s="930"/>
      <c r="AS175" s="930"/>
      <c r="AT175" s="930"/>
      <c r="AU175" s="930"/>
      <c r="AV175" s="930"/>
      <c r="AW175" s="930"/>
      <c r="AX175" s="930"/>
      <c r="AY175" s="930"/>
      <c r="AZ175" s="930"/>
      <c r="BA175" s="930"/>
      <c r="BB175" s="930"/>
      <c r="BC175" s="930"/>
      <c r="BD175" s="930"/>
      <c r="BE175" s="930"/>
      <c r="BF175" s="930"/>
      <c r="BG175" s="930"/>
      <c r="BH175" s="930"/>
      <c r="BI175" s="930"/>
      <c r="BJ175" s="930"/>
      <c r="BK175" s="930"/>
      <c r="BL175" s="930"/>
      <c r="BM175" s="930"/>
      <c r="BN175" s="930"/>
      <c r="BO175" s="930"/>
      <c r="BP175" s="930"/>
      <c r="BQ175" s="930"/>
      <c r="BR175" s="930"/>
      <c r="BS175" s="930"/>
      <c r="BT175" s="930"/>
    </row>
    <row r="176" spans="1:72" x14ac:dyDescent="0.25">
      <c r="A176" s="930" t="s">
        <v>623</v>
      </c>
      <c r="B176" s="930"/>
      <c r="C176" s="930"/>
      <c r="D176" s="930"/>
      <c r="E176" s="930"/>
      <c r="F176" s="930"/>
      <c r="G176" s="930"/>
      <c r="H176" s="930"/>
      <c r="I176" s="930"/>
      <c r="J176" s="930"/>
      <c r="K176" s="930"/>
      <c r="L176" s="930"/>
      <c r="M176" s="930"/>
      <c r="N176" s="930"/>
      <c r="O176" s="930"/>
      <c r="P176" s="930"/>
      <c r="Q176" s="930"/>
      <c r="R176" s="930"/>
      <c r="S176" s="930"/>
      <c r="T176" s="930"/>
      <c r="U176" s="930"/>
      <c r="V176" s="930"/>
      <c r="W176" s="930"/>
      <c r="X176" s="930"/>
      <c r="Y176" s="930"/>
      <c r="Z176" s="930"/>
      <c r="AA176" s="930"/>
      <c r="AB176" s="930"/>
      <c r="AC176" s="930"/>
      <c r="AD176" s="930"/>
      <c r="AE176" s="930"/>
      <c r="AF176" s="930"/>
      <c r="AG176" s="930"/>
      <c r="AH176" s="930"/>
      <c r="AI176" s="930"/>
      <c r="AJ176" s="930"/>
      <c r="AK176" s="930"/>
      <c r="AL176" s="930"/>
      <c r="AM176" s="930"/>
      <c r="AN176" s="930"/>
      <c r="AO176" s="930"/>
      <c r="AP176" s="930"/>
      <c r="AQ176" s="930"/>
      <c r="AR176" s="930"/>
      <c r="AS176" s="930"/>
      <c r="AT176" s="930"/>
      <c r="AU176" s="930"/>
      <c r="AV176" s="930"/>
      <c r="AW176" s="930"/>
      <c r="AX176" s="930"/>
      <c r="AY176" s="930"/>
      <c r="AZ176" s="930"/>
      <c r="BA176" s="930"/>
      <c r="BB176" s="930"/>
      <c r="BC176" s="930"/>
      <c r="BD176" s="930"/>
      <c r="BE176" s="930"/>
      <c r="BF176" s="930"/>
      <c r="BG176" s="930"/>
      <c r="BH176" s="930"/>
      <c r="BI176" s="930"/>
      <c r="BJ176" s="930"/>
      <c r="BK176" s="930"/>
      <c r="BL176" s="930"/>
      <c r="BM176" s="930"/>
      <c r="BN176" s="930"/>
      <c r="BO176" s="930"/>
      <c r="BP176" s="930"/>
      <c r="BQ176" s="930"/>
      <c r="BR176" s="930"/>
      <c r="BS176" s="930"/>
      <c r="BT176" s="930"/>
    </row>
    <row r="177" spans="1:72" x14ac:dyDescent="0.25">
      <c r="A177" s="930" t="s">
        <v>610</v>
      </c>
      <c r="B177" s="930">
        <v>15.41</v>
      </c>
      <c r="C177" s="930">
        <v>19.37</v>
      </c>
      <c r="D177" s="930">
        <v>14.46</v>
      </c>
      <c r="E177" s="930">
        <v>14.33</v>
      </c>
      <c r="F177" s="930">
        <v>14.68</v>
      </c>
      <c r="G177" s="930">
        <v>16.09</v>
      </c>
      <c r="H177" s="930">
        <v>17.46</v>
      </c>
      <c r="I177" s="930">
        <v>18.510000000000002</v>
      </c>
      <c r="J177" s="930">
        <v>19.350000000000001</v>
      </c>
      <c r="K177" s="930">
        <v>20.67</v>
      </c>
      <c r="L177" s="930">
        <v>21.81</v>
      </c>
      <c r="M177" s="930">
        <v>22.96</v>
      </c>
      <c r="N177" s="930">
        <v>23.88</v>
      </c>
      <c r="O177" s="930">
        <v>24.75</v>
      </c>
      <c r="P177" s="930">
        <v>25.46</v>
      </c>
      <c r="Q177" s="930">
        <v>26.24</v>
      </c>
      <c r="R177" s="930">
        <v>27.22</v>
      </c>
      <c r="S177" s="930">
        <v>28.03</v>
      </c>
      <c r="T177" s="930">
        <v>28.98</v>
      </c>
      <c r="U177" s="930">
        <v>29.93</v>
      </c>
      <c r="V177" s="930">
        <v>30.88</v>
      </c>
      <c r="W177" s="930">
        <v>32</v>
      </c>
      <c r="X177" s="930">
        <v>33.28</v>
      </c>
      <c r="Y177" s="930">
        <v>34.28</v>
      </c>
      <c r="Z177" s="930">
        <v>35.71</v>
      </c>
      <c r="AA177" s="930">
        <v>37.130000000000003</v>
      </c>
      <c r="AB177" s="930">
        <v>38.46</v>
      </c>
      <c r="AC177" s="930">
        <v>39.950000000000003</v>
      </c>
      <c r="AD177" s="930">
        <v>41.52</v>
      </c>
      <c r="AE177" s="969">
        <v>2.9000000000000001E-2</v>
      </c>
      <c r="AF177" s="930"/>
      <c r="AG177" s="930"/>
      <c r="AH177" s="930"/>
      <c r="AI177" s="930"/>
      <c r="AJ177" s="930"/>
      <c r="AK177" s="930"/>
      <c r="AL177" s="930"/>
      <c r="AM177" s="930"/>
      <c r="AN177" s="930"/>
      <c r="AO177" s="930"/>
      <c r="AP177" s="930"/>
      <c r="AQ177" s="930"/>
      <c r="AR177" s="930"/>
      <c r="AS177" s="930"/>
      <c r="AT177" s="930"/>
      <c r="AU177" s="930"/>
      <c r="AV177" s="930"/>
      <c r="AW177" s="930"/>
      <c r="AX177" s="930"/>
      <c r="AY177" s="930"/>
      <c r="AZ177" s="930"/>
      <c r="BA177" s="930"/>
      <c r="BB177" s="930"/>
      <c r="BC177" s="930"/>
      <c r="BD177" s="930"/>
      <c r="BE177" s="930"/>
      <c r="BF177" s="930"/>
      <c r="BG177" s="930"/>
      <c r="BH177" s="930"/>
      <c r="BI177" s="930"/>
      <c r="BJ177" s="930"/>
      <c r="BK177" s="930"/>
      <c r="BL177" s="930"/>
      <c r="BM177" s="930"/>
      <c r="BN177" s="930"/>
      <c r="BO177" s="930"/>
      <c r="BP177" s="930"/>
      <c r="BQ177" s="930"/>
      <c r="BR177" s="930"/>
      <c r="BS177" s="930"/>
      <c r="BT177" s="930"/>
    </row>
    <row r="178" spans="1:72" x14ac:dyDescent="0.25">
      <c r="A178" s="930" t="s">
        <v>611</v>
      </c>
      <c r="B178" s="930">
        <v>8.84</v>
      </c>
      <c r="C178" s="930">
        <v>14.56</v>
      </c>
      <c r="D178" s="930">
        <v>8.92</v>
      </c>
      <c r="E178" s="930">
        <v>12.37</v>
      </c>
      <c r="F178" s="930">
        <v>12.7</v>
      </c>
      <c r="G178" s="930">
        <v>14.13</v>
      </c>
      <c r="H178" s="930">
        <v>15.48</v>
      </c>
      <c r="I178" s="930">
        <v>16.55</v>
      </c>
      <c r="J178" s="930">
        <v>17.3</v>
      </c>
      <c r="K178" s="930">
        <v>18.07</v>
      </c>
      <c r="L178" s="930">
        <v>19.010000000000002</v>
      </c>
      <c r="M178" s="930">
        <v>19.88</v>
      </c>
      <c r="N178" s="930">
        <v>20.54</v>
      </c>
      <c r="O178" s="930">
        <v>21.05</v>
      </c>
      <c r="P178" s="930">
        <v>21.8</v>
      </c>
      <c r="Q178" s="930">
        <v>22.48</v>
      </c>
      <c r="R178" s="930">
        <v>23.26</v>
      </c>
      <c r="S178" s="930">
        <v>24.05</v>
      </c>
      <c r="T178" s="930">
        <v>24.83</v>
      </c>
      <c r="U178" s="930">
        <v>25.46</v>
      </c>
      <c r="V178" s="930">
        <v>26.42</v>
      </c>
      <c r="W178" s="930">
        <v>27.37</v>
      </c>
      <c r="X178" s="930">
        <v>28.4</v>
      </c>
      <c r="Y178" s="930">
        <v>29.5</v>
      </c>
      <c r="Z178" s="930">
        <v>30.7</v>
      </c>
      <c r="AA178" s="930">
        <v>31.85</v>
      </c>
      <c r="AB178" s="930">
        <v>32.92</v>
      </c>
      <c r="AC178" s="930">
        <v>34.19</v>
      </c>
      <c r="AD178" s="930">
        <v>35.49</v>
      </c>
      <c r="AE178" s="969">
        <v>3.4000000000000002E-2</v>
      </c>
      <c r="AF178" s="930"/>
      <c r="AG178" s="930"/>
      <c r="AH178" s="930"/>
      <c r="AI178" s="930"/>
      <c r="AJ178" s="930"/>
      <c r="AK178" s="930"/>
      <c r="AL178" s="930"/>
      <c r="AM178" s="930"/>
      <c r="AN178" s="930"/>
      <c r="AO178" s="930"/>
      <c r="AP178" s="930"/>
      <c r="AQ178" s="930"/>
      <c r="AR178" s="930"/>
      <c r="AS178" s="930"/>
      <c r="AT178" s="930"/>
      <c r="AU178" s="930"/>
      <c r="AV178" s="930"/>
      <c r="AW178" s="930"/>
      <c r="AX178" s="930"/>
      <c r="AY178" s="930"/>
      <c r="AZ178" s="930"/>
      <c r="BA178" s="930"/>
      <c r="BB178" s="930"/>
      <c r="BC178" s="930"/>
      <c r="BD178" s="930"/>
      <c r="BE178" s="930"/>
      <c r="BF178" s="930"/>
      <c r="BG178" s="930"/>
      <c r="BH178" s="930"/>
      <c r="BI178" s="930"/>
      <c r="BJ178" s="930"/>
      <c r="BK178" s="930"/>
      <c r="BL178" s="930"/>
      <c r="BM178" s="930"/>
      <c r="BN178" s="930"/>
      <c r="BO178" s="930"/>
      <c r="BP178" s="930"/>
      <c r="BQ178" s="930"/>
      <c r="BR178" s="930"/>
      <c r="BS178" s="930"/>
      <c r="BT178" s="930"/>
    </row>
    <row r="179" spans="1:72" x14ac:dyDescent="0.25">
      <c r="A179" s="930" t="s">
        <v>510</v>
      </c>
      <c r="B179" s="930">
        <v>7.1</v>
      </c>
      <c r="C179" s="930">
        <v>9.09</v>
      </c>
      <c r="D179" s="930">
        <v>4.2</v>
      </c>
      <c r="E179" s="930">
        <v>4.99</v>
      </c>
      <c r="F179" s="930">
        <v>6.07</v>
      </c>
      <c r="G179" s="930">
        <v>6.53</v>
      </c>
      <c r="H179" s="930">
        <v>6.4</v>
      </c>
      <c r="I179" s="930">
        <v>6.47</v>
      </c>
      <c r="J179" s="930">
        <v>6.77</v>
      </c>
      <c r="K179" s="930">
        <v>6.99</v>
      </c>
      <c r="L179" s="930">
        <v>7.13</v>
      </c>
      <c r="M179" s="930">
        <v>7.32</v>
      </c>
      <c r="N179" s="930">
        <v>7.53</v>
      </c>
      <c r="O179" s="930">
        <v>7.85</v>
      </c>
      <c r="P179" s="930">
        <v>8.1300000000000008</v>
      </c>
      <c r="Q179" s="930">
        <v>8.5399999999999991</v>
      </c>
      <c r="R179" s="930">
        <v>8.7799999999999994</v>
      </c>
      <c r="S179" s="930">
        <v>8.91</v>
      </c>
      <c r="T179" s="930">
        <v>9.17</v>
      </c>
      <c r="U179" s="930">
        <v>9.57</v>
      </c>
      <c r="V179" s="930">
        <v>9.9700000000000006</v>
      </c>
      <c r="W179" s="930">
        <v>10.51</v>
      </c>
      <c r="X179" s="930">
        <v>11.09</v>
      </c>
      <c r="Y179" s="930">
        <v>11.66</v>
      </c>
      <c r="Z179" s="930">
        <v>12.38</v>
      </c>
      <c r="AA179" s="930">
        <v>12.84</v>
      </c>
      <c r="AB179" s="930">
        <v>13.16</v>
      </c>
      <c r="AC179" s="930">
        <v>13.75</v>
      </c>
      <c r="AD179" s="930">
        <v>14.22</v>
      </c>
      <c r="AE179" s="969">
        <v>1.7000000000000001E-2</v>
      </c>
      <c r="AF179" s="930"/>
      <c r="AG179" s="930"/>
      <c r="AH179" s="930"/>
      <c r="AI179" s="930"/>
      <c r="AJ179" s="930"/>
      <c r="AK179" s="930"/>
      <c r="AL179" s="930"/>
      <c r="AM179" s="930"/>
      <c r="AN179" s="930"/>
      <c r="AO179" s="930"/>
      <c r="AP179" s="930"/>
      <c r="AQ179" s="930"/>
      <c r="AR179" s="930"/>
      <c r="AS179" s="930"/>
      <c r="AT179" s="930"/>
      <c r="AU179" s="930"/>
      <c r="AV179" s="930"/>
      <c r="AW179" s="930"/>
      <c r="AX179" s="930"/>
      <c r="AY179" s="930"/>
      <c r="AZ179" s="930"/>
      <c r="BA179" s="930"/>
      <c r="BB179" s="930"/>
      <c r="BC179" s="930"/>
      <c r="BD179" s="930"/>
      <c r="BE179" s="930"/>
      <c r="BF179" s="930"/>
      <c r="BG179" s="930"/>
      <c r="BH179" s="930"/>
      <c r="BI179" s="930"/>
      <c r="BJ179" s="930"/>
      <c r="BK179" s="930"/>
      <c r="BL179" s="930"/>
      <c r="BM179" s="930"/>
      <c r="BN179" s="930"/>
      <c r="BO179" s="930"/>
      <c r="BP179" s="930"/>
      <c r="BQ179" s="930"/>
      <c r="BR179" s="930"/>
      <c r="BS179" s="930"/>
      <c r="BT179" s="930"/>
    </row>
    <row r="180" spans="1:72" x14ac:dyDescent="0.25">
      <c r="A180" s="930" t="s">
        <v>624</v>
      </c>
      <c r="B180" s="930">
        <v>1.76</v>
      </c>
      <c r="C180" s="930">
        <v>2.0499999999999998</v>
      </c>
      <c r="D180" s="930">
        <v>2.1800000000000002</v>
      </c>
      <c r="E180" s="930">
        <v>2.0499999999999998</v>
      </c>
      <c r="F180" s="930">
        <v>2.0699999999999998</v>
      </c>
      <c r="G180" s="930">
        <v>2.1</v>
      </c>
      <c r="H180" s="930">
        <v>2.15</v>
      </c>
      <c r="I180" s="930">
        <v>2.19</v>
      </c>
      <c r="J180" s="930">
        <v>2.2400000000000002</v>
      </c>
      <c r="K180" s="930">
        <v>2.2599999999999998</v>
      </c>
      <c r="L180" s="930">
        <v>2.31</v>
      </c>
      <c r="M180" s="930">
        <v>2.34</v>
      </c>
      <c r="N180" s="930">
        <v>2.38</v>
      </c>
      <c r="O180" s="930">
        <v>2.42</v>
      </c>
      <c r="P180" s="930">
        <v>2.4700000000000002</v>
      </c>
      <c r="Q180" s="930">
        <v>2.54</v>
      </c>
      <c r="R180" s="930">
        <v>2.59</v>
      </c>
      <c r="S180" s="930">
        <v>2.65</v>
      </c>
      <c r="T180" s="930">
        <v>2.69</v>
      </c>
      <c r="U180" s="930">
        <v>2.77</v>
      </c>
      <c r="V180" s="930">
        <v>2.82</v>
      </c>
      <c r="W180" s="930">
        <v>2.9</v>
      </c>
      <c r="X180" s="930">
        <v>2.98</v>
      </c>
      <c r="Y180" s="930">
        <v>3.06</v>
      </c>
      <c r="Z180" s="930">
        <v>3.15</v>
      </c>
      <c r="AA180" s="930">
        <v>3.23</v>
      </c>
      <c r="AB180" s="930">
        <v>3.32</v>
      </c>
      <c r="AC180" s="930">
        <v>3.41</v>
      </c>
      <c r="AD180" s="930">
        <v>3.51</v>
      </c>
      <c r="AE180" s="969">
        <v>0.02</v>
      </c>
      <c r="AF180" s="930"/>
      <c r="AG180" s="930"/>
      <c r="AH180" s="930"/>
      <c r="AI180" s="930"/>
      <c r="AJ180" s="930"/>
      <c r="AK180" s="930"/>
      <c r="AL180" s="930"/>
      <c r="AM180" s="930"/>
      <c r="AN180" s="930"/>
      <c r="AO180" s="930"/>
      <c r="AP180" s="930"/>
      <c r="AQ180" s="930"/>
      <c r="AR180" s="930"/>
      <c r="AS180" s="930"/>
      <c r="AT180" s="930"/>
      <c r="AU180" s="930"/>
      <c r="AV180" s="930"/>
      <c r="AW180" s="930"/>
      <c r="AX180" s="930"/>
      <c r="AY180" s="930"/>
      <c r="AZ180" s="930"/>
      <c r="BA180" s="930"/>
      <c r="BB180" s="930"/>
      <c r="BC180" s="930"/>
      <c r="BD180" s="930"/>
      <c r="BE180" s="930"/>
      <c r="BF180" s="930"/>
      <c r="BG180" s="930"/>
      <c r="BH180" s="930"/>
      <c r="BI180" s="930"/>
      <c r="BJ180" s="930"/>
      <c r="BK180" s="930"/>
      <c r="BL180" s="930"/>
      <c r="BM180" s="930"/>
      <c r="BN180" s="930"/>
      <c r="BO180" s="930"/>
      <c r="BP180" s="930"/>
      <c r="BQ180" s="930"/>
      <c r="BR180" s="930"/>
      <c r="BS180" s="930"/>
      <c r="BT180" s="930"/>
    </row>
    <row r="181" spans="1:72" x14ac:dyDescent="0.25">
      <c r="A181" s="930"/>
      <c r="B181" s="930"/>
      <c r="C181" s="930"/>
      <c r="D181" s="930"/>
      <c r="E181" s="930"/>
      <c r="F181" s="930"/>
      <c r="G181" s="930"/>
      <c r="H181" s="930"/>
      <c r="I181" s="930"/>
      <c r="J181" s="930"/>
      <c r="K181" s="930"/>
      <c r="L181" s="930"/>
      <c r="M181" s="930"/>
      <c r="N181" s="930"/>
      <c r="O181" s="930"/>
      <c r="P181" s="930"/>
      <c r="Q181" s="930"/>
      <c r="R181" s="930"/>
      <c r="S181" s="930"/>
      <c r="T181" s="930"/>
      <c r="U181" s="930"/>
      <c r="V181" s="930"/>
      <c r="W181" s="930"/>
      <c r="X181" s="930"/>
      <c r="Y181" s="930"/>
      <c r="Z181" s="930"/>
      <c r="AA181" s="930"/>
      <c r="AB181" s="930"/>
      <c r="AC181" s="930"/>
      <c r="AD181" s="930"/>
      <c r="AE181" s="930"/>
      <c r="AF181" s="930"/>
      <c r="AG181" s="930"/>
      <c r="AH181" s="930"/>
      <c r="AI181" s="930"/>
      <c r="AJ181" s="930"/>
      <c r="AK181" s="930"/>
      <c r="AL181" s="930"/>
      <c r="AM181" s="930"/>
      <c r="AN181" s="930"/>
      <c r="AO181" s="930"/>
      <c r="AP181" s="930"/>
      <c r="AQ181" s="930"/>
      <c r="AR181" s="930"/>
      <c r="AS181" s="930"/>
      <c r="AT181" s="930"/>
      <c r="AU181" s="930"/>
      <c r="AV181" s="930"/>
      <c r="AW181" s="930"/>
      <c r="AX181" s="930"/>
      <c r="AY181" s="930"/>
      <c r="AZ181" s="930"/>
      <c r="BA181" s="930"/>
      <c r="BB181" s="930"/>
      <c r="BC181" s="930"/>
      <c r="BD181" s="930"/>
      <c r="BE181" s="930"/>
      <c r="BF181" s="930"/>
      <c r="BG181" s="930"/>
      <c r="BH181" s="930"/>
      <c r="BI181" s="930"/>
      <c r="BJ181" s="930"/>
      <c r="BK181" s="930"/>
      <c r="BL181" s="930"/>
      <c r="BM181" s="930"/>
      <c r="BN181" s="930"/>
      <c r="BO181" s="930"/>
      <c r="BP181" s="930"/>
      <c r="BQ181" s="930"/>
      <c r="BR181" s="930"/>
      <c r="BS181" s="930"/>
      <c r="BT181" s="930"/>
    </row>
    <row r="182" spans="1:72" x14ac:dyDescent="0.25">
      <c r="A182" s="930" t="s">
        <v>625</v>
      </c>
      <c r="B182" s="930"/>
      <c r="C182" s="930"/>
      <c r="D182" s="930"/>
      <c r="E182" s="930"/>
      <c r="F182" s="930"/>
      <c r="G182" s="930"/>
      <c r="H182" s="930"/>
      <c r="I182" s="930"/>
      <c r="J182" s="930"/>
      <c r="K182" s="930"/>
      <c r="L182" s="930"/>
      <c r="M182" s="930"/>
      <c r="N182" s="930"/>
      <c r="O182" s="930"/>
      <c r="P182" s="930"/>
      <c r="Q182" s="930"/>
      <c r="R182" s="930"/>
      <c r="S182" s="930"/>
      <c r="T182" s="930"/>
      <c r="U182" s="930"/>
      <c r="V182" s="930"/>
      <c r="W182" s="930"/>
      <c r="X182" s="930"/>
      <c r="Y182" s="930"/>
      <c r="Z182" s="930"/>
      <c r="AA182" s="930"/>
      <c r="AB182" s="930"/>
      <c r="AC182" s="930"/>
      <c r="AD182" s="930"/>
      <c r="AE182" s="930"/>
      <c r="AF182" s="930"/>
      <c r="AG182" s="930"/>
      <c r="AH182" s="930"/>
      <c r="AI182" s="930"/>
      <c r="AJ182" s="930"/>
      <c r="AK182" s="930"/>
      <c r="AL182" s="930"/>
      <c r="AM182" s="930"/>
      <c r="AN182" s="930"/>
      <c r="AO182" s="930"/>
      <c r="AP182" s="930"/>
      <c r="AQ182" s="930"/>
      <c r="AR182" s="930"/>
      <c r="AS182" s="930"/>
      <c r="AT182" s="930"/>
      <c r="AU182" s="930"/>
      <c r="AV182" s="930"/>
      <c r="AW182" s="930"/>
      <c r="AX182" s="930"/>
      <c r="AY182" s="930"/>
      <c r="AZ182" s="930"/>
      <c r="BA182" s="930"/>
      <c r="BB182" s="930"/>
      <c r="BC182" s="930"/>
      <c r="BD182" s="930"/>
      <c r="BE182" s="930"/>
      <c r="BF182" s="930"/>
      <c r="BG182" s="930"/>
      <c r="BH182" s="930"/>
      <c r="BI182" s="930"/>
      <c r="BJ182" s="930"/>
      <c r="BK182" s="930"/>
      <c r="BL182" s="930"/>
      <c r="BM182" s="930"/>
      <c r="BN182" s="930"/>
      <c r="BO182" s="930"/>
      <c r="BP182" s="930"/>
      <c r="BQ182" s="930"/>
      <c r="BR182" s="930"/>
      <c r="BS182" s="930"/>
      <c r="BT182" s="930"/>
    </row>
    <row r="183" spans="1:72" x14ac:dyDescent="0.25">
      <c r="A183" s="930" t="s">
        <v>609</v>
      </c>
      <c r="B183" s="930">
        <v>18.53</v>
      </c>
      <c r="C183" s="930">
        <v>20.190000000000001</v>
      </c>
      <c r="D183" s="930">
        <v>18.64</v>
      </c>
      <c r="E183" s="930">
        <v>17.36</v>
      </c>
      <c r="F183" s="930">
        <v>17.61</v>
      </c>
      <c r="G183" s="930">
        <v>18.920000000000002</v>
      </c>
      <c r="H183" s="930">
        <v>20.43</v>
      </c>
      <c r="I183" s="930">
        <v>21.72</v>
      </c>
      <c r="J183" s="930">
        <v>22.62</v>
      </c>
      <c r="K183" s="930">
        <v>23.64</v>
      </c>
      <c r="L183" s="930">
        <v>24.56</v>
      </c>
      <c r="M183" s="930">
        <v>25.55</v>
      </c>
      <c r="N183" s="930">
        <v>26.28</v>
      </c>
      <c r="O183" s="930">
        <v>27.06</v>
      </c>
      <c r="P183" s="930">
        <v>27.91</v>
      </c>
      <c r="Q183" s="930">
        <v>28.78</v>
      </c>
      <c r="R183" s="930">
        <v>29.75</v>
      </c>
      <c r="S183" s="930">
        <v>30.7</v>
      </c>
      <c r="T183" s="930">
        <v>31.68</v>
      </c>
      <c r="U183" s="930">
        <v>32.54</v>
      </c>
      <c r="V183" s="930">
        <v>33.6</v>
      </c>
      <c r="W183" s="930">
        <v>34.69</v>
      </c>
      <c r="X183" s="930">
        <v>35.950000000000003</v>
      </c>
      <c r="Y183" s="930">
        <v>37.049999999999997</v>
      </c>
      <c r="Z183" s="930">
        <v>38.44</v>
      </c>
      <c r="AA183" s="930">
        <v>39.83</v>
      </c>
      <c r="AB183" s="930">
        <v>41.29</v>
      </c>
      <c r="AC183" s="930">
        <v>42.77</v>
      </c>
      <c r="AD183" s="930">
        <v>44.32</v>
      </c>
      <c r="AE183" s="969">
        <v>0.03</v>
      </c>
      <c r="AF183" s="930"/>
      <c r="AG183" s="930"/>
      <c r="AH183" s="930"/>
      <c r="AI183" s="930"/>
      <c r="AJ183" s="930"/>
      <c r="AK183" s="930"/>
      <c r="AL183" s="930"/>
      <c r="AM183" s="930"/>
      <c r="AN183" s="930"/>
      <c r="AO183" s="930"/>
      <c r="AP183" s="930"/>
      <c r="AQ183" s="930"/>
      <c r="AR183" s="930"/>
      <c r="AS183" s="930"/>
      <c r="AT183" s="930"/>
      <c r="AU183" s="930"/>
      <c r="AV183" s="930"/>
      <c r="AW183" s="930"/>
      <c r="AX183" s="930"/>
      <c r="AY183" s="930"/>
      <c r="AZ183" s="930"/>
      <c r="BA183" s="930"/>
      <c r="BB183" s="930"/>
      <c r="BC183" s="930"/>
      <c r="BD183" s="930"/>
      <c r="BE183" s="930"/>
      <c r="BF183" s="930"/>
      <c r="BG183" s="930"/>
      <c r="BH183" s="930"/>
      <c r="BI183" s="930"/>
      <c r="BJ183" s="930"/>
      <c r="BK183" s="930"/>
      <c r="BL183" s="930"/>
      <c r="BM183" s="930"/>
      <c r="BN183" s="930"/>
      <c r="BO183" s="930"/>
      <c r="BP183" s="930"/>
      <c r="BQ183" s="930"/>
      <c r="BR183" s="930"/>
      <c r="BS183" s="930"/>
      <c r="BT183" s="930"/>
    </row>
    <row r="184" spans="1:72" x14ac:dyDescent="0.25">
      <c r="A184" s="930" t="s">
        <v>618</v>
      </c>
      <c r="B184" s="930">
        <v>26.83</v>
      </c>
      <c r="C184" s="930">
        <v>26.93</v>
      </c>
      <c r="D184" s="930">
        <v>23.64</v>
      </c>
      <c r="E184" s="930">
        <v>21.26</v>
      </c>
      <c r="F184" s="930">
        <v>21.89</v>
      </c>
      <c r="G184" s="930">
        <v>23.43</v>
      </c>
      <c r="H184" s="930">
        <v>26.07</v>
      </c>
      <c r="I184" s="930">
        <v>27.64</v>
      </c>
      <c r="J184" s="930">
        <v>28.47</v>
      </c>
      <c r="K184" s="930">
        <v>28.45</v>
      </c>
      <c r="L184" s="930">
        <v>29.92</v>
      </c>
      <c r="M184" s="930">
        <v>31.23</v>
      </c>
      <c r="N184" s="930">
        <v>31.97</v>
      </c>
      <c r="O184" s="930">
        <v>32.94</v>
      </c>
      <c r="P184" s="930">
        <v>34.090000000000003</v>
      </c>
      <c r="Q184" s="930">
        <v>35.479999999999997</v>
      </c>
      <c r="R184" s="930">
        <v>36.880000000000003</v>
      </c>
      <c r="S184" s="930">
        <v>37.979999999999997</v>
      </c>
      <c r="T184" s="930">
        <v>39.17</v>
      </c>
      <c r="U184" s="930">
        <v>40.479999999999997</v>
      </c>
      <c r="V184" s="930">
        <v>41.72</v>
      </c>
      <c r="W184" s="930">
        <v>43.4</v>
      </c>
      <c r="X184" s="930">
        <v>44.96</v>
      </c>
      <c r="Y184" s="930">
        <v>46.25</v>
      </c>
      <c r="Z184" s="930">
        <v>47.62</v>
      </c>
      <c r="AA184" s="930">
        <v>49.36</v>
      </c>
      <c r="AB184" s="930">
        <v>50.75</v>
      </c>
      <c r="AC184" s="930">
        <v>52.29</v>
      </c>
      <c r="AD184" s="930">
        <v>54.17</v>
      </c>
      <c r="AE184" s="969">
        <v>2.5999999999999999E-2</v>
      </c>
      <c r="AF184" s="930"/>
      <c r="AG184" s="930"/>
      <c r="AH184" s="930"/>
      <c r="AI184" s="930"/>
      <c r="AJ184" s="930"/>
      <c r="AK184" s="930"/>
      <c r="AL184" s="930"/>
      <c r="AM184" s="930"/>
      <c r="AN184" s="930"/>
      <c r="AO184" s="930"/>
      <c r="AP184" s="930"/>
      <c r="AQ184" s="930"/>
      <c r="AR184" s="930"/>
      <c r="AS184" s="930"/>
      <c r="AT184" s="930"/>
      <c r="AU184" s="930"/>
      <c r="AV184" s="930"/>
      <c r="AW184" s="930"/>
      <c r="AX184" s="930"/>
      <c r="AY184" s="930"/>
      <c r="AZ184" s="930"/>
      <c r="BA184" s="930"/>
      <c r="BB184" s="930"/>
      <c r="BC184" s="930"/>
      <c r="BD184" s="930"/>
      <c r="BE184" s="930"/>
      <c r="BF184" s="930"/>
      <c r="BG184" s="930"/>
      <c r="BH184" s="930"/>
      <c r="BI184" s="930"/>
      <c r="BJ184" s="930"/>
      <c r="BK184" s="930"/>
      <c r="BL184" s="930"/>
      <c r="BM184" s="930"/>
      <c r="BN184" s="930"/>
      <c r="BO184" s="930"/>
      <c r="BP184" s="930"/>
      <c r="BQ184" s="930"/>
      <c r="BR184" s="930"/>
      <c r="BS184" s="930"/>
      <c r="BT184" s="930"/>
    </row>
    <row r="185" spans="1:72" x14ac:dyDescent="0.25">
      <c r="A185" s="930" t="s">
        <v>619</v>
      </c>
      <c r="B185" s="930">
        <v>23.03</v>
      </c>
      <c r="C185" s="930">
        <v>26.54</v>
      </c>
      <c r="D185" s="930">
        <v>19.440000000000001</v>
      </c>
      <c r="E185" s="930">
        <v>21.17</v>
      </c>
      <c r="F185" s="930">
        <v>21.79</v>
      </c>
      <c r="G185" s="930">
        <v>23.32</v>
      </c>
      <c r="H185" s="930">
        <v>25.87</v>
      </c>
      <c r="I185" s="930">
        <v>27.33</v>
      </c>
      <c r="J185" s="930">
        <v>28.27</v>
      </c>
      <c r="K185" s="930">
        <v>29.42</v>
      </c>
      <c r="L185" s="930">
        <v>30.58</v>
      </c>
      <c r="M185" s="930">
        <v>31.64</v>
      </c>
      <c r="N185" s="930">
        <v>32.6</v>
      </c>
      <c r="O185" s="930">
        <v>33.71</v>
      </c>
      <c r="P185" s="930">
        <v>34.71</v>
      </c>
      <c r="Q185" s="930">
        <v>35.93</v>
      </c>
      <c r="R185" s="930">
        <v>37.020000000000003</v>
      </c>
      <c r="S185" s="930">
        <v>37.950000000000003</v>
      </c>
      <c r="T185" s="930">
        <v>39.17</v>
      </c>
      <c r="U185" s="930">
        <v>40.43</v>
      </c>
      <c r="V185" s="930">
        <v>41.68</v>
      </c>
      <c r="W185" s="930">
        <v>43.21</v>
      </c>
      <c r="X185" s="930">
        <v>44.69</v>
      </c>
      <c r="Y185" s="930">
        <v>45.9</v>
      </c>
      <c r="Z185" s="930">
        <v>47.46</v>
      </c>
      <c r="AA185" s="930">
        <v>49.15</v>
      </c>
      <c r="AB185" s="930">
        <v>50.65</v>
      </c>
      <c r="AC185" s="930">
        <v>52.35</v>
      </c>
      <c r="AD185" s="930">
        <v>54.32</v>
      </c>
      <c r="AE185" s="969">
        <v>2.7E-2</v>
      </c>
      <c r="AF185" s="930"/>
      <c r="AG185" s="930"/>
      <c r="AH185" s="930"/>
      <c r="AI185" s="930"/>
      <c r="AJ185" s="930"/>
      <c r="AK185" s="930"/>
      <c r="AL185" s="930"/>
      <c r="AM185" s="930"/>
      <c r="AN185" s="930"/>
      <c r="AO185" s="930"/>
      <c r="AP185" s="930"/>
      <c r="AQ185" s="930"/>
      <c r="AR185" s="930"/>
      <c r="AS185" s="930"/>
      <c r="AT185" s="930"/>
      <c r="AU185" s="930"/>
      <c r="AV185" s="930"/>
      <c r="AW185" s="930"/>
      <c r="AX185" s="930"/>
      <c r="AY185" s="930"/>
      <c r="AZ185" s="930"/>
      <c r="BA185" s="930"/>
      <c r="BB185" s="930"/>
      <c r="BC185" s="930"/>
      <c r="BD185" s="930"/>
      <c r="BE185" s="930"/>
      <c r="BF185" s="930"/>
      <c r="BG185" s="930"/>
      <c r="BH185" s="930"/>
      <c r="BI185" s="930"/>
      <c r="BJ185" s="930"/>
      <c r="BK185" s="930"/>
      <c r="BL185" s="930"/>
      <c r="BM185" s="930"/>
      <c r="BN185" s="930"/>
      <c r="BO185" s="930"/>
      <c r="BP185" s="930"/>
      <c r="BQ185" s="930"/>
      <c r="BR185" s="930"/>
      <c r="BS185" s="930"/>
      <c r="BT185" s="930"/>
    </row>
    <row r="186" spans="1:72" x14ac:dyDescent="0.25">
      <c r="A186" s="930" t="s">
        <v>626</v>
      </c>
      <c r="B186" s="930">
        <v>15.42</v>
      </c>
      <c r="C186" s="930">
        <v>22.71</v>
      </c>
      <c r="D186" s="930">
        <v>12.92</v>
      </c>
      <c r="E186" s="930">
        <v>15.23</v>
      </c>
      <c r="F186" s="930">
        <v>15.82</v>
      </c>
      <c r="G186" s="930">
        <v>17.510000000000002</v>
      </c>
      <c r="H186" s="930">
        <v>19.05</v>
      </c>
      <c r="I186" s="930">
        <v>20.23</v>
      </c>
      <c r="J186" s="930">
        <v>21.21</v>
      </c>
      <c r="K186" s="930">
        <v>22.42</v>
      </c>
      <c r="L186" s="930">
        <v>23.58</v>
      </c>
      <c r="M186" s="930">
        <v>24.67</v>
      </c>
      <c r="N186" s="930">
        <v>25.58</v>
      </c>
      <c r="O186" s="930">
        <v>26.51</v>
      </c>
      <c r="P186" s="930">
        <v>27.27</v>
      </c>
      <c r="Q186" s="930">
        <v>28.18</v>
      </c>
      <c r="R186" s="930">
        <v>29.2</v>
      </c>
      <c r="S186" s="930">
        <v>30.07</v>
      </c>
      <c r="T186" s="930">
        <v>31.1</v>
      </c>
      <c r="U186" s="930">
        <v>32.130000000000003</v>
      </c>
      <c r="V186" s="930">
        <v>33.21</v>
      </c>
      <c r="W186" s="930">
        <v>34.54</v>
      </c>
      <c r="X186" s="930">
        <v>35.83</v>
      </c>
      <c r="Y186" s="930">
        <v>36.99</v>
      </c>
      <c r="Z186" s="930">
        <v>38.42</v>
      </c>
      <c r="AA186" s="930">
        <v>39.92</v>
      </c>
      <c r="AB186" s="930">
        <v>41.32</v>
      </c>
      <c r="AC186" s="930">
        <v>42.87</v>
      </c>
      <c r="AD186" s="930">
        <v>44.51</v>
      </c>
      <c r="AE186" s="969">
        <v>2.5000000000000001E-2</v>
      </c>
      <c r="AF186" s="930"/>
      <c r="AG186" s="930"/>
      <c r="AH186" s="930"/>
      <c r="AI186" s="930"/>
      <c r="AJ186" s="930"/>
      <c r="AK186" s="930"/>
      <c r="AL186" s="930"/>
      <c r="AM186" s="930"/>
      <c r="AN186" s="930"/>
      <c r="AO186" s="930"/>
      <c r="AP186" s="930"/>
      <c r="AQ186" s="930"/>
      <c r="AR186" s="930"/>
      <c r="AS186" s="930"/>
      <c r="AT186" s="930"/>
      <c r="AU186" s="930"/>
      <c r="AV186" s="930"/>
      <c r="AW186" s="930"/>
      <c r="AX186" s="930"/>
      <c r="AY186" s="930"/>
      <c r="AZ186" s="930"/>
      <c r="BA186" s="930"/>
      <c r="BB186" s="930"/>
      <c r="BC186" s="930"/>
      <c r="BD186" s="930"/>
      <c r="BE186" s="930"/>
      <c r="BF186" s="930"/>
      <c r="BG186" s="930"/>
      <c r="BH186" s="930"/>
      <c r="BI186" s="930"/>
      <c r="BJ186" s="930"/>
      <c r="BK186" s="930"/>
      <c r="BL186" s="930"/>
      <c r="BM186" s="930"/>
      <c r="BN186" s="930"/>
      <c r="BO186" s="930"/>
      <c r="BP186" s="930"/>
      <c r="BQ186" s="930"/>
      <c r="BR186" s="930"/>
      <c r="BS186" s="930"/>
      <c r="BT186" s="930"/>
    </row>
    <row r="187" spans="1:72" x14ac:dyDescent="0.25">
      <c r="A187" s="930" t="s">
        <v>610</v>
      </c>
      <c r="B187" s="930">
        <v>20.260000000000002</v>
      </c>
      <c r="C187" s="930">
        <v>26.27</v>
      </c>
      <c r="D187" s="930">
        <v>17.73</v>
      </c>
      <c r="E187" s="930">
        <v>18.260000000000002</v>
      </c>
      <c r="F187" s="930">
        <v>18.940000000000001</v>
      </c>
      <c r="G187" s="930">
        <v>20.58</v>
      </c>
      <c r="H187" s="930">
        <v>22.21</v>
      </c>
      <c r="I187" s="930">
        <v>23.39</v>
      </c>
      <c r="J187" s="930">
        <v>24.55</v>
      </c>
      <c r="K187" s="930">
        <v>25.86</v>
      </c>
      <c r="L187" s="930">
        <v>27.09</v>
      </c>
      <c r="M187" s="930">
        <v>28.33</v>
      </c>
      <c r="N187" s="930">
        <v>29.33</v>
      </c>
      <c r="O187" s="930">
        <v>30.3</v>
      </c>
      <c r="P187" s="930">
        <v>31.19</v>
      </c>
      <c r="Q187" s="930">
        <v>32.29</v>
      </c>
      <c r="R187" s="930">
        <v>33.22</v>
      </c>
      <c r="S187" s="930">
        <v>34.04</v>
      </c>
      <c r="T187" s="930">
        <v>35.14</v>
      </c>
      <c r="U187" s="930">
        <v>36.19</v>
      </c>
      <c r="V187" s="930">
        <v>37.31</v>
      </c>
      <c r="W187" s="930">
        <v>38.6</v>
      </c>
      <c r="X187" s="930">
        <v>40.04</v>
      </c>
      <c r="Y187" s="930">
        <v>41.2</v>
      </c>
      <c r="Z187" s="930">
        <v>42.78</v>
      </c>
      <c r="AA187" s="930">
        <v>44.38</v>
      </c>
      <c r="AB187" s="930">
        <v>45.87</v>
      </c>
      <c r="AC187" s="930">
        <v>47.52</v>
      </c>
      <c r="AD187" s="930">
        <v>49.31</v>
      </c>
      <c r="AE187" s="969">
        <v>2.4E-2</v>
      </c>
      <c r="AF187" s="930"/>
      <c r="AG187" s="930"/>
      <c r="AH187" s="930"/>
      <c r="AI187" s="930"/>
      <c r="AJ187" s="930"/>
      <c r="AK187" s="930"/>
      <c r="AL187" s="930"/>
      <c r="AM187" s="930"/>
      <c r="AN187" s="930"/>
      <c r="AO187" s="930"/>
      <c r="AP187" s="930"/>
      <c r="AQ187" s="930"/>
      <c r="AR187" s="930"/>
      <c r="AS187" s="930"/>
      <c r="AT187" s="930"/>
      <c r="AU187" s="930"/>
      <c r="AV187" s="930"/>
      <c r="AW187" s="930"/>
      <c r="AX187" s="930"/>
      <c r="AY187" s="930"/>
      <c r="AZ187" s="930"/>
      <c r="BA187" s="930"/>
      <c r="BB187" s="930"/>
      <c r="BC187" s="930"/>
      <c r="BD187" s="930"/>
      <c r="BE187" s="930"/>
      <c r="BF187" s="930"/>
      <c r="BG187" s="930"/>
      <c r="BH187" s="930"/>
      <c r="BI187" s="930"/>
      <c r="BJ187" s="930"/>
      <c r="BK187" s="930"/>
      <c r="BL187" s="930"/>
      <c r="BM187" s="930"/>
      <c r="BN187" s="930"/>
      <c r="BO187" s="930"/>
      <c r="BP187" s="930"/>
      <c r="BQ187" s="930"/>
      <c r="BR187" s="930"/>
      <c r="BS187" s="930"/>
      <c r="BT187" s="930"/>
    </row>
    <row r="188" spans="1:72" x14ac:dyDescent="0.25">
      <c r="A188" s="930" t="s">
        <v>611</v>
      </c>
      <c r="B188" s="930">
        <v>8.8699999999999992</v>
      </c>
      <c r="C188" s="930">
        <v>14.77</v>
      </c>
      <c r="D188" s="930">
        <v>9.1</v>
      </c>
      <c r="E188" s="930">
        <v>11.22</v>
      </c>
      <c r="F188" s="930">
        <v>11.49</v>
      </c>
      <c r="G188" s="930">
        <v>12.89</v>
      </c>
      <c r="H188" s="930">
        <v>14.14</v>
      </c>
      <c r="I188" s="930">
        <v>15.19</v>
      </c>
      <c r="J188" s="930">
        <v>15.89</v>
      </c>
      <c r="K188" s="930">
        <v>16.600000000000001</v>
      </c>
      <c r="L188" s="930">
        <v>17.5</v>
      </c>
      <c r="M188" s="930">
        <v>18.3</v>
      </c>
      <c r="N188" s="930">
        <v>18.89</v>
      </c>
      <c r="O188" s="930">
        <v>19.329999999999998</v>
      </c>
      <c r="P188" s="930">
        <v>20.03</v>
      </c>
      <c r="Q188" s="930">
        <v>20.64</v>
      </c>
      <c r="R188" s="930">
        <v>21.36</v>
      </c>
      <c r="S188" s="930">
        <v>22.08</v>
      </c>
      <c r="T188" s="930">
        <v>22.8</v>
      </c>
      <c r="U188" s="930">
        <v>23.35</v>
      </c>
      <c r="V188" s="930">
        <v>24.24</v>
      </c>
      <c r="W188" s="930">
        <v>25.11</v>
      </c>
      <c r="X188" s="930">
        <v>26.08</v>
      </c>
      <c r="Y188" s="930">
        <v>27.11</v>
      </c>
      <c r="Z188" s="930">
        <v>28.23</v>
      </c>
      <c r="AA188" s="930">
        <v>29.29</v>
      </c>
      <c r="AB188" s="930">
        <v>30.29</v>
      </c>
      <c r="AC188" s="930">
        <v>31.46</v>
      </c>
      <c r="AD188" s="930">
        <v>32.700000000000003</v>
      </c>
      <c r="AE188" s="969">
        <v>0.03</v>
      </c>
      <c r="AF188" s="930"/>
      <c r="AG188" s="930"/>
      <c r="AH188" s="930"/>
      <c r="AI188" s="930"/>
      <c r="AJ188" s="930"/>
      <c r="AK188" s="930"/>
      <c r="AL188" s="930"/>
      <c r="AM188" s="930"/>
      <c r="AN188" s="930"/>
      <c r="AO188" s="930"/>
      <c r="AP188" s="930"/>
      <c r="AQ188" s="930"/>
      <c r="AR188" s="930"/>
      <c r="AS188" s="930"/>
      <c r="AT188" s="930"/>
      <c r="AU188" s="930"/>
      <c r="AV188" s="930"/>
      <c r="AW188" s="930"/>
      <c r="AX188" s="930"/>
      <c r="AY188" s="930"/>
      <c r="AZ188" s="930"/>
      <c r="BA188" s="930"/>
      <c r="BB188" s="930"/>
      <c r="BC188" s="930"/>
      <c r="BD188" s="930"/>
      <c r="BE188" s="930"/>
      <c r="BF188" s="930"/>
      <c r="BG188" s="930"/>
      <c r="BH188" s="930"/>
      <c r="BI188" s="930"/>
      <c r="BJ188" s="930"/>
      <c r="BK188" s="930"/>
      <c r="BL188" s="930"/>
      <c r="BM188" s="930"/>
      <c r="BN188" s="930"/>
      <c r="BO188" s="930"/>
      <c r="BP188" s="930"/>
      <c r="BQ188" s="930"/>
      <c r="BR188" s="930"/>
      <c r="BS188" s="930"/>
      <c r="BT188" s="930"/>
    </row>
    <row r="189" spans="1:72" x14ac:dyDescent="0.25">
      <c r="A189" s="930" t="s">
        <v>510</v>
      </c>
      <c r="B189" s="930">
        <v>8.99</v>
      </c>
      <c r="C189" s="930">
        <v>10.53</v>
      </c>
      <c r="D189" s="930">
        <v>6.67</v>
      </c>
      <c r="E189" s="930">
        <v>7.08</v>
      </c>
      <c r="F189" s="930">
        <v>8.2100000000000009</v>
      </c>
      <c r="G189" s="930">
        <v>8.68</v>
      </c>
      <c r="H189" s="930">
        <v>8.67</v>
      </c>
      <c r="I189" s="930">
        <v>8.7799999999999994</v>
      </c>
      <c r="J189" s="930">
        <v>9.07</v>
      </c>
      <c r="K189" s="930">
        <v>9.33</v>
      </c>
      <c r="L189" s="930">
        <v>9.5</v>
      </c>
      <c r="M189" s="930">
        <v>9.73</v>
      </c>
      <c r="N189" s="930">
        <v>9.98</v>
      </c>
      <c r="O189" s="930">
        <v>10.32</v>
      </c>
      <c r="P189" s="930">
        <v>10.67</v>
      </c>
      <c r="Q189" s="930">
        <v>11.14</v>
      </c>
      <c r="R189" s="930">
        <v>11.42</v>
      </c>
      <c r="S189" s="930">
        <v>11.55</v>
      </c>
      <c r="T189" s="930">
        <v>11.88</v>
      </c>
      <c r="U189" s="930">
        <v>12.31</v>
      </c>
      <c r="V189" s="930">
        <v>12.79</v>
      </c>
      <c r="W189" s="930">
        <v>13.39</v>
      </c>
      <c r="X189" s="930">
        <v>14.02</v>
      </c>
      <c r="Y189" s="930">
        <v>14.7</v>
      </c>
      <c r="Z189" s="930">
        <v>15.51</v>
      </c>
      <c r="AA189" s="930">
        <v>16.05</v>
      </c>
      <c r="AB189" s="930">
        <v>16.46</v>
      </c>
      <c r="AC189" s="930">
        <v>17.12</v>
      </c>
      <c r="AD189" s="930">
        <v>17.71</v>
      </c>
      <c r="AE189" s="969">
        <v>1.9E-2</v>
      </c>
      <c r="AF189" s="930"/>
      <c r="AG189" s="930"/>
      <c r="AH189" s="930"/>
      <c r="AI189" s="930"/>
      <c r="AJ189" s="930"/>
      <c r="AK189" s="930"/>
      <c r="AL189" s="930"/>
      <c r="AM189" s="930"/>
      <c r="AN189" s="930"/>
      <c r="AO189" s="930"/>
      <c r="AP189" s="930"/>
      <c r="AQ189" s="930"/>
      <c r="AR189" s="930"/>
      <c r="AS189" s="930"/>
      <c r="AT189" s="930"/>
      <c r="AU189" s="930"/>
      <c r="AV189" s="930"/>
      <c r="AW189" s="930"/>
      <c r="AX189" s="930"/>
      <c r="AY189" s="930"/>
      <c r="AZ189" s="930"/>
      <c r="BA189" s="930"/>
      <c r="BB189" s="930"/>
      <c r="BC189" s="930"/>
      <c r="BD189" s="930"/>
      <c r="BE189" s="930"/>
      <c r="BF189" s="930"/>
      <c r="BG189" s="930"/>
      <c r="BH189" s="930"/>
      <c r="BI189" s="930"/>
      <c r="BJ189" s="930"/>
      <c r="BK189" s="930"/>
      <c r="BL189" s="930"/>
      <c r="BM189" s="930"/>
      <c r="BN189" s="930"/>
      <c r="BO189" s="930"/>
      <c r="BP189" s="930"/>
      <c r="BQ189" s="930"/>
      <c r="BR189" s="930"/>
      <c r="BS189" s="930"/>
      <c r="BT189" s="930"/>
    </row>
    <row r="190" spans="1:72" x14ac:dyDescent="0.25">
      <c r="A190" s="930" t="s">
        <v>614</v>
      </c>
      <c r="B190" s="930">
        <v>3.61</v>
      </c>
      <c r="C190" s="930">
        <v>4.49</v>
      </c>
      <c r="D190" s="930">
        <v>4.79</v>
      </c>
      <c r="E190" s="930">
        <v>4.9400000000000004</v>
      </c>
      <c r="F190" s="930">
        <v>5.07</v>
      </c>
      <c r="G190" s="930">
        <v>5.31</v>
      </c>
      <c r="H190" s="930">
        <v>5.44</v>
      </c>
      <c r="I190" s="930">
        <v>5.56</v>
      </c>
      <c r="J190" s="930">
        <v>5.66</v>
      </c>
      <c r="K190" s="930">
        <v>5.77</v>
      </c>
      <c r="L190" s="930">
        <v>5.97</v>
      </c>
      <c r="M190" s="930">
        <v>6.14</v>
      </c>
      <c r="N190" s="930">
        <v>6.34</v>
      </c>
      <c r="O190" s="930">
        <v>6.5</v>
      </c>
      <c r="P190" s="930">
        <v>6.68</v>
      </c>
      <c r="Q190" s="930">
        <v>6.84</v>
      </c>
      <c r="R190" s="930">
        <v>6.98</v>
      </c>
      <c r="S190" s="930">
        <v>7.07</v>
      </c>
      <c r="T190" s="930">
        <v>7.11</v>
      </c>
      <c r="U190" s="930">
        <v>7.15</v>
      </c>
      <c r="V190" s="930">
        <v>7.27</v>
      </c>
      <c r="W190" s="930">
        <v>7.43</v>
      </c>
      <c r="X190" s="930">
        <v>7.55</v>
      </c>
      <c r="Y190" s="930">
        <v>7.72</v>
      </c>
      <c r="Z190" s="930">
        <v>7.86</v>
      </c>
      <c r="AA190" s="930">
        <v>8.02</v>
      </c>
      <c r="AB190" s="930">
        <v>8.18</v>
      </c>
      <c r="AC190" s="930">
        <v>8.33</v>
      </c>
      <c r="AD190" s="930">
        <v>8.5</v>
      </c>
      <c r="AE190" s="969">
        <v>2.4E-2</v>
      </c>
      <c r="AF190" s="930"/>
      <c r="AG190" s="930"/>
      <c r="AH190" s="930"/>
      <c r="AI190" s="930"/>
      <c r="AJ190" s="930"/>
      <c r="AK190" s="930"/>
      <c r="AL190" s="930"/>
      <c r="AM190" s="930"/>
      <c r="AN190" s="930"/>
      <c r="AO190" s="930"/>
      <c r="AP190" s="930"/>
      <c r="AQ190" s="930"/>
      <c r="AR190" s="930"/>
      <c r="AS190" s="930"/>
      <c r="AT190" s="930"/>
      <c r="AU190" s="930"/>
      <c r="AV190" s="930"/>
      <c r="AW190" s="930"/>
      <c r="AX190" s="930"/>
      <c r="AY190" s="930"/>
      <c r="AZ190" s="930"/>
      <c r="BA190" s="930"/>
      <c r="BB190" s="930"/>
      <c r="BC190" s="930"/>
      <c r="BD190" s="930"/>
      <c r="BE190" s="930"/>
      <c r="BF190" s="930"/>
      <c r="BG190" s="930"/>
      <c r="BH190" s="930"/>
      <c r="BI190" s="930"/>
      <c r="BJ190" s="930"/>
      <c r="BK190" s="930"/>
      <c r="BL190" s="930"/>
      <c r="BM190" s="930"/>
      <c r="BN190" s="930"/>
      <c r="BO190" s="930"/>
      <c r="BP190" s="930"/>
      <c r="BQ190" s="930"/>
      <c r="BR190" s="930"/>
      <c r="BS190" s="930"/>
      <c r="BT190" s="930"/>
    </row>
    <row r="191" spans="1:72" x14ac:dyDescent="0.25">
      <c r="A191" s="930" t="s">
        <v>627</v>
      </c>
      <c r="B191" s="930">
        <v>1.8</v>
      </c>
      <c r="C191" s="930">
        <v>2.1</v>
      </c>
      <c r="D191" s="930">
        <v>2.2200000000000002</v>
      </c>
      <c r="E191" s="930">
        <v>2.09</v>
      </c>
      <c r="F191" s="930">
        <v>2.11</v>
      </c>
      <c r="G191" s="930">
        <v>2.14</v>
      </c>
      <c r="H191" s="930">
        <v>2.19</v>
      </c>
      <c r="I191" s="930">
        <v>2.23</v>
      </c>
      <c r="J191" s="930">
        <v>2.2799999999999998</v>
      </c>
      <c r="K191" s="930">
        <v>2.2999999999999998</v>
      </c>
      <c r="L191" s="930">
        <v>2.35</v>
      </c>
      <c r="M191" s="930">
        <v>2.39</v>
      </c>
      <c r="N191" s="930">
        <v>2.4300000000000002</v>
      </c>
      <c r="O191" s="930">
        <v>2.4700000000000002</v>
      </c>
      <c r="P191" s="930">
        <v>2.52</v>
      </c>
      <c r="Q191" s="930">
        <v>2.58</v>
      </c>
      <c r="R191" s="930">
        <v>2.64</v>
      </c>
      <c r="S191" s="930">
        <v>2.69</v>
      </c>
      <c r="T191" s="930">
        <v>2.74</v>
      </c>
      <c r="U191" s="930">
        <v>2.81</v>
      </c>
      <c r="V191" s="930">
        <v>2.87</v>
      </c>
      <c r="W191" s="930">
        <v>2.95</v>
      </c>
      <c r="X191" s="930">
        <v>3.03</v>
      </c>
      <c r="Y191" s="930">
        <v>3.11</v>
      </c>
      <c r="Z191" s="930">
        <v>3.2</v>
      </c>
      <c r="AA191" s="930">
        <v>3.28</v>
      </c>
      <c r="AB191" s="930">
        <v>3.37</v>
      </c>
      <c r="AC191" s="930">
        <v>3.46</v>
      </c>
      <c r="AD191" s="930">
        <v>3.56</v>
      </c>
      <c r="AE191" s="969">
        <v>0.02</v>
      </c>
      <c r="AF191" s="930"/>
      <c r="AG191" s="930"/>
      <c r="AH191" s="930"/>
      <c r="AI191" s="930"/>
      <c r="AJ191" s="930"/>
      <c r="AK191" s="930"/>
      <c r="AL191" s="930"/>
      <c r="AM191" s="930"/>
      <c r="AN191" s="930"/>
      <c r="AO191" s="930"/>
      <c r="AP191" s="930"/>
      <c r="AQ191" s="930"/>
      <c r="AR191" s="930"/>
      <c r="AS191" s="930"/>
      <c r="AT191" s="930"/>
      <c r="AU191" s="930"/>
      <c r="AV191" s="930"/>
      <c r="AW191" s="930"/>
      <c r="AX191" s="930"/>
      <c r="AY191" s="930"/>
      <c r="AZ191" s="930"/>
      <c r="BA191" s="930"/>
      <c r="BB191" s="930"/>
      <c r="BC191" s="930"/>
      <c r="BD191" s="930"/>
      <c r="BE191" s="930"/>
      <c r="BF191" s="930"/>
      <c r="BG191" s="930"/>
      <c r="BH191" s="930"/>
      <c r="BI191" s="930"/>
      <c r="BJ191" s="930"/>
      <c r="BK191" s="930"/>
      <c r="BL191" s="930"/>
      <c r="BM191" s="930"/>
      <c r="BN191" s="930"/>
      <c r="BO191" s="930"/>
      <c r="BP191" s="930"/>
      <c r="BQ191" s="930"/>
      <c r="BR191" s="930"/>
      <c r="BS191" s="930"/>
      <c r="BT191" s="930"/>
    </row>
    <row r="192" spans="1:72" x14ac:dyDescent="0.25">
      <c r="A192" s="930" t="s">
        <v>616</v>
      </c>
      <c r="B192" s="930" t="s">
        <v>788</v>
      </c>
      <c r="C192" s="930" t="s">
        <v>788</v>
      </c>
      <c r="D192" s="930" t="s">
        <v>788</v>
      </c>
      <c r="E192" s="930" t="s">
        <v>788</v>
      </c>
      <c r="F192" s="930">
        <v>1.32</v>
      </c>
      <c r="G192" s="930">
        <v>1.1000000000000001</v>
      </c>
      <c r="H192" s="930">
        <v>1.1200000000000001</v>
      </c>
      <c r="I192" s="930">
        <v>1.55</v>
      </c>
      <c r="J192" s="930">
        <v>1.58</v>
      </c>
      <c r="K192" s="930">
        <v>1.65</v>
      </c>
      <c r="L192" s="930">
        <v>1.72</v>
      </c>
      <c r="M192" s="930">
        <v>1.74</v>
      </c>
      <c r="N192" s="930">
        <v>1.76</v>
      </c>
      <c r="O192" s="930">
        <v>1.79</v>
      </c>
      <c r="P192" s="930">
        <v>1.86</v>
      </c>
      <c r="Q192" s="930">
        <v>1.91</v>
      </c>
      <c r="R192" s="930">
        <v>1.98</v>
      </c>
      <c r="S192" s="930">
        <v>1.99</v>
      </c>
      <c r="T192" s="930">
        <v>2.02</v>
      </c>
      <c r="U192" s="930">
        <v>2.04</v>
      </c>
      <c r="V192" s="930">
        <v>2.0699999999999998</v>
      </c>
      <c r="W192" s="930">
        <v>2.1</v>
      </c>
      <c r="X192" s="930">
        <v>2.13</v>
      </c>
      <c r="Y192" s="930">
        <v>2.1800000000000002</v>
      </c>
      <c r="Z192" s="930">
        <v>2.2200000000000002</v>
      </c>
      <c r="AA192" s="930">
        <v>2.2799999999999998</v>
      </c>
      <c r="AB192" s="930">
        <v>2.35</v>
      </c>
      <c r="AC192" s="930">
        <v>2.44</v>
      </c>
      <c r="AD192" s="930">
        <v>2.5299999999999998</v>
      </c>
      <c r="AE192" s="930" t="s">
        <v>788</v>
      </c>
      <c r="AF192" s="930"/>
      <c r="AG192" s="930"/>
      <c r="AH192" s="930"/>
      <c r="AI192" s="930"/>
      <c r="AJ192" s="930"/>
      <c r="AK192" s="930"/>
      <c r="AL192" s="930"/>
      <c r="AM192" s="930"/>
      <c r="AN192" s="930"/>
      <c r="AO192" s="930"/>
      <c r="AP192" s="930"/>
      <c r="AQ192" s="930"/>
      <c r="AR192" s="930"/>
      <c r="AS192" s="930"/>
      <c r="AT192" s="930"/>
      <c r="AU192" s="930"/>
      <c r="AV192" s="930"/>
      <c r="AW192" s="930"/>
      <c r="AX192" s="930"/>
      <c r="AY192" s="930"/>
      <c r="AZ192" s="930"/>
      <c r="BA192" s="930"/>
      <c r="BB192" s="930"/>
      <c r="BC192" s="930"/>
      <c r="BD192" s="930"/>
      <c r="BE192" s="930"/>
      <c r="BF192" s="930"/>
      <c r="BG192" s="930"/>
      <c r="BH192" s="930"/>
      <c r="BI192" s="930"/>
      <c r="BJ192" s="930"/>
      <c r="BK192" s="930"/>
      <c r="BL192" s="930"/>
      <c r="BM192" s="930"/>
      <c r="BN192" s="930"/>
      <c r="BO192" s="930"/>
      <c r="BP192" s="930"/>
      <c r="BQ192" s="930"/>
      <c r="BR192" s="930"/>
      <c r="BS192" s="930"/>
      <c r="BT192" s="930"/>
    </row>
    <row r="193" spans="1:72" x14ac:dyDescent="0.25">
      <c r="A193" s="930" t="s">
        <v>479</v>
      </c>
      <c r="B193" s="930">
        <v>26.66</v>
      </c>
      <c r="C193" s="930">
        <v>28.81</v>
      </c>
      <c r="D193" s="930">
        <v>28.5</v>
      </c>
      <c r="E193" s="930">
        <v>27.58</v>
      </c>
      <c r="F193" s="930">
        <v>26.29</v>
      </c>
      <c r="G193" s="930">
        <v>27.63</v>
      </c>
      <c r="H193" s="930">
        <v>28.19</v>
      </c>
      <c r="I193" s="930">
        <v>28.46</v>
      </c>
      <c r="J193" s="930">
        <v>28.92</v>
      </c>
      <c r="K193" s="930">
        <v>29.72</v>
      </c>
      <c r="L193" s="930">
        <v>30.45</v>
      </c>
      <c r="M193" s="930">
        <v>31.03</v>
      </c>
      <c r="N193" s="930">
        <v>31.53</v>
      </c>
      <c r="O193" s="930">
        <v>32.4</v>
      </c>
      <c r="P193" s="930">
        <v>33.33</v>
      </c>
      <c r="Q193" s="930">
        <v>34.229999999999997</v>
      </c>
      <c r="R193" s="930">
        <v>35.22</v>
      </c>
      <c r="S193" s="930">
        <v>36.159999999999997</v>
      </c>
      <c r="T193" s="930">
        <v>36.869999999999997</v>
      </c>
      <c r="U193" s="930">
        <v>37.86</v>
      </c>
      <c r="V193" s="930">
        <v>38.94</v>
      </c>
      <c r="W193" s="930">
        <v>40.090000000000003</v>
      </c>
      <c r="X193" s="930">
        <v>41.58</v>
      </c>
      <c r="Y193" s="930">
        <v>43</v>
      </c>
      <c r="Z193" s="930">
        <v>44.53</v>
      </c>
      <c r="AA193" s="930">
        <v>46.07</v>
      </c>
      <c r="AB193" s="930">
        <v>47.34</v>
      </c>
      <c r="AC193" s="930">
        <v>48.78</v>
      </c>
      <c r="AD193" s="930">
        <v>50.19</v>
      </c>
      <c r="AE193" s="969">
        <v>2.1000000000000001E-2</v>
      </c>
      <c r="AF193" s="930"/>
      <c r="AG193" s="930"/>
      <c r="AH193" s="930"/>
      <c r="AI193" s="930"/>
      <c r="AJ193" s="930"/>
      <c r="AK193" s="930"/>
      <c r="AL193" s="930"/>
      <c r="AM193" s="930"/>
      <c r="AN193" s="930"/>
      <c r="AO193" s="930"/>
      <c r="AP193" s="930"/>
      <c r="AQ193" s="930"/>
      <c r="AR193" s="930"/>
      <c r="AS193" s="930"/>
      <c r="AT193" s="930"/>
      <c r="AU193" s="930"/>
      <c r="AV193" s="930"/>
      <c r="AW193" s="930"/>
      <c r="AX193" s="930"/>
      <c r="AY193" s="930"/>
      <c r="AZ193" s="930"/>
      <c r="BA193" s="930"/>
      <c r="BB193" s="930"/>
      <c r="BC193" s="930"/>
      <c r="BD193" s="930"/>
      <c r="BE193" s="930"/>
      <c r="BF193" s="930"/>
      <c r="BG193" s="930"/>
      <c r="BH193" s="930"/>
      <c r="BI193" s="930"/>
      <c r="BJ193" s="930"/>
      <c r="BK193" s="930"/>
      <c r="BL193" s="930"/>
      <c r="BM193" s="930"/>
      <c r="BN193" s="930"/>
      <c r="BO193" s="930"/>
      <c r="BP193" s="930"/>
      <c r="BQ193" s="930"/>
      <c r="BR193" s="930"/>
      <c r="BS193" s="930"/>
      <c r="BT193" s="930"/>
    </row>
    <row r="194" spans="1:72" x14ac:dyDescent="0.25">
      <c r="A194" s="930"/>
      <c r="B194" s="930"/>
      <c r="C194" s="930"/>
      <c r="D194" s="930"/>
      <c r="E194" s="930"/>
      <c r="F194" s="930"/>
      <c r="G194" s="930"/>
      <c r="H194" s="930"/>
      <c r="I194" s="930"/>
      <c r="J194" s="930"/>
      <c r="K194" s="930"/>
      <c r="L194" s="930"/>
      <c r="M194" s="930"/>
      <c r="N194" s="930"/>
      <c r="O194" s="930"/>
      <c r="P194" s="930"/>
      <c r="Q194" s="930"/>
      <c r="R194" s="930"/>
      <c r="S194" s="930"/>
      <c r="T194" s="930"/>
      <c r="U194" s="930"/>
      <c r="V194" s="930"/>
      <c r="W194" s="930"/>
      <c r="X194" s="930"/>
      <c r="Y194" s="930"/>
      <c r="Z194" s="930"/>
      <c r="AA194" s="930"/>
      <c r="AB194" s="930"/>
      <c r="AC194" s="930"/>
      <c r="AD194" s="930"/>
      <c r="AE194" s="930"/>
      <c r="AF194" s="930"/>
      <c r="AG194" s="930"/>
      <c r="AH194" s="930"/>
      <c r="AI194" s="930"/>
      <c r="AJ194" s="930"/>
      <c r="AK194" s="930"/>
      <c r="AL194" s="930"/>
      <c r="AM194" s="930"/>
      <c r="AN194" s="930"/>
      <c r="AO194" s="930"/>
      <c r="AP194" s="930"/>
      <c r="AQ194" s="930"/>
      <c r="AR194" s="930"/>
      <c r="AS194" s="930"/>
      <c r="AT194" s="930"/>
      <c r="AU194" s="930"/>
      <c r="AV194" s="930"/>
      <c r="AW194" s="930"/>
      <c r="AX194" s="930"/>
      <c r="AY194" s="930"/>
      <c r="AZ194" s="930"/>
      <c r="BA194" s="930"/>
      <c r="BB194" s="930"/>
      <c r="BC194" s="930"/>
      <c r="BD194" s="930"/>
      <c r="BE194" s="930"/>
      <c r="BF194" s="930"/>
      <c r="BG194" s="930"/>
      <c r="BH194" s="930"/>
      <c r="BI194" s="930"/>
      <c r="BJ194" s="930"/>
      <c r="BK194" s="930"/>
      <c r="BL194" s="930"/>
      <c r="BM194" s="930"/>
      <c r="BN194" s="930"/>
      <c r="BO194" s="930"/>
      <c r="BP194" s="930"/>
      <c r="BQ194" s="930"/>
      <c r="BR194" s="930"/>
      <c r="BS194" s="930"/>
      <c r="BT194" s="930"/>
    </row>
    <row r="195" spans="1:72" x14ac:dyDescent="0.25">
      <c r="A195" s="930" t="s">
        <v>513</v>
      </c>
      <c r="B195" s="930"/>
      <c r="C195" s="930"/>
      <c r="D195" s="930"/>
      <c r="E195" s="930"/>
      <c r="F195" s="930"/>
      <c r="G195" s="930"/>
      <c r="H195" s="930"/>
      <c r="I195" s="930"/>
      <c r="J195" s="930"/>
      <c r="K195" s="930"/>
      <c r="L195" s="930"/>
      <c r="M195" s="930"/>
      <c r="N195" s="930"/>
      <c r="O195" s="930"/>
      <c r="P195" s="930"/>
      <c r="Q195" s="930"/>
      <c r="R195" s="930"/>
      <c r="S195" s="930"/>
      <c r="T195" s="930"/>
      <c r="U195" s="930"/>
      <c r="V195" s="930"/>
      <c r="W195" s="930"/>
      <c r="X195" s="930"/>
      <c r="Y195" s="930"/>
      <c r="Z195" s="930"/>
      <c r="AA195" s="930"/>
      <c r="AB195" s="930"/>
      <c r="AC195" s="930"/>
      <c r="AD195" s="930"/>
      <c r="AE195" s="930"/>
      <c r="AF195" s="930"/>
      <c r="AG195" s="930"/>
      <c r="AH195" s="930"/>
      <c r="AI195" s="930"/>
      <c r="AJ195" s="930"/>
      <c r="AK195" s="930"/>
      <c r="AL195" s="930"/>
      <c r="AM195" s="930"/>
      <c r="AN195" s="930"/>
      <c r="AO195" s="930"/>
      <c r="AP195" s="930"/>
      <c r="AQ195" s="930"/>
      <c r="AR195" s="930"/>
      <c r="AS195" s="930"/>
      <c r="AT195" s="930"/>
      <c r="AU195" s="930"/>
      <c r="AV195" s="930"/>
      <c r="AW195" s="930"/>
      <c r="AX195" s="930"/>
      <c r="AY195" s="930"/>
      <c r="AZ195" s="930"/>
      <c r="BA195" s="930"/>
      <c r="BB195" s="930"/>
      <c r="BC195" s="930"/>
      <c r="BD195" s="930"/>
      <c r="BE195" s="930"/>
      <c r="BF195" s="930"/>
      <c r="BG195" s="930"/>
      <c r="BH195" s="930"/>
      <c r="BI195" s="930"/>
      <c r="BJ195" s="930"/>
      <c r="BK195" s="930"/>
      <c r="BL195" s="930"/>
      <c r="BM195" s="930"/>
      <c r="BN195" s="930"/>
      <c r="BO195" s="930"/>
      <c r="BP195" s="930"/>
      <c r="BQ195" s="930"/>
      <c r="BR195" s="930"/>
      <c r="BS195" s="930"/>
      <c r="BT195" s="930"/>
    </row>
    <row r="196" spans="1:72" x14ac:dyDescent="0.25">
      <c r="A196" s="930" t="s">
        <v>727</v>
      </c>
      <c r="B196" s="930"/>
      <c r="C196" s="930"/>
      <c r="D196" s="930"/>
      <c r="E196" s="930"/>
      <c r="F196" s="930"/>
      <c r="G196" s="930"/>
      <c r="H196" s="930"/>
      <c r="I196" s="930"/>
      <c r="J196" s="930"/>
      <c r="K196" s="930"/>
      <c r="L196" s="930"/>
      <c r="M196" s="930"/>
      <c r="N196" s="930"/>
      <c r="O196" s="930"/>
      <c r="P196" s="930"/>
      <c r="Q196" s="930"/>
      <c r="R196" s="930"/>
      <c r="S196" s="930"/>
      <c r="T196" s="930"/>
      <c r="U196" s="930"/>
      <c r="V196" s="930"/>
      <c r="W196" s="930"/>
      <c r="X196" s="930"/>
      <c r="Y196" s="930"/>
      <c r="Z196" s="930"/>
      <c r="AA196" s="930"/>
      <c r="AB196" s="930"/>
      <c r="AC196" s="930"/>
      <c r="AD196" s="930"/>
      <c r="AE196" s="930"/>
      <c r="AF196" s="930"/>
      <c r="AG196" s="930"/>
      <c r="AH196" s="930"/>
      <c r="AI196" s="930"/>
      <c r="AJ196" s="930"/>
      <c r="AK196" s="930"/>
      <c r="AL196" s="930"/>
      <c r="AM196" s="930"/>
      <c r="AN196" s="930"/>
      <c r="AO196" s="930"/>
      <c r="AP196" s="930"/>
      <c r="AQ196" s="930"/>
      <c r="AR196" s="930"/>
      <c r="AS196" s="930"/>
      <c r="AT196" s="930"/>
      <c r="AU196" s="930"/>
      <c r="AV196" s="930"/>
      <c r="AW196" s="930"/>
      <c r="AX196" s="930"/>
      <c r="AY196" s="930"/>
      <c r="AZ196" s="930"/>
      <c r="BA196" s="930"/>
      <c r="BB196" s="930"/>
      <c r="BC196" s="930"/>
      <c r="BD196" s="930"/>
      <c r="BE196" s="930"/>
      <c r="BF196" s="930"/>
      <c r="BG196" s="930"/>
      <c r="BH196" s="930"/>
      <c r="BI196" s="930"/>
      <c r="BJ196" s="930"/>
      <c r="BK196" s="930"/>
      <c r="BL196" s="930"/>
      <c r="BM196" s="930"/>
      <c r="BN196" s="930"/>
      <c r="BO196" s="930"/>
      <c r="BP196" s="930"/>
      <c r="BQ196" s="930"/>
      <c r="BR196" s="930"/>
      <c r="BS196" s="930"/>
      <c r="BT196" s="930"/>
    </row>
    <row r="197" spans="1:72" x14ac:dyDescent="0.25">
      <c r="A197" s="930" t="s">
        <v>473</v>
      </c>
      <c r="B197" s="930">
        <v>236.38</v>
      </c>
      <c r="C197" s="930">
        <v>254.66</v>
      </c>
      <c r="D197" s="930">
        <v>235.17</v>
      </c>
      <c r="E197" s="930">
        <v>230.51</v>
      </c>
      <c r="F197" s="930">
        <v>232.31</v>
      </c>
      <c r="G197" s="930">
        <v>244.12</v>
      </c>
      <c r="H197" s="930">
        <v>246.57</v>
      </c>
      <c r="I197" s="930">
        <v>251.37</v>
      </c>
      <c r="J197" s="930">
        <v>257.29000000000002</v>
      </c>
      <c r="K197" s="930">
        <v>266.02999999999997</v>
      </c>
      <c r="L197" s="930">
        <v>273.52999999999997</v>
      </c>
      <c r="M197" s="930">
        <v>281.39999999999998</v>
      </c>
      <c r="N197" s="930">
        <v>289.27</v>
      </c>
      <c r="O197" s="930">
        <v>299.58999999999997</v>
      </c>
      <c r="P197" s="930">
        <v>309.45</v>
      </c>
      <c r="Q197" s="930">
        <v>320.3</v>
      </c>
      <c r="R197" s="930">
        <v>330.83</v>
      </c>
      <c r="S197" s="930">
        <v>341.36</v>
      </c>
      <c r="T197" s="930">
        <v>351.09</v>
      </c>
      <c r="U197" s="930">
        <v>363.72</v>
      </c>
      <c r="V197" s="930">
        <v>377.1</v>
      </c>
      <c r="W197" s="930">
        <v>392.03</v>
      </c>
      <c r="X197" s="930">
        <v>407.27</v>
      </c>
      <c r="Y197" s="930">
        <v>423.22</v>
      </c>
      <c r="Z197" s="930">
        <v>441.01</v>
      </c>
      <c r="AA197" s="930">
        <v>458.4</v>
      </c>
      <c r="AB197" s="930">
        <v>471.99</v>
      </c>
      <c r="AC197" s="930">
        <v>489.06</v>
      </c>
      <c r="AD197" s="930">
        <v>506.03</v>
      </c>
      <c r="AE197" s="969">
        <v>2.5999999999999999E-2</v>
      </c>
      <c r="AF197" s="930"/>
      <c r="AG197" s="930"/>
      <c r="AH197" s="930"/>
      <c r="AI197" s="930"/>
      <c r="AJ197" s="930"/>
      <c r="AK197" s="930"/>
      <c r="AL197" s="930"/>
      <c r="AM197" s="930"/>
      <c r="AN197" s="930"/>
      <c r="AO197" s="930"/>
      <c r="AP197" s="930"/>
      <c r="AQ197" s="930"/>
      <c r="AR197" s="930"/>
      <c r="AS197" s="930"/>
      <c r="AT197" s="930"/>
      <c r="AU197" s="930"/>
      <c r="AV197" s="930"/>
      <c r="AW197" s="930"/>
      <c r="AX197" s="930"/>
      <c r="AY197" s="930"/>
      <c r="AZ197" s="930"/>
      <c r="BA197" s="930"/>
      <c r="BB197" s="930"/>
      <c r="BC197" s="930"/>
      <c r="BD197" s="930"/>
      <c r="BE197" s="930"/>
      <c r="BF197" s="930"/>
      <c r="BG197" s="930"/>
      <c r="BH197" s="930"/>
      <c r="BI197" s="930"/>
      <c r="BJ197" s="930"/>
      <c r="BK197" s="930"/>
      <c r="BL197" s="930"/>
      <c r="BM197" s="930"/>
      <c r="BN197" s="930"/>
      <c r="BO197" s="930"/>
      <c r="BP197" s="930"/>
      <c r="BQ197" s="930"/>
      <c r="BR197" s="930"/>
      <c r="BS197" s="930"/>
      <c r="BT197" s="930"/>
    </row>
    <row r="198" spans="1:72" x14ac:dyDescent="0.25">
      <c r="A198" s="930" t="s">
        <v>480</v>
      </c>
      <c r="B198" s="930">
        <v>172.75</v>
      </c>
      <c r="C198" s="930">
        <v>191.19</v>
      </c>
      <c r="D198" s="930">
        <v>171.27</v>
      </c>
      <c r="E198" s="930">
        <v>168.36</v>
      </c>
      <c r="F198" s="930">
        <v>170.83</v>
      </c>
      <c r="G198" s="930">
        <v>182.74</v>
      </c>
      <c r="H198" s="930">
        <v>187.26</v>
      </c>
      <c r="I198" s="930">
        <v>190.86</v>
      </c>
      <c r="J198" s="930">
        <v>197.13</v>
      </c>
      <c r="K198" s="930">
        <v>205.11</v>
      </c>
      <c r="L198" s="930">
        <v>212.7</v>
      </c>
      <c r="M198" s="930">
        <v>219.88</v>
      </c>
      <c r="N198" s="930">
        <v>226.94</v>
      </c>
      <c r="O198" s="930">
        <v>236.05</v>
      </c>
      <c r="P198" s="930">
        <v>245.65</v>
      </c>
      <c r="Q198" s="930">
        <v>255.58</v>
      </c>
      <c r="R198" s="930">
        <v>265.91000000000003</v>
      </c>
      <c r="S198" s="930">
        <v>275.66000000000003</v>
      </c>
      <c r="T198" s="930">
        <v>285.08999999999997</v>
      </c>
      <c r="U198" s="930">
        <v>296.79000000000002</v>
      </c>
      <c r="V198" s="930">
        <v>309.27</v>
      </c>
      <c r="W198" s="930">
        <v>322.77</v>
      </c>
      <c r="X198" s="930">
        <v>338.69</v>
      </c>
      <c r="Y198" s="930">
        <v>354.37</v>
      </c>
      <c r="Z198" s="930">
        <v>371.75</v>
      </c>
      <c r="AA198" s="930">
        <v>388.64</v>
      </c>
      <c r="AB198" s="930">
        <v>403.84</v>
      </c>
      <c r="AC198" s="930">
        <v>421.34</v>
      </c>
      <c r="AD198" s="930">
        <v>438.74</v>
      </c>
      <c r="AE198" s="969">
        <v>3.1E-2</v>
      </c>
      <c r="AF198" s="930"/>
      <c r="AG198" s="930"/>
      <c r="AH198" s="930"/>
      <c r="AI198" s="930"/>
      <c r="AJ198" s="930"/>
      <c r="AK198" s="930"/>
      <c r="AL198" s="930"/>
      <c r="AM198" s="930"/>
      <c r="AN198" s="930"/>
      <c r="AO198" s="930"/>
      <c r="AP198" s="930"/>
      <c r="AQ198" s="930"/>
      <c r="AR198" s="930"/>
      <c r="AS198" s="930"/>
      <c r="AT198" s="930"/>
      <c r="AU198" s="930"/>
      <c r="AV198" s="930"/>
      <c r="AW198" s="930"/>
      <c r="AX198" s="930"/>
      <c r="AY198" s="930"/>
      <c r="AZ198" s="930"/>
      <c r="BA198" s="930"/>
      <c r="BB198" s="930"/>
      <c r="BC198" s="930"/>
      <c r="BD198" s="930"/>
      <c r="BE198" s="930"/>
      <c r="BF198" s="930"/>
      <c r="BG198" s="930"/>
      <c r="BH198" s="930"/>
      <c r="BI198" s="930"/>
      <c r="BJ198" s="930"/>
      <c r="BK198" s="930"/>
      <c r="BL198" s="930"/>
      <c r="BM198" s="930"/>
      <c r="BN198" s="930"/>
      <c r="BO198" s="930"/>
      <c r="BP198" s="930"/>
      <c r="BQ198" s="930"/>
      <c r="BR198" s="930"/>
      <c r="BS198" s="930"/>
      <c r="BT198" s="930"/>
    </row>
    <row r="199" spans="1:72" x14ac:dyDescent="0.25">
      <c r="A199" s="930" t="s">
        <v>515</v>
      </c>
      <c r="B199" s="930">
        <v>214.89</v>
      </c>
      <c r="C199" s="930">
        <v>244.81</v>
      </c>
      <c r="D199" s="930">
        <v>178.09</v>
      </c>
      <c r="E199" s="930">
        <v>168.16</v>
      </c>
      <c r="F199" s="930">
        <v>181.07</v>
      </c>
      <c r="G199" s="930">
        <v>202.87</v>
      </c>
      <c r="H199" s="930">
        <v>217.07</v>
      </c>
      <c r="I199" s="930">
        <v>227.35</v>
      </c>
      <c r="J199" s="930">
        <v>237.51</v>
      </c>
      <c r="K199" s="930">
        <v>248.26</v>
      </c>
      <c r="L199" s="930">
        <v>257.8</v>
      </c>
      <c r="M199" s="930">
        <v>268.36</v>
      </c>
      <c r="N199" s="930">
        <v>277.25</v>
      </c>
      <c r="O199" s="930">
        <v>287.02999999999997</v>
      </c>
      <c r="P199" s="930">
        <v>295.06</v>
      </c>
      <c r="Q199" s="930">
        <v>303.12</v>
      </c>
      <c r="R199" s="930">
        <v>311.48</v>
      </c>
      <c r="S199" s="930">
        <v>319.60000000000002</v>
      </c>
      <c r="T199" s="930">
        <v>328.09</v>
      </c>
      <c r="U199" s="930">
        <v>336.58</v>
      </c>
      <c r="V199" s="930">
        <v>346.81</v>
      </c>
      <c r="W199" s="930">
        <v>357.93</v>
      </c>
      <c r="X199" s="930">
        <v>370.58</v>
      </c>
      <c r="Y199" s="930">
        <v>382.62</v>
      </c>
      <c r="Z199" s="930">
        <v>397.61</v>
      </c>
      <c r="AA199" s="930">
        <v>409.44</v>
      </c>
      <c r="AB199" s="930">
        <v>421.52</v>
      </c>
      <c r="AC199" s="930">
        <v>436.23</v>
      </c>
      <c r="AD199" s="930">
        <v>449</v>
      </c>
      <c r="AE199" s="969">
        <v>2.3E-2</v>
      </c>
      <c r="AF199" s="930"/>
      <c r="AG199" s="930"/>
      <c r="AH199" s="930"/>
      <c r="AI199" s="930"/>
      <c r="AJ199" s="930"/>
      <c r="AK199" s="930"/>
      <c r="AL199" s="930"/>
      <c r="AM199" s="930"/>
      <c r="AN199" s="930"/>
      <c r="AO199" s="930"/>
      <c r="AP199" s="930"/>
      <c r="AQ199" s="930"/>
      <c r="AR199" s="930"/>
      <c r="AS199" s="930"/>
      <c r="AT199" s="930"/>
      <c r="AU199" s="930"/>
      <c r="AV199" s="930"/>
      <c r="AW199" s="930"/>
      <c r="AX199" s="930"/>
      <c r="AY199" s="930"/>
      <c r="AZ199" s="930"/>
      <c r="BA199" s="930"/>
      <c r="BB199" s="930"/>
      <c r="BC199" s="930"/>
      <c r="BD199" s="930"/>
      <c r="BE199" s="930"/>
      <c r="BF199" s="930"/>
      <c r="BG199" s="930"/>
      <c r="BH199" s="930"/>
      <c r="BI199" s="930"/>
      <c r="BJ199" s="930"/>
      <c r="BK199" s="930"/>
      <c r="BL199" s="930"/>
      <c r="BM199" s="930"/>
      <c r="BN199" s="930"/>
      <c r="BO199" s="930"/>
      <c r="BP199" s="930"/>
      <c r="BQ199" s="930"/>
      <c r="BR199" s="930"/>
      <c r="BS199" s="930"/>
      <c r="BT199" s="930"/>
    </row>
    <row r="200" spans="1:72" x14ac:dyDescent="0.25">
      <c r="A200" s="930" t="s">
        <v>487</v>
      </c>
      <c r="B200" s="930">
        <v>599.94000000000005</v>
      </c>
      <c r="C200" s="930">
        <v>705.86</v>
      </c>
      <c r="D200" s="930">
        <v>472.76</v>
      </c>
      <c r="E200" s="930">
        <v>523.54</v>
      </c>
      <c r="F200" s="930">
        <v>551.54</v>
      </c>
      <c r="G200" s="930">
        <v>600.52</v>
      </c>
      <c r="H200" s="930">
        <v>663.3</v>
      </c>
      <c r="I200" s="930">
        <v>702.29</v>
      </c>
      <c r="J200" s="930">
        <v>730.78</v>
      </c>
      <c r="K200" s="930">
        <v>762.17</v>
      </c>
      <c r="L200" s="930">
        <v>797.53</v>
      </c>
      <c r="M200" s="930">
        <v>828.81</v>
      </c>
      <c r="N200" s="930">
        <v>859.4</v>
      </c>
      <c r="O200" s="930">
        <v>891.87</v>
      </c>
      <c r="P200" s="930">
        <v>920.68</v>
      </c>
      <c r="Q200" s="930">
        <v>948.26</v>
      </c>
      <c r="R200" s="930">
        <v>986.59</v>
      </c>
      <c r="S200" s="930">
        <v>1021.27</v>
      </c>
      <c r="T200" s="930">
        <v>1062.24</v>
      </c>
      <c r="U200" s="930">
        <v>1101.69</v>
      </c>
      <c r="V200" s="930">
        <v>1143.03</v>
      </c>
      <c r="W200" s="930">
        <v>1188</v>
      </c>
      <c r="X200" s="930">
        <v>1232.23</v>
      </c>
      <c r="Y200" s="930">
        <v>1277.8499999999999</v>
      </c>
      <c r="Z200" s="930">
        <v>1321.12</v>
      </c>
      <c r="AA200" s="930">
        <v>1371.03</v>
      </c>
      <c r="AB200" s="930">
        <v>1423.78</v>
      </c>
      <c r="AC200" s="930">
        <v>1471.43</v>
      </c>
      <c r="AD200" s="930">
        <v>1525.95</v>
      </c>
      <c r="AE200" s="969">
        <v>2.9000000000000001E-2</v>
      </c>
      <c r="AF200" s="930"/>
      <c r="AG200" s="930"/>
      <c r="AH200" s="930"/>
      <c r="AI200" s="930"/>
      <c r="AJ200" s="930"/>
      <c r="AK200" s="930"/>
      <c r="AL200" s="930"/>
      <c r="AM200" s="930"/>
      <c r="AN200" s="930"/>
      <c r="AO200" s="930"/>
      <c r="AP200" s="930"/>
      <c r="AQ200" s="930"/>
      <c r="AR200" s="930"/>
      <c r="AS200" s="930"/>
      <c r="AT200" s="930"/>
      <c r="AU200" s="930"/>
      <c r="AV200" s="930"/>
      <c r="AW200" s="930"/>
      <c r="AX200" s="930"/>
      <c r="AY200" s="930"/>
      <c r="AZ200" s="930"/>
      <c r="BA200" s="930"/>
      <c r="BB200" s="930"/>
      <c r="BC200" s="930"/>
      <c r="BD200" s="930"/>
      <c r="BE200" s="930"/>
      <c r="BF200" s="930"/>
      <c r="BG200" s="930"/>
      <c r="BH200" s="930"/>
      <c r="BI200" s="930"/>
      <c r="BJ200" s="930"/>
      <c r="BK200" s="930"/>
      <c r="BL200" s="930"/>
      <c r="BM200" s="930"/>
      <c r="BN200" s="930"/>
      <c r="BO200" s="930"/>
      <c r="BP200" s="930"/>
      <c r="BQ200" s="930"/>
      <c r="BR200" s="930"/>
      <c r="BS200" s="930"/>
      <c r="BT200" s="930"/>
    </row>
    <row r="201" spans="1:72" x14ac:dyDescent="0.25">
      <c r="A201" s="930" t="s">
        <v>516</v>
      </c>
      <c r="B201" s="930">
        <v>1223.96</v>
      </c>
      <c r="C201" s="930">
        <v>1396.52</v>
      </c>
      <c r="D201" s="930">
        <v>1057.29</v>
      </c>
      <c r="E201" s="930">
        <v>1090.58</v>
      </c>
      <c r="F201" s="930">
        <v>1135.76</v>
      </c>
      <c r="G201" s="930">
        <v>1230.25</v>
      </c>
      <c r="H201" s="930">
        <v>1314.19</v>
      </c>
      <c r="I201" s="930">
        <v>1371.86</v>
      </c>
      <c r="J201" s="930">
        <v>1422.72</v>
      </c>
      <c r="K201" s="930">
        <v>1481.57</v>
      </c>
      <c r="L201" s="930">
        <v>1541.56</v>
      </c>
      <c r="M201" s="930">
        <v>1598.45</v>
      </c>
      <c r="N201" s="930">
        <v>1652.86</v>
      </c>
      <c r="O201" s="930">
        <v>1714.54</v>
      </c>
      <c r="P201" s="930">
        <v>1770.84</v>
      </c>
      <c r="Q201" s="930">
        <v>1827.25</v>
      </c>
      <c r="R201" s="930">
        <v>1894.81</v>
      </c>
      <c r="S201" s="930">
        <v>1957.89</v>
      </c>
      <c r="T201" s="930">
        <v>2026.51</v>
      </c>
      <c r="U201" s="930">
        <v>2098.7800000000002</v>
      </c>
      <c r="V201" s="930">
        <v>2176.1999999999998</v>
      </c>
      <c r="W201" s="930">
        <v>2260.73</v>
      </c>
      <c r="X201" s="930">
        <v>2348.7600000000002</v>
      </c>
      <c r="Y201" s="930">
        <v>2438.06</v>
      </c>
      <c r="Z201" s="930">
        <v>2531.5</v>
      </c>
      <c r="AA201" s="930">
        <v>2627.51</v>
      </c>
      <c r="AB201" s="930">
        <v>2721.14</v>
      </c>
      <c r="AC201" s="930">
        <v>2818.06</v>
      </c>
      <c r="AD201" s="930">
        <v>2919.72</v>
      </c>
      <c r="AE201" s="969">
        <v>2.8000000000000001E-2</v>
      </c>
      <c r="AF201" s="930"/>
      <c r="AG201" s="930"/>
      <c r="AH201" s="930"/>
      <c r="AI201" s="930"/>
      <c r="AJ201" s="930"/>
      <c r="AK201" s="930"/>
      <c r="AL201" s="930"/>
      <c r="AM201" s="930"/>
      <c r="AN201" s="930"/>
      <c r="AO201" s="930"/>
      <c r="AP201" s="930"/>
      <c r="AQ201" s="930"/>
      <c r="AR201" s="930"/>
      <c r="AS201" s="930"/>
      <c r="AT201" s="930"/>
      <c r="AU201" s="930"/>
      <c r="AV201" s="930"/>
      <c r="AW201" s="930"/>
      <c r="AX201" s="930"/>
      <c r="AY201" s="930"/>
      <c r="AZ201" s="930"/>
      <c r="BA201" s="930"/>
      <c r="BB201" s="930"/>
      <c r="BC201" s="930"/>
      <c r="BD201" s="930"/>
      <c r="BE201" s="930"/>
      <c r="BF201" s="930"/>
      <c r="BG201" s="930"/>
      <c r="BH201" s="930"/>
      <c r="BI201" s="930"/>
      <c r="BJ201" s="930"/>
      <c r="BK201" s="930"/>
      <c r="BL201" s="930"/>
      <c r="BM201" s="930"/>
      <c r="BN201" s="930"/>
      <c r="BO201" s="930"/>
      <c r="BP201" s="930"/>
      <c r="BQ201" s="930"/>
      <c r="BR201" s="930"/>
      <c r="BS201" s="930"/>
      <c r="BT201" s="930"/>
    </row>
    <row r="202" spans="1:72" x14ac:dyDescent="0.25">
      <c r="A202" s="930" t="s">
        <v>629</v>
      </c>
      <c r="B202" s="930">
        <v>0.04</v>
      </c>
      <c r="C202" s="930">
        <v>0.17</v>
      </c>
      <c r="D202" s="930">
        <v>0.04</v>
      </c>
      <c r="E202" s="930">
        <v>0.09</v>
      </c>
      <c r="F202" s="930">
        <v>0.11</v>
      </c>
      <c r="G202" s="930">
        <v>0.13</v>
      </c>
      <c r="H202" s="930">
        <v>0.16</v>
      </c>
      <c r="I202" s="930">
        <v>0.18</v>
      </c>
      <c r="J202" s="930">
        <v>0.24</v>
      </c>
      <c r="K202" s="930">
        <v>2.65</v>
      </c>
      <c r="L202" s="930">
        <v>3.64</v>
      </c>
      <c r="M202" s="930">
        <v>4.71</v>
      </c>
      <c r="N202" s="930">
        <v>6.36</v>
      </c>
      <c r="O202" s="930">
        <v>8.6999999999999993</v>
      </c>
      <c r="P202" s="930">
        <v>11.96</v>
      </c>
      <c r="Q202" s="930">
        <v>22.18</v>
      </c>
      <c r="R202" s="930">
        <v>20.28</v>
      </c>
      <c r="S202" s="930">
        <v>19.329999999999998</v>
      </c>
      <c r="T202" s="930">
        <v>20.440000000000001</v>
      </c>
      <c r="U202" s="930">
        <v>23.52</v>
      </c>
      <c r="V202" s="930">
        <v>26.81</v>
      </c>
      <c r="W202" s="930">
        <v>29.72</v>
      </c>
      <c r="X202" s="930">
        <v>34.94</v>
      </c>
      <c r="Y202" s="930">
        <v>37.81</v>
      </c>
      <c r="Z202" s="930">
        <v>49.23</v>
      </c>
      <c r="AA202" s="930">
        <v>57.96</v>
      </c>
      <c r="AB202" s="930">
        <v>65.66</v>
      </c>
      <c r="AC202" s="930">
        <v>79.569999999999993</v>
      </c>
      <c r="AD202" s="930">
        <v>94.81</v>
      </c>
      <c r="AE202" s="969">
        <v>0.26500000000000001</v>
      </c>
      <c r="AF202" s="930"/>
      <c r="AG202" s="930"/>
      <c r="AH202" s="930"/>
      <c r="AI202" s="930"/>
      <c r="AJ202" s="930"/>
      <c r="AK202" s="930"/>
      <c r="AL202" s="930"/>
      <c r="AM202" s="930"/>
      <c r="AN202" s="930"/>
      <c r="AO202" s="930"/>
      <c r="AP202" s="930"/>
      <c r="AQ202" s="930"/>
      <c r="AR202" s="930"/>
      <c r="AS202" s="930"/>
      <c r="AT202" s="930"/>
      <c r="AU202" s="930"/>
      <c r="AV202" s="930"/>
      <c r="AW202" s="930"/>
      <c r="AX202" s="930"/>
      <c r="AY202" s="930"/>
      <c r="AZ202" s="930"/>
      <c r="BA202" s="930"/>
      <c r="BB202" s="930"/>
      <c r="BC202" s="930"/>
      <c r="BD202" s="930"/>
      <c r="BE202" s="930"/>
      <c r="BF202" s="930"/>
      <c r="BG202" s="930"/>
      <c r="BH202" s="930"/>
      <c r="BI202" s="930"/>
      <c r="BJ202" s="930"/>
      <c r="BK202" s="930"/>
      <c r="BL202" s="930"/>
      <c r="BM202" s="930"/>
      <c r="BN202" s="930"/>
      <c r="BO202" s="930"/>
      <c r="BP202" s="930"/>
      <c r="BQ202" s="930"/>
      <c r="BR202" s="930"/>
      <c r="BS202" s="930"/>
      <c r="BT202" s="930"/>
    </row>
    <row r="203" spans="1:72" x14ac:dyDescent="0.25">
      <c r="A203" s="930" t="s">
        <v>518</v>
      </c>
      <c r="B203" s="930">
        <v>1224</v>
      </c>
      <c r="C203" s="930">
        <v>1396.69</v>
      </c>
      <c r="D203" s="930">
        <v>1057.33</v>
      </c>
      <c r="E203" s="930">
        <v>1090.67</v>
      </c>
      <c r="F203" s="930">
        <v>1135.8699999999999</v>
      </c>
      <c r="G203" s="930">
        <v>1230.3800000000001</v>
      </c>
      <c r="H203" s="930">
        <v>1314.36</v>
      </c>
      <c r="I203" s="930">
        <v>1372.05</v>
      </c>
      <c r="J203" s="930">
        <v>1422.95</v>
      </c>
      <c r="K203" s="930">
        <v>1484.22</v>
      </c>
      <c r="L203" s="930">
        <v>1545.2</v>
      </c>
      <c r="M203" s="930">
        <v>1603.16</v>
      </c>
      <c r="N203" s="930">
        <v>1659.22</v>
      </c>
      <c r="O203" s="930">
        <v>1723.24</v>
      </c>
      <c r="P203" s="930">
        <v>1782.8</v>
      </c>
      <c r="Q203" s="930">
        <v>1849.44</v>
      </c>
      <c r="R203" s="930">
        <v>1915.09</v>
      </c>
      <c r="S203" s="930">
        <v>1977.22</v>
      </c>
      <c r="T203" s="930">
        <v>2046.94</v>
      </c>
      <c r="U203" s="930">
        <v>2122.3000000000002</v>
      </c>
      <c r="V203" s="930">
        <v>2203.0100000000002</v>
      </c>
      <c r="W203" s="930">
        <v>2290.46</v>
      </c>
      <c r="X203" s="930">
        <v>2383.6999999999998</v>
      </c>
      <c r="Y203" s="930">
        <v>2475.87</v>
      </c>
      <c r="Z203" s="930">
        <v>2580.73</v>
      </c>
      <c r="AA203" s="930">
        <v>2685.47</v>
      </c>
      <c r="AB203" s="930">
        <v>2786.79</v>
      </c>
      <c r="AC203" s="930">
        <v>2897.63</v>
      </c>
      <c r="AD203" s="930">
        <v>3014.53</v>
      </c>
      <c r="AE203" s="969">
        <v>2.9000000000000001E-2</v>
      </c>
      <c r="AF203" s="930"/>
      <c r="AG203" s="930"/>
      <c r="AH203" s="930"/>
      <c r="AI203" s="930"/>
      <c r="AJ203" s="930"/>
      <c r="AK203" s="930"/>
      <c r="AL203" s="930"/>
      <c r="AM203" s="930"/>
      <c r="AN203" s="930"/>
      <c r="AO203" s="930"/>
      <c r="AP203" s="930"/>
      <c r="AQ203" s="930"/>
      <c r="AR203" s="930"/>
      <c r="AS203" s="930"/>
      <c r="AT203" s="930"/>
      <c r="AU203" s="930"/>
      <c r="AV203" s="930"/>
      <c r="AW203" s="930"/>
      <c r="AX203" s="930"/>
      <c r="AY203" s="930"/>
      <c r="AZ203" s="930"/>
      <c r="BA203" s="930"/>
      <c r="BB203" s="930"/>
      <c r="BC203" s="930"/>
      <c r="BD203" s="930"/>
      <c r="BE203" s="930"/>
      <c r="BF203" s="930"/>
      <c r="BG203" s="930"/>
      <c r="BH203" s="930"/>
      <c r="BI203" s="930"/>
      <c r="BJ203" s="930"/>
      <c r="BK203" s="930"/>
      <c r="BL203" s="930"/>
      <c r="BM203" s="930"/>
      <c r="BN203" s="930"/>
      <c r="BO203" s="930"/>
      <c r="BP203" s="930"/>
      <c r="BQ203" s="930"/>
      <c r="BR203" s="930"/>
      <c r="BS203" s="930"/>
      <c r="BT203" s="930"/>
    </row>
    <row r="204" spans="1:72" x14ac:dyDescent="0.25">
      <c r="A204" s="930"/>
      <c r="B204" s="930"/>
      <c r="C204" s="930"/>
      <c r="D204" s="930"/>
      <c r="E204" s="930"/>
      <c r="F204" s="930"/>
      <c r="G204" s="930"/>
      <c r="H204" s="930"/>
      <c r="I204" s="930"/>
      <c r="J204" s="930"/>
      <c r="K204" s="930"/>
      <c r="L204" s="930"/>
      <c r="M204" s="930"/>
      <c r="N204" s="930"/>
      <c r="O204" s="930"/>
      <c r="P204" s="930"/>
      <c r="Q204" s="930"/>
      <c r="R204" s="930"/>
      <c r="S204" s="930"/>
      <c r="T204" s="930"/>
      <c r="U204" s="930"/>
      <c r="V204" s="930"/>
      <c r="W204" s="930"/>
      <c r="X204" s="930"/>
      <c r="Y204" s="930"/>
      <c r="Z204" s="930"/>
      <c r="AA204" s="930"/>
      <c r="AB204" s="930"/>
      <c r="AC204" s="930"/>
      <c r="AD204" s="930"/>
      <c r="AE204" s="930"/>
      <c r="AF204" s="930"/>
      <c r="AG204" s="930"/>
      <c r="AH204" s="930"/>
      <c r="AI204" s="930"/>
      <c r="AJ204" s="930"/>
      <c r="AK204" s="930"/>
      <c r="AL204" s="930"/>
      <c r="AM204" s="930"/>
      <c r="AN204" s="930"/>
      <c r="AO204" s="930"/>
      <c r="AP204" s="930"/>
      <c r="AQ204" s="930"/>
      <c r="AR204" s="930"/>
      <c r="AS204" s="930"/>
      <c r="AT204" s="930"/>
      <c r="AU204" s="930"/>
      <c r="AV204" s="930"/>
      <c r="AW204" s="930"/>
      <c r="AX204" s="930"/>
      <c r="AY204" s="930"/>
      <c r="AZ204" s="930"/>
      <c r="BA204" s="930"/>
      <c r="BB204" s="930"/>
      <c r="BC204" s="930"/>
      <c r="BD204" s="930"/>
      <c r="BE204" s="930"/>
      <c r="BF204" s="930"/>
      <c r="BG204" s="930"/>
      <c r="BH204" s="930"/>
      <c r="BI204" s="930"/>
      <c r="BJ204" s="930"/>
      <c r="BK204" s="930"/>
      <c r="BL204" s="930"/>
      <c r="BM204" s="930"/>
      <c r="BN204" s="930"/>
      <c r="BO204" s="930"/>
      <c r="BP204" s="930"/>
      <c r="BQ204" s="930"/>
      <c r="BR204" s="930"/>
      <c r="BS204" s="930"/>
      <c r="BT204" s="930"/>
    </row>
    <row r="205" spans="1:72" x14ac:dyDescent="0.25">
      <c r="A205" s="930"/>
      <c r="B205" s="930"/>
      <c r="C205" s="930"/>
      <c r="D205" s="930"/>
      <c r="E205" s="930"/>
      <c r="F205" s="930"/>
      <c r="G205" s="930"/>
      <c r="H205" s="930"/>
      <c r="I205" s="930"/>
      <c r="J205" s="930"/>
      <c r="K205" s="930"/>
      <c r="L205" s="930"/>
      <c r="M205" s="930"/>
      <c r="N205" s="930"/>
      <c r="O205" s="930"/>
      <c r="P205" s="930"/>
      <c r="Q205" s="930"/>
      <c r="R205" s="930"/>
      <c r="S205" s="930"/>
      <c r="T205" s="930"/>
      <c r="U205" s="930"/>
      <c r="V205" s="930"/>
      <c r="W205" s="930"/>
      <c r="X205" s="930"/>
      <c r="Y205" s="930"/>
      <c r="Z205" s="930"/>
      <c r="AA205" s="930"/>
      <c r="AB205" s="930"/>
      <c r="AC205" s="930"/>
      <c r="AD205" s="930"/>
      <c r="AE205" s="930"/>
      <c r="AF205" s="930"/>
      <c r="AG205" s="930"/>
      <c r="AH205" s="930"/>
      <c r="AI205" s="930"/>
      <c r="AJ205" s="930"/>
      <c r="AK205" s="930"/>
      <c r="AL205" s="930"/>
      <c r="AM205" s="930"/>
      <c r="AN205" s="930"/>
      <c r="AO205" s="930"/>
      <c r="AP205" s="930"/>
      <c r="AQ205" s="930"/>
      <c r="AR205" s="930"/>
      <c r="AS205" s="930"/>
      <c r="AT205" s="930"/>
      <c r="AU205" s="930"/>
      <c r="AV205" s="930"/>
      <c r="AW205" s="930"/>
      <c r="AX205" s="930"/>
      <c r="AY205" s="930"/>
      <c r="AZ205" s="930"/>
      <c r="BA205" s="930"/>
      <c r="BB205" s="930"/>
      <c r="BC205" s="930"/>
      <c r="BD205" s="930"/>
      <c r="BE205" s="930"/>
      <c r="BF205" s="930"/>
      <c r="BG205" s="930"/>
      <c r="BH205" s="930"/>
      <c r="BI205" s="930"/>
      <c r="BJ205" s="930"/>
      <c r="BK205" s="930"/>
      <c r="BL205" s="930"/>
      <c r="BM205" s="930"/>
      <c r="BN205" s="930"/>
      <c r="BO205" s="930"/>
      <c r="BP205" s="930"/>
      <c r="BQ205" s="930"/>
      <c r="BR205" s="930"/>
      <c r="BS205" s="930"/>
      <c r="BT205" s="930"/>
    </row>
    <row r="206" spans="1:72" x14ac:dyDescent="0.25">
      <c r="A206" s="930"/>
      <c r="B206" s="930"/>
      <c r="C206" s="930"/>
      <c r="D206" s="930"/>
      <c r="E206" s="930"/>
      <c r="F206" s="930"/>
      <c r="G206" s="930"/>
      <c r="H206" s="930"/>
      <c r="I206" s="930"/>
      <c r="J206" s="930"/>
      <c r="K206" s="930"/>
      <c r="L206" s="930"/>
      <c r="M206" s="930"/>
      <c r="N206" s="930"/>
      <c r="O206" s="930"/>
      <c r="P206" s="930"/>
      <c r="Q206" s="930"/>
      <c r="R206" s="930"/>
      <c r="S206" s="930"/>
      <c r="T206" s="930"/>
      <c r="U206" s="930"/>
      <c r="V206" s="930"/>
      <c r="W206" s="930"/>
      <c r="X206" s="930"/>
      <c r="Y206" s="930"/>
      <c r="Z206" s="930"/>
      <c r="AA206" s="930"/>
      <c r="AB206" s="930"/>
      <c r="AC206" s="930"/>
      <c r="AD206" s="930"/>
      <c r="AE206" s="930"/>
      <c r="AF206" s="930"/>
      <c r="AG206" s="930"/>
      <c r="AH206" s="930"/>
      <c r="AI206" s="930"/>
      <c r="AJ206" s="930"/>
      <c r="AK206" s="930"/>
      <c r="AL206" s="930"/>
      <c r="AM206" s="930"/>
      <c r="AN206" s="930"/>
      <c r="AO206" s="930"/>
      <c r="AP206" s="930"/>
      <c r="AQ206" s="930"/>
      <c r="AR206" s="930"/>
      <c r="AS206" s="930"/>
      <c r="AT206" s="930"/>
      <c r="AU206" s="930"/>
      <c r="AV206" s="930"/>
      <c r="AW206" s="930"/>
      <c r="AX206" s="930"/>
      <c r="AY206" s="930"/>
      <c r="AZ206" s="930"/>
      <c r="BA206" s="930"/>
      <c r="BB206" s="930"/>
      <c r="BC206" s="930"/>
      <c r="BD206" s="930"/>
      <c r="BE206" s="930"/>
      <c r="BF206" s="930"/>
      <c r="BG206" s="930"/>
      <c r="BH206" s="930"/>
      <c r="BI206" s="930"/>
      <c r="BJ206" s="930"/>
      <c r="BK206" s="930"/>
      <c r="BL206" s="930"/>
      <c r="BM206" s="930"/>
      <c r="BN206" s="930"/>
      <c r="BO206" s="930"/>
      <c r="BP206" s="930"/>
      <c r="BQ206" s="930"/>
      <c r="BR206" s="930"/>
      <c r="BS206" s="930"/>
      <c r="BT206" s="930"/>
    </row>
    <row r="207" spans="1:72" x14ac:dyDescent="0.25">
      <c r="A207" s="930" t="s">
        <v>630</v>
      </c>
      <c r="B207" s="930"/>
      <c r="C207" s="930"/>
      <c r="D207" s="930"/>
      <c r="E207" s="930"/>
      <c r="F207" s="930"/>
      <c r="G207" s="930"/>
      <c r="H207" s="930"/>
      <c r="I207" s="930"/>
      <c r="J207" s="930"/>
      <c r="K207" s="930"/>
      <c r="L207" s="930"/>
      <c r="M207" s="930"/>
      <c r="N207" s="930"/>
      <c r="O207" s="930"/>
      <c r="P207" s="930"/>
      <c r="Q207" s="930"/>
      <c r="R207" s="930"/>
      <c r="S207" s="930"/>
      <c r="T207" s="930"/>
      <c r="U207" s="930"/>
      <c r="V207" s="930"/>
      <c r="W207" s="930"/>
      <c r="X207" s="930"/>
      <c r="Y207" s="930"/>
      <c r="Z207" s="930"/>
      <c r="AA207" s="930"/>
      <c r="AB207" s="930"/>
      <c r="AC207" s="930"/>
      <c r="AD207" s="930"/>
      <c r="AE207" s="930"/>
      <c r="AF207" s="930"/>
      <c r="AG207" s="930"/>
      <c r="AH207" s="930"/>
      <c r="AI207" s="930"/>
      <c r="AJ207" s="930"/>
      <c r="AK207" s="930"/>
      <c r="AL207" s="930"/>
      <c r="AM207" s="930"/>
      <c r="AN207" s="930"/>
      <c r="AO207" s="930"/>
      <c r="AP207" s="930"/>
      <c r="AQ207" s="930"/>
      <c r="AR207" s="930"/>
      <c r="AS207" s="930"/>
      <c r="AT207" s="930"/>
      <c r="AU207" s="930"/>
      <c r="AV207" s="930"/>
      <c r="AW207" s="930"/>
      <c r="AX207" s="930"/>
      <c r="AY207" s="930"/>
      <c r="AZ207" s="930"/>
      <c r="BA207" s="930"/>
      <c r="BB207" s="930"/>
      <c r="BC207" s="930"/>
      <c r="BD207" s="930"/>
      <c r="BE207" s="930"/>
      <c r="BF207" s="930"/>
      <c r="BG207" s="930"/>
      <c r="BH207" s="930"/>
      <c r="BI207" s="930"/>
      <c r="BJ207" s="930"/>
      <c r="BK207" s="930"/>
      <c r="BL207" s="930"/>
      <c r="BM207" s="930"/>
      <c r="BN207" s="930"/>
      <c r="BO207" s="930"/>
      <c r="BP207" s="930"/>
      <c r="BQ207" s="930"/>
      <c r="BR207" s="930"/>
      <c r="BS207" s="930"/>
      <c r="BT207" s="930"/>
    </row>
    <row r="208" spans="1:72" x14ac:dyDescent="0.25">
      <c r="A208" s="930" t="s">
        <v>631</v>
      </c>
      <c r="B208" s="930"/>
      <c r="C208" s="930"/>
      <c r="D208" s="930"/>
      <c r="E208" s="930"/>
      <c r="F208" s="930"/>
      <c r="G208" s="930"/>
      <c r="H208" s="930"/>
      <c r="I208" s="930"/>
      <c r="J208" s="930"/>
      <c r="K208" s="930"/>
      <c r="L208" s="930"/>
      <c r="M208" s="930"/>
      <c r="N208" s="930"/>
      <c r="O208" s="930"/>
      <c r="P208" s="930"/>
      <c r="Q208" s="930"/>
      <c r="R208" s="930"/>
      <c r="S208" s="930"/>
      <c r="T208" s="930"/>
      <c r="U208" s="930"/>
      <c r="V208" s="930"/>
      <c r="W208" s="930"/>
      <c r="X208" s="930"/>
      <c r="Y208" s="930"/>
      <c r="Z208" s="930"/>
      <c r="AA208" s="930"/>
      <c r="AB208" s="930"/>
      <c r="AC208" s="930"/>
      <c r="AD208" s="930"/>
      <c r="AE208" s="930"/>
      <c r="AF208" s="930"/>
      <c r="AG208" s="930"/>
      <c r="AH208" s="930"/>
      <c r="AI208" s="930"/>
      <c r="AJ208" s="930"/>
      <c r="AK208" s="930"/>
      <c r="AL208" s="930"/>
      <c r="AM208" s="930"/>
      <c r="AN208" s="930"/>
      <c r="AO208" s="930"/>
      <c r="AP208" s="930"/>
      <c r="AQ208" s="930"/>
      <c r="AR208" s="930"/>
      <c r="AS208" s="930"/>
      <c r="AT208" s="930"/>
      <c r="AU208" s="930"/>
      <c r="AV208" s="930"/>
      <c r="AW208" s="930"/>
      <c r="AX208" s="930"/>
      <c r="AY208" s="930"/>
      <c r="AZ208" s="930"/>
      <c r="BA208" s="930"/>
      <c r="BB208" s="930"/>
      <c r="BC208" s="930"/>
      <c r="BD208" s="930"/>
      <c r="BE208" s="930"/>
      <c r="BF208" s="930"/>
      <c r="BG208" s="930"/>
      <c r="BH208" s="930"/>
      <c r="BI208" s="930"/>
      <c r="BJ208" s="930"/>
      <c r="BK208" s="930"/>
      <c r="BL208" s="930"/>
      <c r="BM208" s="930"/>
      <c r="BN208" s="930"/>
      <c r="BO208" s="930"/>
      <c r="BP208" s="930"/>
      <c r="BQ208" s="930"/>
      <c r="BR208" s="930"/>
      <c r="BS208" s="930"/>
      <c r="BT208" s="930"/>
    </row>
    <row r="209" spans="1:72" x14ac:dyDescent="0.25">
      <c r="A209" s="930" t="s">
        <v>632</v>
      </c>
      <c r="B209" s="930"/>
      <c r="C209" s="930"/>
      <c r="D209" s="930"/>
      <c r="E209" s="930"/>
      <c r="F209" s="930"/>
      <c r="G209" s="930"/>
      <c r="H209" s="930"/>
      <c r="I209" s="930"/>
      <c r="J209" s="930"/>
      <c r="K209" s="930"/>
      <c r="L209" s="930"/>
      <c r="M209" s="930"/>
      <c r="N209" s="930"/>
      <c r="O209" s="930"/>
      <c r="P209" s="930"/>
      <c r="Q209" s="930"/>
      <c r="R209" s="930"/>
      <c r="S209" s="930"/>
      <c r="T209" s="930"/>
      <c r="U209" s="930"/>
      <c r="V209" s="930"/>
      <c r="W209" s="930"/>
      <c r="X209" s="930"/>
      <c r="Y209" s="930"/>
      <c r="Z209" s="930"/>
      <c r="AA209" s="930"/>
      <c r="AB209" s="930"/>
      <c r="AC209" s="930"/>
      <c r="AD209" s="930"/>
      <c r="AE209" s="930"/>
      <c r="AF209" s="930"/>
      <c r="AG209" s="930"/>
      <c r="AH209" s="930"/>
      <c r="AI209" s="930"/>
      <c r="AJ209" s="930"/>
      <c r="AK209" s="930"/>
      <c r="AL209" s="930"/>
      <c r="AM209" s="930"/>
      <c r="AN209" s="930"/>
      <c r="AO209" s="930"/>
      <c r="AP209" s="930"/>
      <c r="AQ209" s="930"/>
      <c r="AR209" s="930"/>
      <c r="AS209" s="930"/>
      <c r="AT209" s="930"/>
      <c r="AU209" s="930"/>
      <c r="AV209" s="930"/>
      <c r="AW209" s="930"/>
      <c r="AX209" s="930"/>
      <c r="AY209" s="930"/>
      <c r="AZ209" s="930"/>
      <c r="BA209" s="930"/>
      <c r="BB209" s="930"/>
      <c r="BC209" s="930"/>
      <c r="BD209" s="930"/>
      <c r="BE209" s="930"/>
      <c r="BF209" s="930"/>
      <c r="BG209" s="930"/>
      <c r="BH209" s="930"/>
      <c r="BI209" s="930"/>
      <c r="BJ209" s="930"/>
      <c r="BK209" s="930"/>
      <c r="BL209" s="930"/>
      <c r="BM209" s="930"/>
      <c r="BN209" s="930"/>
      <c r="BO209" s="930"/>
      <c r="BP209" s="930"/>
      <c r="BQ209" s="930"/>
      <c r="BR209" s="930"/>
      <c r="BS209" s="930"/>
      <c r="BT209" s="930"/>
    </row>
    <row r="210" spans="1:72" x14ac:dyDescent="0.25">
      <c r="A210" s="930" t="s">
        <v>790</v>
      </c>
      <c r="B210" s="930"/>
      <c r="C210" s="930"/>
      <c r="D210" s="930"/>
      <c r="E210" s="930"/>
      <c r="F210" s="930"/>
      <c r="G210" s="930"/>
      <c r="H210" s="930"/>
      <c r="I210" s="930"/>
      <c r="J210" s="930"/>
      <c r="K210" s="930"/>
      <c r="L210" s="930"/>
      <c r="M210" s="930"/>
      <c r="N210" s="930"/>
      <c r="O210" s="930"/>
      <c r="P210" s="930"/>
      <c r="Q210" s="930"/>
      <c r="R210" s="930"/>
      <c r="S210" s="930"/>
      <c r="T210" s="930"/>
      <c r="U210" s="930"/>
      <c r="V210" s="930"/>
      <c r="W210" s="930"/>
      <c r="X210" s="930"/>
      <c r="Y210" s="930"/>
      <c r="Z210" s="930"/>
      <c r="AA210" s="930"/>
      <c r="AB210" s="930"/>
      <c r="AC210" s="930"/>
      <c r="AD210" s="930"/>
      <c r="AE210" s="930"/>
      <c r="AF210" s="930"/>
      <c r="AG210" s="930"/>
      <c r="AH210" s="930"/>
      <c r="AI210" s="930"/>
      <c r="AJ210" s="930"/>
      <c r="AK210" s="930"/>
      <c r="AL210" s="930"/>
      <c r="AM210" s="930"/>
      <c r="AN210" s="930"/>
      <c r="AO210" s="930"/>
      <c r="AP210" s="930"/>
      <c r="AQ210" s="930"/>
      <c r="AR210" s="930"/>
      <c r="AS210" s="930"/>
      <c r="AT210" s="930"/>
      <c r="AU210" s="930"/>
      <c r="AV210" s="930"/>
      <c r="AW210" s="930"/>
      <c r="AX210" s="930"/>
      <c r="AY210" s="930"/>
      <c r="AZ210" s="930"/>
      <c r="BA210" s="930"/>
      <c r="BB210" s="930"/>
      <c r="BC210" s="930"/>
      <c r="BD210" s="930"/>
      <c r="BE210" s="930"/>
      <c r="BF210" s="930"/>
      <c r="BG210" s="930"/>
      <c r="BH210" s="930"/>
      <c r="BI210" s="930"/>
      <c r="BJ210" s="930"/>
      <c r="BK210" s="930"/>
      <c r="BL210" s="930"/>
      <c r="BM210" s="930"/>
      <c r="BN210" s="930"/>
      <c r="BO210" s="930"/>
      <c r="BP210" s="930"/>
      <c r="BQ210" s="930"/>
      <c r="BR210" s="930"/>
      <c r="BS210" s="930"/>
      <c r="BT210" s="930"/>
    </row>
    <row r="211" spans="1:72" x14ac:dyDescent="0.25">
      <c r="A211" s="930" t="s">
        <v>791</v>
      </c>
      <c r="B211" s="930"/>
      <c r="C211" s="930"/>
      <c r="D211" s="930"/>
      <c r="E211" s="930"/>
      <c r="F211" s="930"/>
      <c r="G211" s="930"/>
      <c r="H211" s="930"/>
      <c r="I211" s="930"/>
      <c r="J211" s="930"/>
      <c r="K211" s="930"/>
      <c r="L211" s="930"/>
      <c r="M211" s="930"/>
      <c r="N211" s="930"/>
      <c r="O211" s="930"/>
      <c r="P211" s="930"/>
      <c r="Q211" s="930"/>
      <c r="R211" s="930"/>
      <c r="S211" s="930"/>
      <c r="T211" s="930"/>
      <c r="U211" s="930"/>
      <c r="V211" s="930"/>
      <c r="W211" s="930"/>
      <c r="X211" s="930"/>
      <c r="Y211" s="930"/>
      <c r="Z211" s="930"/>
      <c r="AA211" s="930"/>
      <c r="AB211" s="930"/>
      <c r="AC211" s="930"/>
      <c r="AD211" s="930"/>
      <c r="AE211" s="930"/>
      <c r="AF211" s="930"/>
      <c r="AG211" s="930"/>
      <c r="AH211" s="930"/>
      <c r="AI211" s="930"/>
      <c r="AJ211" s="930"/>
      <c r="AK211" s="930"/>
      <c r="AL211" s="930"/>
      <c r="AM211" s="930"/>
      <c r="AN211" s="930"/>
      <c r="AO211" s="930"/>
      <c r="AP211" s="930"/>
      <c r="AQ211" s="930"/>
      <c r="AR211" s="930"/>
      <c r="AS211" s="930"/>
      <c r="AT211" s="930"/>
      <c r="AU211" s="930"/>
      <c r="AV211" s="930"/>
      <c r="AW211" s="930"/>
      <c r="AX211" s="930"/>
      <c r="AY211" s="930"/>
      <c r="AZ211" s="930"/>
      <c r="BA211" s="930"/>
      <c r="BB211" s="930"/>
      <c r="BC211" s="930"/>
      <c r="BD211" s="930"/>
      <c r="BE211" s="930"/>
      <c r="BF211" s="930"/>
      <c r="BG211" s="930"/>
      <c r="BH211" s="930"/>
      <c r="BI211" s="930"/>
      <c r="BJ211" s="930"/>
      <c r="BK211" s="930"/>
      <c r="BL211" s="930"/>
      <c r="BM211" s="930"/>
      <c r="BN211" s="930"/>
      <c r="BO211" s="930"/>
      <c r="BP211" s="930"/>
      <c r="BQ211" s="930"/>
      <c r="BR211" s="930"/>
      <c r="BS211" s="930"/>
      <c r="BT211" s="930"/>
    </row>
    <row r="212" spans="1:72" x14ac:dyDescent="0.25">
      <c r="A212" s="930" t="s">
        <v>649</v>
      </c>
      <c r="B212" s="930"/>
      <c r="C212" s="930"/>
      <c r="D212" s="930"/>
      <c r="E212" s="930"/>
      <c r="F212" s="930"/>
      <c r="G212" s="930"/>
      <c r="H212" s="930"/>
      <c r="I212" s="930"/>
      <c r="J212" s="930"/>
      <c r="K212" s="930"/>
      <c r="L212" s="930"/>
      <c r="M212" s="930"/>
      <c r="N212" s="930"/>
      <c r="O212" s="930"/>
      <c r="P212" s="930"/>
      <c r="Q212" s="930"/>
      <c r="R212" s="930"/>
      <c r="S212" s="930"/>
      <c r="T212" s="930"/>
      <c r="U212" s="930"/>
      <c r="V212" s="930"/>
      <c r="W212" s="930"/>
      <c r="X212" s="930"/>
      <c r="Y212" s="930"/>
      <c r="Z212" s="930"/>
      <c r="AA212" s="930"/>
      <c r="AB212" s="930"/>
      <c r="AC212" s="930"/>
      <c r="AD212" s="930"/>
      <c r="AE212" s="930"/>
      <c r="AF212" s="930"/>
      <c r="AG212" s="930"/>
      <c r="AH212" s="930"/>
      <c r="AI212" s="930"/>
      <c r="AJ212" s="930"/>
      <c r="AK212" s="930"/>
      <c r="AL212" s="930"/>
      <c r="AM212" s="930"/>
      <c r="AN212" s="930"/>
      <c r="AO212" s="930"/>
      <c r="AP212" s="930"/>
      <c r="AQ212" s="930"/>
      <c r="AR212" s="930"/>
      <c r="AS212" s="930"/>
      <c r="AT212" s="930"/>
      <c r="AU212" s="930"/>
      <c r="AV212" s="930"/>
      <c r="AW212" s="930"/>
      <c r="AX212" s="930"/>
      <c r="AY212" s="930"/>
      <c r="AZ212" s="930"/>
      <c r="BA212" s="930"/>
      <c r="BB212" s="930"/>
      <c r="BC212" s="930"/>
      <c r="BD212" s="930"/>
      <c r="BE212" s="930"/>
      <c r="BF212" s="930"/>
      <c r="BG212" s="930"/>
      <c r="BH212" s="930"/>
      <c r="BI212" s="930"/>
      <c r="BJ212" s="930"/>
      <c r="BK212" s="930"/>
      <c r="BL212" s="930"/>
      <c r="BM212" s="930"/>
      <c r="BN212" s="930"/>
      <c r="BO212" s="930"/>
      <c r="BP212" s="930"/>
      <c r="BQ212" s="930"/>
      <c r="BR212" s="930"/>
      <c r="BS212" s="930"/>
      <c r="BT212" s="930"/>
    </row>
    <row r="213" spans="1:72" x14ac:dyDescent="0.25">
      <c r="A213" s="930" t="s">
        <v>650</v>
      </c>
      <c r="B213" s="930"/>
      <c r="C213" s="930"/>
      <c r="D213" s="930"/>
      <c r="E213" s="930"/>
      <c r="F213" s="930"/>
      <c r="G213" s="930"/>
      <c r="H213" s="930"/>
      <c r="I213" s="930"/>
      <c r="J213" s="930"/>
      <c r="K213" s="930"/>
      <c r="L213" s="930"/>
      <c r="M213" s="930"/>
      <c r="N213" s="930"/>
      <c r="O213" s="930"/>
      <c r="P213" s="930"/>
      <c r="Q213" s="930"/>
      <c r="R213" s="930"/>
      <c r="S213" s="930"/>
      <c r="T213" s="930"/>
      <c r="U213" s="930"/>
      <c r="V213" s="930"/>
      <c r="W213" s="930"/>
      <c r="X213" s="930"/>
      <c r="Y213" s="930"/>
      <c r="Z213" s="930"/>
      <c r="AA213" s="930"/>
      <c r="AB213" s="930"/>
      <c r="AC213" s="930"/>
      <c r="AD213" s="930"/>
      <c r="AE213" s="930"/>
      <c r="AF213" s="930"/>
      <c r="AG213" s="930"/>
      <c r="AH213" s="930"/>
      <c r="AI213" s="930"/>
      <c r="AJ213" s="930"/>
      <c r="AK213" s="930"/>
      <c r="AL213" s="930"/>
      <c r="AM213" s="930"/>
      <c r="AN213" s="930"/>
      <c r="AO213" s="930"/>
      <c r="AP213" s="930"/>
      <c r="AQ213" s="930"/>
      <c r="AR213" s="930"/>
      <c r="AS213" s="930"/>
      <c r="AT213" s="930"/>
      <c r="AU213" s="930"/>
      <c r="AV213" s="930"/>
      <c r="AW213" s="930"/>
      <c r="AX213" s="930"/>
      <c r="AY213" s="930"/>
      <c r="AZ213" s="930"/>
      <c r="BA213" s="930"/>
      <c r="BB213" s="930"/>
      <c r="BC213" s="930"/>
      <c r="BD213" s="930"/>
      <c r="BE213" s="930"/>
      <c r="BF213" s="930"/>
      <c r="BG213" s="930"/>
      <c r="BH213" s="930"/>
      <c r="BI213" s="930"/>
      <c r="BJ213" s="930"/>
      <c r="BK213" s="930"/>
      <c r="BL213" s="930"/>
      <c r="BM213" s="930"/>
      <c r="BN213" s="930"/>
      <c r="BO213" s="930"/>
      <c r="BP213" s="930"/>
      <c r="BQ213" s="930"/>
      <c r="BR213" s="930"/>
      <c r="BS213" s="930"/>
      <c r="BT213" s="930"/>
    </row>
    <row r="214" spans="1:72" x14ac:dyDescent="0.25">
      <c r="A214" s="930" t="s">
        <v>651</v>
      </c>
      <c r="B214" s="930"/>
      <c r="C214" s="930"/>
      <c r="D214" s="930"/>
      <c r="E214" s="930"/>
      <c r="F214" s="930"/>
      <c r="G214" s="930"/>
      <c r="H214" s="930"/>
      <c r="I214" s="930"/>
      <c r="J214" s="930"/>
      <c r="K214" s="930"/>
      <c r="L214" s="930"/>
      <c r="M214" s="930"/>
      <c r="N214" s="930"/>
      <c r="O214" s="930"/>
      <c r="P214" s="930"/>
      <c r="Q214" s="930"/>
      <c r="R214" s="930"/>
      <c r="S214" s="930"/>
      <c r="T214" s="930"/>
      <c r="U214" s="930"/>
      <c r="V214" s="930"/>
      <c r="W214" s="930"/>
      <c r="X214" s="930"/>
      <c r="Y214" s="930"/>
      <c r="Z214" s="930"/>
      <c r="AA214" s="930"/>
      <c r="AB214" s="930"/>
      <c r="AC214" s="930"/>
      <c r="AD214" s="930"/>
      <c r="AE214" s="930"/>
      <c r="AF214" s="930"/>
      <c r="AG214" s="930"/>
      <c r="AH214" s="930"/>
      <c r="AI214" s="930"/>
      <c r="AJ214" s="930"/>
      <c r="AK214" s="930"/>
      <c r="AL214" s="930"/>
      <c r="AM214" s="930"/>
      <c r="AN214" s="930"/>
      <c r="AO214" s="930"/>
      <c r="AP214" s="930"/>
      <c r="AQ214" s="930"/>
      <c r="AR214" s="930"/>
      <c r="AS214" s="930"/>
      <c r="AT214" s="930"/>
      <c r="AU214" s="930"/>
      <c r="AV214" s="930"/>
      <c r="AW214" s="930"/>
      <c r="AX214" s="930"/>
      <c r="AY214" s="930"/>
      <c r="AZ214" s="930"/>
      <c r="BA214" s="930"/>
      <c r="BB214" s="930"/>
      <c r="BC214" s="930"/>
      <c r="BD214" s="930"/>
      <c r="BE214" s="930"/>
      <c r="BF214" s="930"/>
      <c r="BG214" s="930"/>
      <c r="BH214" s="930"/>
      <c r="BI214" s="930"/>
      <c r="BJ214" s="930"/>
      <c r="BK214" s="930"/>
      <c r="BL214" s="930"/>
      <c r="BM214" s="930"/>
      <c r="BN214" s="930"/>
      <c r="BO214" s="930"/>
      <c r="BP214" s="930"/>
      <c r="BQ214" s="930"/>
      <c r="BR214" s="930"/>
      <c r="BS214" s="930"/>
      <c r="BT214" s="930"/>
    </row>
    <row r="215" spans="1:72" x14ac:dyDescent="0.25">
      <c r="A215" s="930" t="s">
        <v>652</v>
      </c>
      <c r="B215" s="930"/>
      <c r="C215" s="930"/>
      <c r="D215" s="930"/>
      <c r="E215" s="930"/>
      <c r="F215" s="930"/>
      <c r="G215" s="930"/>
      <c r="H215" s="930"/>
      <c r="I215" s="930"/>
      <c r="J215" s="930"/>
      <c r="K215" s="930"/>
      <c r="L215" s="930"/>
      <c r="M215" s="930"/>
      <c r="N215" s="930"/>
      <c r="O215" s="930"/>
      <c r="P215" s="930"/>
      <c r="Q215" s="930"/>
      <c r="R215" s="930"/>
      <c r="S215" s="930"/>
      <c r="T215" s="930"/>
      <c r="U215" s="930"/>
      <c r="V215" s="930"/>
      <c r="W215" s="930"/>
      <c r="X215" s="930"/>
      <c r="Y215" s="930"/>
      <c r="Z215" s="930"/>
      <c r="AA215" s="930"/>
      <c r="AB215" s="930"/>
      <c r="AC215" s="930"/>
      <c r="AD215" s="930"/>
      <c r="AE215" s="930"/>
      <c r="AF215" s="930"/>
      <c r="AG215" s="930"/>
      <c r="AH215" s="930"/>
      <c r="AI215" s="930"/>
      <c r="AJ215" s="930"/>
      <c r="AK215" s="930"/>
      <c r="AL215" s="930"/>
      <c r="AM215" s="930"/>
      <c r="AN215" s="930"/>
      <c r="AO215" s="930"/>
      <c r="AP215" s="930"/>
      <c r="AQ215" s="930"/>
      <c r="AR215" s="930"/>
      <c r="AS215" s="930"/>
      <c r="AT215" s="930"/>
      <c r="AU215" s="930"/>
      <c r="AV215" s="930"/>
      <c r="AW215" s="930"/>
      <c r="AX215" s="930"/>
      <c r="AY215" s="930"/>
      <c r="AZ215" s="930"/>
      <c r="BA215" s="930"/>
      <c r="BB215" s="930"/>
      <c r="BC215" s="930"/>
      <c r="BD215" s="930"/>
      <c r="BE215" s="930"/>
      <c r="BF215" s="930"/>
      <c r="BG215" s="930"/>
      <c r="BH215" s="930"/>
      <c r="BI215" s="930"/>
      <c r="BJ215" s="930"/>
      <c r="BK215" s="930"/>
      <c r="BL215" s="930"/>
      <c r="BM215" s="930"/>
      <c r="BN215" s="930"/>
      <c r="BO215" s="930"/>
      <c r="BP215" s="930"/>
      <c r="BQ215" s="930"/>
      <c r="BR215" s="930"/>
      <c r="BS215" s="930"/>
      <c r="BT215" s="930"/>
    </row>
    <row r="216" spans="1:72" x14ac:dyDescent="0.25">
      <c r="A216" s="930" t="s">
        <v>653</v>
      </c>
      <c r="B216" s="930"/>
      <c r="C216" s="930"/>
      <c r="D216" s="930"/>
      <c r="E216" s="930"/>
      <c r="F216" s="930"/>
      <c r="G216" s="930"/>
      <c r="H216" s="930"/>
      <c r="I216" s="930"/>
      <c r="J216" s="930"/>
      <c r="K216" s="930"/>
      <c r="L216" s="930"/>
      <c r="M216" s="930"/>
      <c r="N216" s="930"/>
      <c r="O216" s="930"/>
      <c r="P216" s="930"/>
      <c r="Q216" s="930"/>
      <c r="R216" s="930"/>
      <c r="S216" s="930"/>
      <c r="T216" s="930"/>
      <c r="U216" s="930"/>
      <c r="V216" s="930"/>
      <c r="W216" s="930"/>
      <c r="X216" s="930"/>
      <c r="Y216" s="930"/>
      <c r="Z216" s="930"/>
      <c r="AA216" s="930"/>
      <c r="AB216" s="930"/>
      <c r="AC216" s="930"/>
      <c r="AD216" s="930"/>
      <c r="AE216" s="930"/>
      <c r="AF216" s="930"/>
      <c r="AG216" s="930"/>
      <c r="AH216" s="930"/>
      <c r="AI216" s="930"/>
      <c r="AJ216" s="930"/>
      <c r="AK216" s="930"/>
      <c r="AL216" s="930"/>
      <c r="AM216" s="930"/>
      <c r="AN216" s="930"/>
      <c r="AO216" s="930"/>
      <c r="AP216" s="930"/>
      <c r="AQ216" s="930"/>
      <c r="AR216" s="930"/>
      <c r="AS216" s="930"/>
      <c r="AT216" s="930"/>
      <c r="AU216" s="930"/>
      <c r="AV216" s="930"/>
      <c r="AW216" s="930"/>
      <c r="AX216" s="930"/>
      <c r="AY216" s="930"/>
      <c r="AZ216" s="930"/>
      <c r="BA216" s="930"/>
      <c r="BB216" s="930"/>
      <c r="BC216" s="930"/>
      <c r="BD216" s="930"/>
      <c r="BE216" s="930"/>
      <c r="BF216" s="930"/>
      <c r="BG216" s="930"/>
      <c r="BH216" s="930"/>
      <c r="BI216" s="930"/>
      <c r="BJ216" s="930"/>
      <c r="BK216" s="930"/>
      <c r="BL216" s="930"/>
      <c r="BM216" s="930"/>
      <c r="BN216" s="930"/>
      <c r="BO216" s="930"/>
      <c r="BP216" s="930"/>
      <c r="BQ216" s="930"/>
      <c r="BR216" s="930"/>
      <c r="BS216" s="930"/>
      <c r="BT216" s="930"/>
    </row>
    <row r="217" spans="1:72" x14ac:dyDescent="0.25">
      <c r="A217" s="930" t="s">
        <v>654</v>
      </c>
      <c r="B217" s="930"/>
      <c r="C217" s="930"/>
      <c r="D217" s="930"/>
      <c r="E217" s="930"/>
      <c r="F217" s="930"/>
      <c r="G217" s="930"/>
      <c r="H217" s="930"/>
      <c r="I217" s="930"/>
      <c r="J217" s="930"/>
      <c r="K217" s="930"/>
      <c r="L217" s="930"/>
      <c r="M217" s="930"/>
      <c r="N217" s="930"/>
      <c r="O217" s="930"/>
      <c r="P217" s="930"/>
      <c r="Q217" s="930"/>
      <c r="R217" s="930"/>
      <c r="S217" s="930"/>
      <c r="T217" s="930"/>
      <c r="U217" s="930"/>
      <c r="V217" s="930"/>
      <c r="W217" s="930"/>
      <c r="X217" s="930"/>
      <c r="Y217" s="930"/>
      <c r="Z217" s="930"/>
      <c r="AA217" s="930"/>
      <c r="AB217" s="930"/>
      <c r="AC217" s="930"/>
      <c r="AD217" s="930"/>
      <c r="AE217" s="930"/>
      <c r="AF217" s="930"/>
      <c r="AG217" s="930"/>
      <c r="AH217" s="930"/>
      <c r="AI217" s="930"/>
      <c r="AJ217" s="930"/>
      <c r="AK217" s="930"/>
      <c r="AL217" s="930"/>
      <c r="AM217" s="930"/>
      <c r="AN217" s="930"/>
      <c r="AO217" s="930"/>
      <c r="AP217" s="930"/>
      <c r="AQ217" s="930"/>
      <c r="AR217" s="930"/>
      <c r="AS217" s="930"/>
      <c r="AT217" s="930"/>
      <c r="AU217" s="930"/>
      <c r="AV217" s="930"/>
      <c r="AW217" s="930"/>
      <c r="AX217" s="930"/>
      <c r="AY217" s="930"/>
      <c r="AZ217" s="930"/>
      <c r="BA217" s="930"/>
      <c r="BB217" s="930"/>
      <c r="BC217" s="930"/>
      <c r="BD217" s="930"/>
      <c r="BE217" s="930"/>
      <c r="BF217" s="930"/>
      <c r="BG217" s="930"/>
      <c r="BH217" s="930"/>
      <c r="BI217" s="930"/>
      <c r="BJ217" s="930"/>
      <c r="BK217" s="930"/>
      <c r="BL217" s="930"/>
      <c r="BM217" s="930"/>
      <c r="BN217" s="930"/>
      <c r="BO217" s="930"/>
      <c r="BP217" s="930"/>
      <c r="BQ217" s="930"/>
      <c r="BR217" s="930"/>
      <c r="BS217" s="930"/>
      <c r="BT217" s="930"/>
    </row>
    <row r="218" spans="1:72" x14ac:dyDescent="0.25">
      <c r="A218" s="930" t="s">
        <v>545</v>
      </c>
      <c r="B218" s="930"/>
      <c r="C218" s="930"/>
      <c r="D218" s="930"/>
      <c r="E218" s="930"/>
      <c r="F218" s="930"/>
      <c r="G218" s="930"/>
      <c r="H218" s="930"/>
      <c r="I218" s="930"/>
      <c r="J218" s="930"/>
      <c r="K218" s="930"/>
      <c r="L218" s="930"/>
      <c r="M218" s="930"/>
      <c r="N218" s="930"/>
      <c r="O218" s="930"/>
      <c r="P218" s="930"/>
      <c r="Q218" s="930"/>
      <c r="R218" s="930"/>
      <c r="S218" s="930"/>
      <c r="T218" s="930"/>
      <c r="U218" s="930"/>
      <c r="V218" s="930"/>
      <c r="W218" s="930"/>
      <c r="X218" s="930"/>
      <c r="Y218" s="930"/>
      <c r="Z218" s="930"/>
      <c r="AA218" s="930"/>
      <c r="AB218" s="930"/>
      <c r="AC218" s="930"/>
      <c r="AD218" s="930"/>
      <c r="AE218" s="930"/>
      <c r="AF218" s="930"/>
      <c r="AG218" s="930"/>
      <c r="AH218" s="930"/>
      <c r="AI218" s="930"/>
      <c r="AJ218" s="930"/>
      <c r="AK218" s="930"/>
      <c r="AL218" s="930"/>
      <c r="AM218" s="930"/>
      <c r="AN218" s="930"/>
      <c r="AO218" s="930"/>
      <c r="AP218" s="930"/>
      <c r="AQ218" s="930"/>
      <c r="AR218" s="930"/>
      <c r="AS218" s="930"/>
      <c r="AT218" s="930"/>
      <c r="AU218" s="930"/>
      <c r="AV218" s="930"/>
      <c r="AW218" s="930"/>
      <c r="AX218" s="930"/>
      <c r="AY218" s="930"/>
      <c r="AZ218" s="930"/>
      <c r="BA218" s="930"/>
      <c r="BB218" s="930"/>
      <c r="BC218" s="930"/>
      <c r="BD218" s="930"/>
      <c r="BE218" s="930"/>
      <c r="BF218" s="930"/>
      <c r="BG218" s="930"/>
      <c r="BH218" s="930"/>
      <c r="BI218" s="930"/>
      <c r="BJ218" s="930"/>
      <c r="BK218" s="930"/>
      <c r="BL218" s="930"/>
      <c r="BM218" s="930"/>
      <c r="BN218" s="930"/>
      <c r="BO218" s="930"/>
      <c r="BP218" s="930"/>
      <c r="BQ218" s="930"/>
      <c r="BR218" s="930"/>
      <c r="BS218" s="930"/>
      <c r="BT218" s="930"/>
    </row>
    <row r="219" spans="1:72" x14ac:dyDescent="0.25">
      <c r="A219" s="930" t="s">
        <v>730</v>
      </c>
      <c r="B219" s="930"/>
      <c r="C219" s="930"/>
      <c r="D219" s="930"/>
      <c r="E219" s="930"/>
      <c r="F219" s="930"/>
      <c r="G219" s="930"/>
      <c r="H219" s="930"/>
      <c r="I219" s="930"/>
      <c r="J219" s="930"/>
      <c r="K219" s="930"/>
      <c r="L219" s="930"/>
      <c r="M219" s="930"/>
      <c r="N219" s="930"/>
      <c r="O219" s="930"/>
      <c r="P219" s="930"/>
      <c r="Q219" s="930"/>
      <c r="R219" s="930"/>
      <c r="S219" s="930"/>
      <c r="T219" s="930"/>
      <c r="U219" s="930"/>
      <c r="V219" s="930"/>
      <c r="W219" s="930"/>
      <c r="X219" s="930"/>
      <c r="Y219" s="930"/>
      <c r="Z219" s="930"/>
      <c r="AA219" s="930"/>
      <c r="AB219" s="930"/>
      <c r="AC219" s="930"/>
      <c r="AD219" s="930"/>
      <c r="AE219" s="930"/>
      <c r="AF219" s="930"/>
      <c r="AG219" s="930"/>
      <c r="AH219" s="930"/>
      <c r="AI219" s="930"/>
      <c r="AJ219" s="930"/>
      <c r="AK219" s="930"/>
      <c r="AL219" s="930"/>
      <c r="AM219" s="930"/>
      <c r="AN219" s="930"/>
      <c r="AO219" s="930"/>
      <c r="AP219" s="930"/>
      <c r="AQ219" s="930"/>
      <c r="AR219" s="930"/>
      <c r="AS219" s="930"/>
      <c r="AT219" s="930"/>
      <c r="AU219" s="930"/>
      <c r="AV219" s="930"/>
      <c r="AW219" s="930"/>
      <c r="AX219" s="930"/>
      <c r="AY219" s="930"/>
      <c r="AZ219" s="930"/>
      <c r="BA219" s="930"/>
      <c r="BB219" s="930"/>
      <c r="BC219" s="930"/>
      <c r="BD219" s="930"/>
      <c r="BE219" s="930"/>
      <c r="BF219" s="930"/>
      <c r="BG219" s="930"/>
      <c r="BH219" s="930"/>
      <c r="BI219" s="930"/>
      <c r="BJ219" s="930"/>
      <c r="BK219" s="930"/>
      <c r="BL219" s="930"/>
      <c r="BM219" s="930"/>
      <c r="BN219" s="930"/>
      <c r="BO219" s="930"/>
      <c r="BP219" s="930"/>
      <c r="BQ219" s="930"/>
      <c r="BR219" s="930"/>
      <c r="BS219" s="930"/>
      <c r="BT219" s="930"/>
    </row>
    <row r="220" spans="1:72" x14ac:dyDescent="0.25">
      <c r="A220" s="930" t="s">
        <v>792</v>
      </c>
      <c r="B220" s="930"/>
      <c r="C220" s="930"/>
      <c r="D220" s="930"/>
      <c r="E220" s="930"/>
      <c r="F220" s="930"/>
      <c r="G220" s="930"/>
      <c r="H220" s="930"/>
      <c r="I220" s="930"/>
      <c r="J220" s="930"/>
      <c r="K220" s="930"/>
      <c r="L220" s="930"/>
      <c r="M220" s="930"/>
      <c r="N220" s="930"/>
      <c r="O220" s="930"/>
      <c r="P220" s="930"/>
      <c r="Q220" s="930"/>
      <c r="R220" s="930"/>
      <c r="S220" s="930"/>
      <c r="T220" s="930"/>
      <c r="U220" s="930"/>
      <c r="V220" s="930"/>
      <c r="W220" s="930"/>
      <c r="X220" s="930"/>
      <c r="Y220" s="930"/>
      <c r="Z220" s="930"/>
      <c r="AA220" s="930"/>
      <c r="AB220" s="930"/>
      <c r="AC220" s="930"/>
      <c r="AD220" s="930"/>
      <c r="AE220" s="930"/>
      <c r="AF220" s="930"/>
      <c r="AG220" s="930"/>
      <c r="AH220" s="930"/>
      <c r="AI220" s="930"/>
      <c r="AJ220" s="930"/>
      <c r="AK220" s="930"/>
      <c r="AL220" s="930"/>
      <c r="AM220" s="930"/>
      <c r="AN220" s="930"/>
      <c r="AO220" s="930"/>
      <c r="AP220" s="930"/>
      <c r="AQ220" s="930"/>
      <c r="AR220" s="930"/>
      <c r="AS220" s="930"/>
      <c r="AT220" s="930"/>
      <c r="AU220" s="930"/>
      <c r="AV220" s="930"/>
      <c r="AW220" s="930"/>
      <c r="AX220" s="930"/>
      <c r="AY220" s="930"/>
      <c r="AZ220" s="930"/>
      <c r="BA220" s="930"/>
      <c r="BB220" s="930"/>
      <c r="BC220" s="930"/>
      <c r="BD220" s="930"/>
      <c r="BE220" s="930"/>
      <c r="BF220" s="930"/>
      <c r="BG220" s="930"/>
      <c r="BH220" s="930"/>
      <c r="BI220" s="930"/>
      <c r="BJ220" s="930"/>
      <c r="BK220" s="930"/>
      <c r="BL220" s="930"/>
      <c r="BM220" s="930"/>
      <c r="BN220" s="930"/>
      <c r="BO220" s="930"/>
      <c r="BP220" s="930"/>
      <c r="BQ220" s="930"/>
      <c r="BR220" s="930"/>
      <c r="BS220" s="930"/>
      <c r="BT220" s="930"/>
    </row>
    <row r="221" spans="1:72" x14ac:dyDescent="0.25">
      <c r="A221" s="930" t="s">
        <v>793</v>
      </c>
      <c r="B221" s="930"/>
      <c r="C221" s="930"/>
      <c r="D221" s="930"/>
      <c r="E221" s="930"/>
      <c r="F221" s="930"/>
      <c r="G221" s="930"/>
      <c r="H221" s="930"/>
      <c r="I221" s="930"/>
      <c r="J221" s="930"/>
      <c r="K221" s="930"/>
      <c r="L221" s="930"/>
      <c r="M221" s="930"/>
      <c r="N221" s="930"/>
      <c r="O221" s="930"/>
      <c r="P221" s="930"/>
      <c r="Q221" s="930"/>
      <c r="R221" s="930"/>
      <c r="S221" s="930"/>
      <c r="T221" s="930"/>
      <c r="U221" s="930"/>
      <c r="V221" s="930"/>
      <c r="W221" s="930"/>
      <c r="X221" s="930"/>
      <c r="Y221" s="930"/>
      <c r="Z221" s="930"/>
      <c r="AA221" s="930"/>
      <c r="AB221" s="930"/>
      <c r="AC221" s="930"/>
      <c r="AD221" s="930"/>
      <c r="AE221" s="930"/>
      <c r="AF221" s="930"/>
      <c r="AG221" s="930"/>
      <c r="AH221" s="930"/>
      <c r="AI221" s="930"/>
      <c r="AJ221" s="930"/>
      <c r="AK221" s="930"/>
      <c r="AL221" s="930"/>
      <c r="AM221" s="930"/>
      <c r="AN221" s="930"/>
      <c r="AO221" s="930"/>
      <c r="AP221" s="930"/>
      <c r="AQ221" s="930"/>
      <c r="AR221" s="930"/>
      <c r="AS221" s="930"/>
      <c r="AT221" s="930"/>
      <c r="AU221" s="930"/>
      <c r="AV221" s="930"/>
      <c r="AW221" s="930"/>
      <c r="AX221" s="930"/>
      <c r="AY221" s="930"/>
      <c r="AZ221" s="930"/>
      <c r="BA221" s="930"/>
      <c r="BB221" s="930"/>
      <c r="BC221" s="930"/>
      <c r="BD221" s="930"/>
      <c r="BE221" s="930"/>
      <c r="BF221" s="930"/>
      <c r="BG221" s="930"/>
      <c r="BH221" s="930"/>
      <c r="BI221" s="930"/>
      <c r="BJ221" s="930"/>
      <c r="BK221" s="930"/>
      <c r="BL221" s="930"/>
      <c r="BM221" s="930"/>
      <c r="BN221" s="930"/>
      <c r="BO221" s="930"/>
      <c r="BP221" s="930"/>
      <c r="BQ221" s="930"/>
      <c r="BR221" s="930"/>
      <c r="BS221" s="930"/>
      <c r="BT221" s="930"/>
    </row>
    <row r="222" spans="1:72" x14ac:dyDescent="0.25">
      <c r="A222" s="930" t="s">
        <v>794</v>
      </c>
      <c r="B222" s="930"/>
      <c r="C222" s="930"/>
      <c r="D222" s="930"/>
      <c r="E222" s="930"/>
      <c r="F222" s="930"/>
      <c r="G222" s="930"/>
      <c r="H222" s="930"/>
      <c r="I222" s="930"/>
      <c r="J222" s="930"/>
      <c r="K222" s="930"/>
      <c r="L222" s="930"/>
      <c r="M222" s="930"/>
      <c r="N222" s="930"/>
      <c r="O222" s="930"/>
      <c r="P222" s="930"/>
      <c r="Q222" s="930"/>
      <c r="R222" s="930"/>
      <c r="S222" s="930"/>
      <c r="T222" s="930"/>
      <c r="U222" s="930"/>
      <c r="V222" s="930"/>
      <c r="W222" s="930"/>
      <c r="X222" s="930"/>
      <c r="Y222" s="930"/>
      <c r="Z222" s="930"/>
      <c r="AA222" s="930"/>
      <c r="AB222" s="930"/>
      <c r="AC222" s="930"/>
      <c r="AD222" s="930"/>
      <c r="AE222" s="930"/>
      <c r="AF222" s="930"/>
      <c r="AG222" s="930"/>
      <c r="AH222" s="930"/>
      <c r="AI222" s="930"/>
      <c r="AJ222" s="930"/>
      <c r="AK222" s="930"/>
      <c r="AL222" s="930"/>
      <c r="AM222" s="930"/>
      <c r="AN222" s="930"/>
      <c r="AO222" s="930"/>
      <c r="AP222" s="930"/>
      <c r="AQ222" s="930"/>
      <c r="AR222" s="930"/>
      <c r="AS222" s="930"/>
      <c r="AT222" s="930"/>
      <c r="AU222" s="930"/>
      <c r="AV222" s="930"/>
      <c r="AW222" s="930"/>
      <c r="AX222" s="930"/>
      <c r="AY222" s="930"/>
      <c r="AZ222" s="930"/>
      <c r="BA222" s="930"/>
      <c r="BB222" s="930"/>
      <c r="BC222" s="930"/>
      <c r="BD222" s="930"/>
      <c r="BE222" s="930"/>
      <c r="BF222" s="930"/>
      <c r="BG222" s="930"/>
      <c r="BH222" s="930"/>
      <c r="BI222" s="930"/>
      <c r="BJ222" s="930"/>
      <c r="BK222" s="930"/>
      <c r="BL222" s="930"/>
      <c r="BM222" s="930"/>
      <c r="BN222" s="930"/>
      <c r="BO222" s="930"/>
      <c r="BP222" s="930"/>
      <c r="BQ222" s="930"/>
      <c r="BR222" s="930"/>
      <c r="BS222" s="930"/>
      <c r="BT222" s="930"/>
    </row>
    <row r="223" spans="1:72" x14ac:dyDescent="0.25">
      <c r="A223" s="930" t="s">
        <v>795</v>
      </c>
      <c r="B223" s="930"/>
      <c r="C223" s="930"/>
      <c r="D223" s="930"/>
      <c r="E223" s="930"/>
      <c r="F223" s="930"/>
      <c r="G223" s="930"/>
      <c r="H223" s="930"/>
      <c r="I223" s="930"/>
      <c r="J223" s="930"/>
      <c r="K223" s="930"/>
      <c r="L223" s="930"/>
      <c r="M223" s="930"/>
      <c r="N223" s="930"/>
      <c r="O223" s="930"/>
      <c r="P223" s="930"/>
      <c r="Q223" s="930"/>
      <c r="R223" s="930"/>
      <c r="S223" s="930"/>
      <c r="T223" s="930"/>
      <c r="U223" s="930"/>
      <c r="V223" s="930"/>
      <c r="W223" s="930"/>
      <c r="X223" s="930"/>
      <c r="Y223" s="930"/>
      <c r="Z223" s="930"/>
      <c r="AA223" s="930"/>
      <c r="AB223" s="930"/>
      <c r="AC223" s="930"/>
      <c r="AD223" s="930"/>
      <c r="AE223" s="930"/>
      <c r="AF223" s="930"/>
      <c r="AG223" s="930"/>
      <c r="AH223" s="930"/>
      <c r="AI223" s="930"/>
      <c r="AJ223" s="930"/>
      <c r="AK223" s="930"/>
      <c r="AL223" s="930"/>
      <c r="AM223" s="930"/>
      <c r="AN223" s="930"/>
      <c r="AO223" s="930"/>
      <c r="AP223" s="930"/>
      <c r="AQ223" s="930"/>
      <c r="AR223" s="930"/>
      <c r="AS223" s="930"/>
      <c r="AT223" s="930"/>
      <c r="AU223" s="930"/>
      <c r="AV223" s="930"/>
      <c r="AW223" s="930"/>
      <c r="AX223" s="930"/>
      <c r="AY223" s="930"/>
      <c r="AZ223" s="930"/>
      <c r="BA223" s="930"/>
      <c r="BB223" s="930"/>
      <c r="BC223" s="930"/>
      <c r="BD223" s="930"/>
      <c r="BE223" s="930"/>
      <c r="BF223" s="930"/>
      <c r="BG223" s="930"/>
      <c r="BH223" s="930"/>
      <c r="BI223" s="930"/>
      <c r="BJ223" s="930"/>
      <c r="BK223" s="930"/>
      <c r="BL223" s="930"/>
      <c r="BM223" s="930"/>
      <c r="BN223" s="930"/>
      <c r="BO223" s="930"/>
      <c r="BP223" s="930"/>
      <c r="BQ223" s="930"/>
      <c r="BR223" s="930"/>
      <c r="BS223" s="930"/>
      <c r="BT223" s="930"/>
    </row>
    <row r="224" spans="1:72" x14ac:dyDescent="0.25">
      <c r="A224" s="930" t="s">
        <v>796</v>
      </c>
      <c r="B224" s="930"/>
      <c r="C224" s="930"/>
      <c r="D224" s="930"/>
      <c r="E224" s="930"/>
      <c r="F224" s="930"/>
      <c r="G224" s="930"/>
      <c r="H224" s="930"/>
      <c r="I224" s="930"/>
      <c r="J224" s="930"/>
      <c r="K224" s="930"/>
      <c r="L224" s="930"/>
      <c r="M224" s="930"/>
      <c r="N224" s="930"/>
      <c r="O224" s="930"/>
      <c r="P224" s="930"/>
      <c r="Q224" s="930"/>
      <c r="R224" s="930"/>
      <c r="S224" s="930"/>
      <c r="T224" s="930"/>
      <c r="U224" s="930"/>
      <c r="V224" s="930"/>
      <c r="W224" s="930"/>
      <c r="X224" s="930"/>
      <c r="Y224" s="930"/>
      <c r="Z224" s="930"/>
      <c r="AA224" s="930"/>
      <c r="AB224" s="930"/>
      <c r="AC224" s="930"/>
      <c r="AD224" s="930"/>
      <c r="AE224" s="930"/>
      <c r="AF224" s="930"/>
      <c r="AG224" s="930"/>
      <c r="AH224" s="930"/>
      <c r="AI224" s="930"/>
      <c r="AJ224" s="930"/>
      <c r="AK224" s="930"/>
      <c r="AL224" s="930"/>
      <c r="AM224" s="930"/>
      <c r="AN224" s="930"/>
      <c r="AO224" s="930"/>
      <c r="AP224" s="930"/>
      <c r="AQ224" s="930"/>
      <c r="AR224" s="930"/>
      <c r="AS224" s="930"/>
      <c r="AT224" s="930"/>
      <c r="AU224" s="930"/>
      <c r="AV224" s="930"/>
      <c r="AW224" s="930"/>
      <c r="AX224" s="930"/>
      <c r="AY224" s="930"/>
      <c r="AZ224" s="930"/>
      <c r="BA224" s="930"/>
      <c r="BB224" s="930"/>
      <c r="BC224" s="930"/>
      <c r="BD224" s="930"/>
      <c r="BE224" s="930"/>
      <c r="BF224" s="930"/>
      <c r="BG224" s="930"/>
      <c r="BH224" s="930"/>
      <c r="BI224" s="930"/>
      <c r="BJ224" s="930"/>
      <c r="BK224" s="930"/>
      <c r="BL224" s="930"/>
      <c r="BM224" s="930"/>
      <c r="BN224" s="930"/>
      <c r="BO224" s="930"/>
      <c r="BP224" s="930"/>
      <c r="BQ224" s="930"/>
      <c r="BR224" s="930"/>
      <c r="BS224" s="930"/>
      <c r="BT224" s="930"/>
    </row>
    <row r="225" spans="1:72" x14ac:dyDescent="0.25">
      <c r="A225" s="930" t="s">
        <v>797</v>
      </c>
      <c r="B225" s="930"/>
      <c r="C225" s="930"/>
      <c r="D225" s="930"/>
      <c r="E225" s="930"/>
      <c r="F225" s="930"/>
      <c r="G225" s="930"/>
      <c r="H225" s="930"/>
      <c r="I225" s="930"/>
      <c r="J225" s="930"/>
      <c r="K225" s="930"/>
      <c r="L225" s="930"/>
      <c r="M225" s="930"/>
      <c r="N225" s="930"/>
      <c r="O225" s="930"/>
      <c r="P225" s="930"/>
      <c r="Q225" s="930"/>
      <c r="R225" s="930"/>
      <c r="S225" s="930"/>
      <c r="T225" s="930"/>
      <c r="U225" s="930"/>
      <c r="V225" s="930"/>
      <c r="W225" s="930"/>
      <c r="X225" s="930"/>
      <c r="Y225" s="930"/>
      <c r="Z225" s="930"/>
      <c r="AA225" s="930"/>
      <c r="AB225" s="930"/>
      <c r="AC225" s="930"/>
      <c r="AD225" s="930"/>
      <c r="AE225" s="930"/>
      <c r="AF225" s="930"/>
      <c r="AG225" s="930"/>
      <c r="AH225" s="930"/>
      <c r="AI225" s="930"/>
      <c r="AJ225" s="930"/>
      <c r="AK225" s="930"/>
      <c r="AL225" s="930"/>
      <c r="AM225" s="930"/>
      <c r="AN225" s="930"/>
      <c r="AO225" s="930"/>
      <c r="AP225" s="930"/>
      <c r="AQ225" s="930"/>
      <c r="AR225" s="930"/>
      <c r="AS225" s="930"/>
      <c r="AT225" s="930"/>
      <c r="AU225" s="930"/>
      <c r="AV225" s="930"/>
      <c r="AW225" s="930"/>
      <c r="AX225" s="930"/>
      <c r="AY225" s="930"/>
      <c r="AZ225" s="930"/>
      <c r="BA225" s="930"/>
      <c r="BB225" s="930"/>
      <c r="BC225" s="930"/>
      <c r="BD225" s="930"/>
      <c r="BE225" s="930"/>
      <c r="BF225" s="930"/>
      <c r="BG225" s="930"/>
      <c r="BH225" s="930"/>
      <c r="BI225" s="930"/>
      <c r="BJ225" s="930"/>
      <c r="BK225" s="930"/>
      <c r="BL225" s="930"/>
      <c r="BM225" s="930"/>
      <c r="BN225" s="930"/>
      <c r="BO225" s="930"/>
      <c r="BP225" s="930"/>
      <c r="BQ225" s="930"/>
      <c r="BR225" s="930"/>
      <c r="BS225" s="930"/>
      <c r="BT225" s="930"/>
    </row>
    <row r="226" spans="1:72" x14ac:dyDescent="0.25">
      <c r="A226" s="930" t="s">
        <v>798</v>
      </c>
      <c r="B226" s="930"/>
      <c r="C226" s="930"/>
      <c r="D226" s="930"/>
      <c r="E226" s="930"/>
      <c r="F226" s="930"/>
      <c r="G226" s="930"/>
      <c r="H226" s="930"/>
      <c r="I226" s="930"/>
      <c r="J226" s="930"/>
      <c r="K226" s="930"/>
      <c r="L226" s="930"/>
      <c r="M226" s="930"/>
      <c r="N226" s="930"/>
      <c r="O226" s="930"/>
      <c r="P226" s="930"/>
      <c r="Q226" s="930"/>
      <c r="R226" s="930"/>
      <c r="S226" s="930"/>
      <c r="T226" s="930"/>
      <c r="U226" s="930"/>
      <c r="V226" s="930"/>
      <c r="W226" s="930"/>
      <c r="X226" s="930"/>
      <c r="Y226" s="930"/>
      <c r="Z226" s="930"/>
      <c r="AA226" s="930"/>
      <c r="AB226" s="930"/>
      <c r="AC226" s="930"/>
      <c r="AD226" s="930"/>
      <c r="AE226" s="930"/>
      <c r="AF226" s="930"/>
      <c r="AG226" s="930"/>
      <c r="AH226" s="930"/>
      <c r="AI226" s="930"/>
      <c r="AJ226" s="930"/>
      <c r="AK226" s="930"/>
      <c r="AL226" s="930"/>
      <c r="AM226" s="930"/>
      <c r="AN226" s="930"/>
      <c r="AO226" s="930"/>
      <c r="AP226" s="930"/>
      <c r="AQ226" s="930"/>
      <c r="AR226" s="930"/>
      <c r="AS226" s="930"/>
      <c r="AT226" s="930"/>
      <c r="AU226" s="930"/>
      <c r="AV226" s="930"/>
      <c r="AW226" s="930"/>
      <c r="AX226" s="930"/>
      <c r="AY226" s="930"/>
      <c r="AZ226" s="930"/>
      <c r="BA226" s="930"/>
      <c r="BB226" s="930"/>
      <c r="BC226" s="930"/>
      <c r="BD226" s="930"/>
      <c r="BE226" s="930"/>
      <c r="BF226" s="930"/>
      <c r="BG226" s="930"/>
      <c r="BH226" s="930"/>
      <c r="BI226" s="930"/>
      <c r="BJ226" s="930"/>
      <c r="BK226" s="930"/>
      <c r="BL226" s="930"/>
      <c r="BM226" s="930"/>
      <c r="BN226" s="930"/>
      <c r="BO226" s="930"/>
      <c r="BP226" s="930"/>
      <c r="BQ226" s="930"/>
      <c r="BR226" s="930"/>
      <c r="BS226" s="930"/>
      <c r="BT226" s="930"/>
    </row>
    <row r="227" spans="1:72" x14ac:dyDescent="0.25">
      <c r="A227" s="930" t="s">
        <v>799</v>
      </c>
      <c r="B227" s="930"/>
      <c r="C227" s="930"/>
      <c r="D227" s="930"/>
      <c r="E227" s="930"/>
      <c r="F227" s="930"/>
      <c r="G227" s="930"/>
      <c r="H227" s="930"/>
      <c r="I227" s="930"/>
      <c r="J227" s="930"/>
      <c r="K227" s="930"/>
      <c r="L227" s="930"/>
      <c r="M227" s="930"/>
      <c r="N227" s="930"/>
      <c r="O227" s="930"/>
      <c r="P227" s="930"/>
      <c r="Q227" s="930"/>
      <c r="R227" s="930"/>
      <c r="S227" s="930"/>
      <c r="T227" s="930"/>
      <c r="U227" s="930"/>
      <c r="V227" s="930"/>
      <c r="W227" s="930"/>
      <c r="X227" s="930"/>
      <c r="Y227" s="930"/>
      <c r="Z227" s="930"/>
      <c r="AA227" s="930"/>
      <c r="AB227" s="930"/>
      <c r="AC227" s="930"/>
      <c r="AD227" s="930"/>
      <c r="AE227" s="930"/>
      <c r="AF227" s="930"/>
      <c r="AG227" s="930"/>
      <c r="AH227" s="930"/>
      <c r="AI227" s="930"/>
      <c r="AJ227" s="930"/>
      <c r="AK227" s="930"/>
      <c r="AL227" s="930"/>
      <c r="AM227" s="930"/>
      <c r="AN227" s="930"/>
      <c r="AO227" s="930"/>
      <c r="AP227" s="930"/>
      <c r="AQ227" s="930"/>
      <c r="AR227" s="930"/>
      <c r="AS227" s="930"/>
      <c r="AT227" s="930"/>
      <c r="AU227" s="930"/>
      <c r="AV227" s="930"/>
      <c r="AW227" s="930"/>
      <c r="AX227" s="930"/>
      <c r="AY227" s="930"/>
      <c r="AZ227" s="930"/>
      <c r="BA227" s="930"/>
      <c r="BB227" s="930"/>
      <c r="BC227" s="930"/>
      <c r="BD227" s="930"/>
      <c r="BE227" s="930"/>
      <c r="BF227" s="930"/>
      <c r="BG227" s="930"/>
      <c r="BH227" s="930"/>
      <c r="BI227" s="930"/>
      <c r="BJ227" s="930"/>
      <c r="BK227" s="930"/>
      <c r="BL227" s="930"/>
      <c r="BM227" s="930"/>
      <c r="BN227" s="930"/>
      <c r="BO227" s="930"/>
      <c r="BP227" s="930"/>
      <c r="BQ227" s="930"/>
      <c r="BR227" s="930"/>
      <c r="BS227" s="930"/>
      <c r="BT227" s="930"/>
    </row>
    <row r="228" spans="1:72" x14ac:dyDescent="0.25">
      <c r="A228" s="930" t="s">
        <v>800</v>
      </c>
      <c r="B228" s="930"/>
      <c r="C228" s="930"/>
      <c r="D228" s="930"/>
      <c r="E228" s="930"/>
      <c r="F228" s="930"/>
      <c r="G228" s="930"/>
      <c r="H228" s="930"/>
      <c r="I228" s="930"/>
      <c r="J228" s="930"/>
      <c r="K228" s="930"/>
      <c r="L228" s="930"/>
      <c r="M228" s="930"/>
      <c r="N228" s="930"/>
      <c r="O228" s="930"/>
      <c r="P228" s="930"/>
      <c r="Q228" s="930"/>
      <c r="R228" s="930"/>
      <c r="S228" s="930"/>
      <c r="T228" s="930"/>
      <c r="U228" s="930"/>
      <c r="V228" s="930"/>
      <c r="W228" s="930"/>
      <c r="X228" s="930"/>
      <c r="Y228" s="930"/>
      <c r="Z228" s="930"/>
      <c r="AA228" s="930"/>
      <c r="AB228" s="930"/>
      <c r="AC228" s="930"/>
      <c r="AD228" s="930"/>
      <c r="AE228" s="930"/>
      <c r="AF228" s="930"/>
      <c r="AG228" s="930"/>
      <c r="AH228" s="930"/>
      <c r="AI228" s="930"/>
      <c r="AJ228" s="930"/>
      <c r="AK228" s="930"/>
      <c r="AL228" s="930"/>
      <c r="AM228" s="930"/>
      <c r="AN228" s="930"/>
      <c r="AO228" s="930"/>
      <c r="AP228" s="930"/>
      <c r="AQ228" s="930"/>
      <c r="AR228" s="930"/>
      <c r="AS228" s="930"/>
      <c r="AT228" s="930"/>
      <c r="AU228" s="930"/>
      <c r="AV228" s="930"/>
      <c r="AW228" s="930"/>
      <c r="AX228" s="930"/>
      <c r="AY228" s="930"/>
      <c r="AZ228" s="930"/>
      <c r="BA228" s="930"/>
      <c r="BB228" s="930"/>
      <c r="BC228" s="930"/>
      <c r="BD228" s="930"/>
      <c r="BE228" s="930"/>
      <c r="BF228" s="930"/>
      <c r="BG228" s="930"/>
      <c r="BH228" s="930"/>
      <c r="BI228" s="930"/>
      <c r="BJ228" s="930"/>
      <c r="BK228" s="930"/>
      <c r="BL228" s="930"/>
      <c r="BM228" s="930"/>
      <c r="BN228" s="930"/>
      <c r="BO228" s="930"/>
      <c r="BP228" s="930"/>
      <c r="BQ228" s="930"/>
      <c r="BR228" s="930"/>
      <c r="BS228" s="930"/>
      <c r="BT228" s="930"/>
    </row>
    <row r="229" spans="1:72" x14ac:dyDescent="0.25">
      <c r="A229" s="930" t="s">
        <v>801</v>
      </c>
      <c r="B229" s="930"/>
      <c r="C229" s="930"/>
      <c r="D229" s="930"/>
      <c r="E229" s="930"/>
      <c r="F229" s="930"/>
      <c r="G229" s="930"/>
      <c r="H229" s="930"/>
      <c r="I229" s="930"/>
      <c r="J229" s="930"/>
      <c r="K229" s="930"/>
      <c r="L229" s="930"/>
      <c r="M229" s="930"/>
      <c r="N229" s="930"/>
      <c r="O229" s="930"/>
      <c r="P229" s="930"/>
      <c r="Q229" s="930"/>
      <c r="R229" s="930"/>
      <c r="S229" s="930"/>
      <c r="T229" s="930"/>
      <c r="U229" s="930"/>
      <c r="V229" s="930"/>
      <c r="W229" s="930"/>
      <c r="X229" s="930"/>
      <c r="Y229" s="930"/>
      <c r="Z229" s="930"/>
      <c r="AA229" s="930"/>
      <c r="AB229" s="930"/>
      <c r="AC229" s="930"/>
      <c r="AD229" s="930"/>
      <c r="AE229" s="930"/>
      <c r="AF229" s="930"/>
      <c r="AG229" s="930"/>
      <c r="AH229" s="930"/>
      <c r="AI229" s="930"/>
      <c r="AJ229" s="930"/>
      <c r="AK229" s="930"/>
      <c r="AL229" s="930"/>
      <c r="AM229" s="930"/>
      <c r="AN229" s="930"/>
      <c r="AO229" s="930"/>
      <c r="AP229" s="930"/>
      <c r="AQ229" s="930"/>
      <c r="AR229" s="930"/>
      <c r="AS229" s="930"/>
      <c r="AT229" s="930"/>
      <c r="AU229" s="930"/>
      <c r="AV229" s="930"/>
      <c r="AW229" s="930"/>
      <c r="AX229" s="930"/>
      <c r="AY229" s="930"/>
      <c r="AZ229" s="930"/>
      <c r="BA229" s="930"/>
      <c r="BB229" s="930"/>
      <c r="BC229" s="930"/>
      <c r="BD229" s="930"/>
      <c r="BE229" s="930"/>
      <c r="BF229" s="930"/>
      <c r="BG229" s="930"/>
      <c r="BH229" s="930"/>
      <c r="BI229" s="930"/>
      <c r="BJ229" s="930"/>
      <c r="BK229" s="930"/>
      <c r="BL229" s="930"/>
      <c r="BM229" s="930"/>
      <c r="BN229" s="930"/>
      <c r="BO229" s="930"/>
      <c r="BP229" s="930"/>
      <c r="BQ229" s="930"/>
      <c r="BR229" s="930"/>
      <c r="BS229" s="930"/>
      <c r="BT229" s="930"/>
    </row>
    <row r="230" spans="1:72" x14ac:dyDescent="0.25">
      <c r="A230" s="930" t="s">
        <v>802</v>
      </c>
      <c r="B230" s="930"/>
      <c r="C230" s="930"/>
      <c r="D230" s="930"/>
      <c r="E230" s="930"/>
      <c r="F230" s="930"/>
      <c r="G230" s="930"/>
      <c r="H230" s="930"/>
      <c r="I230" s="930"/>
      <c r="J230" s="930"/>
      <c r="K230" s="930"/>
      <c r="L230" s="930"/>
      <c r="M230" s="930"/>
      <c r="N230" s="930"/>
      <c r="O230" s="930"/>
      <c r="P230" s="930"/>
      <c r="Q230" s="930"/>
      <c r="R230" s="930"/>
      <c r="S230" s="930"/>
      <c r="T230" s="930"/>
      <c r="U230" s="930"/>
      <c r="V230" s="930"/>
      <c r="W230" s="930"/>
      <c r="X230" s="930"/>
      <c r="Y230" s="930"/>
      <c r="Z230" s="930"/>
      <c r="AA230" s="930"/>
      <c r="AB230" s="930"/>
      <c r="AC230" s="930"/>
      <c r="AD230" s="930"/>
      <c r="AE230" s="930"/>
      <c r="AF230" s="930"/>
      <c r="AG230" s="930"/>
      <c r="AH230" s="930"/>
      <c r="AI230" s="930"/>
      <c r="AJ230" s="930"/>
      <c r="AK230" s="930"/>
      <c r="AL230" s="930"/>
      <c r="AM230" s="930"/>
      <c r="AN230" s="930"/>
      <c r="AO230" s="930"/>
      <c r="AP230" s="930"/>
      <c r="AQ230" s="930"/>
      <c r="AR230" s="930"/>
      <c r="AS230" s="930"/>
      <c r="AT230" s="930"/>
      <c r="AU230" s="930"/>
      <c r="AV230" s="930"/>
      <c r="AW230" s="930"/>
      <c r="AX230" s="930"/>
      <c r="AY230" s="930"/>
      <c r="AZ230" s="930"/>
      <c r="BA230" s="930"/>
      <c r="BB230" s="930"/>
      <c r="BC230" s="930"/>
      <c r="BD230" s="930"/>
      <c r="BE230" s="930"/>
      <c r="BF230" s="930"/>
      <c r="BG230" s="930"/>
      <c r="BH230" s="930"/>
      <c r="BI230" s="930"/>
      <c r="BJ230" s="930"/>
      <c r="BK230" s="930"/>
      <c r="BL230" s="930"/>
      <c r="BM230" s="930"/>
      <c r="BN230" s="930"/>
      <c r="BO230" s="930"/>
      <c r="BP230" s="930"/>
      <c r="BQ230" s="930"/>
      <c r="BR230" s="930"/>
      <c r="BS230" s="930"/>
      <c r="BT230" s="930"/>
    </row>
    <row r="231" spans="1:72" x14ac:dyDescent="0.25">
      <c r="A231" s="930" t="s">
        <v>803</v>
      </c>
      <c r="B231" s="930"/>
      <c r="C231" s="930"/>
      <c r="D231" s="930"/>
      <c r="E231" s="930"/>
      <c r="F231" s="930"/>
      <c r="G231" s="930"/>
      <c r="H231" s="930"/>
      <c r="I231" s="930"/>
      <c r="J231" s="930"/>
      <c r="K231" s="930"/>
      <c r="L231" s="930"/>
      <c r="M231" s="930"/>
      <c r="N231" s="930"/>
      <c r="O231" s="930"/>
      <c r="P231" s="930"/>
      <c r="Q231" s="930"/>
      <c r="R231" s="930"/>
      <c r="S231" s="930"/>
      <c r="T231" s="930"/>
      <c r="U231" s="930"/>
      <c r="V231" s="930"/>
      <c r="W231" s="930"/>
      <c r="X231" s="930"/>
      <c r="Y231" s="930"/>
      <c r="Z231" s="930"/>
      <c r="AA231" s="930"/>
      <c r="AB231" s="930"/>
      <c r="AC231" s="930"/>
      <c r="AD231" s="930"/>
      <c r="AE231" s="930"/>
      <c r="AF231" s="930"/>
      <c r="AG231" s="930"/>
      <c r="AH231" s="930"/>
      <c r="AI231" s="930"/>
      <c r="AJ231" s="930"/>
      <c r="AK231" s="930"/>
      <c r="AL231" s="930"/>
      <c r="AM231" s="930"/>
      <c r="AN231" s="930"/>
      <c r="AO231" s="930"/>
      <c r="AP231" s="930"/>
      <c r="AQ231" s="930"/>
      <c r="AR231" s="930"/>
      <c r="AS231" s="930"/>
      <c r="AT231" s="930"/>
      <c r="AU231" s="930"/>
      <c r="AV231" s="930"/>
      <c r="AW231" s="930"/>
      <c r="AX231" s="930"/>
      <c r="AY231" s="930"/>
      <c r="AZ231" s="930"/>
      <c r="BA231" s="930"/>
      <c r="BB231" s="930"/>
      <c r="BC231" s="930"/>
      <c r="BD231" s="930"/>
      <c r="BE231" s="930"/>
      <c r="BF231" s="930"/>
      <c r="BG231" s="930"/>
      <c r="BH231" s="930"/>
      <c r="BI231" s="930"/>
      <c r="BJ231" s="930"/>
      <c r="BK231" s="930"/>
      <c r="BL231" s="930"/>
      <c r="BM231" s="930"/>
      <c r="BN231" s="930"/>
      <c r="BO231" s="930"/>
      <c r="BP231" s="930"/>
      <c r="BQ231" s="930"/>
      <c r="BR231" s="930"/>
      <c r="BS231" s="930"/>
      <c r="BT231" s="930"/>
    </row>
    <row r="232" spans="1:72" x14ac:dyDescent="0.25">
      <c r="A232" s="930" t="s">
        <v>804</v>
      </c>
      <c r="B232" s="930"/>
      <c r="C232" s="930"/>
      <c r="D232" s="930"/>
      <c r="E232" s="930"/>
      <c r="F232" s="930"/>
      <c r="G232" s="930"/>
      <c r="H232" s="930"/>
      <c r="I232" s="930"/>
      <c r="J232" s="930"/>
      <c r="K232" s="930"/>
      <c r="L232" s="930"/>
      <c r="M232" s="930"/>
      <c r="N232" s="930"/>
      <c r="O232" s="930"/>
      <c r="P232" s="930"/>
      <c r="Q232" s="930"/>
      <c r="R232" s="930"/>
      <c r="S232" s="930"/>
      <c r="T232" s="930"/>
      <c r="U232" s="930"/>
      <c r="V232" s="930"/>
      <c r="W232" s="930"/>
      <c r="X232" s="930"/>
      <c r="Y232" s="930"/>
      <c r="Z232" s="930"/>
      <c r="AA232" s="930"/>
      <c r="AB232" s="930"/>
      <c r="AC232" s="930"/>
      <c r="AD232" s="930"/>
      <c r="AE232" s="930"/>
      <c r="AF232" s="930"/>
      <c r="AG232" s="930"/>
      <c r="AH232" s="930"/>
      <c r="AI232" s="930"/>
      <c r="AJ232" s="930"/>
      <c r="AK232" s="930"/>
      <c r="AL232" s="930"/>
      <c r="AM232" s="930"/>
      <c r="AN232" s="930"/>
      <c r="AO232" s="930"/>
      <c r="AP232" s="930"/>
      <c r="AQ232" s="930"/>
      <c r="AR232" s="930"/>
      <c r="AS232" s="930"/>
      <c r="AT232" s="930"/>
      <c r="AU232" s="930"/>
      <c r="AV232" s="930"/>
      <c r="AW232" s="930"/>
      <c r="AX232" s="930"/>
      <c r="AY232" s="930"/>
      <c r="AZ232" s="930"/>
      <c r="BA232" s="930"/>
      <c r="BB232" s="930"/>
      <c r="BC232" s="930"/>
      <c r="BD232" s="930"/>
      <c r="BE232" s="930"/>
      <c r="BF232" s="930"/>
      <c r="BG232" s="930"/>
      <c r="BH232" s="930"/>
      <c r="BI232" s="930"/>
      <c r="BJ232" s="930"/>
      <c r="BK232" s="930"/>
      <c r="BL232" s="930"/>
      <c r="BM232" s="930"/>
      <c r="BN232" s="930"/>
      <c r="BO232" s="930"/>
      <c r="BP232" s="930"/>
      <c r="BQ232" s="930"/>
      <c r="BR232" s="930"/>
      <c r="BS232" s="930"/>
      <c r="BT232" s="930"/>
    </row>
    <row r="233" spans="1:72" x14ac:dyDescent="0.25">
      <c r="A233" s="907" t="s">
        <v>805</v>
      </c>
      <c r="AA233" s="306"/>
      <c r="AB233" s="306"/>
      <c r="AC233" s="306"/>
      <c r="AD233" s="306"/>
    </row>
    <row r="234" spans="1:72" x14ac:dyDescent="0.25">
      <c r="A234" s="907" t="s">
        <v>806</v>
      </c>
      <c r="AA234" s="306"/>
      <c r="AB234" s="306"/>
      <c r="AC234" s="306"/>
      <c r="AD234" s="306"/>
    </row>
    <row r="235" spans="1:72" x14ac:dyDescent="0.25">
      <c r="A235" s="907" t="s">
        <v>718</v>
      </c>
      <c r="B235" t="s">
        <v>719</v>
      </c>
      <c r="C235" t="s">
        <v>720</v>
      </c>
      <c r="E235" t="s">
        <v>721</v>
      </c>
      <c r="AA235" s="306"/>
      <c r="AB235" s="306"/>
      <c r="AC235" s="306"/>
      <c r="AD235" s="306"/>
    </row>
    <row r="236" spans="1:72" x14ac:dyDescent="0.25">
      <c r="AA236" s="306"/>
      <c r="AB236" s="306"/>
      <c r="AC236" s="306"/>
      <c r="AD236" s="306"/>
    </row>
    <row r="237" spans="1:72" x14ac:dyDescent="0.25">
      <c r="A237" s="907" t="s">
        <v>447</v>
      </c>
      <c r="AA237" s="306"/>
      <c r="AB237" s="306"/>
      <c r="AC237" s="306"/>
      <c r="AD237" s="306"/>
    </row>
    <row r="238" spans="1:72" x14ac:dyDescent="0.25">
      <c r="A238" s="907"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08" t="s">
        <v>453</v>
      </c>
      <c r="C242" s="908" t="s">
        <v>454</v>
      </c>
      <c r="D242" s="908" t="s">
        <v>455</v>
      </c>
      <c r="E242" s="908" t="s">
        <v>456</v>
      </c>
      <c r="F242" s="908" t="s">
        <v>457</v>
      </c>
      <c r="G242" s="908" t="s">
        <v>458</v>
      </c>
      <c r="H242" s="908" t="s">
        <v>459</v>
      </c>
      <c r="I242" s="908" t="s">
        <v>460</v>
      </c>
      <c r="J242" s="908" t="s">
        <v>461</v>
      </c>
      <c r="K242" s="908" t="s">
        <v>462</v>
      </c>
      <c r="L242" s="908" t="s">
        <v>463</v>
      </c>
      <c r="M242" s="908" t="s">
        <v>464</v>
      </c>
      <c r="N242" s="908" t="s">
        <v>465</v>
      </c>
      <c r="O242" s="908" t="s">
        <v>466</v>
      </c>
      <c r="P242" s="908" t="s">
        <v>467</v>
      </c>
      <c r="Q242" s="908" t="s">
        <v>468</v>
      </c>
      <c r="R242" s="908" t="s">
        <v>469</v>
      </c>
      <c r="S242" s="908" t="s">
        <v>470</v>
      </c>
      <c r="T242" s="908" t="s">
        <v>471</v>
      </c>
      <c r="U242" s="908" t="s">
        <v>472</v>
      </c>
      <c r="V242" s="908" t="s">
        <v>604</v>
      </c>
      <c r="W242" s="908" t="s">
        <v>605</v>
      </c>
      <c r="X242" s="908" t="s">
        <v>606</v>
      </c>
      <c r="Y242" s="908" t="s">
        <v>607</v>
      </c>
      <c r="Z242" s="908"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07" t="s">
        <v>473</v>
      </c>
      <c r="AA245" s="306"/>
      <c r="AB245" s="306"/>
      <c r="AC245" s="306"/>
      <c r="AD245" s="306"/>
    </row>
    <row r="246" spans="1:70" x14ac:dyDescent="0.25">
      <c r="A246" s="907" t="s">
        <v>609</v>
      </c>
      <c r="B246" s="909">
        <v>23.882804870605501</v>
      </c>
      <c r="C246" s="909">
        <v>24.973464965820298</v>
      </c>
      <c r="D246" s="909">
        <v>28.470840454101602</v>
      </c>
      <c r="E246" s="909">
        <v>21.505495071411101</v>
      </c>
      <c r="F246" s="909">
        <v>20.697200775146499</v>
      </c>
      <c r="G246" s="909">
        <v>23.0020751953125</v>
      </c>
      <c r="H246" s="909">
        <v>24.980747222900401</v>
      </c>
      <c r="I246" s="909">
        <v>26.7403888702393</v>
      </c>
      <c r="J246" s="909">
        <v>28.254840850830099</v>
      </c>
      <c r="K246" s="909">
        <v>29.8807067871094</v>
      </c>
      <c r="L246" s="909">
        <v>30.930690765380898</v>
      </c>
      <c r="M246" s="909">
        <v>31.804765701293899</v>
      </c>
      <c r="N246" s="909">
        <v>32.682899475097699</v>
      </c>
      <c r="O246" s="909">
        <v>33.084945678710902</v>
      </c>
      <c r="P246" s="909">
        <v>33.339298248291001</v>
      </c>
      <c r="Q246" s="909">
        <v>33.569530487060497</v>
      </c>
      <c r="R246" s="909">
        <v>33.692008972167997</v>
      </c>
      <c r="S246" s="909">
        <v>34.029460906982401</v>
      </c>
      <c r="T246" s="909">
        <v>34.165733337402301</v>
      </c>
      <c r="U246" s="909">
        <v>33.722698211669901</v>
      </c>
      <c r="V246" s="909">
        <v>33.999015808105497</v>
      </c>
      <c r="W246" s="909">
        <v>34.276668548583999</v>
      </c>
      <c r="X246" s="909">
        <v>34.616855621337898</v>
      </c>
      <c r="Y246" s="909">
        <v>34.804977416992202</v>
      </c>
      <c r="Z246" s="909">
        <v>35.163482666015597</v>
      </c>
      <c r="AA246" s="306">
        <v>23.653226852416999</v>
      </c>
      <c r="AB246" s="306">
        <v>23.781959533691399</v>
      </c>
      <c r="AC246" s="306">
        <v>23.869001388549801</v>
      </c>
      <c r="AD246" s="306">
        <v>23.909082412719702</v>
      </c>
    </row>
    <row r="247" spans="1:70" x14ac:dyDescent="0.25">
      <c r="A247" s="907" t="s">
        <v>610</v>
      </c>
      <c r="B247" s="909">
        <v>18.4642543792725</v>
      </c>
      <c r="C247" s="909">
        <v>19.664405822753899</v>
      </c>
      <c r="D247" s="909">
        <v>23.940315246581999</v>
      </c>
      <c r="E247" s="909">
        <v>15.6857194900513</v>
      </c>
      <c r="F247" s="909">
        <v>13.3512983322144</v>
      </c>
      <c r="G247" s="909">
        <v>15.708171844482401</v>
      </c>
      <c r="H247" s="909">
        <v>17.491518020629901</v>
      </c>
      <c r="I247" s="909">
        <v>18.8044624328613</v>
      </c>
      <c r="J247" s="909">
        <v>20.071212768554702</v>
      </c>
      <c r="K247" s="909">
        <v>21.571735382080099</v>
      </c>
      <c r="L247" s="909">
        <v>22.444984436035199</v>
      </c>
      <c r="M247" s="909">
        <v>23.2645053863525</v>
      </c>
      <c r="N247" s="909">
        <v>23.975505828857401</v>
      </c>
      <c r="O247" s="909">
        <v>24.350082397460898</v>
      </c>
      <c r="P247" s="909">
        <v>24.6401481628418</v>
      </c>
      <c r="Q247" s="909">
        <v>24.7862453460693</v>
      </c>
      <c r="R247" s="909">
        <v>24.899822235107401</v>
      </c>
      <c r="S247" s="909">
        <v>25.1952934265137</v>
      </c>
      <c r="T247" s="909">
        <v>25.492937088012699</v>
      </c>
      <c r="U247" s="909">
        <v>25.134300231933601</v>
      </c>
      <c r="V247" s="909">
        <v>25.433099746704102</v>
      </c>
      <c r="W247" s="909">
        <v>25.7546691894531</v>
      </c>
      <c r="X247" s="909">
        <v>26.098386764526399</v>
      </c>
      <c r="Y247" s="909">
        <v>26.3820476531982</v>
      </c>
      <c r="Z247" s="909">
        <v>26.7700805664063</v>
      </c>
      <c r="AA247" s="306">
        <v>13.801754951477101</v>
      </c>
      <c r="AB247" s="306">
        <v>13.897899627685501</v>
      </c>
      <c r="AC247" s="306">
        <v>14.058331489563001</v>
      </c>
      <c r="AD247" s="306">
        <v>14.125551223754901</v>
      </c>
    </row>
    <row r="248" spans="1:70" x14ac:dyDescent="0.25">
      <c r="A248" s="907" t="s">
        <v>510</v>
      </c>
      <c r="B248" s="909">
        <v>13.7000589370728</v>
      </c>
      <c r="C248" s="909">
        <v>12.691158294677701</v>
      </c>
      <c r="D248" s="909">
        <v>12.9778490066528</v>
      </c>
      <c r="E248" s="909">
        <v>10.717614173889199</v>
      </c>
      <c r="F248" s="909">
        <v>11.192774772644</v>
      </c>
      <c r="G248" s="909">
        <v>11.487280845642101</v>
      </c>
      <c r="H248" s="909">
        <v>11.3991556167603</v>
      </c>
      <c r="I248" s="909">
        <v>11.307798385620099</v>
      </c>
      <c r="J248" s="909">
        <v>11.2896461486816</v>
      </c>
      <c r="K248" s="909">
        <v>11.345415115356399</v>
      </c>
      <c r="L248" s="909">
        <v>11.538298606872599</v>
      </c>
      <c r="M248" s="909">
        <v>11.7583208084106</v>
      </c>
      <c r="N248" s="909">
        <v>11.975100517272899</v>
      </c>
      <c r="O248" s="909">
        <v>12.23952293396</v>
      </c>
      <c r="P248" s="909">
        <v>12.557071685791</v>
      </c>
      <c r="Q248" s="909">
        <v>12.7957820892334</v>
      </c>
      <c r="R248" s="909">
        <v>12.871651649475099</v>
      </c>
      <c r="S248" s="909">
        <v>12.660281181335399</v>
      </c>
      <c r="T248" s="909">
        <v>12.6240320205688</v>
      </c>
      <c r="U248" s="909">
        <v>12.5992183685303</v>
      </c>
      <c r="V248" s="909">
        <v>12.7868556976318</v>
      </c>
      <c r="W248" s="909">
        <v>13.07555103302</v>
      </c>
      <c r="X248" s="909">
        <v>13.407883644104</v>
      </c>
      <c r="Y248" s="909">
        <v>13.6725673675537</v>
      </c>
      <c r="Z248" s="909">
        <v>13.962038993835399</v>
      </c>
      <c r="AA248" s="306">
        <v>11.116808891296399</v>
      </c>
      <c r="AB248" s="306">
        <v>11.2574377059937</v>
      </c>
      <c r="AC248" s="306">
        <v>11.3709173202515</v>
      </c>
      <c r="AD248" s="306">
        <v>11.426144599914601</v>
      </c>
    </row>
    <row r="249" spans="1:70" x14ac:dyDescent="0.25">
      <c r="A249" s="907" t="s">
        <v>479</v>
      </c>
      <c r="B249" s="909">
        <v>31.206779479980501</v>
      </c>
      <c r="C249" s="909">
        <v>31.181957244873001</v>
      </c>
      <c r="D249" s="909">
        <v>31.772819519043001</v>
      </c>
      <c r="E249" s="909">
        <v>30.736837387085</v>
      </c>
      <c r="F249" s="909">
        <v>28.616357803344702</v>
      </c>
      <c r="G249" s="909">
        <v>29.873619079589801</v>
      </c>
      <c r="H249" s="909">
        <v>30.101655960083001</v>
      </c>
      <c r="I249" s="909">
        <v>30.425390243530298</v>
      </c>
      <c r="J249" s="909">
        <v>30.7938537597656</v>
      </c>
      <c r="K249" s="909">
        <v>30.883028030395501</v>
      </c>
      <c r="L249" s="909">
        <v>31.149145126342798</v>
      </c>
      <c r="M249" s="909">
        <v>31.4898681640625</v>
      </c>
      <c r="N249" s="909">
        <v>31.815629959106399</v>
      </c>
      <c r="O249" s="909">
        <v>32.020698547363303</v>
      </c>
      <c r="P249" s="909">
        <v>32.4303588867188</v>
      </c>
      <c r="Q249" s="909">
        <v>32.7907905578613</v>
      </c>
      <c r="R249" s="909">
        <v>32.994007110595703</v>
      </c>
      <c r="S249" s="909">
        <v>32.923465728759801</v>
      </c>
      <c r="T249" s="909">
        <v>32.920154571533203</v>
      </c>
      <c r="U249" s="909">
        <v>32.902271270752003</v>
      </c>
      <c r="V249" s="909">
        <v>32.958240509033203</v>
      </c>
      <c r="W249" s="909">
        <v>33.321102142333999</v>
      </c>
      <c r="X249" s="909">
        <v>33.734363555908203</v>
      </c>
      <c r="Y249" s="909">
        <v>34.149539947509801</v>
      </c>
      <c r="Z249" s="909">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07" t="s">
        <v>480</v>
      </c>
      <c r="AA251" s="306">
        <v>12.0537929534912</v>
      </c>
      <c r="AB251" s="306">
        <v>12.2529897689819</v>
      </c>
      <c r="AC251" s="306">
        <v>12.3258762359619</v>
      </c>
      <c r="AD251" s="306">
        <v>12.452996253967299</v>
      </c>
    </row>
    <row r="252" spans="1:70" ht="13" thickBot="1" x14ac:dyDescent="0.3">
      <c r="A252" s="907" t="s">
        <v>609</v>
      </c>
      <c r="B252" s="909">
        <v>21.1974983215332</v>
      </c>
      <c r="C252" s="909">
        <v>23.041419982910199</v>
      </c>
      <c r="D252" s="909">
        <v>23.540430068969702</v>
      </c>
      <c r="E252" s="909">
        <v>20.975297927856399</v>
      </c>
      <c r="F252" s="909">
        <v>17.540355682373001</v>
      </c>
      <c r="G252" s="909">
        <v>19.827720642089801</v>
      </c>
      <c r="H252" s="909">
        <v>21.7962131500244</v>
      </c>
      <c r="I252" s="909">
        <v>23.5440998077393</v>
      </c>
      <c r="J252" s="909">
        <v>25.047388076782202</v>
      </c>
      <c r="K252" s="909">
        <v>26.6623840332031</v>
      </c>
      <c r="L252" s="909">
        <v>27.701774597168001</v>
      </c>
      <c r="M252" s="909">
        <v>28.565574645996101</v>
      </c>
      <c r="N252" s="909">
        <v>29.4346523284912</v>
      </c>
      <c r="O252" s="909">
        <v>29.8274021148682</v>
      </c>
      <c r="P252" s="909">
        <v>30.0731811523438</v>
      </c>
      <c r="Q252" s="909">
        <v>30.2960014343262</v>
      </c>
      <c r="R252" s="909">
        <v>30.4115695953369</v>
      </c>
      <c r="S252" s="909">
        <v>30.7421360015869</v>
      </c>
      <c r="T252" s="909">
        <v>30.871879577636701</v>
      </c>
      <c r="U252" s="909">
        <v>30.422807693481399</v>
      </c>
      <c r="V252" s="909">
        <v>30.6932373046875</v>
      </c>
      <c r="W252" s="909">
        <v>30.965314865112301</v>
      </c>
      <c r="X252" s="909">
        <v>31.299940109252901</v>
      </c>
      <c r="Y252" s="909">
        <v>31.482862472534201</v>
      </c>
      <c r="Z252" s="909">
        <v>31.836189270019499</v>
      </c>
      <c r="AA252" s="306">
        <v>7.3951959609985396</v>
      </c>
      <c r="AB252" s="306">
        <v>7.4624595642089799</v>
      </c>
      <c r="AC252" s="306">
        <v>7.2386937141418501</v>
      </c>
      <c r="AD252" s="306">
        <v>7.3113985061645499</v>
      </c>
    </row>
    <row r="253" spans="1:70" ht="13" thickBot="1" x14ac:dyDescent="0.3">
      <c r="A253" s="907" t="s">
        <v>610</v>
      </c>
      <c r="B253" s="909">
        <v>15.019946098327599</v>
      </c>
      <c r="C253" s="909">
        <v>16.054100036621101</v>
      </c>
      <c r="D253" s="909">
        <v>20.9568576812744</v>
      </c>
      <c r="E253" s="909">
        <v>13.740292549133301</v>
      </c>
      <c r="F253" s="909">
        <v>10.759732246398899</v>
      </c>
      <c r="G253" s="909">
        <v>13.277551651001</v>
      </c>
      <c r="H253" s="909">
        <v>15.102119445800801</v>
      </c>
      <c r="I253" s="909">
        <v>16.819028854370099</v>
      </c>
      <c r="J253" s="909">
        <v>18.163129806518601</v>
      </c>
      <c r="K253" s="909">
        <v>19.404659271240199</v>
      </c>
      <c r="L253" s="909">
        <v>20.2805690765381</v>
      </c>
      <c r="M253" s="909">
        <v>21.141357421875</v>
      </c>
      <c r="N253" s="909">
        <v>21.870569229126001</v>
      </c>
      <c r="O253" s="909">
        <v>22.288406372070298</v>
      </c>
      <c r="P253" s="909">
        <v>22.606428146362301</v>
      </c>
      <c r="Q253" s="909">
        <v>22.643785476684599</v>
      </c>
      <c r="R253" s="909">
        <v>22.862098693847699</v>
      </c>
      <c r="S253" s="909">
        <v>23.111530303955099</v>
      </c>
      <c r="T253" s="909">
        <v>23.2818489074707</v>
      </c>
      <c r="U253" s="909">
        <v>23.1139316558838</v>
      </c>
      <c r="V253" s="909">
        <v>23.4434604644775</v>
      </c>
      <c r="W253" s="909">
        <v>23.529294967651399</v>
      </c>
      <c r="X253" s="909">
        <v>23.9437866210938</v>
      </c>
      <c r="Y253" s="909">
        <v>24.471529006958001</v>
      </c>
      <c r="Z253" s="909">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07" t="s">
        <v>723</v>
      </c>
      <c r="B254" s="909">
        <v>8.8815975189209002</v>
      </c>
      <c r="C254" s="909">
        <v>10.3074436187744</v>
      </c>
      <c r="D254" s="909">
        <v>13.411918640136699</v>
      </c>
      <c r="E254" s="909">
        <v>6.6991925239562997</v>
      </c>
      <c r="F254" s="909">
        <v>5.8016228675842303</v>
      </c>
      <c r="G254" s="909">
        <v>8.5975322723388707</v>
      </c>
      <c r="H254" s="909">
        <v>10.1285858154297</v>
      </c>
      <c r="I254" s="909">
        <v>11.654000282287599</v>
      </c>
      <c r="J254" s="909">
        <v>12.9474182128906</v>
      </c>
      <c r="K254" s="909">
        <v>14.400235176086399</v>
      </c>
      <c r="L254" s="909">
        <v>15.2041673660278</v>
      </c>
      <c r="M254" s="909">
        <v>15.658245086669901</v>
      </c>
      <c r="N254" s="909">
        <v>16.352220535278299</v>
      </c>
      <c r="O254" s="909">
        <v>16.605510711669901</v>
      </c>
      <c r="P254" s="909">
        <v>16.856744766235401</v>
      </c>
      <c r="Q254" s="909">
        <v>17.043632507324201</v>
      </c>
      <c r="R254" s="909">
        <v>17.1953125</v>
      </c>
      <c r="S254" s="909">
        <v>17.403110504150401</v>
      </c>
      <c r="T254" s="909">
        <v>17.4520969390869</v>
      </c>
      <c r="U254" s="909">
        <v>17.016120910644499</v>
      </c>
      <c r="V254" s="909">
        <v>17.163618087768601</v>
      </c>
      <c r="W254" s="909">
        <v>17.311967849731399</v>
      </c>
      <c r="X254" s="909">
        <v>17.516565322876001</v>
      </c>
      <c r="Y254" s="909">
        <v>17.704761505126999</v>
      </c>
      <c r="Z254" s="909">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07" t="s">
        <v>510</v>
      </c>
      <c r="B255" s="909">
        <v>11.896094322204601</v>
      </c>
      <c r="C255" s="909">
        <v>10.9898433685303</v>
      </c>
      <c r="D255" s="909">
        <v>11.3387994766235</v>
      </c>
      <c r="E255" s="909">
        <v>8.9075946807861293</v>
      </c>
      <c r="F255" s="909">
        <v>9.4656057357788104</v>
      </c>
      <c r="G255" s="909">
        <v>9.7463216781616193</v>
      </c>
      <c r="H255" s="909">
        <v>9.7210922241210902</v>
      </c>
      <c r="I255" s="909">
        <v>9.6719341278076207</v>
      </c>
      <c r="J255" s="909">
        <v>9.7138872146606392</v>
      </c>
      <c r="K255" s="909">
        <v>9.8306560516357404</v>
      </c>
      <c r="L255" s="909">
        <v>10.038209915161101</v>
      </c>
      <c r="M255" s="909">
        <v>10.2545003890991</v>
      </c>
      <c r="N255" s="909">
        <v>10.476261138916</v>
      </c>
      <c r="O255" s="909">
        <v>10.746561050415</v>
      </c>
      <c r="P255" s="909">
        <v>11.0803880691528</v>
      </c>
      <c r="Q255" s="909">
        <v>11.314369201660201</v>
      </c>
      <c r="R255" s="909">
        <v>11.4017143249512</v>
      </c>
      <c r="S255" s="909">
        <v>11.212500572204601</v>
      </c>
      <c r="T255" s="909">
        <v>11.1975994110107</v>
      </c>
      <c r="U255" s="909">
        <v>11.159740447998001</v>
      </c>
      <c r="V255" s="909">
        <v>11.3503875732422</v>
      </c>
      <c r="W255" s="909">
        <v>11.640952110290501</v>
      </c>
      <c r="X255" s="909">
        <v>11.9785671234131</v>
      </c>
      <c r="Y255" s="909">
        <v>12.2332496643066</v>
      </c>
      <c r="Z255" s="909">
        <v>12.5188312530518</v>
      </c>
      <c r="AA255" s="306"/>
      <c r="AB255" s="306"/>
      <c r="AC255" s="306"/>
      <c r="AD255" s="306"/>
    </row>
    <row r="256" spans="1:70" x14ac:dyDescent="0.25">
      <c r="A256" s="907" t="s">
        <v>479</v>
      </c>
      <c r="B256" s="909">
        <v>28.3762531280518</v>
      </c>
      <c r="C256" s="909">
        <v>28.029735565185501</v>
      </c>
      <c r="D256" s="909">
        <v>29.057315826416001</v>
      </c>
      <c r="E256" s="909">
        <v>27.6067714691162</v>
      </c>
      <c r="F256" s="909">
        <v>24.835584640502901</v>
      </c>
      <c r="G256" s="909">
        <v>25.581251144409201</v>
      </c>
      <c r="H256" s="909">
        <v>25.4402256011963</v>
      </c>
      <c r="I256" s="909">
        <v>25.470129013061499</v>
      </c>
      <c r="J256" s="909">
        <v>25.672283172607401</v>
      </c>
      <c r="K256" s="909">
        <v>25.763282775878899</v>
      </c>
      <c r="L256" s="909">
        <v>26.100669860839801</v>
      </c>
      <c r="M256" s="909">
        <v>26.468044281005898</v>
      </c>
      <c r="N256" s="909">
        <v>26.885612487793001</v>
      </c>
      <c r="O256" s="909">
        <v>27.169450759887699</v>
      </c>
      <c r="P256" s="909">
        <v>27.620109558105501</v>
      </c>
      <c r="Q256" s="909">
        <v>28.002447128295898</v>
      </c>
      <c r="R256" s="909">
        <v>28.245407104492202</v>
      </c>
      <c r="S256" s="909">
        <v>28.186374664306602</v>
      </c>
      <c r="T256" s="909">
        <v>28.203248977661101</v>
      </c>
      <c r="U256" s="909">
        <v>28.139711380004901</v>
      </c>
      <c r="V256" s="909">
        <v>28.178466796875</v>
      </c>
      <c r="W256" s="909">
        <v>28.495182037353501</v>
      </c>
      <c r="X256" s="909">
        <v>28.915565490722699</v>
      </c>
      <c r="Y256" s="909">
        <v>29.289411544799801</v>
      </c>
      <c r="Z256" s="909">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07" t="s">
        <v>612</v>
      </c>
      <c r="AA258" s="306">
        <v>9.5039434432983398</v>
      </c>
      <c r="AB258" s="306">
        <v>9.4975557327270508</v>
      </c>
      <c r="AC258" s="306">
        <v>9.6068582534790004</v>
      </c>
      <c r="AD258" s="306">
        <v>9.5831336975097692</v>
      </c>
    </row>
    <row r="259" spans="1:70" ht="13" thickBot="1" x14ac:dyDescent="0.3">
      <c r="A259" s="907" t="s">
        <v>609</v>
      </c>
      <c r="B259" s="909">
        <v>21.041078567504901</v>
      </c>
      <c r="C259" s="909">
        <v>23.3795166015625</v>
      </c>
      <c r="D259" s="909">
        <v>26.646581649780298</v>
      </c>
      <c r="E259" s="909">
        <v>22.2440700531006</v>
      </c>
      <c r="F259" s="909">
        <v>16.6379299163818</v>
      </c>
      <c r="G259" s="909">
        <v>18.920274734497099</v>
      </c>
      <c r="H259" s="909">
        <v>20.8892612457275</v>
      </c>
      <c r="I259" s="909">
        <v>22.636520385742202</v>
      </c>
      <c r="J259" s="909">
        <v>24.1346244812012</v>
      </c>
      <c r="K259" s="909">
        <v>25.742292404174801</v>
      </c>
      <c r="L259" s="909">
        <v>26.783767700195298</v>
      </c>
      <c r="M259" s="909">
        <v>27.652248382568398</v>
      </c>
      <c r="N259" s="909">
        <v>28.520401000976602</v>
      </c>
      <c r="O259" s="909">
        <v>28.932659149169901</v>
      </c>
      <c r="P259" s="909">
        <v>29.169765472412099</v>
      </c>
      <c r="Q259" s="909">
        <v>29.4143581390381</v>
      </c>
      <c r="R259" s="909">
        <v>29.524629592895501</v>
      </c>
      <c r="S259" s="909">
        <v>29.853767395019499</v>
      </c>
      <c r="T259" s="909">
        <v>29.959171295166001</v>
      </c>
      <c r="U259" s="909">
        <v>29.528638839721701</v>
      </c>
      <c r="V259" s="909">
        <v>29.7813510894775</v>
      </c>
      <c r="W259" s="909">
        <v>30.054143905639599</v>
      </c>
      <c r="X259" s="909">
        <v>30.3852443695068</v>
      </c>
      <c r="Y259" s="909">
        <v>30.4649448394775</v>
      </c>
      <c r="Z259" s="909">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07" t="s">
        <v>610</v>
      </c>
      <c r="B260" s="909">
        <v>15.7354278564453</v>
      </c>
      <c r="C260" s="909">
        <v>16.8219394683838</v>
      </c>
      <c r="D260" s="909">
        <v>21.937858581543001</v>
      </c>
      <c r="E260" s="909">
        <v>14.291754722595201</v>
      </c>
      <c r="F260" s="909">
        <v>10.6247463226318</v>
      </c>
      <c r="G260" s="909">
        <v>13.4027051925659</v>
      </c>
      <c r="H260" s="909">
        <v>15.2648477554321</v>
      </c>
      <c r="I260" s="909">
        <v>17.266075134277301</v>
      </c>
      <c r="J260" s="909">
        <v>18.658037185668899</v>
      </c>
      <c r="K260" s="909">
        <v>19.740333557128899</v>
      </c>
      <c r="L260" s="909">
        <v>20.622322082519499</v>
      </c>
      <c r="M260" s="909">
        <v>21.514814376831101</v>
      </c>
      <c r="N260" s="909">
        <v>22.261856079101602</v>
      </c>
      <c r="O260" s="909">
        <v>22.720048904418899</v>
      </c>
      <c r="P260" s="909">
        <v>23.0620517730713</v>
      </c>
      <c r="Q260" s="909">
        <v>23.029100418090799</v>
      </c>
      <c r="R260" s="909">
        <v>23.327865600585898</v>
      </c>
      <c r="S260" s="909">
        <v>23.5460414886475</v>
      </c>
      <c r="T260" s="909">
        <v>23.635374069213899</v>
      </c>
      <c r="U260" s="909">
        <v>23.588466644287099</v>
      </c>
      <c r="V260" s="909">
        <v>23.9423828125</v>
      </c>
      <c r="W260" s="909">
        <v>23.870851516723601</v>
      </c>
      <c r="X260" s="909">
        <v>24.336980819702099</v>
      </c>
      <c r="Y260" s="909">
        <v>25.037542343139599</v>
      </c>
      <c r="Z260" s="909">
        <v>25.073137283325199</v>
      </c>
      <c r="AA260" s="306">
        <v>2.7168338298797599</v>
      </c>
      <c r="AB260" s="306">
        <v>2.7307398319244398</v>
      </c>
      <c r="AC260" s="306">
        <v>2.7413196563720699</v>
      </c>
      <c r="AD260" s="306">
        <v>2.7546591758728001</v>
      </c>
    </row>
    <row r="261" spans="1:70" x14ac:dyDescent="0.25">
      <c r="A261" s="907" t="s">
        <v>611</v>
      </c>
      <c r="B261" s="909">
        <v>9.2125787734985405</v>
      </c>
      <c r="C261" s="909">
        <v>10.5954837799072</v>
      </c>
      <c r="D261" s="909">
        <v>13.7473258972168</v>
      </c>
      <c r="E261" s="909">
        <v>6.9127345085143999</v>
      </c>
      <c r="F261" s="909">
        <v>9.8444128036499006</v>
      </c>
      <c r="G261" s="909">
        <v>12.2499532699585</v>
      </c>
      <c r="H261" s="909">
        <v>13.9352369308472</v>
      </c>
      <c r="I261" s="909">
        <v>15.428977966308601</v>
      </c>
      <c r="J261" s="909">
        <v>16.646518707275401</v>
      </c>
      <c r="K261" s="909">
        <v>18.037969589233398</v>
      </c>
      <c r="L261" s="909">
        <v>18.8180332183838</v>
      </c>
      <c r="M261" s="909">
        <v>19.4296264648438</v>
      </c>
      <c r="N261" s="909">
        <v>20.112428665161101</v>
      </c>
      <c r="O261" s="909">
        <v>20.448431015014599</v>
      </c>
      <c r="P261" s="909">
        <v>20.727931976318398</v>
      </c>
      <c r="Q261" s="909">
        <v>20.973798751831101</v>
      </c>
      <c r="R261" s="909">
        <v>21.101537704467798</v>
      </c>
      <c r="S261" s="909">
        <v>21.306892395019499</v>
      </c>
      <c r="T261" s="909">
        <v>21.394767761230501</v>
      </c>
      <c r="U261" s="909">
        <v>21.017236709594702</v>
      </c>
      <c r="V261" s="909">
        <v>21.180326461791999</v>
      </c>
      <c r="W261" s="909">
        <v>21.338615417480501</v>
      </c>
      <c r="X261" s="909">
        <v>21.660650253295898</v>
      </c>
      <c r="Y261" s="909">
        <v>21.793584823608398</v>
      </c>
      <c r="Z261" s="909">
        <v>22.078443527221701</v>
      </c>
      <c r="AA261" s="306">
        <v>2.2517027854919398</v>
      </c>
      <c r="AB261" s="306">
        <v>2.2682161331176802</v>
      </c>
      <c r="AC261" s="306">
        <v>2.2745745182037398</v>
      </c>
      <c r="AD261" s="306">
        <v>2.2862651348114</v>
      </c>
    </row>
    <row r="262" spans="1:70" ht="13" thickBot="1" x14ac:dyDescent="0.3">
      <c r="A262" s="907" t="s">
        <v>613</v>
      </c>
      <c r="B262" s="909">
        <v>7.9540700912475604</v>
      </c>
      <c r="C262" s="909">
        <v>7.5152516365051296</v>
      </c>
      <c r="D262" s="909">
        <v>8.8012723922729492</v>
      </c>
      <c r="E262" s="909">
        <v>4.8485679626464799</v>
      </c>
      <c r="F262" s="909">
        <v>5.4989199638366699</v>
      </c>
      <c r="G262" s="909">
        <v>5.8261642456054696</v>
      </c>
      <c r="H262" s="909">
        <v>5.87778615951538</v>
      </c>
      <c r="I262" s="909">
        <v>5.9538393020629901</v>
      </c>
      <c r="J262" s="909">
        <v>6.1098570823669398</v>
      </c>
      <c r="K262" s="909">
        <v>6.3294844627380398</v>
      </c>
      <c r="L262" s="909">
        <v>6.5125813484191903</v>
      </c>
      <c r="M262" s="909">
        <v>6.7027301788330096</v>
      </c>
      <c r="N262" s="909">
        <v>6.8988709449768102</v>
      </c>
      <c r="O262" s="909">
        <v>7.1528282165527299</v>
      </c>
      <c r="P262" s="909">
        <v>7.4686021804809597</v>
      </c>
      <c r="Q262" s="909">
        <v>7.6786775588989302</v>
      </c>
      <c r="R262" s="909">
        <v>7.7538070678710902</v>
      </c>
      <c r="S262" s="909">
        <v>7.5584783554077104</v>
      </c>
      <c r="T262" s="909">
        <v>7.5461778640747097</v>
      </c>
      <c r="U262" s="909">
        <v>7.4592709541320801</v>
      </c>
      <c r="V262" s="909">
        <v>7.6002230644226101</v>
      </c>
      <c r="W262" s="909">
        <v>7.8596048355102504</v>
      </c>
      <c r="X262" s="909">
        <v>8.1941757202148402</v>
      </c>
      <c r="Y262" s="909">
        <v>8.4216127395629901</v>
      </c>
      <c r="Z262" s="909">
        <v>8.6935501098632795</v>
      </c>
      <c r="AA262" s="306">
        <v>1.2833950519561801</v>
      </c>
      <c r="AB262" s="306">
        <v>1.3286876678466799</v>
      </c>
      <c r="AC262" s="306">
        <v>1.33012855052948</v>
      </c>
      <c r="AD262" s="306">
        <v>1.33445107936859</v>
      </c>
    </row>
    <row r="263" spans="1:70" ht="13" thickBot="1" x14ac:dyDescent="0.3">
      <c r="A263" s="907" t="s">
        <v>614</v>
      </c>
      <c r="B263" s="909">
        <v>3.6353600025177002</v>
      </c>
      <c r="C263" s="909">
        <v>3.6099998950958301</v>
      </c>
      <c r="D263" s="909">
        <v>4.0558156967163104</v>
      </c>
      <c r="E263" s="909">
        <v>4.0487108230590803</v>
      </c>
      <c r="F263" s="909">
        <v>3.9977276325225799</v>
      </c>
      <c r="G263" s="909">
        <v>4.1121706962585396</v>
      </c>
      <c r="H263" s="909">
        <v>4.1809573173522896</v>
      </c>
      <c r="I263" s="909">
        <v>4.2343683242797896</v>
      </c>
      <c r="J263" s="909">
        <v>4.27162742614746</v>
      </c>
      <c r="K263" s="909">
        <v>4.2985162734985396</v>
      </c>
      <c r="L263" s="909">
        <v>4.3192996978759801</v>
      </c>
      <c r="M263" s="909">
        <v>4.3337044715881303</v>
      </c>
      <c r="N263" s="909">
        <v>4.3530845642089799</v>
      </c>
      <c r="O263" s="909">
        <v>4.3696141242981001</v>
      </c>
      <c r="P263" s="909">
        <v>4.3899216651916504</v>
      </c>
      <c r="Q263" s="909">
        <v>4.4470157623290998</v>
      </c>
      <c r="R263" s="909">
        <v>4.5093812942504901</v>
      </c>
      <c r="S263" s="909">
        <v>4.5352845191955602</v>
      </c>
      <c r="T263" s="909">
        <v>4.5618190765380904</v>
      </c>
      <c r="U263" s="909">
        <v>4.5643453598022496</v>
      </c>
      <c r="V263" s="909">
        <v>4.5493078231811497</v>
      </c>
      <c r="W263" s="909">
        <v>4.5490665435790998</v>
      </c>
      <c r="X263" s="909">
        <v>4.5331215858459499</v>
      </c>
      <c r="Y263" s="909">
        <v>4.4955492019653303</v>
      </c>
      <c r="Z263" s="909">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07" t="s">
        <v>615</v>
      </c>
      <c r="B264" s="909">
        <v>2.4029970169067401</v>
      </c>
      <c r="C264" s="909">
        <v>2.4299483299255402</v>
      </c>
      <c r="D264" s="909">
        <v>2.5420303344726598</v>
      </c>
      <c r="E264" s="909">
        <v>2.4490520954132098</v>
      </c>
      <c r="F264" s="909">
        <v>2.3906834125518799</v>
      </c>
      <c r="G264" s="909">
        <v>2.4765830039978001</v>
      </c>
      <c r="H264" s="909">
        <v>2.4936084747314502</v>
      </c>
      <c r="I264" s="909">
        <v>2.5247271060943599</v>
      </c>
      <c r="J264" s="909">
        <v>2.54471778869629</v>
      </c>
      <c r="K264" s="909">
        <v>2.53918480873108</v>
      </c>
      <c r="L264" s="909">
        <v>2.54552221298218</v>
      </c>
      <c r="M264" s="909">
        <v>2.5526983737945601</v>
      </c>
      <c r="N264" s="909">
        <v>2.5639333724975599</v>
      </c>
      <c r="O264" s="909">
        <v>2.5611753463745099</v>
      </c>
      <c r="P264" s="909">
        <v>2.56861472129822</v>
      </c>
      <c r="Q264" s="909">
        <v>2.5710935592651398</v>
      </c>
      <c r="R264" s="909">
        <v>2.57420825958252</v>
      </c>
      <c r="S264" s="909">
        <v>2.5741758346557599</v>
      </c>
      <c r="T264" s="909">
        <v>2.5788726806640598</v>
      </c>
      <c r="U264" s="909">
        <v>2.5789062976837198</v>
      </c>
      <c r="V264" s="909">
        <v>2.59378290176392</v>
      </c>
      <c r="W264" s="909">
        <v>2.6088099479675302</v>
      </c>
      <c r="X264" s="909">
        <v>2.6259028911590598</v>
      </c>
      <c r="Y264" s="909">
        <v>2.64452123641968</v>
      </c>
      <c r="Z264" s="909">
        <v>2.6644773483276398</v>
      </c>
      <c r="AA264" s="306"/>
      <c r="AB264" s="306"/>
      <c r="AC264" s="306"/>
      <c r="AD264" s="306"/>
    </row>
    <row r="265" spans="1:70" ht="13" thickBot="1" x14ac:dyDescent="0.3">
      <c r="A265" s="907" t="s">
        <v>616</v>
      </c>
      <c r="B265" s="909">
        <v>0</v>
      </c>
      <c r="C265" s="909">
        <v>0</v>
      </c>
      <c r="D265" s="909">
        <v>0</v>
      </c>
      <c r="E265" s="909">
        <v>0</v>
      </c>
      <c r="F265" s="909">
        <v>0</v>
      </c>
      <c r="G265" s="909">
        <v>1.5133428573608401</v>
      </c>
      <c r="H265" s="909">
        <v>1.3742095232009901</v>
      </c>
      <c r="I265" s="909">
        <v>1.19064140319824</v>
      </c>
      <c r="J265" s="909">
        <v>1.3664953708648699</v>
      </c>
      <c r="K265" s="909">
        <v>1.33487153053284</v>
      </c>
      <c r="L265" s="909">
        <v>1.31654036045074</v>
      </c>
      <c r="M265" s="909">
        <v>1.30223417282104</v>
      </c>
      <c r="N265" s="909">
        <v>1.30838906764984</v>
      </c>
      <c r="O265" s="909">
        <v>1.32146644592285</v>
      </c>
      <c r="P265" s="909">
        <v>1.3489345312118499</v>
      </c>
      <c r="Q265" s="909">
        <v>1.3524934053421001</v>
      </c>
      <c r="R265" s="909">
        <v>1.3570195436477701</v>
      </c>
      <c r="S265" s="909">
        <v>1.3626403808593801</v>
      </c>
      <c r="T265" s="909">
        <v>1.37119424343109</v>
      </c>
      <c r="U265" s="909">
        <v>1.3635557889938399</v>
      </c>
      <c r="V265" s="909">
        <v>1.3662919998168901</v>
      </c>
      <c r="W265" s="909">
        <v>1.37254309654236</v>
      </c>
      <c r="X265" s="909">
        <v>1.37609398365021</v>
      </c>
      <c r="Y265" s="909">
        <v>1.3784751892089799</v>
      </c>
      <c r="Z265" s="909">
        <v>1.3805129528045701</v>
      </c>
      <c r="AA265" s="306">
        <v>24.056577682495099</v>
      </c>
      <c r="AB265" s="306">
        <v>24.1739406585693</v>
      </c>
      <c r="AC265" s="306">
        <v>24.2586994171143</v>
      </c>
      <c r="AD265" s="306">
        <v>24.288969039916999</v>
      </c>
    </row>
    <row r="266" spans="1:70" ht="13" thickBot="1" x14ac:dyDescent="0.3">
      <c r="A266" s="907" t="s">
        <v>479</v>
      </c>
      <c r="B266" s="909">
        <v>18.400894165039102</v>
      </c>
      <c r="C266" s="909">
        <v>18.6226921081543</v>
      </c>
      <c r="D266" s="909">
        <v>20.334409713745099</v>
      </c>
      <c r="E266" s="909">
        <v>19.159486770629901</v>
      </c>
      <c r="F266" s="909">
        <v>16.828172683715799</v>
      </c>
      <c r="G266" s="909">
        <v>17.264308929443398</v>
      </c>
      <c r="H266" s="909">
        <v>17.156070709228501</v>
      </c>
      <c r="I266" s="909">
        <v>17.083604812622099</v>
      </c>
      <c r="J266" s="909">
        <v>17.1988334655762</v>
      </c>
      <c r="K266" s="909">
        <v>17.318143844604499</v>
      </c>
      <c r="L266" s="909">
        <v>17.615074157714801</v>
      </c>
      <c r="M266" s="909">
        <v>17.910154342651399</v>
      </c>
      <c r="N266" s="909">
        <v>18.210170745849599</v>
      </c>
      <c r="O266" s="909">
        <v>18.456880569458001</v>
      </c>
      <c r="P266" s="909">
        <v>18.803001403808601</v>
      </c>
      <c r="Q266" s="909">
        <v>19.085206985473601</v>
      </c>
      <c r="R266" s="909">
        <v>19.30615234375</v>
      </c>
      <c r="S266" s="909">
        <v>19.3043308258057</v>
      </c>
      <c r="T266" s="909">
        <v>19.3253479003906</v>
      </c>
      <c r="U266" s="909">
        <v>19.324813842773398</v>
      </c>
      <c r="V266" s="909">
        <v>19.354219436645501</v>
      </c>
      <c r="W266" s="909">
        <v>19.614883422851602</v>
      </c>
      <c r="X266" s="909">
        <v>19.97239112854</v>
      </c>
      <c r="Y266" s="909">
        <v>20.29469871521</v>
      </c>
      <c r="Z266" s="909">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07" t="s">
        <v>487</v>
      </c>
      <c r="AA268" s="306">
        <v>11.227470397949199</v>
      </c>
      <c r="AB268" s="306">
        <v>11.517865180969199</v>
      </c>
      <c r="AC268" s="306">
        <v>11.5089683532715</v>
      </c>
      <c r="AD268" s="306">
        <v>11.7493782043457</v>
      </c>
    </row>
    <row r="269" spans="1:70" ht="13" thickBot="1" x14ac:dyDescent="0.3">
      <c r="A269" s="907" t="s">
        <v>617</v>
      </c>
      <c r="B269" s="909">
        <v>22.296371459960898</v>
      </c>
      <c r="C269" s="909">
        <v>25.0072345733643</v>
      </c>
      <c r="D269" s="909">
        <v>28.759458541870099</v>
      </c>
      <c r="E269" s="909">
        <v>21.685003280639599</v>
      </c>
      <c r="F269" s="909">
        <v>20.534326553344702</v>
      </c>
      <c r="G269" s="909">
        <v>22.796831130981399</v>
      </c>
      <c r="H269" s="909">
        <v>24.8035278320313</v>
      </c>
      <c r="I269" s="909">
        <v>26.570152282714801</v>
      </c>
      <c r="J269" s="909">
        <v>28.076972961425799</v>
      </c>
      <c r="K269" s="909">
        <v>29.693559646606399</v>
      </c>
      <c r="L269" s="909">
        <v>30.7330017089844</v>
      </c>
      <c r="M269" s="909">
        <v>31.595745086669901</v>
      </c>
      <c r="N269" s="909">
        <v>32.463813781738303</v>
      </c>
      <c r="O269" s="909">
        <v>32.853603363037102</v>
      </c>
      <c r="P269" s="909">
        <v>33.095050811767599</v>
      </c>
      <c r="Q269" s="909">
        <v>33.3141899108887</v>
      </c>
      <c r="R269" s="909">
        <v>33.425758361816399</v>
      </c>
      <c r="S269" s="909">
        <v>33.752655029296903</v>
      </c>
      <c r="T269" s="909">
        <v>33.878787994384801</v>
      </c>
      <c r="U269" s="909">
        <v>33.426109313964801</v>
      </c>
      <c r="V269" s="909">
        <v>33.692680358886697</v>
      </c>
      <c r="W269" s="909">
        <v>33.960933685302699</v>
      </c>
      <c r="X269" s="909">
        <v>34.291332244872997</v>
      </c>
      <c r="Y269" s="909">
        <v>34.467491149902301</v>
      </c>
      <c r="Z269" s="909">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07" t="s">
        <v>618</v>
      </c>
      <c r="B270" s="909">
        <v>25.5142211914063</v>
      </c>
      <c r="C270" s="909">
        <v>26.818180084228501</v>
      </c>
      <c r="D270" s="909">
        <v>34.073703765869098</v>
      </c>
      <c r="E270" s="909">
        <v>20.3962516784668</v>
      </c>
      <c r="F270" s="909">
        <v>18.869060516357401</v>
      </c>
      <c r="G270" s="909">
        <v>22.499189376831101</v>
      </c>
      <c r="H270" s="909">
        <v>24.345371246337901</v>
      </c>
      <c r="I270" s="909">
        <v>25.8835773468018</v>
      </c>
      <c r="J270" s="909">
        <v>27.376197814941399</v>
      </c>
      <c r="K270" s="909">
        <v>25.5507621765137</v>
      </c>
      <c r="L270" s="909">
        <v>26.3307495117188</v>
      </c>
      <c r="M270" s="909">
        <v>27.042121887206999</v>
      </c>
      <c r="N270" s="909">
        <v>27.074653625488299</v>
      </c>
      <c r="O270" s="909">
        <v>28.861484527587901</v>
      </c>
      <c r="P270" s="909">
        <v>29.593324661254901</v>
      </c>
      <c r="Q270" s="909">
        <v>29.691083908081101</v>
      </c>
      <c r="R270" s="909">
        <v>29.8394565582275</v>
      </c>
      <c r="S270" s="909">
        <v>30.056737899780298</v>
      </c>
      <c r="T270" s="909">
        <v>30.123649597168001</v>
      </c>
      <c r="U270" s="909">
        <v>30.045396804809599</v>
      </c>
      <c r="V270" s="909">
        <v>30.335887908935501</v>
      </c>
      <c r="W270" s="909">
        <v>30.1821899414063</v>
      </c>
      <c r="X270" s="909">
        <v>30.567377090454102</v>
      </c>
      <c r="Y270" s="909">
        <v>31.227724075317401</v>
      </c>
      <c r="Z270" s="909">
        <v>30.935503005981399</v>
      </c>
      <c r="AA270" s="306">
        <v>8.1832656860351598</v>
      </c>
      <c r="AB270" s="306">
        <v>8.1197490692138707</v>
      </c>
      <c r="AC270" s="306">
        <v>8.3803300857543892</v>
      </c>
      <c r="AD270" s="306">
        <v>8.2735004425048793</v>
      </c>
    </row>
    <row r="271" spans="1:70" x14ac:dyDescent="0.25">
      <c r="A271" s="907" t="s">
        <v>619</v>
      </c>
      <c r="B271" s="909">
        <v>21.784559249877901</v>
      </c>
      <c r="C271" s="909">
        <v>22.982162475585898</v>
      </c>
      <c r="D271" s="909">
        <v>26.1744689941406</v>
      </c>
      <c r="E271" s="909">
        <v>15.6736001968384</v>
      </c>
      <c r="F271" s="909">
        <v>17.7131462097168</v>
      </c>
      <c r="G271" s="909">
        <v>20.6617527008057</v>
      </c>
      <c r="H271" s="909">
        <v>22.301433563232401</v>
      </c>
      <c r="I271" s="909">
        <v>23.517950057983398</v>
      </c>
      <c r="J271" s="909">
        <v>24.816135406494102</v>
      </c>
      <c r="K271" s="909">
        <v>26.137458801269499</v>
      </c>
      <c r="L271" s="909">
        <v>27.061580657958999</v>
      </c>
      <c r="M271" s="909">
        <v>27.993299484252901</v>
      </c>
      <c r="N271" s="909">
        <v>28.802474975585898</v>
      </c>
      <c r="O271" s="909">
        <v>29.411088943481399</v>
      </c>
      <c r="P271" s="909">
        <v>29.938217163085898</v>
      </c>
      <c r="Q271" s="909">
        <v>30.057752609252901</v>
      </c>
      <c r="R271" s="909">
        <v>30.3159790039063</v>
      </c>
      <c r="S271" s="909">
        <v>30.494945526123001</v>
      </c>
      <c r="T271" s="909">
        <v>30.528341293335</v>
      </c>
      <c r="U271" s="909">
        <v>30.4458103179932</v>
      </c>
      <c r="V271" s="909">
        <v>30.726751327514599</v>
      </c>
      <c r="W271" s="909">
        <v>30.704950332641602</v>
      </c>
      <c r="X271" s="909">
        <v>31.110511779785199</v>
      </c>
      <c r="Y271" s="909">
        <v>31.9617519378662</v>
      </c>
      <c r="Z271" s="909">
        <v>31.583656311035199</v>
      </c>
      <c r="AA271" s="306">
        <v>13.240598678588899</v>
      </c>
      <c r="AB271" s="306">
        <v>13.359972000122101</v>
      </c>
      <c r="AC271" s="306">
        <v>13.395259857177701</v>
      </c>
      <c r="AD271" s="306">
        <v>13.453570365905801</v>
      </c>
    </row>
    <row r="272" spans="1:70" x14ac:dyDescent="0.25">
      <c r="A272" s="907" t="s">
        <v>620</v>
      </c>
      <c r="B272" s="909">
        <v>15.2446508407593</v>
      </c>
      <c r="C272" s="909">
        <v>16.0964660644531</v>
      </c>
      <c r="D272" s="909">
        <v>22.1856594085693</v>
      </c>
      <c r="E272" s="909">
        <v>10.540905952453601</v>
      </c>
      <c r="F272" s="909">
        <v>10.4131317138672</v>
      </c>
      <c r="G272" s="909">
        <v>12.992267608642599</v>
      </c>
      <c r="H272" s="909">
        <v>14.8510446548462</v>
      </c>
      <c r="I272" s="909">
        <v>16.4927158355713</v>
      </c>
      <c r="J272" s="909">
        <v>17.888269424438501</v>
      </c>
      <c r="K272" s="909">
        <v>19.120731353759801</v>
      </c>
      <c r="L272" s="909">
        <v>20.025011062622099</v>
      </c>
      <c r="M272" s="909">
        <v>20.925888061523398</v>
      </c>
      <c r="N272" s="909">
        <v>21.650459289550799</v>
      </c>
      <c r="O272" s="909">
        <v>22.054113388061499</v>
      </c>
      <c r="P272" s="909">
        <v>22.358533859252901</v>
      </c>
      <c r="Q272" s="909">
        <v>22.535087585449201</v>
      </c>
      <c r="R272" s="909">
        <v>22.624557495117202</v>
      </c>
      <c r="S272" s="909">
        <v>22.875423431396499</v>
      </c>
      <c r="T272" s="909">
        <v>23.088819503784201</v>
      </c>
      <c r="U272" s="909">
        <v>22.878332138061499</v>
      </c>
      <c r="V272" s="909">
        <v>23.229129791259801</v>
      </c>
      <c r="W272" s="909">
        <v>23.440977096557599</v>
      </c>
      <c r="X272" s="909">
        <v>23.911849975585898</v>
      </c>
      <c r="Y272" s="909">
        <v>24.3618278503418</v>
      </c>
      <c r="Z272" s="909">
        <v>24.669164657592798</v>
      </c>
      <c r="AA272" s="306">
        <v>24.345100402831999</v>
      </c>
      <c r="AB272" s="306">
        <v>24.401657104492202</v>
      </c>
      <c r="AC272" s="306">
        <v>24.482112884521499</v>
      </c>
      <c r="AD272" s="306">
        <v>24.4609375</v>
      </c>
    </row>
    <row r="273" spans="1:70" x14ac:dyDescent="0.25">
      <c r="A273" s="907" t="s">
        <v>724</v>
      </c>
      <c r="B273" s="909">
        <v>20.2724208831787</v>
      </c>
      <c r="C273" s="909">
        <v>20.921422958373999</v>
      </c>
      <c r="D273" s="909">
        <v>27.066003799438501</v>
      </c>
      <c r="E273" s="909">
        <v>15.379162788391101</v>
      </c>
      <c r="F273" s="909">
        <v>14.6322994232178</v>
      </c>
      <c r="G273" s="909">
        <v>17.082887649536101</v>
      </c>
      <c r="H273" s="909">
        <v>18.906814575195298</v>
      </c>
      <c r="I273" s="909">
        <v>21.012025833129901</v>
      </c>
      <c r="J273" s="909">
        <v>22.391767501831101</v>
      </c>
      <c r="K273" s="909">
        <v>23.401908874511701</v>
      </c>
      <c r="L273" s="909">
        <v>24.249780654907202</v>
      </c>
      <c r="M273" s="909">
        <v>25.151100158691399</v>
      </c>
      <c r="N273" s="909">
        <v>25.830009460449201</v>
      </c>
      <c r="O273" s="909">
        <v>26.267305374145501</v>
      </c>
      <c r="P273" s="909">
        <v>26.5901203155518</v>
      </c>
      <c r="Q273" s="909">
        <v>26.487575531005898</v>
      </c>
      <c r="R273" s="909">
        <v>26.7318305969238</v>
      </c>
      <c r="S273" s="909">
        <v>26.979133605956999</v>
      </c>
      <c r="T273" s="909">
        <v>27.001283645629901</v>
      </c>
      <c r="U273" s="909">
        <v>26.997362136840799</v>
      </c>
      <c r="V273" s="909">
        <v>27.317785263061499</v>
      </c>
      <c r="W273" s="909">
        <v>27.182266235351602</v>
      </c>
      <c r="X273" s="909">
        <v>27.638069152831999</v>
      </c>
      <c r="Y273" s="909">
        <v>28.388862609863299</v>
      </c>
      <c r="Z273" s="909">
        <v>28.337171554565401</v>
      </c>
      <c r="AA273" s="306"/>
      <c r="AB273" s="306"/>
      <c r="AC273" s="306"/>
      <c r="AD273" s="306"/>
    </row>
    <row r="274" spans="1:70" x14ac:dyDescent="0.25">
      <c r="A274" s="907" t="s">
        <v>611</v>
      </c>
      <c r="B274" s="909">
        <v>8.20648097991943</v>
      </c>
      <c r="C274" s="909">
        <v>9.4357099533081108</v>
      </c>
      <c r="D274" s="909">
        <v>14.2847747802734</v>
      </c>
      <c r="E274" s="909">
        <v>6.3925981521606401</v>
      </c>
      <c r="F274" s="909">
        <v>6.5852246284484899</v>
      </c>
      <c r="G274" s="909">
        <v>8.6673641204834002</v>
      </c>
      <c r="H274" s="909">
        <v>10.3328533172607</v>
      </c>
      <c r="I274" s="909">
        <v>11.815202713012701</v>
      </c>
      <c r="J274" s="909">
        <v>13.023598670959499</v>
      </c>
      <c r="K274" s="909">
        <v>14.4141092300415</v>
      </c>
      <c r="L274" s="909">
        <v>15.219378471374499</v>
      </c>
      <c r="M274" s="909">
        <v>15.915946006774901</v>
      </c>
      <c r="N274" s="909">
        <v>16.592523574829102</v>
      </c>
      <c r="O274" s="909">
        <v>16.9536838531494</v>
      </c>
      <c r="P274" s="909">
        <v>17.162534713745099</v>
      </c>
      <c r="Q274" s="909">
        <v>17.429744720458999</v>
      </c>
      <c r="R274" s="909">
        <v>17.456914901733398</v>
      </c>
      <c r="S274" s="909">
        <v>17.5628662109375</v>
      </c>
      <c r="T274" s="909">
        <v>17.630765914916999</v>
      </c>
      <c r="U274" s="909">
        <v>17.410764694213899</v>
      </c>
      <c r="V274" s="909">
        <v>17.6028347015381</v>
      </c>
      <c r="W274" s="909">
        <v>17.926630020141602</v>
      </c>
      <c r="X274" s="909">
        <v>18.257143020629901</v>
      </c>
      <c r="Y274" s="909">
        <v>18.451654434204102</v>
      </c>
      <c r="Z274" s="909">
        <v>18.835027694702099</v>
      </c>
      <c r="AA274" s="306">
        <v>10.4858131408691</v>
      </c>
      <c r="AB274" s="306">
        <v>10.572740554809601</v>
      </c>
      <c r="AC274" s="306">
        <v>10.740042686462401</v>
      </c>
      <c r="AD274" s="306">
        <v>10.786236763000501</v>
      </c>
    </row>
    <row r="275" spans="1:70" ht="13" thickBot="1" x14ac:dyDescent="0.3">
      <c r="A275" s="907" t="s">
        <v>622</v>
      </c>
      <c r="B275" s="909">
        <v>15.5415086746216</v>
      </c>
      <c r="C275" s="909">
        <v>15.4958410263062</v>
      </c>
      <c r="D275" s="909">
        <v>16.8896675109863</v>
      </c>
      <c r="E275" s="909">
        <v>12.7877197265625</v>
      </c>
      <c r="F275" s="909">
        <v>13.502610206604</v>
      </c>
      <c r="G275" s="909">
        <v>13.8291311264038</v>
      </c>
      <c r="H275" s="909">
        <v>13.8390712738037</v>
      </c>
      <c r="I275" s="909">
        <v>13.843875885009799</v>
      </c>
      <c r="J275" s="909">
        <v>13.934069633483899</v>
      </c>
      <c r="K275" s="909">
        <v>14.0993509292603</v>
      </c>
      <c r="L275" s="909">
        <v>14.229956626892101</v>
      </c>
      <c r="M275" s="909">
        <v>14.3684740066528</v>
      </c>
      <c r="N275" s="909">
        <v>14.5119123458862</v>
      </c>
      <c r="O275" s="909">
        <v>14.701403617858899</v>
      </c>
      <c r="P275" s="909">
        <v>14.9462375640869</v>
      </c>
      <c r="Q275" s="909">
        <v>15.0934410095215</v>
      </c>
      <c r="R275" s="909">
        <v>15.092455863952599</v>
      </c>
      <c r="S275" s="909">
        <v>14.8220539093018</v>
      </c>
      <c r="T275" s="909">
        <v>14.7596139907837</v>
      </c>
      <c r="U275" s="909">
        <v>14.661186218261699</v>
      </c>
      <c r="V275" s="909">
        <v>14.786495208740201</v>
      </c>
      <c r="W275" s="909">
        <v>15.012266159057599</v>
      </c>
      <c r="X275" s="909">
        <v>15.2852840423584</v>
      </c>
      <c r="Y275" s="909">
        <v>15.4684591293335</v>
      </c>
      <c r="Z275" s="909">
        <v>15.6974124908447</v>
      </c>
      <c r="AA275" s="306">
        <v>6.7344188690185502</v>
      </c>
      <c r="AB275" s="306">
        <v>6.7479009628295898</v>
      </c>
      <c r="AC275" s="306">
        <v>6.8497943878173801</v>
      </c>
      <c r="AD275" s="306">
        <v>6.84698486328125</v>
      </c>
    </row>
    <row r="276" spans="1:70" ht="13" thickBot="1" x14ac:dyDescent="0.3">
      <c r="A276" s="907" t="s">
        <v>479</v>
      </c>
      <c r="B276" s="909">
        <v>30.349004745483398</v>
      </c>
      <c r="C276" s="909">
        <v>30.777971267700199</v>
      </c>
      <c r="D276" s="909">
        <v>33.734138488769503</v>
      </c>
      <c r="E276" s="909">
        <v>31.501590728759801</v>
      </c>
      <c r="F276" s="909">
        <v>27.327030181884801</v>
      </c>
      <c r="G276" s="909">
        <v>28.561843872070298</v>
      </c>
      <c r="H276" s="909">
        <v>28.965305328369102</v>
      </c>
      <c r="I276" s="909">
        <v>28.9159030914307</v>
      </c>
      <c r="J276" s="909">
        <v>28.7644939422607</v>
      </c>
      <c r="K276" s="909">
        <v>28.526710510253899</v>
      </c>
      <c r="L276" s="909">
        <v>28.644361495971701</v>
      </c>
      <c r="M276" s="909">
        <v>28.6527919769287</v>
      </c>
      <c r="N276" s="909">
        <v>28.819505691528299</v>
      </c>
      <c r="O276" s="909">
        <v>28.888120651245099</v>
      </c>
      <c r="P276" s="909">
        <v>29.142557144165</v>
      </c>
      <c r="Q276" s="909">
        <v>29.470201492309599</v>
      </c>
      <c r="R276" s="909">
        <v>29.764074325561499</v>
      </c>
      <c r="S276" s="909">
        <v>29.801677703857401</v>
      </c>
      <c r="T276" s="909">
        <v>29.921939849853501</v>
      </c>
      <c r="U276" s="909">
        <v>30.035243988037099</v>
      </c>
      <c r="V276" s="909">
        <v>30.304817199706999</v>
      </c>
      <c r="W276" s="909">
        <v>30.8045558929443</v>
      </c>
      <c r="X276" s="909">
        <v>31.450147628784201</v>
      </c>
      <c r="Y276" s="909">
        <v>31.910936355590799</v>
      </c>
      <c r="Z276" s="909">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07" t="s">
        <v>623</v>
      </c>
      <c r="AA278" s="306"/>
      <c r="AB278" s="306"/>
      <c r="AC278" s="306"/>
      <c r="AD278" s="306"/>
    </row>
    <row r="279" spans="1:70" x14ac:dyDescent="0.25">
      <c r="A279" s="907" t="s">
        <v>610</v>
      </c>
      <c r="B279" s="909">
        <v>13.773189544677701</v>
      </c>
      <c r="C279" s="909">
        <v>14.7725219726563</v>
      </c>
      <c r="D279" s="909">
        <v>19.176651000976602</v>
      </c>
      <c r="E279" s="909">
        <v>12.4995737075806</v>
      </c>
      <c r="F279" s="909">
        <v>9.7914295196533203</v>
      </c>
      <c r="G279" s="909">
        <v>12.0805196762085</v>
      </c>
      <c r="H279" s="909">
        <v>13.8671321868896</v>
      </c>
      <c r="I279" s="909">
        <v>15.216549873352101</v>
      </c>
      <c r="J279" s="909">
        <v>16.469785690307599</v>
      </c>
      <c r="K279" s="909">
        <v>17.9636936187744</v>
      </c>
      <c r="L279" s="909">
        <v>18.832237243652301</v>
      </c>
      <c r="M279" s="909">
        <v>19.641151428222699</v>
      </c>
      <c r="N279" s="909">
        <v>20.348432540893601</v>
      </c>
      <c r="O279" s="909">
        <v>20.710233688354499</v>
      </c>
      <c r="P279" s="909">
        <v>20.980741500854499</v>
      </c>
      <c r="Q279" s="909">
        <v>21.161005020141602</v>
      </c>
      <c r="R279" s="909">
        <v>21.2950553894043</v>
      </c>
      <c r="S279" s="909">
        <v>21.596014022827099</v>
      </c>
      <c r="T279" s="909">
        <v>21.884708404541001</v>
      </c>
      <c r="U279" s="909">
        <v>21.582948684692401</v>
      </c>
      <c r="V279" s="909">
        <v>21.8727416992188</v>
      </c>
      <c r="W279" s="909">
        <v>22.200710296630898</v>
      </c>
      <c r="X279" s="909">
        <v>22.548530578613299</v>
      </c>
      <c r="Y279" s="909">
        <v>22.812198638916001</v>
      </c>
      <c r="Z279" s="909">
        <v>23.2114353179932</v>
      </c>
      <c r="AA279" s="306">
        <v>18.0768718719482</v>
      </c>
      <c r="AB279" s="306">
        <v>18.184886932373001</v>
      </c>
      <c r="AC279" s="306">
        <v>18.263076782226602</v>
      </c>
      <c r="AD279" s="306">
        <v>18.304286956787099</v>
      </c>
    </row>
    <row r="280" spans="1:70" x14ac:dyDescent="0.25">
      <c r="A280" s="907" t="s">
        <v>611</v>
      </c>
      <c r="B280" s="909">
        <v>8.3781757354736293</v>
      </c>
      <c r="C280" s="909">
        <v>8.5664386749267596</v>
      </c>
      <c r="D280" s="909">
        <v>14.309384346008301</v>
      </c>
      <c r="E280" s="909">
        <v>6.51324510574341</v>
      </c>
      <c r="F280" s="909">
        <v>6.6763448715209996</v>
      </c>
      <c r="G280" s="909">
        <v>9.3123388290405291</v>
      </c>
      <c r="H280" s="909">
        <v>10.994701385498001</v>
      </c>
      <c r="I280" s="909">
        <v>12.5300750732422</v>
      </c>
      <c r="J280" s="909">
        <v>13.7526693344116</v>
      </c>
      <c r="K280" s="909">
        <v>15.155575752258301</v>
      </c>
      <c r="L280" s="909">
        <v>15.963142395019499</v>
      </c>
      <c r="M280" s="909">
        <v>16.617677688598601</v>
      </c>
      <c r="N280" s="909">
        <v>17.274333953857401</v>
      </c>
      <c r="O280" s="909">
        <v>17.322587966918899</v>
      </c>
      <c r="P280" s="909">
        <v>17.542411804199201</v>
      </c>
      <c r="Q280" s="909">
        <v>17.799869537353501</v>
      </c>
      <c r="R280" s="909">
        <v>17.916141510009801</v>
      </c>
      <c r="S280" s="909">
        <v>18.075910568237301</v>
      </c>
      <c r="T280" s="909">
        <v>18.1613368988037</v>
      </c>
      <c r="U280" s="909">
        <v>17.935956954956101</v>
      </c>
      <c r="V280" s="909">
        <v>18.128087997436499</v>
      </c>
      <c r="W280" s="909">
        <v>18.400978088378899</v>
      </c>
      <c r="X280" s="909">
        <v>18.7218933105469</v>
      </c>
      <c r="Y280" s="909">
        <v>18.9085083007813</v>
      </c>
      <c r="Z280" s="909">
        <v>19.247135162353501</v>
      </c>
      <c r="AA280" s="306">
        <v>21.3195495605469</v>
      </c>
      <c r="AB280" s="306">
        <v>21.43874168396</v>
      </c>
      <c r="AC280" s="306">
        <v>21.398374557495099</v>
      </c>
      <c r="AD280" s="306">
        <v>21.4992275238037</v>
      </c>
    </row>
    <row r="281" spans="1:70" x14ac:dyDescent="0.25">
      <c r="A281" s="907" t="s">
        <v>510</v>
      </c>
      <c r="B281" s="909">
        <v>7.0546379089355504</v>
      </c>
      <c r="C281" s="909">
        <v>7.0191597938537598</v>
      </c>
      <c r="D281" s="909">
        <v>8.8716125488281303</v>
      </c>
      <c r="E281" s="909">
        <v>4.5556221008300799</v>
      </c>
      <c r="F281" s="909">
        <v>5.1293134689331099</v>
      </c>
      <c r="G281" s="909">
        <v>5.4535460472106898</v>
      </c>
      <c r="H281" s="909">
        <v>5.5187635421752903</v>
      </c>
      <c r="I281" s="909">
        <v>5.53977298736572</v>
      </c>
      <c r="J281" s="909">
        <v>5.6835036277770996</v>
      </c>
      <c r="K281" s="909">
        <v>5.8920464515686</v>
      </c>
      <c r="L281" s="909">
        <v>6.0819325447082502</v>
      </c>
      <c r="M281" s="909">
        <v>6.2693996429443404</v>
      </c>
      <c r="N281" s="909">
        <v>6.4775133132934597</v>
      </c>
      <c r="O281" s="909">
        <v>6.7354197502136204</v>
      </c>
      <c r="P281" s="909">
        <v>7.0278439521789604</v>
      </c>
      <c r="Q281" s="909">
        <v>7.2539091110229501</v>
      </c>
      <c r="R281" s="909">
        <v>7.3283839225768999</v>
      </c>
      <c r="S281" s="909">
        <v>7.1506276130676296</v>
      </c>
      <c r="T281" s="909">
        <v>7.1924118995666504</v>
      </c>
      <c r="U281" s="909">
        <v>7.1398839950561497</v>
      </c>
      <c r="V281" s="909">
        <v>7.2806253433227504</v>
      </c>
      <c r="W281" s="909">
        <v>7.5354790687561</v>
      </c>
      <c r="X281" s="909">
        <v>7.8600792884826696</v>
      </c>
      <c r="Y281" s="909">
        <v>8.0742120742797905</v>
      </c>
      <c r="Z281" s="909">
        <v>8.3395175933837908</v>
      </c>
      <c r="AA281" s="306">
        <v>17.291141510009801</v>
      </c>
      <c r="AB281" s="306">
        <v>17.529483795166001</v>
      </c>
      <c r="AC281" s="306">
        <v>17.525184631347699</v>
      </c>
      <c r="AD281" s="306">
        <v>17.7543029785156</v>
      </c>
    </row>
    <row r="282" spans="1:70" x14ac:dyDescent="0.25">
      <c r="A282" s="907" t="s">
        <v>624</v>
      </c>
      <c r="B282" s="909">
        <v>1.7355252504348799</v>
      </c>
      <c r="C282" s="909">
        <v>1.7800002098083501</v>
      </c>
      <c r="D282" s="909">
        <v>1.9310736656189</v>
      </c>
      <c r="E282" s="909">
        <v>1.98230564594269</v>
      </c>
      <c r="F282" s="909">
        <v>1.86225914955139</v>
      </c>
      <c r="G282" s="909">
        <v>1.87335216999054</v>
      </c>
      <c r="H282" s="909">
        <v>1.85759365558624</v>
      </c>
      <c r="I282" s="909">
        <v>1.8817487955093399</v>
      </c>
      <c r="J282" s="909">
        <v>1.9043176174163801</v>
      </c>
      <c r="K282" s="909">
        <v>1.90719401836395</v>
      </c>
      <c r="L282" s="909">
        <v>1.9170492887496899</v>
      </c>
      <c r="M282" s="909">
        <v>1.9259506464004501</v>
      </c>
      <c r="N282" s="909">
        <v>1.94080138206482</v>
      </c>
      <c r="O282" s="909">
        <v>1.94636797904968</v>
      </c>
      <c r="P282" s="909">
        <v>1.9562891721725499</v>
      </c>
      <c r="Q282" s="909">
        <v>1.9622501134872401</v>
      </c>
      <c r="R282" s="909">
        <v>1.9753552675247199</v>
      </c>
      <c r="S282" s="909">
        <v>1.9811542034149201</v>
      </c>
      <c r="T282" s="909">
        <v>1.98549652099609</v>
      </c>
      <c r="U282" s="909">
        <v>1.9898830652236901</v>
      </c>
      <c r="V282" s="909">
        <v>1.99634909629822</v>
      </c>
      <c r="W282" s="909">
        <v>2.00744533538818</v>
      </c>
      <c r="X282" s="909">
        <v>2.0202190876007098</v>
      </c>
      <c r="Y282" s="909">
        <v>2.0336120128631601</v>
      </c>
      <c r="Z282" s="909">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07" t="s">
        <v>625</v>
      </c>
      <c r="AA284" s="306">
        <v>7.7013258934020996</v>
      </c>
      <c r="AB284" s="306">
        <v>7.6767330169677699</v>
      </c>
      <c r="AC284" s="306">
        <v>7.8322434425354004</v>
      </c>
      <c r="AD284" s="306">
        <v>7.7872447967529297</v>
      </c>
    </row>
    <row r="285" spans="1:70" x14ac:dyDescent="0.25">
      <c r="A285" s="907" t="s">
        <v>609</v>
      </c>
      <c r="B285" s="909">
        <v>15.657142639160201</v>
      </c>
      <c r="C285" s="909">
        <v>18.5313529968262</v>
      </c>
      <c r="D285" s="909">
        <v>19.701341629028299</v>
      </c>
      <c r="E285" s="909">
        <v>16.4090671539307</v>
      </c>
      <c r="F285" s="909">
        <v>16.297544479370099</v>
      </c>
      <c r="G285" s="909">
        <v>18.4262371063232</v>
      </c>
      <c r="H285" s="909">
        <v>20.2184352874756</v>
      </c>
      <c r="I285" s="909">
        <v>21.813219070434599</v>
      </c>
      <c r="J285" s="909">
        <v>23.252103805541999</v>
      </c>
      <c r="K285" s="909">
        <v>24.811630249023398</v>
      </c>
      <c r="L285" s="909">
        <v>25.812454223632798</v>
      </c>
      <c r="M285" s="909">
        <v>26.627546310424801</v>
      </c>
      <c r="N285" s="909">
        <v>27.460300445556602</v>
      </c>
      <c r="O285" s="909">
        <v>27.8579425811768</v>
      </c>
      <c r="P285" s="909">
        <v>28.113265991210898</v>
      </c>
      <c r="Q285" s="909">
        <v>28.325565338134801</v>
      </c>
      <c r="R285" s="909">
        <v>28.4571437835693</v>
      </c>
      <c r="S285" s="909">
        <v>28.7732944488525</v>
      </c>
      <c r="T285" s="909">
        <v>28.920036315918001</v>
      </c>
      <c r="U285" s="909">
        <v>28.525373458862301</v>
      </c>
      <c r="V285" s="909">
        <v>28.814060211181602</v>
      </c>
      <c r="W285" s="909">
        <v>29.1242790222168</v>
      </c>
      <c r="X285" s="909">
        <v>29.486963272094702</v>
      </c>
      <c r="Y285" s="909">
        <v>29.629682540893601</v>
      </c>
      <c r="Z285" s="909">
        <v>30.0484523773193</v>
      </c>
      <c r="AA285" s="306">
        <v>7.8213167190551802</v>
      </c>
      <c r="AB285" s="306">
        <v>7.9383788108825701</v>
      </c>
      <c r="AC285" s="306">
        <v>8.0273618698120099</v>
      </c>
      <c r="AD285" s="306">
        <v>8.0851049423217791</v>
      </c>
    </row>
    <row r="286" spans="1:70" x14ac:dyDescent="0.25">
      <c r="A286" s="907" t="s">
        <v>618</v>
      </c>
      <c r="B286" s="909">
        <v>25.5142211914063</v>
      </c>
      <c r="C286" s="909">
        <v>26.818180084228501</v>
      </c>
      <c r="D286" s="909">
        <v>34.073703765869098</v>
      </c>
      <c r="E286" s="909">
        <v>20.3962516784668</v>
      </c>
      <c r="F286" s="909">
        <v>18.869060516357401</v>
      </c>
      <c r="G286" s="909">
        <v>22.499189376831101</v>
      </c>
      <c r="H286" s="909">
        <v>24.345371246337901</v>
      </c>
      <c r="I286" s="909">
        <v>25.8835773468018</v>
      </c>
      <c r="J286" s="909">
        <v>27.376197814941399</v>
      </c>
      <c r="K286" s="909">
        <v>25.5507621765137</v>
      </c>
      <c r="L286" s="909">
        <v>26.3307495117188</v>
      </c>
      <c r="M286" s="909">
        <v>27.042121887206999</v>
      </c>
      <c r="N286" s="909">
        <v>27.074653625488299</v>
      </c>
      <c r="O286" s="909">
        <v>28.861484527587901</v>
      </c>
      <c r="P286" s="909">
        <v>29.593324661254901</v>
      </c>
      <c r="Q286" s="909">
        <v>29.691083908081101</v>
      </c>
      <c r="R286" s="909">
        <v>29.8394565582275</v>
      </c>
      <c r="S286" s="909">
        <v>30.056737899780298</v>
      </c>
      <c r="T286" s="909">
        <v>30.123649597168001</v>
      </c>
      <c r="U286" s="909">
        <v>30.045396804809599</v>
      </c>
      <c r="V286" s="909">
        <v>30.335887908935501</v>
      </c>
      <c r="W286" s="909">
        <v>30.1821899414063</v>
      </c>
      <c r="X286" s="909">
        <v>30.567377090454102</v>
      </c>
      <c r="Y286" s="909">
        <v>31.227724075317401</v>
      </c>
      <c r="Z286" s="909">
        <v>30.935503005981399</v>
      </c>
      <c r="AA286" s="306">
        <v>2.7168338298797599</v>
      </c>
      <c r="AB286" s="306">
        <v>2.7307398319244398</v>
      </c>
      <c r="AC286" s="306">
        <v>2.7413196563720699</v>
      </c>
      <c r="AD286" s="306">
        <v>2.7546591758728001</v>
      </c>
    </row>
    <row r="287" spans="1:70" x14ac:dyDescent="0.25">
      <c r="A287" s="907" t="s">
        <v>619</v>
      </c>
      <c r="B287" s="909">
        <v>21.649000167846701</v>
      </c>
      <c r="C287" s="909">
        <v>22.8191947937012</v>
      </c>
      <c r="D287" s="909">
        <v>26.0107421875</v>
      </c>
      <c r="E287" s="909">
        <v>15.8019914627075</v>
      </c>
      <c r="F287" s="909">
        <v>17.711067199706999</v>
      </c>
      <c r="G287" s="909">
        <v>20.6589241027832</v>
      </c>
      <c r="H287" s="909">
        <v>22.298402786254901</v>
      </c>
      <c r="I287" s="909">
        <v>23.5152263641357</v>
      </c>
      <c r="J287" s="909">
        <v>24.813198089599599</v>
      </c>
      <c r="K287" s="909">
        <v>26.134485244751001</v>
      </c>
      <c r="L287" s="909">
        <v>27.0586547851563</v>
      </c>
      <c r="M287" s="909">
        <v>27.9900207519531</v>
      </c>
      <c r="N287" s="909">
        <v>28.799554824829102</v>
      </c>
      <c r="O287" s="909">
        <v>29.408401489257798</v>
      </c>
      <c r="P287" s="909">
        <v>29.935087203979499</v>
      </c>
      <c r="Q287" s="909">
        <v>30.054672241210898</v>
      </c>
      <c r="R287" s="909">
        <v>30.314332962036101</v>
      </c>
      <c r="S287" s="909">
        <v>30.492042541503899</v>
      </c>
      <c r="T287" s="909">
        <v>30.525100708007798</v>
      </c>
      <c r="U287" s="909">
        <v>30.442491531372099</v>
      </c>
      <c r="V287" s="909">
        <v>30.723676681518601</v>
      </c>
      <c r="W287" s="909">
        <v>30.701581954956101</v>
      </c>
      <c r="X287" s="909">
        <v>31.107343673706101</v>
      </c>
      <c r="Y287" s="909">
        <v>31.957983016967798</v>
      </c>
      <c r="Z287" s="909">
        <v>31.580909729003899</v>
      </c>
      <c r="AA287" s="306">
        <v>1.67883205413818</v>
      </c>
      <c r="AB287" s="306">
        <v>1.6938681602478001</v>
      </c>
      <c r="AC287" s="306">
        <v>1.7024568319320701</v>
      </c>
      <c r="AD287" s="306">
        <v>1.71655297279358</v>
      </c>
    </row>
    <row r="288" spans="1:70" x14ac:dyDescent="0.25">
      <c r="A288" s="907" t="s">
        <v>626</v>
      </c>
      <c r="B288" s="909">
        <v>15.2446508407593</v>
      </c>
      <c r="C288" s="909">
        <v>16.0964660644531</v>
      </c>
      <c r="D288" s="909">
        <v>22.1856594085693</v>
      </c>
      <c r="E288" s="909">
        <v>10.540905952453601</v>
      </c>
      <c r="F288" s="909">
        <v>10.4131317138672</v>
      </c>
      <c r="G288" s="909">
        <v>12.992267608642599</v>
      </c>
      <c r="H288" s="909">
        <v>14.8510446548462</v>
      </c>
      <c r="I288" s="909">
        <v>16.4927158355713</v>
      </c>
      <c r="J288" s="909">
        <v>17.888269424438501</v>
      </c>
      <c r="K288" s="909">
        <v>19.120731353759801</v>
      </c>
      <c r="L288" s="909">
        <v>20.025011062622099</v>
      </c>
      <c r="M288" s="909">
        <v>20.925888061523398</v>
      </c>
      <c r="N288" s="909">
        <v>21.650459289550799</v>
      </c>
      <c r="O288" s="909">
        <v>22.054113388061499</v>
      </c>
      <c r="P288" s="909">
        <v>22.358533859252901</v>
      </c>
      <c r="Q288" s="909">
        <v>22.535087585449201</v>
      </c>
      <c r="R288" s="909">
        <v>22.624557495117202</v>
      </c>
      <c r="S288" s="909">
        <v>22.875423431396499</v>
      </c>
      <c r="T288" s="909">
        <v>23.088819503784201</v>
      </c>
      <c r="U288" s="909">
        <v>22.878332138061499</v>
      </c>
      <c r="V288" s="909">
        <v>23.229129791259801</v>
      </c>
      <c r="W288" s="909">
        <v>23.440977096557599</v>
      </c>
      <c r="X288" s="909">
        <v>23.911849975585898</v>
      </c>
      <c r="Y288" s="909">
        <v>24.3618278503418</v>
      </c>
      <c r="Z288" s="909">
        <v>24.669164657592798</v>
      </c>
      <c r="AA288" s="306">
        <v>1.2833950519561801</v>
      </c>
      <c r="AB288" s="306">
        <v>1.3286876678466799</v>
      </c>
      <c r="AC288" s="306">
        <v>1.33012855052948</v>
      </c>
      <c r="AD288" s="306">
        <v>1.33445107936859</v>
      </c>
    </row>
    <row r="289" spans="1:30" x14ac:dyDescent="0.25">
      <c r="A289" s="907" t="s">
        <v>610</v>
      </c>
      <c r="B289" s="909">
        <v>19.171348571777301</v>
      </c>
      <c r="C289" s="909">
        <v>19.9431552886963</v>
      </c>
      <c r="D289" s="909">
        <v>25.721439361572301</v>
      </c>
      <c r="E289" s="909">
        <v>15.1513471603394</v>
      </c>
      <c r="F289" s="909">
        <v>13.5963325500488</v>
      </c>
      <c r="G289" s="909">
        <v>16.098552703857401</v>
      </c>
      <c r="H289" s="909">
        <v>18.014595031738299</v>
      </c>
      <c r="I289" s="909">
        <v>20.0945529937744</v>
      </c>
      <c r="J289" s="909">
        <v>21.487236022949201</v>
      </c>
      <c r="K289" s="909">
        <v>22.551927566528299</v>
      </c>
      <c r="L289" s="909">
        <v>23.4185886383057</v>
      </c>
      <c r="M289" s="909">
        <v>24.295482635498001</v>
      </c>
      <c r="N289" s="909">
        <v>25.028078079223601</v>
      </c>
      <c r="O289" s="909">
        <v>25.4735622406006</v>
      </c>
      <c r="P289" s="909">
        <v>25.7968635559082</v>
      </c>
      <c r="Q289" s="909">
        <v>25.744600296020501</v>
      </c>
      <c r="R289" s="909">
        <v>26.0401725769043</v>
      </c>
      <c r="S289" s="909">
        <v>26.245742797851602</v>
      </c>
      <c r="T289" s="909">
        <v>26.316581726074201</v>
      </c>
      <c r="U289" s="909">
        <v>26.282798767089801</v>
      </c>
      <c r="V289" s="909">
        <v>26.623888015747099</v>
      </c>
      <c r="W289" s="909">
        <v>26.532428741455099</v>
      </c>
      <c r="X289" s="909">
        <v>26.9911499023438</v>
      </c>
      <c r="Y289" s="909">
        <v>27.692060470581101</v>
      </c>
      <c r="Z289" s="909">
        <v>27.7130451202393</v>
      </c>
      <c r="AA289" s="306">
        <v>23.429731369018601</v>
      </c>
      <c r="AB289" s="306">
        <v>23.480413436889599</v>
      </c>
      <c r="AC289" s="306">
        <v>23.589033126831101</v>
      </c>
      <c r="AD289" s="306">
        <v>23.596023559570298</v>
      </c>
    </row>
    <row r="290" spans="1:30" x14ac:dyDescent="0.25">
      <c r="A290" s="907" t="s">
        <v>611</v>
      </c>
      <c r="B290" s="909">
        <v>8.4246683120727504</v>
      </c>
      <c r="C290" s="909">
        <v>9.3672227859497106</v>
      </c>
      <c r="D290" s="909">
        <v>14.1781015396118</v>
      </c>
      <c r="E290" s="909">
        <v>6.5043296813964799</v>
      </c>
      <c r="F290" s="909">
        <v>6.9149212837219203</v>
      </c>
      <c r="G290" s="909">
        <v>9.2013835906982404</v>
      </c>
      <c r="H290" s="909">
        <v>10.8588418960571</v>
      </c>
      <c r="I290" s="909">
        <v>12.3554439544678</v>
      </c>
      <c r="J290" s="909">
        <v>13.5696716308594</v>
      </c>
      <c r="K290" s="909">
        <v>14.9571332931519</v>
      </c>
      <c r="L290" s="909">
        <v>15.7562828063965</v>
      </c>
      <c r="M290" s="909">
        <v>16.419845581054702</v>
      </c>
      <c r="N290" s="909">
        <v>17.090215682983398</v>
      </c>
      <c r="O290" s="909">
        <v>17.3671054840088</v>
      </c>
      <c r="P290" s="909">
        <v>17.589653015136701</v>
      </c>
      <c r="Q290" s="909">
        <v>17.8480415344238</v>
      </c>
      <c r="R290" s="909">
        <v>17.911899566650401</v>
      </c>
      <c r="S290" s="909">
        <v>18.041828155517599</v>
      </c>
      <c r="T290" s="909">
        <v>18.112939834594702</v>
      </c>
      <c r="U290" s="909">
        <v>17.862413406372099</v>
      </c>
      <c r="V290" s="909">
        <v>18.047613143920898</v>
      </c>
      <c r="W290" s="909">
        <v>18.333000183105501</v>
      </c>
      <c r="X290" s="909">
        <v>18.6528930664063</v>
      </c>
      <c r="Y290" s="909">
        <v>18.8375339508057</v>
      </c>
      <c r="Z290" s="909">
        <v>19.187860488891602</v>
      </c>
      <c r="AA290" s="306"/>
      <c r="AB290" s="306"/>
      <c r="AC290" s="306"/>
      <c r="AD290" s="306"/>
    </row>
    <row r="291" spans="1:30" x14ac:dyDescent="0.25">
      <c r="A291" s="907" t="s">
        <v>510</v>
      </c>
      <c r="B291" s="909">
        <v>9.5015735626220703</v>
      </c>
      <c r="C291" s="909">
        <v>9.0060253143310494</v>
      </c>
      <c r="D291" s="909">
        <v>10.1816816329956</v>
      </c>
      <c r="E291" s="909">
        <v>6.76324558258057</v>
      </c>
      <c r="F291" s="909">
        <v>7.4289712905883798</v>
      </c>
      <c r="G291" s="909">
        <v>7.7374553680419904</v>
      </c>
      <c r="H291" s="909">
        <v>7.7907910346984899</v>
      </c>
      <c r="I291" s="909">
        <v>7.79954290390015</v>
      </c>
      <c r="J291" s="909">
        <v>7.91036033630371</v>
      </c>
      <c r="K291" s="909">
        <v>8.0721502304077095</v>
      </c>
      <c r="L291" s="909">
        <v>8.2674913406372106</v>
      </c>
      <c r="M291" s="909">
        <v>8.4630060195922905</v>
      </c>
      <c r="N291" s="909">
        <v>8.6615943908691406</v>
      </c>
      <c r="O291" s="909">
        <v>8.9140930175781303</v>
      </c>
      <c r="P291" s="909">
        <v>9.2212562561035192</v>
      </c>
      <c r="Q291" s="909">
        <v>9.4307956695556605</v>
      </c>
      <c r="R291" s="909">
        <v>9.4883728027343803</v>
      </c>
      <c r="S291" s="909">
        <v>9.2674760818481392</v>
      </c>
      <c r="T291" s="909">
        <v>9.2395153045654297</v>
      </c>
      <c r="U291" s="909">
        <v>9.1623344421386701</v>
      </c>
      <c r="V291" s="909">
        <v>9.3142642974853498</v>
      </c>
      <c r="W291" s="909">
        <v>9.5711297988891602</v>
      </c>
      <c r="X291" s="909">
        <v>9.9057645797729492</v>
      </c>
      <c r="Y291" s="909">
        <v>10.151716232299799</v>
      </c>
      <c r="Z291" s="909">
        <v>10.4206848144531</v>
      </c>
      <c r="AA291" s="306"/>
      <c r="AB291" s="306"/>
      <c r="AC291" s="306"/>
      <c r="AD291" s="306"/>
    </row>
    <row r="292" spans="1:30" x14ac:dyDescent="0.25">
      <c r="A292" s="907" t="s">
        <v>614</v>
      </c>
      <c r="B292" s="909">
        <v>3.6353600025177002</v>
      </c>
      <c r="C292" s="909">
        <v>3.6099998950958301</v>
      </c>
      <c r="D292" s="909">
        <v>4.0558156967163104</v>
      </c>
      <c r="E292" s="909">
        <v>4.0487108230590803</v>
      </c>
      <c r="F292" s="909">
        <v>3.9977276325225799</v>
      </c>
      <c r="G292" s="909">
        <v>4.1121706962585396</v>
      </c>
      <c r="H292" s="909">
        <v>4.1809573173522896</v>
      </c>
      <c r="I292" s="909">
        <v>4.2343683242797896</v>
      </c>
      <c r="J292" s="909">
        <v>4.27162742614746</v>
      </c>
      <c r="K292" s="909">
        <v>4.2985162734985396</v>
      </c>
      <c r="L292" s="909">
        <v>4.3192996978759801</v>
      </c>
      <c r="M292" s="909">
        <v>4.3337044715881303</v>
      </c>
      <c r="N292" s="909">
        <v>4.3530845642089799</v>
      </c>
      <c r="O292" s="909">
        <v>4.3696141242981001</v>
      </c>
      <c r="P292" s="909">
        <v>4.3899216651916504</v>
      </c>
      <c r="Q292" s="909">
        <v>4.4470157623290998</v>
      </c>
      <c r="R292" s="909">
        <v>4.5093812942504901</v>
      </c>
      <c r="S292" s="909">
        <v>4.5352845191955602</v>
      </c>
      <c r="T292" s="909">
        <v>4.5618190765380904</v>
      </c>
      <c r="U292" s="909">
        <v>4.5643453598022496</v>
      </c>
      <c r="V292" s="909">
        <v>4.5493078231811497</v>
      </c>
      <c r="W292" s="909">
        <v>4.5490665435790998</v>
      </c>
      <c r="X292" s="909">
        <v>4.5331215858459499</v>
      </c>
      <c r="Y292" s="909">
        <v>4.4955492019653303</v>
      </c>
      <c r="Z292" s="909">
        <v>4.4319190979003897</v>
      </c>
      <c r="AA292" s="306">
        <v>253.732666015625</v>
      </c>
      <c r="AB292" s="306">
        <v>257.28918457031301</v>
      </c>
      <c r="AC292" s="306">
        <v>259.96432495117199</v>
      </c>
      <c r="AD292" s="306">
        <v>262.21316528320301</v>
      </c>
    </row>
    <row r="293" spans="1:30" x14ac:dyDescent="0.25">
      <c r="A293" s="907" t="s">
        <v>627</v>
      </c>
      <c r="B293" s="909">
        <v>1.7776364088058501</v>
      </c>
      <c r="C293" s="909">
        <v>1.81885313987732</v>
      </c>
      <c r="D293" s="909">
        <v>1.9676311016082799</v>
      </c>
      <c r="E293" s="909">
        <v>2.0067975521087602</v>
      </c>
      <c r="F293" s="909">
        <v>1.88941025733948</v>
      </c>
      <c r="G293" s="909">
        <v>1.9042230844497701</v>
      </c>
      <c r="H293" s="909">
        <v>1.89033174514771</v>
      </c>
      <c r="I293" s="909">
        <v>1.9154095649719201</v>
      </c>
      <c r="J293" s="909">
        <v>1.93832087516785</v>
      </c>
      <c r="K293" s="909">
        <v>1.94072294235229</v>
      </c>
      <c r="L293" s="909">
        <v>1.9500694274902299</v>
      </c>
      <c r="M293" s="909">
        <v>1.9586881399154701</v>
      </c>
      <c r="N293" s="909">
        <v>1.9732190370559699</v>
      </c>
      <c r="O293" s="909">
        <v>1.9783339500427199</v>
      </c>
      <c r="P293" s="909">
        <v>1.98810267448425</v>
      </c>
      <c r="Q293" s="909">
        <v>1.9938982725143399</v>
      </c>
      <c r="R293" s="909">
        <v>2.0064799785614</v>
      </c>
      <c r="S293" s="909">
        <v>2.0119984149932901</v>
      </c>
      <c r="T293" s="909">
        <v>2.0163278579711901</v>
      </c>
      <c r="U293" s="909">
        <v>2.0205180644989</v>
      </c>
      <c r="V293" s="909">
        <v>2.0271856784820601</v>
      </c>
      <c r="W293" s="909">
        <v>2.0382561683654798</v>
      </c>
      <c r="X293" s="909">
        <v>2.0508835315704301</v>
      </c>
      <c r="Y293" s="909">
        <v>2.0641281604766801</v>
      </c>
      <c r="Z293" s="909">
        <v>2.0750961303710902</v>
      </c>
      <c r="AA293" s="306">
        <v>208.50216674804699</v>
      </c>
      <c r="AB293" s="306">
        <v>213.246017456055</v>
      </c>
      <c r="AC293" s="306">
        <v>217.97378540039099</v>
      </c>
      <c r="AD293" s="306">
        <v>222.08200073242199</v>
      </c>
    </row>
    <row r="294" spans="1:30" x14ac:dyDescent="0.25">
      <c r="A294" s="907" t="s">
        <v>616</v>
      </c>
      <c r="B294" s="909">
        <v>0</v>
      </c>
      <c r="C294" s="909">
        <v>0</v>
      </c>
      <c r="D294" s="909">
        <v>0</v>
      </c>
      <c r="E294" s="909">
        <v>0</v>
      </c>
      <c r="F294" s="909">
        <v>0</v>
      </c>
      <c r="G294" s="909">
        <v>1.5133428573608401</v>
      </c>
      <c r="H294" s="909">
        <v>1.3742095232009901</v>
      </c>
      <c r="I294" s="909">
        <v>1.19064140319824</v>
      </c>
      <c r="J294" s="909">
        <v>1.3664953708648699</v>
      </c>
      <c r="K294" s="909">
        <v>1.33487153053284</v>
      </c>
      <c r="L294" s="909">
        <v>1.31654036045074</v>
      </c>
      <c r="M294" s="909">
        <v>1.30223417282104</v>
      </c>
      <c r="N294" s="909">
        <v>1.30838906764984</v>
      </c>
      <c r="O294" s="909">
        <v>1.32146644592285</v>
      </c>
      <c r="P294" s="909">
        <v>1.3489345312118499</v>
      </c>
      <c r="Q294" s="909">
        <v>1.3524934053421001</v>
      </c>
      <c r="R294" s="909">
        <v>1.3570195436477701</v>
      </c>
      <c r="S294" s="909">
        <v>1.3626403808593801</v>
      </c>
      <c r="T294" s="909">
        <v>1.37119424343109</v>
      </c>
      <c r="U294" s="909">
        <v>1.3635557889938399</v>
      </c>
      <c r="V294" s="909">
        <v>1.3662919998168901</v>
      </c>
      <c r="W294" s="909">
        <v>1.37254309654236</v>
      </c>
      <c r="X294" s="909">
        <v>1.37609398365021</v>
      </c>
      <c r="Y294" s="909">
        <v>1.3784751892089799</v>
      </c>
      <c r="Z294" s="909">
        <v>1.3805129528045701</v>
      </c>
      <c r="AA294" s="306">
        <v>212.89649963378901</v>
      </c>
      <c r="AB294" s="306">
        <v>216.30204772949199</v>
      </c>
      <c r="AC294" s="306">
        <v>219.267822265625</v>
      </c>
      <c r="AD294" s="306">
        <v>222.079177856445</v>
      </c>
    </row>
    <row r="295" spans="1:30" x14ac:dyDescent="0.25">
      <c r="A295" s="907" t="s">
        <v>479</v>
      </c>
      <c r="B295" s="909">
        <v>26.672916412353501</v>
      </c>
      <c r="C295" s="909">
        <v>26.680915832519499</v>
      </c>
      <c r="D295" s="909">
        <v>27.799331665039102</v>
      </c>
      <c r="E295" s="909">
        <v>26.6892414093018</v>
      </c>
      <c r="F295" s="909">
        <v>24.2756156921387</v>
      </c>
      <c r="G295" s="909">
        <v>25.0947151184082</v>
      </c>
      <c r="H295" s="909">
        <v>25.0493679046631</v>
      </c>
      <c r="I295" s="909">
        <v>25.093559265136701</v>
      </c>
      <c r="J295" s="909">
        <v>25.339256286621101</v>
      </c>
      <c r="K295" s="909">
        <v>25.454051971435501</v>
      </c>
      <c r="L295" s="909">
        <v>25.7708930969238</v>
      </c>
      <c r="M295" s="909">
        <v>26.1124782562256</v>
      </c>
      <c r="N295" s="909">
        <v>26.474697113037099</v>
      </c>
      <c r="O295" s="909">
        <v>26.7419338226318</v>
      </c>
      <c r="P295" s="909">
        <v>27.1641750335693</v>
      </c>
      <c r="Q295" s="909">
        <v>27.529588699340799</v>
      </c>
      <c r="R295" s="909">
        <v>27.7828693389893</v>
      </c>
      <c r="S295" s="909">
        <v>27.754991531372099</v>
      </c>
      <c r="T295" s="909">
        <v>27.792310714721701</v>
      </c>
      <c r="U295" s="909">
        <v>27.7856330871582</v>
      </c>
      <c r="V295" s="909">
        <v>27.867961883544901</v>
      </c>
      <c r="W295" s="909">
        <v>28.2280673980713</v>
      </c>
      <c r="X295" s="909">
        <v>28.6754856109619</v>
      </c>
      <c r="Y295" s="909">
        <v>29.0858860015869</v>
      </c>
      <c r="Z295" s="909">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07" t="s">
        <v>513</v>
      </c>
      <c r="AA297" s="306">
        <v>0.38684526085853599</v>
      </c>
      <c r="AB297" s="306">
        <v>0.443235874176025</v>
      </c>
      <c r="AC297" s="306">
        <v>0.46923574805259699</v>
      </c>
      <c r="AD297" s="306">
        <v>0.51463860273361195</v>
      </c>
    </row>
    <row r="298" spans="1:30" x14ac:dyDescent="0.25">
      <c r="A298" s="907" t="s">
        <v>725</v>
      </c>
      <c r="AA298" s="306">
        <v>1264.49340820313</v>
      </c>
      <c r="AB298" s="306">
        <v>1294.40185546875</v>
      </c>
      <c r="AC298" s="306">
        <v>1313.13012695313</v>
      </c>
      <c r="AD298" s="306">
        <v>1339.67895507813</v>
      </c>
    </row>
    <row r="299" spans="1:30" x14ac:dyDescent="0.25">
      <c r="A299" s="907" t="s">
        <v>473</v>
      </c>
      <c r="B299" s="909">
        <v>231.10064697265599</v>
      </c>
      <c r="C299" s="909">
        <v>238.40081787109401</v>
      </c>
      <c r="D299" s="909">
        <v>250.00378417968801</v>
      </c>
      <c r="E299" s="909">
        <v>223.81915283203099</v>
      </c>
      <c r="F299" s="909">
        <v>215.29118347168</v>
      </c>
      <c r="G299" s="909">
        <v>224.09677124023401</v>
      </c>
      <c r="H299" s="909">
        <v>227.34310913085901</v>
      </c>
      <c r="I299" s="909">
        <v>227.85260009765599</v>
      </c>
      <c r="J299" s="909">
        <v>231.24415588378901</v>
      </c>
      <c r="K299" s="909">
        <v>234.18721008300801</v>
      </c>
      <c r="L299" s="909">
        <v>238.75100708007801</v>
      </c>
      <c r="M299" s="909">
        <v>243.18489074707</v>
      </c>
      <c r="N299" s="909">
        <v>248.169021606445</v>
      </c>
      <c r="O299" s="909">
        <v>252.72660827636699</v>
      </c>
      <c r="P299" s="909">
        <v>258.44952392578102</v>
      </c>
      <c r="Q299" s="909">
        <v>262.50808715820301</v>
      </c>
      <c r="R299" s="909">
        <v>265.94851684570301</v>
      </c>
      <c r="S299" s="909">
        <v>267.30322265625</v>
      </c>
      <c r="T299" s="909">
        <v>270.58847045898398</v>
      </c>
      <c r="U299" s="909">
        <v>272.04168701171898</v>
      </c>
      <c r="V299" s="909">
        <v>276.25186157226602</v>
      </c>
      <c r="W299" s="909">
        <v>282.20260620117199</v>
      </c>
      <c r="X299" s="909">
        <v>288.93267822265602</v>
      </c>
      <c r="Y299" s="909">
        <v>293.60751342773398</v>
      </c>
      <c r="Z299" s="909">
        <v>298.90402221679699</v>
      </c>
      <c r="AA299" s="306"/>
      <c r="AB299" s="306"/>
      <c r="AC299" s="306"/>
      <c r="AD299" s="306"/>
    </row>
    <row r="300" spans="1:30" x14ac:dyDescent="0.25">
      <c r="A300" s="907" t="s">
        <v>480</v>
      </c>
      <c r="B300" s="909">
        <v>170.28274536132801</v>
      </c>
      <c r="C300" s="909">
        <v>172.89260864257801</v>
      </c>
      <c r="D300" s="909">
        <v>183.352294921875</v>
      </c>
      <c r="E300" s="909">
        <v>163.89425659179699</v>
      </c>
      <c r="F300" s="909">
        <v>157.14476013183599</v>
      </c>
      <c r="G300" s="909">
        <v>164.69047546386699</v>
      </c>
      <c r="H300" s="909">
        <v>166.42567443847699</v>
      </c>
      <c r="I300" s="909">
        <v>169.00093078613301</v>
      </c>
      <c r="J300" s="909">
        <v>173.04789733886699</v>
      </c>
      <c r="K300" s="909">
        <v>176.93461608886699</v>
      </c>
      <c r="L300" s="909">
        <v>182.04042053222699</v>
      </c>
      <c r="M300" s="909">
        <v>187.24485778808599</v>
      </c>
      <c r="N300" s="909">
        <v>192.69107055664099</v>
      </c>
      <c r="O300" s="909">
        <v>197.508544921875</v>
      </c>
      <c r="P300" s="909">
        <v>203.26272583007801</v>
      </c>
      <c r="Q300" s="909">
        <v>208.31881713867199</v>
      </c>
      <c r="R300" s="909">
        <v>212.33370971679699</v>
      </c>
      <c r="S300" s="909">
        <v>214.22947692871099</v>
      </c>
      <c r="T300" s="909">
        <v>217.23475646972699</v>
      </c>
      <c r="U300" s="909">
        <v>219.65505981445301</v>
      </c>
      <c r="V300" s="909">
        <v>223.61666870117199</v>
      </c>
      <c r="W300" s="909">
        <v>229.31947326660199</v>
      </c>
      <c r="X300" s="909">
        <v>235.82908630371099</v>
      </c>
      <c r="Y300" s="909">
        <v>241.79779052734401</v>
      </c>
      <c r="Z300" s="909">
        <v>247.76422119140599</v>
      </c>
      <c r="AA300" s="306"/>
      <c r="AB300" s="306"/>
      <c r="AC300" s="306"/>
      <c r="AD300" s="306"/>
    </row>
    <row r="301" spans="1:30" x14ac:dyDescent="0.25">
      <c r="A301" s="907" t="s">
        <v>515</v>
      </c>
      <c r="B301" s="909">
        <v>216.08058166503901</v>
      </c>
      <c r="C301" s="909">
        <v>226.88609313964801</v>
      </c>
      <c r="D301" s="909">
        <v>248.66896057128901</v>
      </c>
      <c r="E301" s="909">
        <v>181.39601135253901</v>
      </c>
      <c r="F301" s="909">
        <v>151.70443725585901</v>
      </c>
      <c r="G301" s="909">
        <v>172.23597717285199</v>
      </c>
      <c r="H301" s="909">
        <v>186.63681030273401</v>
      </c>
      <c r="I301" s="909">
        <v>200.19924926757801</v>
      </c>
      <c r="J301" s="909">
        <v>207.03741455078099</v>
      </c>
      <c r="K301" s="909">
        <v>213.45352172851599</v>
      </c>
      <c r="L301" s="909">
        <v>218.62767028808599</v>
      </c>
      <c r="M301" s="909">
        <v>224.29528808593801</v>
      </c>
      <c r="N301" s="909">
        <v>229.96401977539099</v>
      </c>
      <c r="O301" s="909">
        <v>233.76069641113301</v>
      </c>
      <c r="P301" s="909">
        <v>239.065841674805</v>
      </c>
      <c r="Q301" s="909">
        <v>241.45851135253901</v>
      </c>
      <c r="R301" s="909">
        <v>242.383544921875</v>
      </c>
      <c r="S301" s="909">
        <v>242.41815185546901</v>
      </c>
      <c r="T301" s="909">
        <v>242.89247131347699</v>
      </c>
      <c r="U301" s="909">
        <v>240.916915893555</v>
      </c>
      <c r="V301" s="909">
        <v>241.41357421875</v>
      </c>
      <c r="W301" s="909">
        <v>242.50785827636699</v>
      </c>
      <c r="X301" s="909">
        <v>244.85752868652301</v>
      </c>
      <c r="Y301" s="909">
        <v>245.86729431152301</v>
      </c>
      <c r="Z301" s="909">
        <v>245.87216186523401</v>
      </c>
      <c r="AA301" s="306"/>
      <c r="AB301" s="306"/>
      <c r="AC301" s="306"/>
      <c r="AD301" s="306"/>
    </row>
    <row r="302" spans="1:30" x14ac:dyDescent="0.25">
      <c r="A302" s="907" t="s">
        <v>487</v>
      </c>
      <c r="B302" s="909">
        <v>564.62982177734398</v>
      </c>
      <c r="C302" s="909">
        <v>596.84759521484398</v>
      </c>
      <c r="D302" s="909">
        <v>693.65460205078102</v>
      </c>
      <c r="E302" s="909">
        <v>393.76574707031301</v>
      </c>
      <c r="F302" s="909">
        <v>430.90808105468801</v>
      </c>
      <c r="G302" s="909">
        <v>516.84307861328102</v>
      </c>
      <c r="H302" s="909">
        <v>568.141357421875</v>
      </c>
      <c r="I302" s="909">
        <v>610.89111328125</v>
      </c>
      <c r="J302" s="909">
        <v>646.41064453125</v>
      </c>
      <c r="K302" s="909">
        <v>676.39013671875</v>
      </c>
      <c r="L302" s="909">
        <v>696.72686767578102</v>
      </c>
      <c r="M302" s="909">
        <v>719.33160400390602</v>
      </c>
      <c r="N302" s="909">
        <v>737.13671875</v>
      </c>
      <c r="O302" s="909">
        <v>750.27301025390602</v>
      </c>
      <c r="P302" s="909">
        <v>759.33123779296898</v>
      </c>
      <c r="Q302" s="909">
        <v>760.33734130859398</v>
      </c>
      <c r="R302" s="909">
        <v>761.04602050781295</v>
      </c>
      <c r="S302" s="909">
        <v>771.55059814453102</v>
      </c>
      <c r="T302" s="909">
        <v>780.57421875</v>
      </c>
      <c r="U302" s="909">
        <v>783.147216796875</v>
      </c>
      <c r="V302" s="909">
        <v>796.70227050781295</v>
      </c>
      <c r="W302" s="909">
        <v>794.56842041015602</v>
      </c>
      <c r="X302" s="909">
        <v>811.39251708984398</v>
      </c>
      <c r="Y302" s="909">
        <v>832.07995605468795</v>
      </c>
      <c r="Z302" s="909">
        <v>835.36431884765602</v>
      </c>
      <c r="AA302" s="306"/>
      <c r="AB302" s="306"/>
      <c r="AC302" s="306"/>
      <c r="AD302" s="306"/>
    </row>
    <row r="303" spans="1:30" x14ac:dyDescent="0.25">
      <c r="A303" s="907" t="s">
        <v>516</v>
      </c>
      <c r="B303" s="909">
        <v>1182.09375</v>
      </c>
      <c r="C303" s="909">
        <v>1235.02709960938</v>
      </c>
      <c r="D303" s="909">
        <v>1375.6796875</v>
      </c>
      <c r="E303" s="909">
        <v>962.87518310546898</v>
      </c>
      <c r="F303" s="909">
        <v>955.04846191406295</v>
      </c>
      <c r="G303" s="909">
        <v>1077.86633300781</v>
      </c>
      <c r="H303" s="909">
        <v>1148.54699707031</v>
      </c>
      <c r="I303" s="909">
        <v>1207.94384765625</v>
      </c>
      <c r="J303" s="909">
        <v>1257.74011230469</v>
      </c>
      <c r="K303" s="909">
        <v>1300.96545410156</v>
      </c>
      <c r="L303" s="909">
        <v>1336.14599609375</v>
      </c>
      <c r="M303" s="909">
        <v>1374.056640625</v>
      </c>
      <c r="N303" s="909">
        <v>1407.96081542969</v>
      </c>
      <c r="O303" s="909">
        <v>1434.26879882813</v>
      </c>
      <c r="P303" s="909">
        <v>1460.109375</v>
      </c>
      <c r="Q303" s="909">
        <v>1472.62280273438</v>
      </c>
      <c r="R303" s="909">
        <v>1481.71179199219</v>
      </c>
      <c r="S303" s="909">
        <v>1495.50146484375</v>
      </c>
      <c r="T303" s="909">
        <v>1511.28991699219</v>
      </c>
      <c r="U303" s="909">
        <v>1515.76086425781</v>
      </c>
      <c r="V303" s="909">
        <v>1537.984375</v>
      </c>
      <c r="W303" s="909">
        <v>1548.59838867188</v>
      </c>
      <c r="X303" s="909">
        <v>1581.01184082031</v>
      </c>
      <c r="Y303" s="909">
        <v>1613.3525390625</v>
      </c>
      <c r="Z303" s="909">
        <v>1627.90478515625</v>
      </c>
      <c r="AA303" s="306"/>
      <c r="AB303" s="306"/>
      <c r="AC303" s="306"/>
      <c r="AD303" s="306"/>
    </row>
    <row r="304" spans="1:30" x14ac:dyDescent="0.25">
      <c r="A304" s="907" t="s">
        <v>629</v>
      </c>
      <c r="B304" s="909">
        <v>3.2131362706422799E-2</v>
      </c>
      <c r="C304" s="909">
        <v>4.0145620703697198E-2</v>
      </c>
      <c r="D304" s="909">
        <v>3.7687420845031697E-2</v>
      </c>
      <c r="E304" s="909">
        <v>2.54867300391197E-2</v>
      </c>
      <c r="F304" s="909">
        <v>5.4010055959224701E-2</v>
      </c>
      <c r="G304" s="909">
        <v>6.77362531423569E-2</v>
      </c>
      <c r="H304" s="909">
        <v>8.3178348839283003E-2</v>
      </c>
      <c r="I304" s="909">
        <v>9.4869345426559407E-2</v>
      </c>
      <c r="J304" s="909">
        <v>0.113030456006527</v>
      </c>
      <c r="K304" s="909">
        <v>1.97330021858215</v>
      </c>
      <c r="L304" s="909">
        <v>4.8567194938659703</v>
      </c>
      <c r="M304" s="909">
        <v>6.7303171157836896</v>
      </c>
      <c r="N304" s="909">
        <v>10.514961242675801</v>
      </c>
      <c r="O304" s="909">
        <v>15.7356252670288</v>
      </c>
      <c r="P304" s="909">
        <v>22.100711822509801</v>
      </c>
      <c r="Q304" s="909">
        <v>25.9892463684082</v>
      </c>
      <c r="R304" s="909">
        <v>35.539012908935497</v>
      </c>
      <c r="S304" s="909">
        <v>35.597633361816399</v>
      </c>
      <c r="T304" s="909">
        <v>34.1677055358887</v>
      </c>
      <c r="U304" s="909">
        <v>35.613494873046903</v>
      </c>
      <c r="V304" s="909">
        <v>37.140151977539098</v>
      </c>
      <c r="W304" s="909">
        <v>45.276290893554702</v>
      </c>
      <c r="X304" s="909">
        <v>47.974498748779297</v>
      </c>
      <c r="Y304" s="909">
        <v>53.190200805664098</v>
      </c>
      <c r="Z304" s="909">
        <v>54.179977416992202</v>
      </c>
      <c r="AA304" s="306"/>
      <c r="AB304" s="306"/>
      <c r="AC304" s="306"/>
      <c r="AD304" s="306"/>
    </row>
    <row r="305" spans="1:30" x14ac:dyDescent="0.25">
      <c r="A305" s="907" t="s">
        <v>518</v>
      </c>
      <c r="B305" s="909">
        <v>1182.12585449219</v>
      </c>
      <c r="C305" s="909">
        <v>1235.06726074219</v>
      </c>
      <c r="D305" s="909">
        <v>1375.71740722656</v>
      </c>
      <c r="E305" s="909">
        <v>962.90069580078102</v>
      </c>
      <c r="F305" s="909">
        <v>955.10247802734398</v>
      </c>
      <c r="G305" s="909">
        <v>1077.93408203125</v>
      </c>
      <c r="H305" s="909">
        <v>1148.63012695313</v>
      </c>
      <c r="I305" s="909">
        <v>1208.03869628906</v>
      </c>
      <c r="J305" s="909">
        <v>1257.85314941406</v>
      </c>
      <c r="K305" s="909">
        <v>1302.93872070313</v>
      </c>
      <c r="L305" s="909">
        <v>1341.00268554688</v>
      </c>
      <c r="M305" s="909">
        <v>1380.78698730469</v>
      </c>
      <c r="N305" s="909">
        <v>1418.47583007813</v>
      </c>
      <c r="O305" s="909">
        <v>1450.00439453125</v>
      </c>
      <c r="P305" s="909">
        <v>1482.21008300781</v>
      </c>
      <c r="Q305" s="909">
        <v>1498.61206054688</v>
      </c>
      <c r="R305" s="909">
        <v>1517.25085449219</v>
      </c>
      <c r="S305" s="909">
        <v>1531.09912109375</v>
      </c>
      <c r="T305" s="909">
        <v>1545.45764160156</v>
      </c>
      <c r="U305" s="909">
        <v>1551.37438964844</v>
      </c>
      <c r="V305" s="909">
        <v>1575.12451171875</v>
      </c>
      <c r="W305" s="909">
        <v>1593.87463378906</v>
      </c>
      <c r="X305" s="909">
        <v>1628.986328125</v>
      </c>
      <c r="Y305" s="909">
        <v>1666.54272460938</v>
      </c>
      <c r="Z305" s="909">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07" t="s">
        <v>726</v>
      </c>
      <c r="AA308" s="306"/>
      <c r="AB308" s="306"/>
      <c r="AC308" s="306"/>
      <c r="AD308" s="306"/>
    </row>
    <row r="309" spans="1:30" x14ac:dyDescent="0.25">
      <c r="A309" s="907" t="s">
        <v>473</v>
      </c>
      <c r="AA309" s="306"/>
      <c r="AB309" s="306"/>
      <c r="AC309" s="306"/>
      <c r="AD309" s="306"/>
    </row>
    <row r="310" spans="1:30" x14ac:dyDescent="0.25">
      <c r="A310" s="907" t="s">
        <v>609</v>
      </c>
      <c r="B310" s="909">
        <v>23.2563285827637</v>
      </c>
      <c r="C310" s="909">
        <v>24.973464965820298</v>
      </c>
      <c r="D310" s="909">
        <v>29.096658706665</v>
      </c>
      <c r="E310" s="909">
        <v>22.194786071777301</v>
      </c>
      <c r="F310" s="909">
        <v>21.477947235107401</v>
      </c>
      <c r="G310" s="909">
        <v>24.1509113311768</v>
      </c>
      <c r="H310" s="909">
        <v>26.557428359985401</v>
      </c>
      <c r="I310" s="909">
        <v>28.936630249023398</v>
      </c>
      <c r="J310" s="909">
        <v>31.2247924804688</v>
      </c>
      <c r="K310" s="909">
        <v>33.758499145507798</v>
      </c>
      <c r="L310" s="909">
        <v>35.743316650390597</v>
      </c>
      <c r="M310" s="909">
        <v>37.599853515625</v>
      </c>
      <c r="N310" s="909">
        <v>39.552177429199197</v>
      </c>
      <c r="O310" s="909">
        <v>40.9905815124512</v>
      </c>
      <c r="P310" s="909">
        <v>42.334590911865199</v>
      </c>
      <c r="Q310" s="909">
        <v>43.7123832702637</v>
      </c>
      <c r="R310" s="909">
        <v>44.985881805419901</v>
      </c>
      <c r="S310" s="909">
        <v>46.523696899414098</v>
      </c>
      <c r="T310" s="909">
        <v>47.765018463134801</v>
      </c>
      <c r="U310" s="909">
        <v>48.143123626708999</v>
      </c>
      <c r="V310" s="909">
        <v>49.548942565917997</v>
      </c>
      <c r="W310" s="909">
        <v>50.986961364746101</v>
      </c>
      <c r="X310" s="909">
        <v>52.580905914306598</v>
      </c>
      <c r="Y310" s="909">
        <v>53.965934753417997</v>
      </c>
      <c r="Z310" s="909">
        <v>55.648300170898402</v>
      </c>
      <c r="AA310" s="306"/>
      <c r="AB310" s="306"/>
      <c r="AC310" s="306"/>
      <c r="AD310" s="306"/>
    </row>
    <row r="311" spans="1:30" x14ac:dyDescent="0.25">
      <c r="A311" s="907" t="s">
        <v>610</v>
      </c>
      <c r="B311" s="909">
        <v>17.979913711547901</v>
      </c>
      <c r="C311" s="909">
        <v>19.664405822753899</v>
      </c>
      <c r="D311" s="909">
        <v>24.466548919677699</v>
      </c>
      <c r="E311" s="909">
        <v>16.188474655151399</v>
      </c>
      <c r="F311" s="909">
        <v>13.8549404144287</v>
      </c>
      <c r="G311" s="909">
        <v>16.4927158355713</v>
      </c>
      <c r="H311" s="909">
        <v>18.5955104827881</v>
      </c>
      <c r="I311" s="909">
        <v>20.348911285400401</v>
      </c>
      <c r="J311" s="909">
        <v>22.1809597015381</v>
      </c>
      <c r="K311" s="909">
        <v>24.3712253570557</v>
      </c>
      <c r="L311" s="909">
        <v>25.9372863769531</v>
      </c>
      <c r="M311" s="909">
        <v>27.5034885406494</v>
      </c>
      <c r="N311" s="909">
        <v>29.0146675109863</v>
      </c>
      <c r="O311" s="909">
        <v>30.168525695800799</v>
      </c>
      <c r="P311" s="909">
        <v>31.2883205413818</v>
      </c>
      <c r="Q311" s="909">
        <v>32.275276184082003</v>
      </c>
      <c r="R311" s="909">
        <v>33.246475219726598</v>
      </c>
      <c r="S311" s="909">
        <v>34.4459838867188</v>
      </c>
      <c r="T311" s="909">
        <v>35.640113830566399</v>
      </c>
      <c r="U311" s="909">
        <v>35.882171630859403</v>
      </c>
      <c r="V311" s="909">
        <v>37.065284729003899</v>
      </c>
      <c r="W311" s="909">
        <v>38.310382843017599</v>
      </c>
      <c r="X311" s="909">
        <v>39.641868591308601</v>
      </c>
      <c r="Y311" s="909">
        <v>40.905982971191399</v>
      </c>
      <c r="Z311" s="909">
        <v>42.365245819091797</v>
      </c>
      <c r="AA311" s="306"/>
      <c r="AB311" s="306"/>
      <c r="AC311" s="306"/>
      <c r="AD311" s="306"/>
    </row>
    <row r="312" spans="1:30" x14ac:dyDescent="0.25">
      <c r="A312" s="907" t="s">
        <v>510</v>
      </c>
      <c r="B312" s="909">
        <v>13.3406887054443</v>
      </c>
      <c r="C312" s="909">
        <v>12.691158294677701</v>
      </c>
      <c r="D312" s="909">
        <v>13.2631158828735</v>
      </c>
      <c r="E312" s="909">
        <v>11.061133384704601</v>
      </c>
      <c r="F312" s="909">
        <v>11.614992141723601</v>
      </c>
      <c r="G312" s="909">
        <v>12.061012268066399</v>
      </c>
      <c r="H312" s="909">
        <v>12.1186227798462</v>
      </c>
      <c r="I312" s="909">
        <v>12.236530303955099</v>
      </c>
      <c r="J312" s="909">
        <v>12.476335525512701</v>
      </c>
      <c r="K312" s="909">
        <v>12.8177757263184</v>
      </c>
      <c r="L312" s="909">
        <v>13.333586692810099</v>
      </c>
      <c r="M312" s="909">
        <v>13.900782585144</v>
      </c>
      <c r="N312" s="909">
        <v>14.492022514343301</v>
      </c>
      <c r="O312" s="909">
        <v>15.1641521453857</v>
      </c>
      <c r="P312" s="909">
        <v>15.945101737976101</v>
      </c>
      <c r="Q312" s="909">
        <v>16.661958694458001</v>
      </c>
      <c r="R312" s="909">
        <v>17.186347961425799</v>
      </c>
      <c r="S312" s="909">
        <v>17.308622360229499</v>
      </c>
      <c r="T312" s="909">
        <v>17.6488857269287</v>
      </c>
      <c r="U312" s="909">
        <v>17.9868679046631</v>
      </c>
      <c r="V312" s="909">
        <v>18.635103225708001</v>
      </c>
      <c r="W312" s="909">
        <v>19.4500408172607</v>
      </c>
      <c r="X312" s="909">
        <v>20.3657627105713</v>
      </c>
      <c r="Y312" s="909">
        <v>21.1996364593506</v>
      </c>
      <c r="Z312" s="909">
        <v>22.095756530761701</v>
      </c>
      <c r="AA312" s="306"/>
      <c r="AB312" s="306"/>
      <c r="AC312" s="306"/>
      <c r="AD312" s="306"/>
    </row>
    <row r="313" spans="1:30" x14ac:dyDescent="0.25">
      <c r="A313" s="907" t="s">
        <v>479</v>
      </c>
      <c r="B313" s="909">
        <v>30.388185501098601</v>
      </c>
      <c r="C313" s="909">
        <v>31.181957244873001</v>
      </c>
      <c r="D313" s="909">
        <v>32.471218109130902</v>
      </c>
      <c r="E313" s="909">
        <v>31.722009658813501</v>
      </c>
      <c r="F313" s="909">
        <v>29.6958332061768</v>
      </c>
      <c r="G313" s="909">
        <v>31.365653991699201</v>
      </c>
      <c r="H313" s="909">
        <v>32.001548767089801</v>
      </c>
      <c r="I313" s="909">
        <v>32.924289703369098</v>
      </c>
      <c r="J313" s="909">
        <v>34.030689239502003</v>
      </c>
      <c r="K313" s="909">
        <v>34.890899658203097</v>
      </c>
      <c r="L313" s="909">
        <v>35.995761871337898</v>
      </c>
      <c r="M313" s="909">
        <v>37.227577209472699</v>
      </c>
      <c r="N313" s="909">
        <v>38.5026245117188</v>
      </c>
      <c r="O313" s="909">
        <v>39.672031402587898</v>
      </c>
      <c r="P313" s="909">
        <v>41.180412292480497</v>
      </c>
      <c r="Q313" s="909">
        <v>42.698352813720703</v>
      </c>
      <c r="R313" s="909">
        <v>44.053905487060497</v>
      </c>
      <c r="S313" s="909">
        <v>45.011627197265597</v>
      </c>
      <c r="T313" s="909">
        <v>46.023651123046903</v>
      </c>
      <c r="U313" s="909">
        <v>46.971866607666001</v>
      </c>
      <c r="V313" s="909">
        <v>48.032154083252003</v>
      </c>
      <c r="W313" s="909">
        <v>49.565544128417997</v>
      </c>
      <c r="X313" s="909">
        <v>51.240451812744098</v>
      </c>
      <c r="Y313" s="909">
        <v>52.949665069580099</v>
      </c>
      <c r="Z313" s="909">
        <v>54.583251953125</v>
      </c>
      <c r="AA313" s="306"/>
      <c r="AB313" s="306"/>
      <c r="AC313" s="306"/>
      <c r="AD313" s="306"/>
    </row>
    <row r="314" spans="1:30" x14ac:dyDescent="0.25">
      <c r="AA314" s="306"/>
      <c r="AB314" s="306"/>
      <c r="AC314" s="306"/>
      <c r="AD314" s="306"/>
    </row>
    <row r="315" spans="1:30" x14ac:dyDescent="0.25">
      <c r="A315" s="907" t="s">
        <v>480</v>
      </c>
      <c r="AA315" s="306"/>
      <c r="AB315" s="306"/>
      <c r="AC315" s="306"/>
      <c r="AD315" s="306"/>
    </row>
    <row r="316" spans="1:30" x14ac:dyDescent="0.25">
      <c r="A316" s="907" t="s">
        <v>609</v>
      </c>
      <c r="B316" s="909">
        <v>20.6414604187012</v>
      </c>
      <c r="C316" s="909">
        <v>23.041419982910199</v>
      </c>
      <c r="D316" s="909">
        <v>24.0578727722168</v>
      </c>
      <c r="E316" s="909">
        <v>21.6475944519043</v>
      </c>
      <c r="F316" s="909">
        <v>18.202018737793001</v>
      </c>
      <c r="G316" s="909">
        <v>20.8180141448975</v>
      </c>
      <c r="H316" s="909">
        <v>23.171899795532202</v>
      </c>
      <c r="I316" s="909">
        <v>25.4778232574463</v>
      </c>
      <c r="J316" s="909">
        <v>27.6801948547363</v>
      </c>
      <c r="K316" s="909">
        <v>30.122516632080099</v>
      </c>
      <c r="L316" s="909">
        <v>32.012001037597699</v>
      </c>
      <c r="M316" s="909">
        <v>33.770454406738303</v>
      </c>
      <c r="N316" s="909">
        <v>35.6212158203125</v>
      </c>
      <c r="O316" s="909">
        <v>36.9546508789063</v>
      </c>
      <c r="P316" s="909">
        <v>38.187240600585902</v>
      </c>
      <c r="Q316" s="909">
        <v>39.449775695800803</v>
      </c>
      <c r="R316" s="909">
        <v>40.605808258056598</v>
      </c>
      <c r="S316" s="909">
        <v>42.0293998718262</v>
      </c>
      <c r="T316" s="909">
        <v>43.160079956054702</v>
      </c>
      <c r="U316" s="909">
        <v>43.432140350341797</v>
      </c>
      <c r="V316" s="909">
        <v>44.7312202453613</v>
      </c>
      <c r="W316" s="909">
        <v>46.061283111572301</v>
      </c>
      <c r="X316" s="909">
        <v>47.542713165283203</v>
      </c>
      <c r="Y316" s="909">
        <v>48.814918518066399</v>
      </c>
      <c r="Z316" s="909">
        <v>50.382663726806598</v>
      </c>
      <c r="AA316" s="306"/>
      <c r="AB316" s="306"/>
      <c r="AC316" s="306"/>
      <c r="AD316" s="306"/>
    </row>
    <row r="317" spans="1:30" x14ac:dyDescent="0.25">
      <c r="A317" s="907" t="s">
        <v>610</v>
      </c>
      <c r="B317" s="909">
        <v>14.625953674316399</v>
      </c>
      <c r="C317" s="909">
        <v>16.054100036621101</v>
      </c>
      <c r="D317" s="909">
        <v>21.4175109863281</v>
      </c>
      <c r="E317" s="909">
        <v>14.1806936264038</v>
      </c>
      <c r="F317" s="909">
        <v>11.1656141281128</v>
      </c>
      <c r="G317" s="909">
        <v>13.940697669982899</v>
      </c>
      <c r="H317" s="909">
        <v>16.055301666259801</v>
      </c>
      <c r="I317" s="909">
        <v>18.2004089355469</v>
      </c>
      <c r="J317" s="909">
        <v>20.072311401367202</v>
      </c>
      <c r="K317" s="909">
        <v>21.922914505004901</v>
      </c>
      <c r="L317" s="909">
        <v>23.436100006103501</v>
      </c>
      <c r="M317" s="909">
        <v>24.993484497070298</v>
      </c>
      <c r="N317" s="909">
        <v>26.4673175811768</v>
      </c>
      <c r="O317" s="909">
        <v>27.614213943481399</v>
      </c>
      <c r="P317" s="909">
        <v>28.7058811187744</v>
      </c>
      <c r="Q317" s="909">
        <v>29.4854850769043</v>
      </c>
      <c r="R317" s="909">
        <v>30.5256862640381</v>
      </c>
      <c r="S317" s="909">
        <v>31.597146987915</v>
      </c>
      <c r="T317" s="909">
        <v>32.548923492431598</v>
      </c>
      <c r="U317" s="909">
        <v>32.997859954833999</v>
      </c>
      <c r="V317" s="909">
        <v>34.165657043457003</v>
      </c>
      <c r="W317" s="909">
        <v>35.000114440917997</v>
      </c>
      <c r="X317" s="909">
        <v>36.3691596984863</v>
      </c>
      <c r="Y317" s="909">
        <v>37.943679809570298</v>
      </c>
      <c r="Z317" s="909">
        <v>39.006439208984403</v>
      </c>
      <c r="AA317" s="306"/>
      <c r="AB317" s="306"/>
      <c r="AC317" s="306"/>
      <c r="AD317" s="306"/>
    </row>
    <row r="318" spans="1:30" x14ac:dyDescent="0.25">
      <c r="A318" s="907" t="s">
        <v>723</v>
      </c>
      <c r="B318" s="909">
        <v>8.64862155914307</v>
      </c>
      <c r="C318" s="909">
        <v>10.3074436187744</v>
      </c>
      <c r="D318" s="909">
        <v>13.7067270278931</v>
      </c>
      <c r="E318" s="909">
        <v>6.9139137268066397</v>
      </c>
      <c r="F318" s="909">
        <v>6.0204734802246103</v>
      </c>
      <c r="G318" s="909">
        <v>9.0269355773925799</v>
      </c>
      <c r="H318" s="909">
        <v>10.767860412597701</v>
      </c>
      <c r="I318" s="909">
        <v>12.611166954040501</v>
      </c>
      <c r="J318" s="909">
        <v>14.3083610534668</v>
      </c>
      <c r="K318" s="909">
        <v>16.269037246704102</v>
      </c>
      <c r="L318" s="909">
        <v>17.569841384887699</v>
      </c>
      <c r="M318" s="909">
        <v>18.511304855346701</v>
      </c>
      <c r="N318" s="909">
        <v>19.7891235351563</v>
      </c>
      <c r="O318" s="909">
        <v>20.573390960693398</v>
      </c>
      <c r="P318" s="909">
        <v>21.404872894287099</v>
      </c>
      <c r="Q318" s="909">
        <v>22.193275451660199</v>
      </c>
      <c r="R318" s="909">
        <v>22.9593410491943</v>
      </c>
      <c r="S318" s="909">
        <v>23.7928276062012</v>
      </c>
      <c r="T318" s="909">
        <v>24.398706436157202</v>
      </c>
      <c r="U318" s="909">
        <v>24.292516708373999</v>
      </c>
      <c r="V318" s="909">
        <v>25.0136394500732</v>
      </c>
      <c r="W318" s="909">
        <v>25.751762390136701</v>
      </c>
      <c r="X318" s="909">
        <v>26.606601715087901</v>
      </c>
      <c r="Y318" s="909">
        <v>27.4516487121582</v>
      </c>
      <c r="Z318" s="909">
        <v>28.286119461059599</v>
      </c>
      <c r="AA318" s="306"/>
      <c r="AB318" s="306"/>
      <c r="AC318" s="306"/>
      <c r="AD318" s="306"/>
    </row>
    <row r="319" spans="1:30" x14ac:dyDescent="0.25">
      <c r="A319" s="907" t="s">
        <v>510</v>
      </c>
      <c r="B319" s="909">
        <v>11.5840444564819</v>
      </c>
      <c r="C319" s="909">
        <v>10.9898433685303</v>
      </c>
      <c r="D319" s="909">
        <v>11.588038444519</v>
      </c>
      <c r="E319" s="909">
        <v>9.1930990219116193</v>
      </c>
      <c r="F319" s="909">
        <v>9.8226709365844709</v>
      </c>
      <c r="G319" s="909">
        <v>10.233100891113301</v>
      </c>
      <c r="H319" s="909">
        <v>10.334647178649901</v>
      </c>
      <c r="I319" s="909">
        <v>10.4663095474243</v>
      </c>
      <c r="J319" s="909">
        <v>10.734943389892599</v>
      </c>
      <c r="K319" s="909">
        <v>11.106437683105501</v>
      </c>
      <c r="L319" s="909">
        <v>11.600093841552701</v>
      </c>
      <c r="M319" s="909">
        <v>12.1229543685913</v>
      </c>
      <c r="N319" s="909">
        <v>12.6781578063965</v>
      </c>
      <c r="O319" s="909">
        <v>13.3144483566284</v>
      </c>
      <c r="P319" s="909">
        <v>14.069993019104</v>
      </c>
      <c r="Q319" s="909">
        <v>14.7329454421997</v>
      </c>
      <c r="R319" s="909">
        <v>15.223674774169901</v>
      </c>
      <c r="S319" s="909">
        <v>15.329276084899901</v>
      </c>
      <c r="T319" s="909">
        <v>15.6546773910522</v>
      </c>
      <c r="U319" s="909">
        <v>15.9318437576294</v>
      </c>
      <c r="V319" s="909">
        <v>16.5416469573975</v>
      </c>
      <c r="W319" s="909">
        <v>17.316057205200199</v>
      </c>
      <c r="X319" s="909">
        <v>18.194717407226602</v>
      </c>
      <c r="Y319" s="909">
        <v>18.967941284179702</v>
      </c>
      <c r="Z319" s="909">
        <v>19.811794281005898</v>
      </c>
      <c r="AA319" s="306"/>
      <c r="AB319" s="306"/>
      <c r="AC319" s="306"/>
      <c r="AD319" s="306"/>
    </row>
    <row r="320" spans="1:30" x14ac:dyDescent="0.25">
      <c r="A320" s="907" t="s">
        <v>479</v>
      </c>
      <c r="B320" s="909">
        <v>27.631908416748001</v>
      </c>
      <c r="C320" s="909">
        <v>28.029735565185501</v>
      </c>
      <c r="D320" s="909">
        <v>29.6960258483887</v>
      </c>
      <c r="E320" s="909">
        <v>28.491619110107401</v>
      </c>
      <c r="F320" s="909">
        <v>25.7724418640137</v>
      </c>
      <c r="G320" s="909">
        <v>26.858903884887699</v>
      </c>
      <c r="H320" s="909">
        <v>27.045906066894499</v>
      </c>
      <c r="I320" s="909">
        <v>27.5620422363281</v>
      </c>
      <c r="J320" s="909">
        <v>28.370775222778299</v>
      </c>
      <c r="K320" s="909">
        <v>29.106733322143601</v>
      </c>
      <c r="L320" s="909">
        <v>30.1617736816406</v>
      </c>
      <c r="M320" s="909">
        <v>31.290737152099599</v>
      </c>
      <c r="N320" s="909">
        <v>32.536418914794901</v>
      </c>
      <c r="O320" s="909">
        <v>33.661582946777301</v>
      </c>
      <c r="P320" s="909">
        <v>35.072307586669901</v>
      </c>
      <c r="Q320" s="909">
        <v>36.4632377624512</v>
      </c>
      <c r="R320" s="909">
        <v>37.713531494140597</v>
      </c>
      <c r="S320" s="909">
        <v>38.535266876220703</v>
      </c>
      <c r="T320" s="909">
        <v>39.429233551025398</v>
      </c>
      <c r="U320" s="909">
        <v>40.172752380371101</v>
      </c>
      <c r="V320" s="909">
        <v>41.0662841796875</v>
      </c>
      <c r="W320" s="909">
        <v>42.386928558349602</v>
      </c>
      <c r="X320" s="909">
        <v>43.920989990234403</v>
      </c>
      <c r="Y320" s="909">
        <v>45.4139213562012</v>
      </c>
      <c r="Z320" s="909">
        <v>46.925571441650398</v>
      </c>
      <c r="AA320" s="306"/>
      <c r="AB320" s="306"/>
      <c r="AC320" s="306"/>
      <c r="AD320" s="306"/>
    </row>
    <row r="321" spans="1:30" x14ac:dyDescent="0.25">
      <c r="AA321" s="306"/>
      <c r="AB321" s="306"/>
      <c r="AC321" s="306"/>
      <c r="AD321" s="306"/>
    </row>
    <row r="322" spans="1:30" x14ac:dyDescent="0.25">
      <c r="A322" s="907" t="s">
        <v>612</v>
      </c>
      <c r="AA322" s="306"/>
      <c r="AB322" s="306"/>
      <c r="AC322" s="306"/>
      <c r="AD322" s="306"/>
    </row>
    <row r="323" spans="1:30" x14ac:dyDescent="0.25">
      <c r="A323" s="907" t="s">
        <v>609</v>
      </c>
      <c r="B323" s="909">
        <v>20.489143371581999</v>
      </c>
      <c r="C323" s="909">
        <v>23.3795166015625</v>
      </c>
      <c r="D323" s="909">
        <v>27.232301712036101</v>
      </c>
      <c r="E323" s="909">
        <v>22.957033157348601</v>
      </c>
      <c r="F323" s="909">
        <v>17.265552520751999</v>
      </c>
      <c r="G323" s="909">
        <v>19.8652458190918</v>
      </c>
      <c r="H323" s="909">
        <v>22.207704544067401</v>
      </c>
      <c r="I323" s="909">
        <v>24.495702743530298</v>
      </c>
      <c r="J323" s="909">
        <v>26.6714878082275</v>
      </c>
      <c r="K323" s="909">
        <v>29.0830192565918</v>
      </c>
      <c r="L323" s="909">
        <v>30.951156616210898</v>
      </c>
      <c r="M323" s="909">
        <v>32.690711975097699</v>
      </c>
      <c r="N323" s="909">
        <v>34.514808654785199</v>
      </c>
      <c r="O323" s="909">
        <v>35.846107482910199</v>
      </c>
      <c r="P323" s="909">
        <v>37.040077209472699</v>
      </c>
      <c r="Q323" s="909">
        <v>38.301750183105497</v>
      </c>
      <c r="R323" s="909">
        <v>39.421558380127003</v>
      </c>
      <c r="S323" s="909">
        <v>40.814861297607401</v>
      </c>
      <c r="T323" s="909">
        <v>41.884078979492202</v>
      </c>
      <c r="U323" s="909">
        <v>42.155609130859403</v>
      </c>
      <c r="V323" s="909">
        <v>43.402267456054702</v>
      </c>
      <c r="W323" s="909">
        <v>44.705905914306598</v>
      </c>
      <c r="X323" s="909">
        <v>46.153343200683601</v>
      </c>
      <c r="Y323" s="909">
        <v>47.236614227294901</v>
      </c>
      <c r="Z323" s="909">
        <v>48.820529937744098</v>
      </c>
      <c r="AA323" s="306"/>
      <c r="AB323" s="306"/>
      <c r="AC323" s="306"/>
      <c r="AD323" s="306"/>
    </row>
    <row r="324" spans="1:30" x14ac:dyDescent="0.25">
      <c r="A324" s="907" t="s">
        <v>610</v>
      </c>
      <c r="B324" s="909">
        <v>15.3226671218872</v>
      </c>
      <c r="C324" s="909">
        <v>16.8219394683838</v>
      </c>
      <c r="D324" s="909">
        <v>22.4200763702393</v>
      </c>
      <c r="E324" s="909">
        <v>14.749831199646</v>
      </c>
      <c r="F324" s="909">
        <v>11.025536537170399</v>
      </c>
      <c r="G324" s="909">
        <v>14.0721025466919</v>
      </c>
      <c r="H324" s="909">
        <v>16.2283020019531</v>
      </c>
      <c r="I324" s="909">
        <v>18.6841716766357</v>
      </c>
      <c r="J324" s="909">
        <v>20.619239807128899</v>
      </c>
      <c r="K324" s="909">
        <v>22.302150726318398</v>
      </c>
      <c r="L324" s="909">
        <v>23.831027984619102</v>
      </c>
      <c r="M324" s="909">
        <v>25.434989929199201</v>
      </c>
      <c r="N324" s="909">
        <v>26.940843582153299</v>
      </c>
      <c r="O324" s="909">
        <v>28.1489963531494</v>
      </c>
      <c r="P324" s="909">
        <v>29.2844352722168</v>
      </c>
      <c r="Q324" s="909">
        <v>29.987220764160199</v>
      </c>
      <c r="R324" s="909">
        <v>31.1475830078125</v>
      </c>
      <c r="S324" s="909">
        <v>32.191192626953097</v>
      </c>
      <c r="T324" s="909">
        <v>33.043167114257798</v>
      </c>
      <c r="U324" s="909">
        <v>33.6753120422363</v>
      </c>
      <c r="V324" s="909">
        <v>34.892765045166001</v>
      </c>
      <c r="W324" s="909">
        <v>35.508182525634801</v>
      </c>
      <c r="X324" s="909">
        <v>36.966400146484403</v>
      </c>
      <c r="Y324" s="909">
        <v>38.821296691894503</v>
      </c>
      <c r="Z324" s="909">
        <v>39.679729461669901</v>
      </c>
      <c r="AA324" s="306"/>
      <c r="AB324" s="306"/>
      <c r="AC324" s="306"/>
      <c r="AD324" s="306"/>
    </row>
    <row r="325" spans="1:30" x14ac:dyDescent="0.25">
      <c r="A325" s="907" t="s">
        <v>611</v>
      </c>
      <c r="B325" s="909">
        <v>8.9709205627441406</v>
      </c>
      <c r="C325" s="909">
        <v>10.5954837799072</v>
      </c>
      <c r="D325" s="909">
        <v>14.049506187439</v>
      </c>
      <c r="E325" s="909">
        <v>7.1343002319335902</v>
      </c>
      <c r="F325" s="909">
        <v>10.215766906738301</v>
      </c>
      <c r="G325" s="909">
        <v>12.8617763519287</v>
      </c>
      <c r="H325" s="909">
        <v>14.814771652221699</v>
      </c>
      <c r="I325" s="909">
        <v>16.696189880371101</v>
      </c>
      <c r="J325" s="909">
        <v>18.396284103393601</v>
      </c>
      <c r="K325" s="909">
        <v>20.378862380981399</v>
      </c>
      <c r="L325" s="909">
        <v>21.7460041046143</v>
      </c>
      <c r="M325" s="909">
        <v>22.969861984252901</v>
      </c>
      <c r="N325" s="909">
        <v>24.3396511077881</v>
      </c>
      <c r="O325" s="909">
        <v>25.3345756530762</v>
      </c>
      <c r="P325" s="909">
        <v>26.3205471038818</v>
      </c>
      <c r="Q325" s="909">
        <v>27.310920715331999</v>
      </c>
      <c r="R325" s="909">
        <v>28.174968719482401</v>
      </c>
      <c r="S325" s="909">
        <v>29.129919052123999</v>
      </c>
      <c r="T325" s="909">
        <v>29.910713195800799</v>
      </c>
      <c r="U325" s="909">
        <v>30.004579544067401</v>
      </c>
      <c r="V325" s="909">
        <v>30.867444992065401</v>
      </c>
      <c r="W325" s="909">
        <v>31.741449356079102</v>
      </c>
      <c r="X325" s="909">
        <v>32.901214599609403</v>
      </c>
      <c r="Y325" s="909">
        <v>33.791465759277301</v>
      </c>
      <c r="Z325" s="909">
        <v>34.9404487609863</v>
      </c>
      <c r="AA325" s="306"/>
      <c r="AB325" s="306"/>
      <c r="AC325" s="306"/>
      <c r="AD325" s="306"/>
    </row>
    <row r="326" spans="1:30" x14ac:dyDescent="0.25">
      <c r="A326" s="907" t="s">
        <v>613</v>
      </c>
      <c r="B326" s="909">
        <v>7.7454247474670401</v>
      </c>
      <c r="C326" s="909">
        <v>7.5152516365051296</v>
      </c>
      <c r="D326" s="909">
        <v>8.9947338104247994</v>
      </c>
      <c r="E326" s="909">
        <v>5.0039734840393102</v>
      </c>
      <c r="F326" s="909">
        <v>5.7063522338867196</v>
      </c>
      <c r="G326" s="909">
        <v>6.1171517372131303</v>
      </c>
      <c r="H326" s="909">
        <v>6.2487673759460396</v>
      </c>
      <c r="I326" s="909">
        <v>6.4428400993347203</v>
      </c>
      <c r="J326" s="909">
        <v>6.7520828247070304</v>
      </c>
      <c r="K326" s="909">
        <v>7.1508984565734899</v>
      </c>
      <c r="L326" s="909">
        <v>7.5258989334106401</v>
      </c>
      <c r="M326" s="909">
        <v>7.9240221977233896</v>
      </c>
      <c r="N326" s="909">
        <v>8.3488731384277308</v>
      </c>
      <c r="O326" s="909">
        <v>8.8619937896728498</v>
      </c>
      <c r="P326" s="909">
        <v>9.4837093353271502</v>
      </c>
      <c r="Q326" s="909">
        <v>9.9987487792968803</v>
      </c>
      <c r="R326" s="909">
        <v>10.352954864501999</v>
      </c>
      <c r="S326" s="909">
        <v>10.3336448669434</v>
      </c>
      <c r="T326" s="909">
        <v>10.549848556518601</v>
      </c>
      <c r="U326" s="909">
        <v>10.6489877700806</v>
      </c>
      <c r="V326" s="909">
        <v>11.076291084289601</v>
      </c>
      <c r="W326" s="909">
        <v>11.6912574768066</v>
      </c>
      <c r="X326" s="909">
        <v>12.4464559555054</v>
      </c>
      <c r="Y326" s="909">
        <v>13.0579080581665</v>
      </c>
      <c r="Z326" s="909">
        <v>13.758059501647899</v>
      </c>
      <c r="AA326" s="306"/>
      <c r="AB326" s="306"/>
      <c r="AC326" s="306"/>
      <c r="AD326" s="306"/>
    </row>
    <row r="327" spans="1:30" x14ac:dyDescent="0.25">
      <c r="A327" s="907" t="s">
        <v>614</v>
      </c>
      <c r="B327" s="909">
        <v>3.53999996185303</v>
      </c>
      <c r="C327" s="909">
        <v>3.6099998950958301</v>
      </c>
      <c r="D327" s="909">
        <v>4.1449666023254403</v>
      </c>
      <c r="E327" s="909">
        <v>4.1784791946411097</v>
      </c>
      <c r="F327" s="909">
        <v>4.1485314369201696</v>
      </c>
      <c r="G327" s="909">
        <v>4.3175525665283203</v>
      </c>
      <c r="H327" s="909">
        <v>4.44484186172485</v>
      </c>
      <c r="I327" s="909">
        <v>4.5821456909179696</v>
      </c>
      <c r="J327" s="909">
        <v>4.7206311225891104</v>
      </c>
      <c r="K327" s="909">
        <v>4.8563599586486799</v>
      </c>
      <c r="L327" s="909">
        <v>4.9913563728332502</v>
      </c>
      <c r="M327" s="909">
        <v>5.1233406066894496</v>
      </c>
      <c r="N327" s="909">
        <v>5.2680139541626003</v>
      </c>
      <c r="O327" s="909">
        <v>5.4137320518493697</v>
      </c>
      <c r="P327" s="909">
        <v>5.5743689537048304</v>
      </c>
      <c r="Q327" s="909">
        <v>5.7906579971313503</v>
      </c>
      <c r="R327" s="909">
        <v>6.0209679603576696</v>
      </c>
      <c r="S327" s="909">
        <v>6.20045709609985</v>
      </c>
      <c r="T327" s="909">
        <v>6.3775997161865199</v>
      </c>
      <c r="U327" s="909">
        <v>6.5161404609680202</v>
      </c>
      <c r="V327" s="909">
        <v>6.6299972534179696</v>
      </c>
      <c r="W327" s="909">
        <v>6.7667918205261204</v>
      </c>
      <c r="X327" s="909">
        <v>6.88553714752197</v>
      </c>
      <c r="Y327" s="909">
        <v>6.9704546928405797</v>
      </c>
      <c r="Z327" s="909">
        <v>7.0137753486633301</v>
      </c>
    </row>
    <row r="328" spans="1:30" x14ac:dyDescent="0.25">
      <c r="A328" s="907" t="s">
        <v>615</v>
      </c>
      <c r="B328" s="909">
        <v>2.3399634361267099</v>
      </c>
      <c r="C328" s="909">
        <v>2.4299483299255402</v>
      </c>
      <c r="D328" s="909">
        <v>2.5979068279266402</v>
      </c>
      <c r="E328" s="909">
        <v>2.52754878997803</v>
      </c>
      <c r="F328" s="909">
        <v>2.4808654785156299</v>
      </c>
      <c r="G328" s="909">
        <v>2.6002757549285902</v>
      </c>
      <c r="H328" s="909">
        <v>2.6509947776794398</v>
      </c>
      <c r="I328" s="909">
        <v>2.73208808898926</v>
      </c>
      <c r="J328" s="909">
        <v>2.8122007846832302</v>
      </c>
      <c r="K328" s="909">
        <v>2.8687095642089799</v>
      </c>
      <c r="L328" s="909">
        <v>2.94158983230591</v>
      </c>
      <c r="M328" s="909">
        <v>3.0178208351135298</v>
      </c>
      <c r="N328" s="909">
        <v>3.1028199195861799</v>
      </c>
      <c r="O328" s="909">
        <v>3.17316722869873</v>
      </c>
      <c r="P328" s="909">
        <v>3.2616541385650599</v>
      </c>
      <c r="Q328" s="909">
        <v>3.3479356765747101</v>
      </c>
      <c r="R328" s="909">
        <v>3.4371068477630602</v>
      </c>
      <c r="S328" s="909">
        <v>3.5193088054657</v>
      </c>
      <c r="T328" s="909">
        <v>3.6053638458252002</v>
      </c>
      <c r="U328" s="909">
        <v>3.6816923618316699</v>
      </c>
      <c r="V328" s="909">
        <v>3.7800858020782502</v>
      </c>
      <c r="W328" s="909">
        <v>3.88063645362854</v>
      </c>
      <c r="X328" s="909">
        <v>3.98858737945557</v>
      </c>
      <c r="Y328" s="909">
        <v>4.1003923416137704</v>
      </c>
      <c r="Z328" s="909">
        <v>4.2166938781738299</v>
      </c>
    </row>
    <row r="329" spans="1:30" x14ac:dyDescent="0.25">
      <c r="A329" s="907" t="s">
        <v>616</v>
      </c>
      <c r="B329" s="909">
        <v>0</v>
      </c>
      <c r="C329" s="909">
        <v>0</v>
      </c>
      <c r="D329" s="909">
        <v>0</v>
      </c>
      <c r="E329" s="909">
        <v>0</v>
      </c>
      <c r="F329" s="909">
        <v>0</v>
      </c>
      <c r="G329" s="909">
        <v>1.5889266729354901</v>
      </c>
      <c r="H329" s="909">
        <v>1.46094393730164</v>
      </c>
      <c r="I329" s="909">
        <v>1.28843116760254</v>
      </c>
      <c r="J329" s="909">
        <v>1.5101318359375</v>
      </c>
      <c r="K329" s="909">
        <v>1.50810551643372</v>
      </c>
      <c r="L329" s="909">
        <v>1.5213859081268299</v>
      </c>
      <c r="M329" s="909">
        <v>1.53951179981232</v>
      </c>
      <c r="N329" s="909">
        <v>1.58338570594788</v>
      </c>
      <c r="O329" s="909">
        <v>1.63723039627075</v>
      </c>
      <c r="P329" s="909">
        <v>1.71289122104645</v>
      </c>
      <c r="Q329" s="909">
        <v>1.76114201545715</v>
      </c>
      <c r="R329" s="909">
        <v>1.8119050264358501</v>
      </c>
      <c r="S329" s="909">
        <v>1.8629466295242301</v>
      </c>
      <c r="T329" s="909">
        <v>1.9169825315475499</v>
      </c>
      <c r="U329" s="909">
        <v>1.9466364383697501</v>
      </c>
      <c r="V329" s="909">
        <v>1.9911848306655899</v>
      </c>
      <c r="W329" s="909">
        <v>2.0416746139526398</v>
      </c>
      <c r="X329" s="909">
        <v>2.09020328521729</v>
      </c>
      <c r="Y329" s="909">
        <v>2.1373581886291499</v>
      </c>
      <c r="Z329" s="909">
        <v>2.1847438812255899</v>
      </c>
    </row>
    <row r="330" spans="1:30" x14ac:dyDescent="0.25">
      <c r="A330" s="907" t="s">
        <v>479</v>
      </c>
      <c r="B330" s="909">
        <v>17.918214797973601</v>
      </c>
      <c r="C330" s="909">
        <v>18.6226921081543</v>
      </c>
      <c r="D330" s="909">
        <v>20.7813816070557</v>
      </c>
      <c r="E330" s="909">
        <v>19.773582458496101</v>
      </c>
      <c r="F330" s="909">
        <v>17.462970733642599</v>
      </c>
      <c r="G330" s="909">
        <v>18.126573562622099</v>
      </c>
      <c r="H330" s="909">
        <v>18.238889694213899</v>
      </c>
      <c r="I330" s="909">
        <v>18.4867153167725</v>
      </c>
      <c r="J330" s="909">
        <v>19.006654739379901</v>
      </c>
      <c r="K330" s="909">
        <v>19.565620422363299</v>
      </c>
      <c r="L330" s="909">
        <v>20.355871200561499</v>
      </c>
      <c r="M330" s="909">
        <v>21.173530578613299</v>
      </c>
      <c r="N330" s="909">
        <v>22.037576675415</v>
      </c>
      <c r="O330" s="909">
        <v>22.867145538330099</v>
      </c>
      <c r="P330" s="909">
        <v>23.876249313354499</v>
      </c>
      <c r="Q330" s="909">
        <v>24.851699829101602</v>
      </c>
      <c r="R330" s="909">
        <v>25.777753829956101</v>
      </c>
      <c r="S330" s="909">
        <v>26.392097473144499</v>
      </c>
      <c r="T330" s="909">
        <v>27.017583847045898</v>
      </c>
      <c r="U330" s="909">
        <v>27.588447570800799</v>
      </c>
      <c r="V330" s="909">
        <v>28.206142425537099</v>
      </c>
      <c r="W330" s="909">
        <v>29.1773777008057</v>
      </c>
      <c r="X330" s="909">
        <v>30.336851119995099</v>
      </c>
      <c r="Y330" s="909">
        <v>31.4674072265625</v>
      </c>
      <c r="Z330" s="909">
        <v>32.538986206054702</v>
      </c>
    </row>
    <row r="332" spans="1:30" x14ac:dyDescent="0.25">
      <c r="A332" s="907" t="s">
        <v>487</v>
      </c>
    </row>
    <row r="333" spans="1:30" x14ac:dyDescent="0.25">
      <c r="A333" s="907" t="s">
        <v>617</v>
      </c>
      <c r="B333" s="909">
        <v>21.711509704589801</v>
      </c>
      <c r="C333" s="909">
        <v>25.0072345733643</v>
      </c>
      <c r="D333" s="909">
        <v>29.391622543335</v>
      </c>
      <c r="E333" s="909">
        <v>22.380046844482401</v>
      </c>
      <c r="F333" s="909">
        <v>21.3089294433594</v>
      </c>
      <c r="G333" s="909">
        <v>23.935417175293001</v>
      </c>
      <c r="H333" s="909">
        <v>26.369024276733398</v>
      </c>
      <c r="I333" s="909">
        <v>28.752412796020501</v>
      </c>
      <c r="J333" s="909">
        <v>31.0282287597656</v>
      </c>
      <c r="K333" s="909">
        <v>33.547065734863303</v>
      </c>
      <c r="L333" s="909">
        <v>35.514869689941399</v>
      </c>
      <c r="M333" s="909">
        <v>37.352748870849602</v>
      </c>
      <c r="N333" s="909">
        <v>39.287044525146499</v>
      </c>
      <c r="O333" s="909">
        <v>40.7039604187012</v>
      </c>
      <c r="P333" s="909">
        <v>42.024444580078097</v>
      </c>
      <c r="Q333" s="909">
        <v>43.379894256591797</v>
      </c>
      <c r="R333" s="909">
        <v>44.630382537841797</v>
      </c>
      <c r="S333" s="909">
        <v>46.145259857177699</v>
      </c>
      <c r="T333" s="909">
        <v>47.363857269287102</v>
      </c>
      <c r="U333" s="909">
        <v>47.7197074890137</v>
      </c>
      <c r="V333" s="909">
        <v>49.102500915527301</v>
      </c>
      <c r="W333" s="909">
        <v>50.517303466796903</v>
      </c>
      <c r="X333" s="909">
        <v>52.086456298828097</v>
      </c>
      <c r="Y333" s="909">
        <v>53.442653656005902</v>
      </c>
      <c r="Z333" s="909">
        <v>55.104091644287102</v>
      </c>
    </row>
    <row r="334" spans="1:30" x14ac:dyDescent="0.25">
      <c r="A334" s="907" t="s">
        <v>618</v>
      </c>
      <c r="B334" s="909">
        <v>24.84494972229</v>
      </c>
      <c r="C334" s="909">
        <v>26.818180084228501</v>
      </c>
      <c r="D334" s="909">
        <v>34.822681427002003</v>
      </c>
      <c r="E334" s="909">
        <v>21.049989700317401</v>
      </c>
      <c r="F334" s="909">
        <v>19.580844879150401</v>
      </c>
      <c r="G334" s="909">
        <v>23.622909545898398</v>
      </c>
      <c r="H334" s="909">
        <v>25.881950378418001</v>
      </c>
      <c r="I334" s="909">
        <v>28.009447097778299</v>
      </c>
      <c r="J334" s="909">
        <v>30.2537937164307</v>
      </c>
      <c r="K334" s="909">
        <v>28.866632461547901</v>
      </c>
      <c r="L334" s="909">
        <v>30.4276523590088</v>
      </c>
      <c r="M334" s="909">
        <v>31.969417572021499</v>
      </c>
      <c r="N334" s="909">
        <v>32.765193939208999</v>
      </c>
      <c r="O334" s="909">
        <v>35.757926940917997</v>
      </c>
      <c r="P334" s="909">
        <v>37.577915191650398</v>
      </c>
      <c r="Q334" s="909">
        <v>38.662086486816399</v>
      </c>
      <c r="R334" s="909">
        <v>39.8419189453125</v>
      </c>
      <c r="S334" s="909">
        <v>41.092353820800803</v>
      </c>
      <c r="T334" s="909">
        <v>42.114028930664098</v>
      </c>
      <c r="U334" s="909">
        <v>42.893341064453097</v>
      </c>
      <c r="V334" s="909">
        <v>44.2104301452637</v>
      </c>
      <c r="W334" s="909">
        <v>44.896373748779297</v>
      </c>
      <c r="X334" s="909">
        <v>46.4299926757813</v>
      </c>
      <c r="Y334" s="909">
        <v>48.419319152832003</v>
      </c>
      <c r="Z334" s="909">
        <v>48.957271575927699</v>
      </c>
    </row>
    <row r="335" spans="1:30" x14ac:dyDescent="0.25">
      <c r="A335" s="907" t="s">
        <v>619</v>
      </c>
      <c r="B335" s="909">
        <v>21.213121414184599</v>
      </c>
      <c r="C335" s="909">
        <v>22.982162475585898</v>
      </c>
      <c r="D335" s="909">
        <v>26.749811172485401</v>
      </c>
      <c r="E335" s="909">
        <v>16.175968170166001</v>
      </c>
      <c r="F335" s="909">
        <v>18.381326675415</v>
      </c>
      <c r="G335" s="909">
        <v>21.693702697753899</v>
      </c>
      <c r="H335" s="909">
        <v>23.709007263183601</v>
      </c>
      <c r="I335" s="909">
        <v>25.449525833129901</v>
      </c>
      <c r="J335" s="909">
        <v>27.424634933471701</v>
      </c>
      <c r="K335" s="909">
        <v>29.529468536376999</v>
      </c>
      <c r="L335" s="909">
        <v>31.27219581604</v>
      </c>
      <c r="M335" s="909">
        <v>33.093906402587898</v>
      </c>
      <c r="N335" s="909">
        <v>34.856166839599602</v>
      </c>
      <c r="O335" s="909">
        <v>36.438858032226598</v>
      </c>
      <c r="P335" s="909">
        <v>38.015861511230497</v>
      </c>
      <c r="Q335" s="909">
        <v>39.139541625976598</v>
      </c>
      <c r="R335" s="909">
        <v>40.478176116943402</v>
      </c>
      <c r="S335" s="909">
        <v>41.691452026367202</v>
      </c>
      <c r="T335" s="909">
        <v>42.679801940917997</v>
      </c>
      <c r="U335" s="909">
        <v>43.464977264404297</v>
      </c>
      <c r="V335" s="909">
        <v>44.780059814453097</v>
      </c>
      <c r="W335" s="909">
        <v>45.673988342285199</v>
      </c>
      <c r="X335" s="909">
        <v>47.254981994628899</v>
      </c>
      <c r="Y335" s="909">
        <v>49.557445526122997</v>
      </c>
      <c r="Z335" s="909">
        <v>49.9830131530762</v>
      </c>
    </row>
    <row r="336" spans="1:30" x14ac:dyDescent="0.25">
      <c r="A336" s="907" t="s">
        <v>620</v>
      </c>
      <c r="B336" s="909">
        <v>14.844763755798301</v>
      </c>
      <c r="C336" s="909">
        <v>16.0964660644531</v>
      </c>
      <c r="D336" s="909">
        <v>22.673322677612301</v>
      </c>
      <c r="E336" s="909">
        <v>10.878761291503899</v>
      </c>
      <c r="F336" s="909">
        <v>10.805939674377401</v>
      </c>
      <c r="G336" s="909">
        <v>13.641165733337401</v>
      </c>
      <c r="H336" s="909">
        <v>15.7883806228638</v>
      </c>
      <c r="I336" s="909">
        <v>17.847295761108398</v>
      </c>
      <c r="J336" s="909">
        <v>19.768560409545898</v>
      </c>
      <c r="K336" s="909">
        <v>21.6021404266357</v>
      </c>
      <c r="L336" s="909">
        <v>23.1407794952393</v>
      </c>
      <c r="M336" s="909">
        <v>24.738756179809599</v>
      </c>
      <c r="N336" s="909">
        <v>26.200944900512699</v>
      </c>
      <c r="O336" s="909">
        <v>27.323936462402301</v>
      </c>
      <c r="P336" s="909">
        <v>28.3911018371582</v>
      </c>
      <c r="Q336" s="909">
        <v>29.343944549560501</v>
      </c>
      <c r="R336" s="909">
        <v>30.208518981933601</v>
      </c>
      <c r="S336" s="909">
        <v>31.274351119995099</v>
      </c>
      <c r="T336" s="909">
        <v>32.279064178466797</v>
      </c>
      <c r="U336" s="909">
        <v>32.661514282226598</v>
      </c>
      <c r="V336" s="909">
        <v>33.853298187255902</v>
      </c>
      <c r="W336" s="909">
        <v>34.868740081787102</v>
      </c>
      <c r="X336" s="909">
        <v>36.320652008056598</v>
      </c>
      <c r="Y336" s="909">
        <v>37.773586273193402</v>
      </c>
      <c r="Z336" s="909">
        <v>39.040420532226598</v>
      </c>
    </row>
    <row r="337" spans="1:70" x14ac:dyDescent="0.25">
      <c r="A337" s="907" t="s">
        <v>724</v>
      </c>
      <c r="B337" s="909">
        <v>19.740650177001999</v>
      </c>
      <c r="C337" s="909">
        <v>20.921422958373999</v>
      </c>
      <c r="D337" s="909">
        <v>27.660943984985401</v>
      </c>
      <c r="E337" s="909">
        <v>15.872093200683601</v>
      </c>
      <c r="F337" s="909">
        <v>15.1842641830444</v>
      </c>
      <c r="G337" s="909">
        <v>17.936090469360401</v>
      </c>
      <c r="H337" s="909">
        <v>20.100133895873999</v>
      </c>
      <c r="I337" s="909">
        <v>22.737785339355501</v>
      </c>
      <c r="J337" s="909">
        <v>24.745433807373001</v>
      </c>
      <c r="K337" s="909">
        <v>26.438911437988299</v>
      </c>
      <c r="L337" s="909">
        <v>28.0228977203369</v>
      </c>
      <c r="M337" s="909">
        <v>29.7338352203369</v>
      </c>
      <c r="N337" s="909">
        <v>31.2589511871338</v>
      </c>
      <c r="O337" s="909">
        <v>32.543869018554702</v>
      </c>
      <c r="P337" s="909">
        <v>33.764415740966797</v>
      </c>
      <c r="Q337" s="909">
        <v>34.490653991699197</v>
      </c>
      <c r="R337" s="909">
        <v>35.692588806152301</v>
      </c>
      <c r="S337" s="909">
        <v>36.884777069091797</v>
      </c>
      <c r="T337" s="909">
        <v>37.7488403320313</v>
      </c>
      <c r="U337" s="909">
        <v>38.541912078857401</v>
      </c>
      <c r="V337" s="909">
        <v>39.811958312988303</v>
      </c>
      <c r="W337" s="909">
        <v>40.433952331542997</v>
      </c>
      <c r="X337" s="909">
        <v>41.980552673339801</v>
      </c>
      <c r="Y337" s="909">
        <v>44.0175971984863</v>
      </c>
      <c r="Z337" s="909">
        <v>44.845256805419901</v>
      </c>
    </row>
    <row r="338" spans="1:70" x14ac:dyDescent="0.25">
      <c r="A338" s="907" t="s">
        <v>611</v>
      </c>
      <c r="B338" s="909">
        <v>7.9912142753601101</v>
      </c>
      <c r="C338" s="909">
        <v>9.4357099533081108</v>
      </c>
      <c r="D338" s="909">
        <v>14.5987691879272</v>
      </c>
      <c r="E338" s="909">
        <v>6.5974926948547399</v>
      </c>
      <c r="F338" s="909">
        <v>6.8336348533630398</v>
      </c>
      <c r="G338" s="909">
        <v>9.1002550125122106</v>
      </c>
      <c r="H338" s="909">
        <v>10.9850196838379</v>
      </c>
      <c r="I338" s="909">
        <v>12.7856092453003</v>
      </c>
      <c r="J338" s="909">
        <v>14.3925485610962</v>
      </c>
      <c r="K338" s="909">
        <v>16.284711837768601</v>
      </c>
      <c r="L338" s="909">
        <v>17.587419509887699</v>
      </c>
      <c r="M338" s="909">
        <v>18.815961837768601</v>
      </c>
      <c r="N338" s="909">
        <v>20.079933166503899</v>
      </c>
      <c r="O338" s="909">
        <v>21.0047607421875</v>
      </c>
      <c r="P338" s="909">
        <v>21.793167114257798</v>
      </c>
      <c r="Q338" s="909">
        <v>22.696048736572301</v>
      </c>
      <c r="R338" s="909">
        <v>23.3086338043213</v>
      </c>
      <c r="S338" s="909">
        <v>24.011238098144499</v>
      </c>
      <c r="T338" s="909">
        <v>24.648492813110401</v>
      </c>
      <c r="U338" s="909">
        <v>24.8559169769287</v>
      </c>
      <c r="V338" s="909">
        <v>25.6537380218506</v>
      </c>
      <c r="W338" s="909">
        <v>26.666080474853501</v>
      </c>
      <c r="X338" s="909">
        <v>27.731492996215799</v>
      </c>
      <c r="Y338" s="909">
        <v>28.609724044799801</v>
      </c>
      <c r="Z338" s="909">
        <v>29.807550430297901</v>
      </c>
    </row>
    <row r="339" spans="1:70" x14ac:dyDescent="0.25">
      <c r="A339" s="907" t="s">
        <v>622</v>
      </c>
      <c r="B339" s="909">
        <v>15.1338348388672</v>
      </c>
      <c r="C339" s="909">
        <v>15.4958410263062</v>
      </c>
      <c r="D339" s="909">
        <v>17.260919570922901</v>
      </c>
      <c r="E339" s="909">
        <v>13.197589874267599</v>
      </c>
      <c r="F339" s="909">
        <v>14.011960029602101</v>
      </c>
      <c r="G339" s="909">
        <v>14.5198259353638</v>
      </c>
      <c r="H339" s="909">
        <v>14.7125358581543</v>
      </c>
      <c r="I339" s="909">
        <v>14.9809007644653</v>
      </c>
      <c r="J339" s="909">
        <v>15.3987216949463</v>
      </c>
      <c r="K339" s="909">
        <v>15.929105758666999</v>
      </c>
      <c r="L339" s="909">
        <v>16.444049835205099</v>
      </c>
      <c r="M339" s="909">
        <v>16.986526489257798</v>
      </c>
      <c r="N339" s="909">
        <v>17.562019348144499</v>
      </c>
      <c r="O339" s="909">
        <v>18.214298248291001</v>
      </c>
      <c r="P339" s="909">
        <v>18.978889465331999</v>
      </c>
      <c r="Q339" s="909">
        <v>19.653842926025401</v>
      </c>
      <c r="R339" s="909">
        <v>20.151586532592798</v>
      </c>
      <c r="S339" s="909">
        <v>20.264110565185501</v>
      </c>
      <c r="T339" s="909">
        <v>20.6345119476318</v>
      </c>
      <c r="U339" s="909">
        <v>20.930568695068398</v>
      </c>
      <c r="V339" s="909">
        <v>21.5493049621582</v>
      </c>
      <c r="W339" s="909">
        <v>22.330928802490199</v>
      </c>
      <c r="X339" s="909">
        <v>23.217420578002901</v>
      </c>
      <c r="Y339" s="909">
        <v>23.984209060668899</v>
      </c>
      <c r="Z339" s="909">
        <v>24.842088699340799</v>
      </c>
    </row>
    <row r="340" spans="1:70" x14ac:dyDescent="0.25">
      <c r="A340" s="907" t="s">
        <v>479</v>
      </c>
      <c r="B340" s="909">
        <v>29.552911758422901</v>
      </c>
      <c r="C340" s="909">
        <v>30.777971267700199</v>
      </c>
      <c r="D340" s="909">
        <v>34.475650787353501</v>
      </c>
      <c r="E340" s="909">
        <v>32.511272430419901</v>
      </c>
      <c r="F340" s="909">
        <v>28.3578701019287</v>
      </c>
      <c r="G340" s="909">
        <v>29.9883632659912</v>
      </c>
      <c r="H340" s="909">
        <v>30.793474197387699</v>
      </c>
      <c r="I340" s="909">
        <v>31.290824890136701</v>
      </c>
      <c r="J340" s="909">
        <v>31.788017272949201</v>
      </c>
      <c r="K340" s="909">
        <v>32.228786468505902</v>
      </c>
      <c r="L340" s="909">
        <v>33.101249694824197</v>
      </c>
      <c r="M340" s="909">
        <v>33.873565673828097</v>
      </c>
      <c r="N340" s="909">
        <v>34.876777648925803</v>
      </c>
      <c r="O340" s="909">
        <v>35.790927886962898</v>
      </c>
      <c r="P340" s="909">
        <v>37.005527496337898</v>
      </c>
      <c r="Q340" s="909">
        <v>38.374465942382798</v>
      </c>
      <c r="R340" s="909">
        <v>39.741268157958999</v>
      </c>
      <c r="S340" s="909">
        <v>40.743644714355497</v>
      </c>
      <c r="T340" s="909">
        <v>41.832027435302699</v>
      </c>
      <c r="U340" s="909">
        <v>42.8788452148438</v>
      </c>
      <c r="V340" s="909">
        <v>44.165149688720703</v>
      </c>
      <c r="W340" s="909">
        <v>45.822151184082003</v>
      </c>
      <c r="X340" s="909">
        <v>47.770866394042997</v>
      </c>
      <c r="Y340" s="909">
        <v>49.4786567687988</v>
      </c>
      <c r="Z340" s="909">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07" t="s">
        <v>623</v>
      </c>
    </row>
    <row r="343" spans="1:70" x14ac:dyDescent="0.25">
      <c r="A343" s="907" t="s">
        <v>610</v>
      </c>
      <c r="B343" s="909">
        <v>13.411901473999</v>
      </c>
      <c r="C343" s="909">
        <v>14.7725219726563</v>
      </c>
      <c r="D343" s="909">
        <v>19.598173141479499</v>
      </c>
      <c r="E343" s="909">
        <v>12.9002075195313</v>
      </c>
      <c r="F343" s="909">
        <v>10.160784721374499</v>
      </c>
      <c r="G343" s="909">
        <v>12.683879852294901</v>
      </c>
      <c r="H343" s="909">
        <v>14.742367744445801</v>
      </c>
      <c r="I343" s="909">
        <v>16.466316223144499</v>
      </c>
      <c r="J343" s="909">
        <v>18.200975418090799</v>
      </c>
      <c r="K343" s="909">
        <v>20.294946670532202</v>
      </c>
      <c r="L343" s="909">
        <v>21.762416839599599</v>
      </c>
      <c r="M343" s="909">
        <v>23.219928741455099</v>
      </c>
      <c r="N343" s="909">
        <v>24.625257492065401</v>
      </c>
      <c r="O343" s="909">
        <v>25.658937454223601</v>
      </c>
      <c r="P343" s="909">
        <v>26.641567230224599</v>
      </c>
      <c r="Q343" s="909">
        <v>27.554689407348601</v>
      </c>
      <c r="R343" s="909">
        <v>28.433355331420898</v>
      </c>
      <c r="S343" s="909">
        <v>29.525194168090799</v>
      </c>
      <c r="T343" s="909">
        <v>30.595668792724599</v>
      </c>
      <c r="U343" s="909">
        <v>30.812200546264599</v>
      </c>
      <c r="V343" s="909">
        <v>31.8765468597412</v>
      </c>
      <c r="W343" s="909">
        <v>33.023826599121101</v>
      </c>
      <c r="X343" s="909">
        <v>34.249851226806598</v>
      </c>
      <c r="Y343" s="909">
        <v>35.370849609375</v>
      </c>
      <c r="Z343" s="909">
        <v>36.733474731445298</v>
      </c>
    </row>
    <row r="344" spans="1:70" x14ac:dyDescent="0.25">
      <c r="A344" s="907" t="s">
        <v>611</v>
      </c>
      <c r="B344" s="909">
        <v>8.1584053039550799</v>
      </c>
      <c r="C344" s="909">
        <v>8.5664386749267596</v>
      </c>
      <c r="D344" s="909">
        <v>14.623919486999499</v>
      </c>
      <c r="E344" s="909">
        <v>6.72200632095337</v>
      </c>
      <c r="F344" s="909">
        <v>6.9281921386718803</v>
      </c>
      <c r="G344" s="909">
        <v>9.7774429321289098</v>
      </c>
      <c r="H344" s="909">
        <v>11.688641548156699</v>
      </c>
      <c r="I344" s="909">
        <v>13.5591955184937</v>
      </c>
      <c r="J344" s="909">
        <v>15.198254585266101</v>
      </c>
      <c r="K344" s="909">
        <v>17.122402191162099</v>
      </c>
      <c r="L344" s="909">
        <v>18.4469089508057</v>
      </c>
      <c r="M344" s="909">
        <v>19.645553588867202</v>
      </c>
      <c r="N344" s="909">
        <v>20.905046463012699</v>
      </c>
      <c r="O344" s="909">
        <v>21.461814880371101</v>
      </c>
      <c r="P344" s="909">
        <v>22.275539398193398</v>
      </c>
      <c r="Q344" s="909">
        <v>23.178005218505898</v>
      </c>
      <c r="R344" s="909">
        <v>23.921798706054702</v>
      </c>
      <c r="S344" s="909">
        <v>24.712652206420898</v>
      </c>
      <c r="T344" s="909">
        <v>25.390251159668001</v>
      </c>
      <c r="U344" s="909">
        <v>25.605690002441399</v>
      </c>
      <c r="V344" s="909">
        <v>26.419223785400401</v>
      </c>
      <c r="W344" s="909">
        <v>27.371679306030298</v>
      </c>
      <c r="X344" s="909">
        <v>28.437421798706101</v>
      </c>
      <c r="Y344" s="909">
        <v>29.318086624145501</v>
      </c>
      <c r="Z344" s="909">
        <v>30.4597358703613</v>
      </c>
    </row>
    <row r="345" spans="1:70" x14ac:dyDescent="0.25">
      <c r="A345" s="907" t="s">
        <v>510</v>
      </c>
      <c r="B345" s="909">
        <v>6.8695855140686</v>
      </c>
      <c r="C345" s="909">
        <v>7.0191597938537598</v>
      </c>
      <c r="D345" s="909">
        <v>9.0666198730468803</v>
      </c>
      <c r="E345" s="909">
        <v>4.70163822174072</v>
      </c>
      <c r="F345" s="909">
        <v>5.3228030204772896</v>
      </c>
      <c r="G345" s="909">
        <v>5.7259230613708496</v>
      </c>
      <c r="H345" s="909">
        <v>5.8670849800109899</v>
      </c>
      <c r="I345" s="909">
        <v>5.9947657585143999</v>
      </c>
      <c r="J345" s="909">
        <v>6.2809138298034703</v>
      </c>
      <c r="K345" s="909">
        <v>6.6566915512084996</v>
      </c>
      <c r="L345" s="909">
        <v>7.0282440185546902</v>
      </c>
      <c r="M345" s="909">
        <v>7.4117355346679696</v>
      </c>
      <c r="N345" s="909">
        <v>7.8389544486999503</v>
      </c>
      <c r="O345" s="909">
        <v>8.3448457717895508</v>
      </c>
      <c r="P345" s="909">
        <v>8.9240303039550799</v>
      </c>
      <c r="Q345" s="909">
        <v>9.4456386566162092</v>
      </c>
      <c r="R345" s="909">
        <v>9.7849264144897496</v>
      </c>
      <c r="S345" s="909">
        <v>9.7760477066040004</v>
      </c>
      <c r="T345" s="909">
        <v>10.055270195007299</v>
      </c>
      <c r="U345" s="909">
        <v>10.193024635314901</v>
      </c>
      <c r="V345" s="909">
        <v>10.610521316528301</v>
      </c>
      <c r="W345" s="909">
        <v>11.20911693573</v>
      </c>
      <c r="X345" s="909">
        <v>11.9389839172363</v>
      </c>
      <c r="Y345" s="909">
        <v>12.519255638122599</v>
      </c>
      <c r="Z345" s="909">
        <v>13.197782516479499</v>
      </c>
    </row>
    <row r="346" spans="1:70" x14ac:dyDescent="0.25">
      <c r="A346" s="907" t="s">
        <v>624</v>
      </c>
      <c r="B346" s="909">
        <v>1.6900001764297501</v>
      </c>
      <c r="C346" s="909">
        <v>1.7800002098083501</v>
      </c>
      <c r="D346" s="909">
        <v>1.97352075576782</v>
      </c>
      <c r="E346" s="909">
        <v>2.0458421707153298</v>
      </c>
      <c r="F346" s="909">
        <v>1.9325078725814799</v>
      </c>
      <c r="G346" s="909">
        <v>1.9669165611267101</v>
      </c>
      <c r="H346" s="909">
        <v>1.97483730316162</v>
      </c>
      <c r="I346" s="909">
        <v>2.0363006591796902</v>
      </c>
      <c r="J346" s="909">
        <v>2.1044862270355198</v>
      </c>
      <c r="K346" s="909">
        <v>2.15470170974731</v>
      </c>
      <c r="L346" s="909">
        <v>2.2153303623199498</v>
      </c>
      <c r="M346" s="909">
        <v>2.2768745422363299</v>
      </c>
      <c r="N346" s="909">
        <v>2.3487181663513201</v>
      </c>
      <c r="O346" s="909">
        <v>2.4114518165588401</v>
      </c>
      <c r="P346" s="909">
        <v>2.4841165542602499</v>
      </c>
      <c r="Q346" s="909">
        <v>2.5551335811614999</v>
      </c>
      <c r="R346" s="909">
        <v>2.63751268386841</v>
      </c>
      <c r="S346" s="909">
        <v>2.7085535526275599</v>
      </c>
      <c r="T346" s="909">
        <v>2.7758009433746298</v>
      </c>
      <c r="U346" s="909">
        <v>2.84079241752625</v>
      </c>
      <c r="V346" s="909">
        <v>2.9094073772430402</v>
      </c>
      <c r="W346" s="909">
        <v>2.9860992431640598</v>
      </c>
      <c r="X346" s="909">
        <v>3.0685904026031499</v>
      </c>
      <c r="Y346" s="909">
        <v>3.1531631946563698</v>
      </c>
      <c r="Z346" s="909">
        <v>3.23557353019714</v>
      </c>
    </row>
    <row r="348" spans="1:70" x14ac:dyDescent="0.25">
      <c r="A348" s="907" t="s">
        <v>625</v>
      </c>
    </row>
    <row r="349" spans="1:70" x14ac:dyDescent="0.25">
      <c r="A349" s="907" t="s">
        <v>609</v>
      </c>
      <c r="B349" s="909">
        <v>15.246436119079601</v>
      </c>
      <c r="C349" s="909">
        <v>18.5313529968262</v>
      </c>
      <c r="D349" s="909">
        <v>20.134397506713899</v>
      </c>
      <c r="E349" s="909">
        <v>16.9350070953369</v>
      </c>
      <c r="F349" s="909">
        <v>16.912326812744102</v>
      </c>
      <c r="G349" s="909">
        <v>19.346534729003899</v>
      </c>
      <c r="H349" s="909">
        <v>21.4945392608643</v>
      </c>
      <c r="I349" s="909">
        <v>23.604782104492202</v>
      </c>
      <c r="J349" s="909">
        <v>25.696203231811499</v>
      </c>
      <c r="K349" s="909">
        <v>28.031579971313501</v>
      </c>
      <c r="L349" s="909">
        <v>29.828712463378899</v>
      </c>
      <c r="M349" s="909">
        <v>31.479301452636701</v>
      </c>
      <c r="N349" s="909">
        <v>33.231895446777301</v>
      </c>
      <c r="O349" s="909">
        <v>34.5145874023438</v>
      </c>
      <c r="P349" s="909">
        <v>35.698520660400398</v>
      </c>
      <c r="Q349" s="909">
        <v>36.883983612060497</v>
      </c>
      <c r="R349" s="909">
        <v>37.996242523193402</v>
      </c>
      <c r="S349" s="909">
        <v>39.337680816650398</v>
      </c>
      <c r="T349" s="909">
        <v>40.431327819824197</v>
      </c>
      <c r="U349" s="909">
        <v>40.7233276367188</v>
      </c>
      <c r="V349" s="909">
        <v>41.9925727844238</v>
      </c>
      <c r="W349" s="909">
        <v>43.322719573974602</v>
      </c>
      <c r="X349" s="909">
        <v>44.788909912109403</v>
      </c>
      <c r="Y349" s="909">
        <v>45.941520690917997</v>
      </c>
      <c r="Z349" s="909">
        <v>47.553462982177699</v>
      </c>
    </row>
    <row r="350" spans="1:70" x14ac:dyDescent="0.25">
      <c r="A350" s="907" t="s">
        <v>618</v>
      </c>
      <c r="B350" s="909">
        <v>24.84494972229</v>
      </c>
      <c r="C350" s="909">
        <v>26.818180084228501</v>
      </c>
      <c r="D350" s="909">
        <v>34.822681427002003</v>
      </c>
      <c r="E350" s="909">
        <v>21.049989700317401</v>
      </c>
      <c r="F350" s="909">
        <v>19.580844879150401</v>
      </c>
      <c r="G350" s="909">
        <v>23.622909545898398</v>
      </c>
      <c r="H350" s="909">
        <v>25.881950378418001</v>
      </c>
      <c r="I350" s="909">
        <v>28.009447097778299</v>
      </c>
      <c r="J350" s="909">
        <v>30.2537937164307</v>
      </c>
      <c r="K350" s="909">
        <v>28.866632461547901</v>
      </c>
      <c r="L350" s="909">
        <v>30.4276523590088</v>
      </c>
      <c r="M350" s="909">
        <v>31.969417572021499</v>
      </c>
      <c r="N350" s="909">
        <v>32.765193939208999</v>
      </c>
      <c r="O350" s="909">
        <v>35.757926940917997</v>
      </c>
      <c r="P350" s="909">
        <v>37.577915191650398</v>
      </c>
      <c r="Q350" s="909">
        <v>38.662086486816399</v>
      </c>
      <c r="R350" s="909">
        <v>39.8419189453125</v>
      </c>
      <c r="S350" s="909">
        <v>41.092353820800803</v>
      </c>
      <c r="T350" s="909">
        <v>42.114028930664098</v>
      </c>
      <c r="U350" s="909">
        <v>42.893341064453097</v>
      </c>
      <c r="V350" s="909">
        <v>44.2104301452637</v>
      </c>
      <c r="W350" s="909">
        <v>44.896373748779297</v>
      </c>
      <c r="X350" s="909">
        <v>46.4299926757813</v>
      </c>
      <c r="Y350" s="909">
        <v>48.419319152832003</v>
      </c>
      <c r="Z350" s="909">
        <v>48.957271575927699</v>
      </c>
    </row>
    <row r="351" spans="1:70" x14ac:dyDescent="0.25">
      <c r="A351" s="907" t="s">
        <v>619</v>
      </c>
      <c r="B351" s="909">
        <v>21.081119537353501</v>
      </c>
      <c r="C351" s="909">
        <v>22.8191947937012</v>
      </c>
      <c r="D351" s="909">
        <v>26.582485198974599</v>
      </c>
      <c r="E351" s="909">
        <v>16.308473587036101</v>
      </c>
      <c r="F351" s="909">
        <v>18.3791694641113</v>
      </c>
      <c r="G351" s="909">
        <v>21.690732955932599</v>
      </c>
      <c r="H351" s="909">
        <v>23.705785751342798</v>
      </c>
      <c r="I351" s="909">
        <v>25.446578979492202</v>
      </c>
      <c r="J351" s="909">
        <v>27.421388626098601</v>
      </c>
      <c r="K351" s="909">
        <v>29.526109695434599</v>
      </c>
      <c r="L351" s="909">
        <v>31.268815994262699</v>
      </c>
      <c r="M351" s="909">
        <v>33.090030670166001</v>
      </c>
      <c r="N351" s="909">
        <v>34.852634429931598</v>
      </c>
      <c r="O351" s="909">
        <v>36.4355278015137</v>
      </c>
      <c r="P351" s="909">
        <v>38.011890411377003</v>
      </c>
      <c r="Q351" s="909">
        <v>39.135532379150398</v>
      </c>
      <c r="R351" s="909">
        <v>40.475978851318402</v>
      </c>
      <c r="S351" s="909">
        <v>41.687484741210902</v>
      </c>
      <c r="T351" s="909">
        <v>42.675270080566399</v>
      </c>
      <c r="U351" s="909">
        <v>43.460239410400398</v>
      </c>
      <c r="V351" s="909">
        <v>44.775581359863303</v>
      </c>
      <c r="W351" s="909">
        <v>45.668975830078097</v>
      </c>
      <c r="X351" s="909">
        <v>47.250167846679702</v>
      </c>
      <c r="Y351" s="909">
        <v>49.551605224609403</v>
      </c>
      <c r="Z351" s="909">
        <v>49.978668212890597</v>
      </c>
    </row>
    <row r="352" spans="1:70" x14ac:dyDescent="0.25">
      <c r="A352" s="907" t="s">
        <v>626</v>
      </c>
      <c r="B352" s="909">
        <v>14.844763755798301</v>
      </c>
      <c r="C352" s="909">
        <v>16.0964660644531</v>
      </c>
      <c r="D352" s="909">
        <v>22.673322677612301</v>
      </c>
      <c r="E352" s="909">
        <v>10.878761291503899</v>
      </c>
      <c r="F352" s="909">
        <v>10.805939674377401</v>
      </c>
      <c r="G352" s="909">
        <v>13.641165733337401</v>
      </c>
      <c r="H352" s="909">
        <v>15.7883806228638</v>
      </c>
      <c r="I352" s="909">
        <v>17.847295761108398</v>
      </c>
      <c r="J352" s="909">
        <v>19.768560409545898</v>
      </c>
      <c r="K352" s="909">
        <v>21.6021404266357</v>
      </c>
      <c r="L352" s="909">
        <v>23.1407794952393</v>
      </c>
      <c r="M352" s="909">
        <v>24.738756179809599</v>
      </c>
      <c r="N352" s="909">
        <v>26.200944900512699</v>
      </c>
      <c r="O352" s="909">
        <v>27.323936462402301</v>
      </c>
      <c r="P352" s="909">
        <v>28.3911018371582</v>
      </c>
      <c r="Q352" s="909">
        <v>29.343944549560501</v>
      </c>
      <c r="R352" s="909">
        <v>30.208518981933601</v>
      </c>
      <c r="S352" s="909">
        <v>31.274351119995099</v>
      </c>
      <c r="T352" s="909">
        <v>32.279064178466797</v>
      </c>
      <c r="U352" s="909">
        <v>32.661514282226598</v>
      </c>
      <c r="V352" s="909">
        <v>33.853298187255902</v>
      </c>
      <c r="W352" s="909">
        <v>34.868740081787102</v>
      </c>
      <c r="X352" s="909">
        <v>36.320652008056598</v>
      </c>
      <c r="Y352" s="909">
        <v>37.773586273193402</v>
      </c>
      <c r="Z352" s="909">
        <v>39.040420532226598</v>
      </c>
    </row>
    <row r="353" spans="1:70" x14ac:dyDescent="0.25">
      <c r="A353" s="907" t="s">
        <v>610</v>
      </c>
      <c r="B353" s="909">
        <v>18.668458938598601</v>
      </c>
      <c r="C353" s="909">
        <v>19.9431552886963</v>
      </c>
      <c r="D353" s="909">
        <v>26.286823272705099</v>
      </c>
      <c r="E353" s="909">
        <v>15.636975288391101</v>
      </c>
      <c r="F353" s="909">
        <v>14.1092176437378</v>
      </c>
      <c r="G353" s="909">
        <v>16.902593612670898</v>
      </c>
      <c r="H353" s="909">
        <v>19.1516017913818</v>
      </c>
      <c r="I353" s="909">
        <v>21.744958877563501</v>
      </c>
      <c r="J353" s="909">
        <v>23.745824813842798</v>
      </c>
      <c r="K353" s="909">
        <v>25.478622436523398</v>
      </c>
      <c r="L353" s="909">
        <v>27.0623779296875</v>
      </c>
      <c r="M353" s="909">
        <v>28.722316741943398</v>
      </c>
      <c r="N353" s="909">
        <v>30.288469314575199</v>
      </c>
      <c r="O353" s="909">
        <v>31.560461044311499</v>
      </c>
      <c r="P353" s="909">
        <v>32.757129669189503</v>
      </c>
      <c r="Q353" s="909">
        <v>33.523193359375</v>
      </c>
      <c r="R353" s="909">
        <v>34.769081115722699</v>
      </c>
      <c r="S353" s="909">
        <v>35.882114410400398</v>
      </c>
      <c r="T353" s="909">
        <v>36.791599273681598</v>
      </c>
      <c r="U353" s="909">
        <v>37.5217895507813</v>
      </c>
      <c r="V353" s="909">
        <v>38.800697326660199</v>
      </c>
      <c r="W353" s="909">
        <v>39.467311859130902</v>
      </c>
      <c r="X353" s="909">
        <v>40.997920989990199</v>
      </c>
      <c r="Y353" s="909">
        <v>42.937191009521499</v>
      </c>
      <c r="Z353" s="909">
        <v>43.857540130615199</v>
      </c>
    </row>
    <row r="354" spans="1:70" x14ac:dyDescent="0.25">
      <c r="A354" s="907" t="s">
        <v>611</v>
      </c>
      <c r="B354" s="909">
        <v>8.2036781311035192</v>
      </c>
      <c r="C354" s="909">
        <v>9.3672227859497106</v>
      </c>
      <c r="D354" s="909">
        <v>14.4897508621216</v>
      </c>
      <c r="E354" s="909">
        <v>6.7128052711486799</v>
      </c>
      <c r="F354" s="909">
        <v>7.1757683753967303</v>
      </c>
      <c r="G354" s="909">
        <v>9.6609458923339808</v>
      </c>
      <c r="H354" s="909">
        <v>11.544206619262701</v>
      </c>
      <c r="I354" s="909">
        <v>13.370221138000501</v>
      </c>
      <c r="J354" s="909">
        <v>14.996021270751999</v>
      </c>
      <c r="K354" s="909">
        <v>16.898206710815401</v>
      </c>
      <c r="L354" s="909">
        <v>18.207862854003899</v>
      </c>
      <c r="M354" s="909">
        <v>19.411674499511701</v>
      </c>
      <c r="N354" s="909">
        <v>20.6822299957275</v>
      </c>
      <c r="O354" s="909">
        <v>21.516969680786101</v>
      </c>
      <c r="P354" s="909">
        <v>22.335527420043899</v>
      </c>
      <c r="Q354" s="909">
        <v>23.2407321929932</v>
      </c>
      <c r="R354" s="909">
        <v>23.916133880615199</v>
      </c>
      <c r="S354" s="909">
        <v>24.6660556793213</v>
      </c>
      <c r="T354" s="909">
        <v>25.322589874267599</v>
      </c>
      <c r="U354" s="909">
        <v>25.500698089599599</v>
      </c>
      <c r="V354" s="909">
        <v>26.3019409179688</v>
      </c>
      <c r="W354" s="909">
        <v>27.270561218261701</v>
      </c>
      <c r="X354" s="909">
        <v>28.332614898681602</v>
      </c>
      <c r="Y354" s="909">
        <v>29.2080383300781</v>
      </c>
      <c r="Z354" s="909">
        <v>30.365930557251001</v>
      </c>
    </row>
    <row r="355" spans="1:70" x14ac:dyDescent="0.25">
      <c r="A355" s="907" t="s">
        <v>510</v>
      </c>
      <c r="B355" s="909">
        <v>9.2523355484008807</v>
      </c>
      <c r="C355" s="909">
        <v>9.0060253143310494</v>
      </c>
      <c r="D355" s="909">
        <v>10.405486106872599</v>
      </c>
      <c r="E355" s="909">
        <v>6.98002004623413</v>
      </c>
      <c r="F355" s="909">
        <v>7.7092094421386701</v>
      </c>
      <c r="G355" s="909">
        <v>8.12390232086182</v>
      </c>
      <c r="H355" s="909">
        <v>8.2825136184692401</v>
      </c>
      <c r="I355" s="909">
        <v>8.4401350021362305</v>
      </c>
      <c r="J355" s="909">
        <v>8.7418422698974592</v>
      </c>
      <c r="K355" s="909">
        <v>9.1197204589843803</v>
      </c>
      <c r="L355" s="909">
        <v>9.5538625717163104</v>
      </c>
      <c r="M355" s="909">
        <v>10.0050344467163</v>
      </c>
      <c r="N355" s="909">
        <v>10.4820852279663</v>
      </c>
      <c r="O355" s="909">
        <v>11.0441122055054</v>
      </c>
      <c r="P355" s="909">
        <v>11.7092485427856</v>
      </c>
      <c r="Q355" s="909">
        <v>12.280260086059601</v>
      </c>
      <c r="R355" s="909">
        <v>12.668963432311999</v>
      </c>
      <c r="S355" s="909">
        <v>12.670117378234901</v>
      </c>
      <c r="T355" s="909">
        <v>12.917200088501</v>
      </c>
      <c r="U355" s="909">
        <v>13.0803108215332</v>
      </c>
      <c r="V355" s="909">
        <v>13.574273109436</v>
      </c>
      <c r="W355" s="909">
        <v>14.23717212677</v>
      </c>
      <c r="X355" s="909">
        <v>15.0462560653687</v>
      </c>
      <c r="Y355" s="909">
        <v>15.740474700927701</v>
      </c>
      <c r="Z355" s="909">
        <v>16.4913539886475</v>
      </c>
    </row>
    <row r="356" spans="1:70" ht="13" thickBot="1" x14ac:dyDescent="0.3">
      <c r="A356" s="907" t="s">
        <v>614</v>
      </c>
      <c r="B356" s="909">
        <v>3.53999996185303</v>
      </c>
      <c r="C356" s="909">
        <v>3.6099998950958301</v>
      </c>
      <c r="D356" s="909">
        <v>4.1449666023254403</v>
      </c>
      <c r="E356" s="909">
        <v>4.1784791946411097</v>
      </c>
      <c r="F356" s="909">
        <v>4.1485314369201696</v>
      </c>
      <c r="G356" s="909">
        <v>4.3175525665283203</v>
      </c>
      <c r="H356" s="909">
        <v>4.44484186172485</v>
      </c>
      <c r="I356" s="909">
        <v>4.5821456909179696</v>
      </c>
      <c r="J356" s="909">
        <v>4.7206311225891104</v>
      </c>
      <c r="K356" s="909">
        <v>4.8563599586486799</v>
      </c>
      <c r="L356" s="909">
        <v>4.9913563728332502</v>
      </c>
      <c r="M356" s="909">
        <v>5.1233406066894496</v>
      </c>
      <c r="N356" s="909">
        <v>5.2680139541626003</v>
      </c>
      <c r="O356" s="909">
        <v>5.4137320518493697</v>
      </c>
      <c r="P356" s="909">
        <v>5.5743689537048304</v>
      </c>
      <c r="Q356" s="909">
        <v>5.7906579971313503</v>
      </c>
      <c r="R356" s="909">
        <v>6.0209679603576696</v>
      </c>
      <c r="S356" s="909">
        <v>6.20045709609985</v>
      </c>
      <c r="T356" s="909">
        <v>6.3775997161865199</v>
      </c>
      <c r="U356" s="909">
        <v>6.5161404609680202</v>
      </c>
      <c r="V356" s="909">
        <v>6.6299972534179696</v>
      </c>
      <c r="W356" s="909">
        <v>6.7667918205261204</v>
      </c>
      <c r="X356" s="909">
        <v>6.88553714752197</v>
      </c>
      <c r="Y356" s="909">
        <v>6.9704546928405797</v>
      </c>
      <c r="Z356" s="909">
        <v>7.0137753486633301</v>
      </c>
    </row>
    <row r="357" spans="1:70" ht="13" thickBot="1" x14ac:dyDescent="0.3">
      <c r="A357" s="907" t="s">
        <v>627</v>
      </c>
      <c r="B357" s="909">
        <v>1.73100674152374</v>
      </c>
      <c r="C357" s="909">
        <v>1.81885313987732</v>
      </c>
      <c r="D357" s="909">
        <v>2.01088166236877</v>
      </c>
      <c r="E357" s="909">
        <v>2.0711190700531001</v>
      </c>
      <c r="F357" s="909">
        <v>1.96068322658539</v>
      </c>
      <c r="G357" s="909">
        <v>1.99932932853699</v>
      </c>
      <c r="H357" s="909">
        <v>2.0096416473388699</v>
      </c>
      <c r="I357" s="909">
        <v>2.07272601127625</v>
      </c>
      <c r="J357" s="909">
        <v>2.1420636177063002</v>
      </c>
      <c r="K357" s="909">
        <v>2.1925818920135498</v>
      </c>
      <c r="L357" s="909">
        <v>2.2534883022308301</v>
      </c>
      <c r="M357" s="909">
        <v>2.3155770301818799</v>
      </c>
      <c r="N357" s="909">
        <v>2.38794946670532</v>
      </c>
      <c r="O357" s="909">
        <v>2.4510562419891402</v>
      </c>
      <c r="P357" s="909">
        <v>2.52451372146606</v>
      </c>
      <c r="Q357" s="909">
        <v>2.5963439941406299</v>
      </c>
      <c r="R357" s="909">
        <v>2.6790707111358598</v>
      </c>
      <c r="S357" s="909">
        <v>2.7507226467132599</v>
      </c>
      <c r="T357" s="909">
        <v>2.8189043998718302</v>
      </c>
      <c r="U357" s="909">
        <v>2.8845274448394802</v>
      </c>
      <c r="V357" s="909">
        <v>2.9543473720550502</v>
      </c>
      <c r="W357" s="909">
        <v>3.0319309234619101</v>
      </c>
      <c r="X357" s="909">
        <v>3.1151678562164302</v>
      </c>
      <c r="Y357" s="909">
        <v>3.20047926902771</v>
      </c>
      <c r="Z357" s="909">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07" t="s">
        <v>616</v>
      </c>
      <c r="B358" s="909">
        <v>0</v>
      </c>
      <c r="C358" s="909">
        <v>0</v>
      </c>
      <c r="D358" s="909">
        <v>0</v>
      </c>
      <c r="E358" s="909">
        <v>0</v>
      </c>
      <c r="F358" s="909">
        <v>0</v>
      </c>
      <c r="G358" s="909">
        <v>1.5889266729354901</v>
      </c>
      <c r="H358" s="909">
        <v>1.46094393730164</v>
      </c>
      <c r="I358" s="909">
        <v>1.28843116760254</v>
      </c>
      <c r="J358" s="909">
        <v>1.5101318359375</v>
      </c>
      <c r="K358" s="909">
        <v>1.50810551643372</v>
      </c>
      <c r="L358" s="909">
        <v>1.5213859081268299</v>
      </c>
      <c r="M358" s="909">
        <v>1.53951179981232</v>
      </c>
      <c r="N358" s="909">
        <v>1.58338570594788</v>
      </c>
      <c r="O358" s="909">
        <v>1.63723039627075</v>
      </c>
      <c r="P358" s="909">
        <v>1.71289122104645</v>
      </c>
      <c r="Q358" s="909">
        <v>1.76114201545715</v>
      </c>
      <c r="R358" s="909">
        <v>1.8119050264358501</v>
      </c>
      <c r="S358" s="909">
        <v>1.8629466295242301</v>
      </c>
      <c r="T358" s="909">
        <v>1.9169825315475499</v>
      </c>
      <c r="U358" s="909">
        <v>1.9466364383697501</v>
      </c>
      <c r="V358" s="909">
        <v>1.9911848306655899</v>
      </c>
      <c r="W358" s="909">
        <v>2.0416746139526398</v>
      </c>
      <c r="X358" s="909">
        <v>2.09020328521729</v>
      </c>
      <c r="Y358" s="909">
        <v>2.1373581886291499</v>
      </c>
      <c r="Z358" s="909">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07" t="s">
        <v>479</v>
      </c>
      <c r="B359" s="909">
        <v>25.973251342773398</v>
      </c>
      <c r="C359" s="909">
        <v>26.680915832519499</v>
      </c>
      <c r="D359" s="909">
        <v>28.4103908538818</v>
      </c>
      <c r="E359" s="909">
        <v>27.544679641723601</v>
      </c>
      <c r="F359" s="909">
        <v>25.191349029541001</v>
      </c>
      <c r="G359" s="909">
        <v>26.348068237304702</v>
      </c>
      <c r="H359" s="909">
        <v>26.6303806304932</v>
      </c>
      <c r="I359" s="909">
        <v>27.154542922973601</v>
      </c>
      <c r="J359" s="909">
        <v>28.002742767333999</v>
      </c>
      <c r="K359" s="909">
        <v>28.757371902465799</v>
      </c>
      <c r="L359" s="909">
        <v>29.780685424804702</v>
      </c>
      <c r="M359" s="909">
        <v>30.870384216308601</v>
      </c>
      <c r="N359" s="909">
        <v>32.039138793945298</v>
      </c>
      <c r="O359" s="909">
        <v>33.131908416747997</v>
      </c>
      <c r="P359" s="909">
        <v>34.493354797363303</v>
      </c>
      <c r="Q359" s="909">
        <v>35.847507476806598</v>
      </c>
      <c r="R359" s="909">
        <v>37.095943450927699</v>
      </c>
      <c r="S359" s="909">
        <v>37.945499420166001</v>
      </c>
      <c r="T359" s="909">
        <v>38.854724884033203</v>
      </c>
      <c r="U359" s="909">
        <v>39.667263031005902</v>
      </c>
      <c r="V359" s="909">
        <v>40.613765716552699</v>
      </c>
      <c r="W359" s="909">
        <v>41.989593505859403</v>
      </c>
      <c r="X359" s="909">
        <v>43.556324005127003</v>
      </c>
      <c r="Y359" s="909">
        <v>45.098350524902301</v>
      </c>
      <c r="Z359" s="909">
        <v>46.616588592529297</v>
      </c>
    </row>
    <row r="361" spans="1:70" x14ac:dyDescent="0.25">
      <c r="A361" s="907" t="s">
        <v>513</v>
      </c>
    </row>
    <row r="362" spans="1:70" x14ac:dyDescent="0.25">
      <c r="A362" s="907" t="s">
        <v>727</v>
      </c>
    </row>
    <row r="363" spans="1:70" x14ac:dyDescent="0.25">
      <c r="A363" s="907" t="s">
        <v>473</v>
      </c>
      <c r="B363" s="909">
        <v>225.03859096661196</v>
      </c>
      <c r="C363" s="909">
        <v>238.40081787109398</v>
      </c>
      <c r="D363" s="909">
        <v>255.49913625772319</v>
      </c>
      <c r="E363" s="909">
        <v>230.9929746666815</v>
      </c>
      <c r="F363" s="909">
        <v>223.41247611699868</v>
      </c>
      <c r="G363" s="909">
        <v>235.2892736225177</v>
      </c>
      <c r="H363" s="909">
        <v>241.6920712265439</v>
      </c>
      <c r="I363" s="909">
        <v>246.56659612211084</v>
      </c>
      <c r="J363" s="909">
        <v>255.55094332875294</v>
      </c>
      <c r="K363" s="909">
        <v>264.57905396662414</v>
      </c>
      <c r="L363" s="909">
        <v>275.89920726734971</v>
      </c>
      <c r="M363" s="909">
        <v>287.49516661999758</v>
      </c>
      <c r="N363" s="909">
        <v>300.32909110683801</v>
      </c>
      <c r="O363" s="909">
        <v>313.11554742582229</v>
      </c>
      <c r="P363" s="909">
        <v>328.18192619930682</v>
      </c>
      <c r="Q363" s="909">
        <v>341.8235015289352</v>
      </c>
      <c r="R363" s="909">
        <v>355.09694320426638</v>
      </c>
      <c r="S363" s="909">
        <v>365.44612056098629</v>
      </c>
      <c r="T363" s="909">
        <v>378.29315112389759</v>
      </c>
      <c r="U363" s="909">
        <v>388.37155634393389</v>
      </c>
      <c r="V363" s="909">
        <v>402.59953615177363</v>
      </c>
      <c r="W363" s="909">
        <v>419.77981120164446</v>
      </c>
      <c r="X363" s="909">
        <v>438.87123825530841</v>
      </c>
      <c r="Y363" s="909">
        <v>455.24534715742953</v>
      </c>
      <c r="Z363" s="909">
        <v>473.03338245571979</v>
      </c>
    </row>
    <row r="364" spans="1:70" x14ac:dyDescent="0.25">
      <c r="A364" s="907" t="s">
        <v>480</v>
      </c>
      <c r="B364" s="909">
        <v>165.81601818957134</v>
      </c>
      <c r="C364" s="909">
        <v>172.89260864257801</v>
      </c>
      <c r="D364" s="909">
        <v>187.38257557629601</v>
      </c>
      <c r="E364" s="909">
        <v>169.14737359110225</v>
      </c>
      <c r="F364" s="909">
        <v>163.07263216137929</v>
      </c>
      <c r="G364" s="909">
        <v>172.91593328178766</v>
      </c>
      <c r="H364" s="909">
        <v>176.9297785804325</v>
      </c>
      <c r="I364" s="909">
        <v>182.88131988639063</v>
      </c>
      <c r="J364" s="909">
        <v>191.23749630338142</v>
      </c>
      <c r="K364" s="909">
        <v>199.89645601118545</v>
      </c>
      <c r="L364" s="909">
        <v>210.36479941888081</v>
      </c>
      <c r="M364" s="909">
        <v>221.36240217535854</v>
      </c>
      <c r="N364" s="909">
        <v>233.19080564556924</v>
      </c>
      <c r="O364" s="909">
        <v>244.70314616363081</v>
      </c>
      <c r="P364" s="909">
        <v>258.1051490216438</v>
      </c>
      <c r="Q364" s="909">
        <v>271.26123343313407</v>
      </c>
      <c r="R364" s="909">
        <v>283.50995205362011</v>
      </c>
      <c r="S364" s="909">
        <v>292.88584879534454</v>
      </c>
      <c r="T364" s="909">
        <v>303.70259464185926</v>
      </c>
      <c r="U364" s="909">
        <v>313.58347456242666</v>
      </c>
      <c r="V364" s="909">
        <v>325.89089746765683</v>
      </c>
      <c r="W364" s="909">
        <v>341.11550736031069</v>
      </c>
      <c r="X364" s="909">
        <v>358.21009848865214</v>
      </c>
      <c r="Y364" s="909">
        <v>374.9131546581271</v>
      </c>
      <c r="Z364" s="909">
        <v>392.1016075075479</v>
      </c>
    </row>
    <row r="365" spans="1:70" ht="13" thickBot="1" x14ac:dyDescent="0.3">
      <c r="A365" s="907" t="s">
        <v>515</v>
      </c>
      <c r="B365" s="909">
        <v>210.41252056252281</v>
      </c>
      <c r="C365" s="909">
        <v>226.88609313964801</v>
      </c>
      <c r="D365" s="909">
        <v>254.13497179068762</v>
      </c>
      <c r="E365" s="909">
        <v>187.2100922767749</v>
      </c>
      <c r="F365" s="909">
        <v>157.4270874391178</v>
      </c>
      <c r="G365" s="909">
        <v>180.83829470805441</v>
      </c>
      <c r="H365" s="909">
        <v>198.41655822177904</v>
      </c>
      <c r="I365" s="909">
        <v>216.64201952030527</v>
      </c>
      <c r="J365" s="909">
        <v>228.79975664936245</v>
      </c>
      <c r="K365" s="909">
        <v>241.15463361452254</v>
      </c>
      <c r="L365" s="909">
        <v>252.64480203410886</v>
      </c>
      <c r="M365" s="909">
        <v>265.1637238738445</v>
      </c>
      <c r="N365" s="909">
        <v>278.29776899368039</v>
      </c>
      <c r="O365" s="909">
        <v>289.61773721654419</v>
      </c>
      <c r="P365" s="909">
        <v>303.56832242347855</v>
      </c>
      <c r="Q365" s="909">
        <v>314.41390898844122</v>
      </c>
      <c r="R365" s="909">
        <v>323.63277263436424</v>
      </c>
      <c r="S365" s="909">
        <v>331.42426143912343</v>
      </c>
      <c r="T365" s="909">
        <v>339.57307272400601</v>
      </c>
      <c r="U365" s="909">
        <v>343.93727888891527</v>
      </c>
      <c r="V365" s="909">
        <v>351.82746805051073</v>
      </c>
      <c r="W365" s="909">
        <v>360.73339056833169</v>
      </c>
      <c r="X365" s="909">
        <v>371.92375563686846</v>
      </c>
      <c r="Y365" s="909">
        <v>381.22301587849751</v>
      </c>
      <c r="Z365" s="909">
        <v>389.10731115707301</v>
      </c>
    </row>
    <row r="366" spans="1:70" ht="13" thickBot="1" x14ac:dyDescent="0.3">
      <c r="A366" s="907" t="s">
        <v>487</v>
      </c>
      <c r="B366" s="909">
        <v>549.81888270324475</v>
      </c>
      <c r="C366" s="909">
        <v>596.84759521484398</v>
      </c>
      <c r="D366" s="909">
        <v>708.90187629235277</v>
      </c>
      <c r="E366" s="909">
        <v>406.38667462869051</v>
      </c>
      <c r="F366" s="909">
        <v>447.16295305198071</v>
      </c>
      <c r="G366" s="909">
        <v>542.65678113398656</v>
      </c>
      <c r="H366" s="909">
        <v>604.00010341071868</v>
      </c>
      <c r="I366" s="909">
        <v>661.06483901631009</v>
      </c>
      <c r="J366" s="909">
        <v>714.35686387994281</v>
      </c>
      <c r="K366" s="909">
        <v>764.16924059162022</v>
      </c>
      <c r="L366" s="909">
        <v>805.13331786340132</v>
      </c>
      <c r="M366" s="909">
        <v>850.39970498506295</v>
      </c>
      <c r="N366" s="909">
        <v>892.06783074940802</v>
      </c>
      <c r="O366" s="909">
        <v>929.55049698437085</v>
      </c>
      <c r="P366" s="909">
        <v>964.20679928883487</v>
      </c>
      <c r="Q366" s="909">
        <v>990.06920191633094</v>
      </c>
      <c r="R366" s="909">
        <v>1016.1557534719609</v>
      </c>
      <c r="S366" s="909">
        <v>1054.8326731961108</v>
      </c>
      <c r="T366" s="909">
        <v>1091.2729592511287</v>
      </c>
      <c r="U366" s="909">
        <v>1118.0349113947391</v>
      </c>
      <c r="V366" s="909">
        <v>1161.085260138974</v>
      </c>
      <c r="W366" s="909">
        <v>1181.9301954596156</v>
      </c>
      <c r="X366" s="909">
        <v>1232.4560893451367</v>
      </c>
      <c r="Y366" s="909">
        <v>1290.1595195386233</v>
      </c>
      <c r="Z366" s="909">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07" t="s">
        <v>516</v>
      </c>
      <c r="B367" s="909">
        <v>1151.0859678463546</v>
      </c>
      <c r="C367" s="909">
        <v>1235.02709960938</v>
      </c>
      <c r="D367" s="909">
        <v>1405.9186066996403</v>
      </c>
      <c r="E367" s="909">
        <v>993.73713091111074</v>
      </c>
      <c r="F367" s="909">
        <v>991.07514876947641</v>
      </c>
      <c r="G367" s="909">
        <v>1131.7003147881212</v>
      </c>
      <c r="H367" s="909">
        <v>1221.038560105055</v>
      </c>
      <c r="I367" s="909">
        <v>1307.1547250090439</v>
      </c>
      <c r="J367" s="909">
        <v>1389.9450601614428</v>
      </c>
      <c r="K367" s="909">
        <v>1469.7993497059265</v>
      </c>
      <c r="L367" s="909">
        <v>1544.0421618496678</v>
      </c>
      <c r="M367" s="909">
        <v>1624.4209976542634</v>
      </c>
      <c r="N367" s="909">
        <v>1703.8854780296228</v>
      </c>
      <c r="O367" s="909">
        <v>1776.9868521708881</v>
      </c>
      <c r="P367" s="909">
        <v>1854.0622550605767</v>
      </c>
      <c r="Q367" s="909">
        <v>1917.5679054742993</v>
      </c>
      <c r="R367" s="909">
        <v>1978.3954213642144</v>
      </c>
      <c r="S367" s="909">
        <v>2044.5889248527621</v>
      </c>
      <c r="T367" s="909">
        <v>2112.8417777408945</v>
      </c>
      <c r="U367" s="909">
        <v>2163.9271994062915</v>
      </c>
      <c r="V367" s="909">
        <v>2241.4031618089139</v>
      </c>
      <c r="W367" s="909">
        <v>2303.558949985179</v>
      </c>
      <c r="X367" s="909">
        <v>2401.4612280803153</v>
      </c>
      <c r="Y367" s="909">
        <v>2501.5410135735665</v>
      </c>
      <c r="Z367" s="909">
        <v>2576.2560875804752</v>
      </c>
    </row>
    <row r="368" spans="1:70" ht="13" thickBot="1" x14ac:dyDescent="0.3">
      <c r="A368" s="907" t="s">
        <v>629</v>
      </c>
      <c r="B368" s="909">
        <v>3.1288517293273019E-2</v>
      </c>
      <c r="C368" s="909">
        <v>4.0145620703697205E-2</v>
      </c>
      <c r="D368" s="909">
        <v>3.8515830891447944E-2</v>
      </c>
      <c r="E368" s="909">
        <v>2.6303627333810531E-2</v>
      </c>
      <c r="F368" s="909">
        <v>5.6047443014104255E-2</v>
      </c>
      <c r="G368" s="909">
        <v>7.1119337023784479E-2</v>
      </c>
      <c r="H368" s="909">
        <v>8.8428224145552056E-2</v>
      </c>
      <c r="I368" s="909">
        <v>0.10266115711707489</v>
      </c>
      <c r="J368" s="909">
        <v>0.12491143634290662</v>
      </c>
      <c r="K368" s="909">
        <v>2.2293869286864165</v>
      </c>
      <c r="L368" s="909">
        <v>5.6123954184121017</v>
      </c>
      <c r="M368" s="909">
        <v>7.9566359351664051</v>
      </c>
      <c r="N368" s="909">
        <v>12.724991751969894</v>
      </c>
      <c r="O368" s="909">
        <v>19.495647700796784</v>
      </c>
      <c r="P368" s="909">
        <v>28.06371652814466</v>
      </c>
      <c r="Q368" s="909">
        <v>33.841758141316177</v>
      </c>
      <c r="R368" s="909">
        <v>47.452021910622882</v>
      </c>
      <c r="S368" s="909">
        <v>48.667640008057987</v>
      </c>
      <c r="T368" s="909">
        <v>47.767774332439714</v>
      </c>
      <c r="U368" s="909">
        <v>50.842459413568172</v>
      </c>
      <c r="V368" s="909">
        <v>54.12672288853372</v>
      </c>
      <c r="W368" s="909">
        <v>67.349033728123644</v>
      </c>
      <c r="X368" s="909">
        <v>72.870357898145016</v>
      </c>
      <c r="Y368" s="909">
        <v>82.472655922369356</v>
      </c>
      <c r="Z368" s="909">
        <v>85.74303480046683</v>
      </c>
    </row>
    <row r="369" spans="1:70" ht="13" thickBot="1" x14ac:dyDescent="0.3">
      <c r="A369" s="907" t="s">
        <v>518</v>
      </c>
      <c r="B369" s="909">
        <v>1151.1172301979784</v>
      </c>
      <c r="C369" s="909">
        <v>1235.06726074219</v>
      </c>
      <c r="D369" s="909">
        <v>1405.957155546361</v>
      </c>
      <c r="E369" s="909">
        <v>993.76346133595302</v>
      </c>
      <c r="F369" s="909">
        <v>991.13120249830877</v>
      </c>
      <c r="G369" s="909">
        <v>1131.7714475332546</v>
      </c>
      <c r="H369" s="909">
        <v>1221.1269368042056</v>
      </c>
      <c r="I369" s="909">
        <v>1307.2573637523753</v>
      </c>
      <c r="J369" s="909">
        <v>1390.0699789505047</v>
      </c>
      <c r="K369" s="909">
        <v>1472.0286986549243</v>
      </c>
      <c r="L369" s="909">
        <v>1549.6545225531884</v>
      </c>
      <c r="M369" s="909">
        <v>1632.3776685401217</v>
      </c>
      <c r="N369" s="909">
        <v>1716.6105344121597</v>
      </c>
      <c r="O369" s="909">
        <v>1796.4824632434897</v>
      </c>
      <c r="P369" s="909">
        <v>1882.1259667447755</v>
      </c>
      <c r="Q369" s="909">
        <v>1951.4096785174786</v>
      </c>
      <c r="R369" s="909">
        <v>2025.8475094892897</v>
      </c>
      <c r="S369" s="909">
        <v>2093.2565961526161</v>
      </c>
      <c r="T369" s="909">
        <v>2160.609578738799</v>
      </c>
      <c r="U369" s="909">
        <v>2214.7697023873047</v>
      </c>
      <c r="V369" s="909">
        <v>2295.5298624598372</v>
      </c>
      <c r="W369" s="909">
        <v>2370.9079156203875</v>
      </c>
      <c r="X369" s="909">
        <v>2474.3315685955818</v>
      </c>
      <c r="Y369" s="909">
        <v>2584.0136458368329</v>
      </c>
      <c r="Z369" s="909">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07" t="s">
        <v>630</v>
      </c>
    </row>
    <row r="374" spans="1:70" ht="13" thickBot="1" x14ac:dyDescent="0.3">
      <c r="A374" s="907"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07" t="s">
        <v>632</v>
      </c>
    </row>
    <row r="376" spans="1:70" ht="13" thickBot="1" x14ac:dyDescent="0.3">
      <c r="A376" s="907"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07" t="s">
        <v>729</v>
      </c>
    </row>
    <row r="378" spans="1:70" x14ac:dyDescent="0.25">
      <c r="A378" s="907" t="s">
        <v>649</v>
      </c>
    </row>
    <row r="379" spans="1:70" ht="13" thickBot="1" x14ac:dyDescent="0.3">
      <c r="A379" s="907" t="s">
        <v>650</v>
      </c>
    </row>
    <row r="380" spans="1:70" ht="13" thickBot="1" x14ac:dyDescent="0.3">
      <c r="A380" s="907"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07" t="s">
        <v>652</v>
      </c>
    </row>
    <row r="382" spans="1:70" x14ac:dyDescent="0.25">
      <c r="A382" s="907" t="s">
        <v>653</v>
      </c>
    </row>
    <row r="383" spans="1:70" x14ac:dyDescent="0.25">
      <c r="A383" s="907" t="s">
        <v>654</v>
      </c>
    </row>
    <row r="384" spans="1:70" x14ac:dyDescent="0.25">
      <c r="A384" s="907" t="s">
        <v>545</v>
      </c>
    </row>
    <row r="385" spans="1:70" x14ac:dyDescent="0.25">
      <c r="A385" s="907" t="s">
        <v>730</v>
      </c>
    </row>
    <row r="386" spans="1:70" x14ac:dyDescent="0.25">
      <c r="A386" s="907" t="s">
        <v>731</v>
      </c>
    </row>
    <row r="387" spans="1:70" x14ac:dyDescent="0.25">
      <c r="A387" s="907" t="s">
        <v>732</v>
      </c>
    </row>
    <row r="388" spans="1:70" x14ac:dyDescent="0.25">
      <c r="A388" s="907" t="s">
        <v>733</v>
      </c>
    </row>
    <row r="389" spans="1:70" x14ac:dyDescent="0.25">
      <c r="A389" s="907" t="s">
        <v>734</v>
      </c>
    </row>
    <row r="390" spans="1:70" x14ac:dyDescent="0.25">
      <c r="A390" s="907" t="s">
        <v>735</v>
      </c>
    </row>
    <row r="391" spans="1:70" ht="13" thickBot="1" x14ac:dyDescent="0.3">
      <c r="A391" s="907" t="s">
        <v>736</v>
      </c>
    </row>
    <row r="392" spans="1:70" ht="13" thickBot="1" x14ac:dyDescent="0.3">
      <c r="A392" s="907"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07"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07" t="s">
        <v>739</v>
      </c>
    </row>
    <row r="395" spans="1:70" x14ac:dyDescent="0.25">
      <c r="A395" s="907" t="s">
        <v>740</v>
      </c>
    </row>
    <row r="396" spans="1:70" x14ac:dyDescent="0.25">
      <c r="A396" s="907" t="s">
        <v>741</v>
      </c>
    </row>
    <row r="397" spans="1:70" x14ac:dyDescent="0.25">
      <c r="A397" s="907" t="s">
        <v>742</v>
      </c>
    </row>
    <row r="403" spans="1:26" x14ac:dyDescent="0.25">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725" t="s">
        <v>865</v>
      </c>
      <c r="D619" s="1725"/>
      <c r="E619" s="1725"/>
      <c r="F619" s="1725"/>
      <c r="G619" s="1725"/>
      <c r="H619" s="1725"/>
      <c r="I619" s="1725"/>
      <c r="J619" s="1725"/>
      <c r="K619" s="1725"/>
      <c r="L619" s="1725"/>
      <c r="M619" s="1725"/>
      <c r="N619" s="1725"/>
      <c r="O619" s="1725"/>
      <c r="P619" s="1725"/>
      <c r="Q619" s="1725"/>
      <c r="R619" s="1725"/>
      <c r="S619" s="1725"/>
      <c r="T619" s="1725"/>
      <c r="U619" s="1725"/>
      <c r="V619" s="1725"/>
      <c r="W619" s="1725"/>
      <c r="X619" s="1725"/>
      <c r="Y619" s="1725"/>
    </row>
    <row r="620" spans="1:26" x14ac:dyDescent="0.25">
      <c r="A620" s="249" t="s">
        <v>563</v>
      </c>
      <c r="B620" s="250"/>
      <c r="C620" s="1725" t="s">
        <v>866</v>
      </c>
      <c r="D620" s="1725"/>
      <c r="E620" s="1725"/>
      <c r="F620" s="1725"/>
      <c r="G620" s="1725"/>
      <c r="H620" s="1725"/>
      <c r="I620" s="1725"/>
      <c r="J620" s="1725"/>
      <c r="K620" s="1725"/>
      <c r="L620" s="1725"/>
      <c r="M620" s="1725"/>
      <c r="N620" s="1725"/>
      <c r="O620" s="1725"/>
      <c r="P620" s="1725"/>
      <c r="Q620" s="1725"/>
      <c r="R620" s="1725"/>
      <c r="S620" s="1725"/>
      <c r="T620" s="1725"/>
      <c r="U620" s="1725"/>
      <c r="V620" s="1725"/>
      <c r="W620" s="1725"/>
      <c r="X620" s="1725"/>
      <c r="Y620" s="1725"/>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724" t="s">
        <v>437</v>
      </c>
      <c r="B732" s="1724"/>
      <c r="C732" s="1724"/>
      <c r="D732" s="1724"/>
      <c r="E732" s="1724"/>
      <c r="F732" s="1724"/>
      <c r="G732" s="1724"/>
      <c r="H732" s="1724"/>
      <c r="I732" s="1724"/>
      <c r="J732" s="1724"/>
      <c r="K732" s="1724"/>
      <c r="L732" s="1724"/>
      <c r="M732" s="1724"/>
      <c r="N732" s="295"/>
      <c r="O732" s="295"/>
      <c r="P732" s="295"/>
      <c r="Q732" s="295"/>
      <c r="R732" s="295"/>
      <c r="S732" s="295"/>
      <c r="T732" s="295"/>
      <c r="U732" s="295"/>
      <c r="V732" s="295"/>
      <c r="W732" s="295"/>
      <c r="X732" s="295"/>
      <c r="Y732" s="295"/>
    </row>
    <row r="733" spans="1:25" x14ac:dyDescent="0.25">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722" t="s">
        <v>565</v>
      </c>
      <c r="B736" s="1723"/>
      <c r="C736" s="1723"/>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721" t="s">
        <v>576</v>
      </c>
      <c r="F749" s="1721"/>
      <c r="G749" s="1721"/>
      <c r="H749" s="1721"/>
      <c r="I749" s="1721"/>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1048</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0"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6" t="s">
        <v>301</v>
      </c>
      <c r="B1" s="537"/>
      <c r="C1" s="537"/>
      <c r="D1" s="538"/>
      <c r="E1" s="537"/>
      <c r="F1" s="537"/>
      <c r="G1" s="537"/>
      <c r="H1" s="537"/>
      <c r="I1" s="537"/>
      <c r="J1" s="537"/>
      <c r="K1" s="537"/>
    </row>
    <row r="2" spans="1:23" ht="12.75" customHeight="1" x14ac:dyDescent="0.35">
      <c r="A2" s="1742" t="s">
        <v>867</v>
      </c>
      <c r="B2" s="1743"/>
      <c r="C2" s="1743"/>
      <c r="D2" s="1743"/>
      <c r="E2" s="1743"/>
      <c r="F2" s="1743"/>
      <c r="G2" s="1743"/>
      <c r="H2" s="1743"/>
      <c r="I2" s="1743"/>
      <c r="J2" s="1743"/>
      <c r="K2" s="1743"/>
    </row>
    <row r="3" spans="1:23" ht="13" thickBot="1" x14ac:dyDescent="0.3">
      <c r="A3" s="1744"/>
      <c r="B3" s="1744"/>
      <c r="C3" s="1744"/>
      <c r="D3" s="1744"/>
      <c r="E3" s="1744"/>
      <c r="F3" s="1744"/>
      <c r="G3" s="1744"/>
      <c r="H3" s="1744"/>
      <c r="I3" s="1744"/>
      <c r="J3" s="1744"/>
      <c r="K3" s="1744"/>
    </row>
    <row r="4" spans="1:23" ht="14" x14ac:dyDescent="0.3">
      <c r="A4" s="3" t="s">
        <v>302</v>
      </c>
      <c r="B4" s="4"/>
      <c r="C4" s="1745" t="s">
        <v>303</v>
      </c>
      <c r="D4" s="1745"/>
      <c r="E4" s="1745"/>
      <c r="F4" s="5"/>
      <c r="G4" s="1745" t="s">
        <v>304</v>
      </c>
      <c r="H4" s="1745"/>
      <c r="I4" s="1745"/>
      <c r="J4" s="5"/>
      <c r="K4" s="6" t="s">
        <v>305</v>
      </c>
      <c r="O4" s="2" t="s">
        <v>633</v>
      </c>
    </row>
    <row r="5" spans="1:23" ht="13" x14ac:dyDescent="0.3">
      <c r="A5" s="7" t="s">
        <v>868</v>
      </c>
      <c r="B5" s="8"/>
      <c r="C5" s="9" t="s">
        <v>869</v>
      </c>
      <c r="D5" s="9" t="s">
        <v>306</v>
      </c>
      <c r="E5" s="9" t="s">
        <v>307</v>
      </c>
      <c r="F5" s="9"/>
      <c r="G5" s="9" t="s">
        <v>869</v>
      </c>
      <c r="H5" s="9" t="s">
        <v>306</v>
      </c>
      <c r="I5" s="9" t="s">
        <v>307</v>
      </c>
      <c r="J5" s="9"/>
      <c r="K5" s="10" t="s">
        <v>870</v>
      </c>
      <c r="O5" s="1"/>
      <c r="P5" s="1"/>
      <c r="Q5" s="547"/>
      <c r="R5" s="547">
        <v>2005</v>
      </c>
      <c r="S5" s="547">
        <v>2007</v>
      </c>
      <c r="T5" s="547">
        <v>2005</v>
      </c>
      <c r="U5" s="547">
        <v>2007</v>
      </c>
      <c r="V5" s="546"/>
      <c r="W5" s="546"/>
    </row>
    <row r="6" spans="1:23" ht="13" x14ac:dyDescent="0.3">
      <c r="A6" s="15" t="s">
        <v>529</v>
      </c>
      <c r="B6" s="12"/>
      <c r="C6" s="13">
        <v>983</v>
      </c>
      <c r="D6" s="14">
        <f>C6/$K6*453.59</f>
        <v>20267.225909090906</v>
      </c>
      <c r="E6" s="539">
        <f>D6*1.05506/1000*2.2046</f>
        <v>47.141269049911173</v>
      </c>
      <c r="F6" s="13"/>
      <c r="G6" s="13">
        <v>1089</v>
      </c>
      <c r="H6" s="14">
        <f>G6/$K6*453.59</f>
        <v>22452.704999999998</v>
      </c>
      <c r="I6" s="539">
        <f>H6*1.05506/1000*2.2046</f>
        <v>52.224661236371581</v>
      </c>
      <c r="J6" s="13"/>
      <c r="K6" s="540">
        <v>22</v>
      </c>
      <c r="O6" s="1" t="s">
        <v>248</v>
      </c>
      <c r="P6" s="1" t="s">
        <v>1048</v>
      </c>
      <c r="Q6" s="547" t="s">
        <v>637</v>
      </c>
      <c r="R6" s="547" t="s">
        <v>636</v>
      </c>
      <c r="S6" s="547" t="s">
        <v>636</v>
      </c>
      <c r="T6" s="547" t="s">
        <v>1037</v>
      </c>
      <c r="U6" s="547" t="s">
        <v>1037</v>
      </c>
      <c r="V6" s="546"/>
      <c r="W6" s="546"/>
    </row>
    <row r="7" spans="1:23" ht="13" x14ac:dyDescent="0.25">
      <c r="A7" s="15" t="s">
        <v>871</v>
      </c>
      <c r="B7" s="16"/>
      <c r="C7" s="541">
        <v>290</v>
      </c>
      <c r="D7" s="17">
        <f t="shared" ref="D7:D40" si="0">C7/K7*453.59</f>
        <v>51682.028917177428</v>
      </c>
      <c r="E7" s="542">
        <f t="shared" ref="E7:E40" si="1">D7*1.05506/1000*2.2046</f>
        <v>120.21163829516094</v>
      </c>
      <c r="F7" s="18"/>
      <c r="G7" s="19">
        <v>343</v>
      </c>
      <c r="H7" s="17">
        <f t="shared" ref="H7:H40" si="2">G7/$K7*453.59</f>
        <v>61127.365236523648</v>
      </c>
      <c r="I7" s="542">
        <f t="shared" ref="I7:I40" si="3">H7*1.05506/1000*2.2046</f>
        <v>142.1813515008283</v>
      </c>
      <c r="J7" s="18"/>
      <c r="K7" s="543">
        <v>2.5451999999999999</v>
      </c>
      <c r="O7" t="s">
        <v>850</v>
      </c>
      <c r="P7" t="s">
        <v>638</v>
      </c>
      <c r="Q7" s="546">
        <v>930</v>
      </c>
      <c r="R7" s="546">
        <v>1027</v>
      </c>
      <c r="S7" s="546">
        <v>1030</v>
      </c>
      <c r="T7" s="546">
        <f>R7/Q7</f>
        <v>1.1043010752688172</v>
      </c>
      <c r="U7" s="546">
        <f>S7/Q7</f>
        <v>1.10752688172043</v>
      </c>
      <c r="V7" s="546"/>
      <c r="W7" s="546"/>
    </row>
    <row r="8" spans="1:23" ht="13" x14ac:dyDescent="0.25">
      <c r="A8" s="15" t="s">
        <v>872</v>
      </c>
      <c r="B8" s="16"/>
      <c r="C8" s="541">
        <v>1458</v>
      </c>
      <c r="D8" s="17">
        <f t="shared" si="0"/>
        <v>20162.628658536585</v>
      </c>
      <c r="E8" s="539">
        <f t="shared" si="1"/>
        <v>46.897977385211739</v>
      </c>
      <c r="F8" s="18"/>
      <c r="G8" s="19">
        <v>1584</v>
      </c>
      <c r="H8" s="17">
        <f t="shared" si="2"/>
        <v>21905.078048780488</v>
      </c>
      <c r="I8" s="539">
        <f t="shared" si="3"/>
        <v>50.950889011094226</v>
      </c>
      <c r="J8" s="18"/>
      <c r="K8" s="20">
        <v>32.799999999999997</v>
      </c>
      <c r="O8" t="s">
        <v>851</v>
      </c>
      <c r="P8" t="s">
        <v>638</v>
      </c>
      <c r="Q8" s="546">
        <v>930</v>
      </c>
      <c r="R8" s="546">
        <v>1027</v>
      </c>
      <c r="S8" s="546">
        <v>1030</v>
      </c>
      <c r="T8" s="546">
        <f>R8/Q8</f>
        <v>1.1043010752688172</v>
      </c>
      <c r="U8" s="546">
        <f>S8/Q8</f>
        <v>1.10752688172043</v>
      </c>
      <c r="V8" s="546"/>
      <c r="W8" s="546"/>
    </row>
    <row r="9" spans="1:23" ht="13" x14ac:dyDescent="0.25">
      <c r="A9" s="7" t="s">
        <v>308</v>
      </c>
      <c r="B9" s="8"/>
      <c r="C9" s="9" t="s">
        <v>309</v>
      </c>
      <c r="D9" s="9" t="s">
        <v>306</v>
      </c>
      <c r="E9" s="9" t="s">
        <v>307</v>
      </c>
      <c r="F9" s="9"/>
      <c r="G9" s="9" t="s">
        <v>309</v>
      </c>
      <c r="H9" s="9" t="s">
        <v>306</v>
      </c>
      <c r="I9" s="9" t="s">
        <v>307</v>
      </c>
      <c r="J9" s="9"/>
      <c r="K9" s="10" t="s">
        <v>310</v>
      </c>
      <c r="O9" t="s">
        <v>852</v>
      </c>
      <c r="P9" t="s">
        <v>638</v>
      </c>
      <c r="Q9" s="546">
        <v>930</v>
      </c>
      <c r="R9" s="546">
        <v>1027</v>
      </c>
      <c r="S9" s="546">
        <v>1030</v>
      </c>
      <c r="T9" s="546">
        <f>R9/Q9</f>
        <v>1.1043010752688172</v>
      </c>
      <c r="U9" s="546">
        <f>S9/Q9</f>
        <v>1.10752688172043</v>
      </c>
      <c r="V9" s="546"/>
      <c r="W9" s="546"/>
    </row>
    <row r="10" spans="1:23" ht="13" x14ac:dyDescent="0.25">
      <c r="A10" s="11" t="s">
        <v>873</v>
      </c>
      <c r="B10" s="16"/>
      <c r="C10" s="19">
        <v>129670</v>
      </c>
      <c r="D10" s="17">
        <f t="shared" si="0"/>
        <v>18351.642839313572</v>
      </c>
      <c r="E10" s="539">
        <f t="shared" si="1"/>
        <v>42.685651034654214</v>
      </c>
      <c r="F10" s="18"/>
      <c r="G10" s="19">
        <v>138350</v>
      </c>
      <c r="H10" s="17">
        <f t="shared" si="2"/>
        <v>19580.086271450855</v>
      </c>
      <c r="I10" s="539">
        <f t="shared" si="3"/>
        <v>45.542992370204438</v>
      </c>
      <c r="J10" s="18"/>
      <c r="K10" s="21">
        <v>3205</v>
      </c>
      <c r="O10" t="s">
        <v>927</v>
      </c>
      <c r="Q10" s="546"/>
      <c r="R10" s="546"/>
      <c r="S10" s="546"/>
      <c r="T10" s="546">
        <v>1</v>
      </c>
      <c r="U10" s="546">
        <v>1</v>
      </c>
      <c r="V10" s="546"/>
      <c r="W10" s="546"/>
    </row>
    <row r="11" spans="1:23" ht="13" x14ac:dyDescent="0.25">
      <c r="A11" s="11" t="s">
        <v>874</v>
      </c>
      <c r="B11" s="16"/>
      <c r="C11" s="19">
        <v>116090</v>
      </c>
      <c r="D11" s="17">
        <f t="shared" si="0"/>
        <v>18679.412238382403</v>
      </c>
      <c r="E11" s="539">
        <f t="shared" si="1"/>
        <v>43.448037830811678</v>
      </c>
      <c r="F11" s="18"/>
      <c r="G11" s="19">
        <v>124340</v>
      </c>
      <c r="H11" s="17">
        <f t="shared" si="2"/>
        <v>20006.874991131608</v>
      </c>
      <c r="I11" s="539">
        <f t="shared" si="3"/>
        <v>46.535696648144757</v>
      </c>
      <c r="J11" s="18"/>
      <c r="K11" s="21">
        <v>2819</v>
      </c>
      <c r="O11" t="s">
        <v>929</v>
      </c>
      <c r="Q11" s="546"/>
      <c r="R11" s="546"/>
      <c r="S11" s="546"/>
      <c r="T11" s="546">
        <v>1</v>
      </c>
      <c r="U11" s="546">
        <v>1</v>
      </c>
      <c r="V11" s="546"/>
      <c r="W11" s="546"/>
    </row>
    <row r="12" spans="1:23" ht="13" x14ac:dyDescent="0.25">
      <c r="A12" s="11" t="s">
        <v>875</v>
      </c>
      <c r="B12" s="16"/>
      <c r="C12" s="19">
        <v>113601.50975397152</v>
      </c>
      <c r="D12" s="17">
        <f t="shared" si="0"/>
        <v>18210.67343395916</v>
      </c>
      <c r="E12" s="539">
        <f t="shared" si="1"/>
        <v>42.357758273433376</v>
      </c>
      <c r="F12" s="18"/>
      <c r="G12" s="19">
        <v>121848.38036482914</v>
      </c>
      <c r="H12" s="17">
        <f t="shared" si="2"/>
        <v>19532.672304147527</v>
      </c>
      <c r="I12" s="539">
        <f t="shared" si="3"/>
        <v>45.432708180380153</v>
      </c>
      <c r="J12" s="18"/>
      <c r="K12" s="21">
        <v>2829.5773353012783</v>
      </c>
      <c r="O12" t="s">
        <v>853</v>
      </c>
      <c r="P12" t="s">
        <v>639</v>
      </c>
      <c r="Q12" s="548">
        <v>19546300</v>
      </c>
      <c r="R12" s="548">
        <v>20754000</v>
      </c>
      <c r="S12" s="548">
        <v>20231000</v>
      </c>
      <c r="T12" s="546">
        <f>R12/Q12</f>
        <v>1.0617866296946226</v>
      </c>
      <c r="U12" s="546">
        <f>S12/Q12</f>
        <v>1.0350296475547802</v>
      </c>
      <c r="V12" s="546"/>
      <c r="W12" s="546"/>
    </row>
    <row r="13" spans="1:23" ht="13" x14ac:dyDescent="0.25">
      <c r="A13" s="11" t="s">
        <v>876</v>
      </c>
      <c r="B13" s="16"/>
      <c r="C13" s="19">
        <v>113927.15396104372</v>
      </c>
      <c r="D13" s="17">
        <f t="shared" si="0"/>
        <v>18271.813278014368</v>
      </c>
      <c r="E13" s="539">
        <f t="shared" si="1"/>
        <v>42.499968650482714</v>
      </c>
      <c r="F13" s="18"/>
      <c r="G13" s="19">
        <v>122174.43408423416</v>
      </c>
      <c r="H13" s="17">
        <f t="shared" si="2"/>
        <v>19594.524828536756</v>
      </c>
      <c r="I13" s="539">
        <f t="shared" si="3"/>
        <v>45.576576241392928</v>
      </c>
      <c r="J13" s="18"/>
      <c r="K13" s="21">
        <v>2828.193183616288</v>
      </c>
      <c r="O13" t="s">
        <v>910</v>
      </c>
      <c r="P13" t="s">
        <v>640</v>
      </c>
      <c r="Q13" s="548">
        <v>128450</v>
      </c>
      <c r="R13" s="548">
        <f>5825000/42</f>
        <v>138690.47619047618</v>
      </c>
      <c r="S13" s="548">
        <f>5799000/42</f>
        <v>138071.42857142858</v>
      </c>
      <c r="T13" s="546">
        <f>R13/Q13</f>
        <v>1.0797234425105191</v>
      </c>
      <c r="U13" s="546">
        <f>S13/Q13</f>
        <v>1.0749040760718458</v>
      </c>
      <c r="V13" s="546"/>
      <c r="W13" s="546"/>
    </row>
    <row r="14" spans="1:23" ht="13" x14ac:dyDescent="0.25">
      <c r="A14" s="11" t="s">
        <v>877</v>
      </c>
      <c r="B14" s="16"/>
      <c r="C14" s="19">
        <v>128450</v>
      </c>
      <c r="D14" s="17">
        <f t="shared" si="0"/>
        <v>18397.106251973477</v>
      </c>
      <c r="E14" s="539">
        <f t="shared" si="1"/>
        <v>42.791398263097854</v>
      </c>
      <c r="F14" s="18"/>
      <c r="G14" s="19">
        <v>137380</v>
      </c>
      <c r="H14" s="17">
        <f t="shared" si="2"/>
        <v>19676.095421534574</v>
      </c>
      <c r="I14" s="539">
        <f t="shared" si="3"/>
        <v>45.766308239660439</v>
      </c>
      <c r="J14" s="18"/>
      <c r="K14" s="21">
        <v>3167</v>
      </c>
      <c r="O14" t="s">
        <v>908</v>
      </c>
      <c r="P14" t="s">
        <v>640</v>
      </c>
      <c r="Q14" s="548">
        <v>86668</v>
      </c>
      <c r="R14" s="548">
        <v>94706</v>
      </c>
      <c r="S14" s="548">
        <v>94854</v>
      </c>
      <c r="T14" s="546">
        <f>R14/Q14</f>
        <v>1.0927447270041999</v>
      </c>
      <c r="U14" s="546">
        <f>S14/Q14</f>
        <v>1.0944523930401071</v>
      </c>
      <c r="V14" s="546"/>
      <c r="W14" s="546"/>
    </row>
    <row r="15" spans="1:23" ht="13" x14ac:dyDescent="0.25">
      <c r="A15" s="11" t="s">
        <v>528</v>
      </c>
      <c r="B15" s="16"/>
      <c r="C15" s="19">
        <v>129487.84757606639</v>
      </c>
      <c r="D15" s="17">
        <f t="shared" si="0"/>
        <v>18320.147467881456</v>
      </c>
      <c r="E15" s="539">
        <f t="shared" si="1"/>
        <v>42.612393264440954</v>
      </c>
      <c r="F15" s="18"/>
      <c r="G15" s="19">
        <v>138490</v>
      </c>
      <c r="H15" s="17">
        <f t="shared" si="2"/>
        <v>19593.786369307545</v>
      </c>
      <c r="I15" s="539">
        <f t="shared" si="3"/>
        <v>45.574858596098856</v>
      </c>
      <c r="J15" s="18"/>
      <c r="K15" s="21">
        <v>3206</v>
      </c>
      <c r="O15" t="s">
        <v>854</v>
      </c>
      <c r="P15" t="s">
        <v>640</v>
      </c>
      <c r="Q15" s="548"/>
      <c r="R15" s="548"/>
      <c r="S15" s="548"/>
      <c r="T15" s="546">
        <f>$I$19/$E$19</f>
        <v>1.1388646288209607</v>
      </c>
      <c r="U15" s="546">
        <f>$I$19/$E$19</f>
        <v>1.1388646288209607</v>
      </c>
      <c r="V15" s="546"/>
      <c r="W15" s="546"/>
    </row>
    <row r="16" spans="1:23" ht="13" x14ac:dyDescent="0.25">
      <c r="A16" s="11" t="s">
        <v>878</v>
      </c>
      <c r="B16" s="16"/>
      <c r="C16" s="19">
        <v>116920</v>
      </c>
      <c r="D16" s="17">
        <f t="shared" si="0"/>
        <v>19320.124881602911</v>
      </c>
      <c r="E16" s="539">
        <f t="shared" si="1"/>
        <v>44.938326005089621</v>
      </c>
      <c r="F16" s="18"/>
      <c r="G16" s="19">
        <v>125080</v>
      </c>
      <c r="H16" s="17">
        <f t="shared" si="2"/>
        <v>20668.501712204008</v>
      </c>
      <c r="I16" s="539">
        <f t="shared" si="3"/>
        <v>48.074630659567319</v>
      </c>
      <c r="J16" s="18"/>
      <c r="K16" s="22">
        <v>2745</v>
      </c>
      <c r="O16" t="s">
        <v>913</v>
      </c>
      <c r="P16" t="s">
        <v>640</v>
      </c>
      <c r="Q16" s="548">
        <v>116090</v>
      </c>
      <c r="R16" s="548">
        <f>5194000/42</f>
        <v>123666.66666666667</v>
      </c>
      <c r="S16" s="548">
        <f>5218000/42</f>
        <v>124238.09523809524</v>
      </c>
      <c r="T16" s="546">
        <f>R16/Q16</f>
        <v>1.0652654549631033</v>
      </c>
      <c r="U16" s="546">
        <f>S16/Q16</f>
        <v>1.0701877443198831</v>
      </c>
      <c r="V16" s="546"/>
      <c r="W16" s="546"/>
    </row>
    <row r="17" spans="1:23" ht="13" x14ac:dyDescent="0.25">
      <c r="A17" s="11" t="s">
        <v>879</v>
      </c>
      <c r="B17" s="16"/>
      <c r="C17" s="19">
        <v>111520</v>
      </c>
      <c r="D17" s="17">
        <f t="shared" si="0"/>
        <v>19081.236061863448</v>
      </c>
      <c r="E17" s="539">
        <f t="shared" si="1"/>
        <v>44.382674127774621</v>
      </c>
      <c r="F17" s="18"/>
      <c r="G17" s="19">
        <v>119740</v>
      </c>
      <c r="H17" s="17">
        <f t="shared" si="2"/>
        <v>20487.69015465862</v>
      </c>
      <c r="I17" s="539">
        <f t="shared" si="3"/>
        <v>47.654065638986118</v>
      </c>
      <c r="J17" s="18"/>
      <c r="K17" s="21">
        <v>2651</v>
      </c>
      <c r="O17" t="s">
        <v>855</v>
      </c>
      <c r="P17" t="s">
        <v>639</v>
      </c>
      <c r="Q17" s="548">
        <v>16811000</v>
      </c>
      <c r="R17" s="548">
        <v>17200000</v>
      </c>
      <c r="S17" s="548">
        <v>17200000</v>
      </c>
      <c r="T17" s="546">
        <f>R17/Q17</f>
        <v>1.0231396109690083</v>
      </c>
      <c r="U17" s="546">
        <f>S17/Q17</f>
        <v>1.0231396109690083</v>
      </c>
      <c r="V17" s="546"/>
      <c r="W17" s="546"/>
    </row>
    <row r="18" spans="1:23" ht="13" x14ac:dyDescent="0.25">
      <c r="A18" s="11" t="s">
        <v>880</v>
      </c>
      <c r="B18" s="16"/>
      <c r="C18" s="19">
        <v>140352.52220119376</v>
      </c>
      <c r="D18" s="17">
        <f t="shared" si="0"/>
        <v>16967.617416108602</v>
      </c>
      <c r="E18" s="539">
        <f t="shared" si="1"/>
        <v>39.466428278669781</v>
      </c>
      <c r="F18" s="18"/>
      <c r="G18" s="19">
        <v>150110</v>
      </c>
      <c r="H18" s="17">
        <f t="shared" si="2"/>
        <v>18147.226785714287</v>
      </c>
      <c r="I18" s="539">
        <f t="shared" si="3"/>
        <v>42.210182303804245</v>
      </c>
      <c r="J18" s="18"/>
      <c r="K18" s="21">
        <v>3752</v>
      </c>
      <c r="O18" t="s">
        <v>856</v>
      </c>
      <c r="P18" t="s">
        <v>641</v>
      </c>
      <c r="Q18" s="549">
        <v>2.8300000000000001E-3</v>
      </c>
      <c r="R18" s="548"/>
      <c r="S18" s="548"/>
      <c r="T18" s="546">
        <v>1</v>
      </c>
      <c r="U18" s="546">
        <v>1</v>
      </c>
      <c r="V18" s="546"/>
      <c r="W18" s="546"/>
    </row>
    <row r="19" spans="1:23" ht="13" x14ac:dyDescent="0.25">
      <c r="A19" s="11" t="s">
        <v>311</v>
      </c>
      <c r="B19" s="23"/>
      <c r="C19" s="19">
        <v>57250</v>
      </c>
      <c r="D19" s="17">
        <f t="shared" si="0"/>
        <v>8638.7317032601459</v>
      </c>
      <c r="E19" s="539">
        <f t="shared" si="1"/>
        <v>20.093562745097504</v>
      </c>
      <c r="F19" s="18"/>
      <c r="G19" s="19">
        <v>65200</v>
      </c>
      <c r="H19" s="17">
        <f t="shared" si="2"/>
        <v>9838.345974717231</v>
      </c>
      <c r="I19" s="539">
        <f t="shared" si="3"/>
        <v>22.883847877386152</v>
      </c>
      <c r="J19" s="18"/>
      <c r="K19" s="22">
        <v>3006</v>
      </c>
      <c r="Q19" s="546"/>
      <c r="R19" s="546"/>
      <c r="S19" s="546"/>
      <c r="T19" s="546"/>
      <c r="U19" s="546"/>
      <c r="V19" s="546"/>
      <c r="W19" s="546"/>
    </row>
    <row r="20" spans="1:23" ht="13" x14ac:dyDescent="0.25">
      <c r="A20" s="11" t="s">
        <v>312</v>
      </c>
      <c r="B20" s="23"/>
      <c r="C20" s="19">
        <v>76330</v>
      </c>
      <c r="D20" s="17">
        <f t="shared" si="0"/>
        <v>11587.19032797858</v>
      </c>
      <c r="E20" s="539">
        <f t="shared" si="1"/>
        <v>26.95163409308779</v>
      </c>
      <c r="F20" s="18"/>
      <c r="G20" s="19">
        <v>84530</v>
      </c>
      <c r="H20" s="17">
        <f t="shared" si="2"/>
        <v>12831.982161981257</v>
      </c>
      <c r="I20" s="539">
        <f t="shared" si="3"/>
        <v>29.847001570663057</v>
      </c>
      <c r="J20" s="18"/>
      <c r="K20" s="22">
        <v>2988</v>
      </c>
      <c r="Q20" s="546"/>
      <c r="R20" s="546"/>
      <c r="S20" s="546"/>
      <c r="T20" s="546"/>
      <c r="U20" s="546"/>
      <c r="V20" s="546"/>
      <c r="W20" s="546"/>
    </row>
    <row r="21" spans="1:23" ht="13" x14ac:dyDescent="0.25">
      <c r="A21" s="11" t="s">
        <v>965</v>
      </c>
      <c r="B21" s="23"/>
      <c r="C21" s="19">
        <v>99837</v>
      </c>
      <c r="D21" s="17">
        <f t="shared" si="0"/>
        <v>14774.898802610114</v>
      </c>
      <c r="E21" s="539">
        <f t="shared" si="1"/>
        <v>34.366197069261162</v>
      </c>
      <c r="F21" s="18"/>
      <c r="G21" s="19">
        <v>108458</v>
      </c>
      <c r="H21" s="17">
        <f t="shared" si="2"/>
        <v>16050.722420880913</v>
      </c>
      <c r="I21" s="539">
        <f t="shared" si="3"/>
        <v>37.33374402013208</v>
      </c>
      <c r="J21" s="18"/>
      <c r="K21" s="22">
        <v>3065</v>
      </c>
      <c r="Q21" s="546"/>
      <c r="R21" s="546"/>
      <c r="S21" s="546"/>
      <c r="T21" s="546"/>
      <c r="U21" s="546"/>
      <c r="V21" s="546"/>
      <c r="W21" s="546"/>
    </row>
    <row r="22" spans="1:23" ht="13" x14ac:dyDescent="0.25">
      <c r="A22" s="11" t="s">
        <v>966</v>
      </c>
      <c r="B22" s="23"/>
      <c r="C22" s="19">
        <v>83127</v>
      </c>
      <c r="D22" s="17">
        <f t="shared" si="0"/>
        <v>12721.179463562754</v>
      </c>
      <c r="E22" s="539">
        <f t="shared" si="1"/>
        <v>29.589276125600549</v>
      </c>
      <c r="F22" s="18"/>
      <c r="G22" s="19">
        <v>89511</v>
      </c>
      <c r="H22" s="17">
        <f t="shared" si="2"/>
        <v>13698.142540485829</v>
      </c>
      <c r="I22" s="539">
        <f t="shared" si="3"/>
        <v>31.861677857719279</v>
      </c>
      <c r="J22" s="18"/>
      <c r="K22" s="22">
        <v>2964</v>
      </c>
      <c r="Q22" s="546"/>
      <c r="R22" s="546"/>
      <c r="S22" s="546"/>
      <c r="T22" s="546"/>
      <c r="U22" s="546"/>
      <c r="V22" s="546"/>
      <c r="W22" s="546"/>
    </row>
    <row r="23" spans="1:23" ht="13" x14ac:dyDescent="0.25">
      <c r="A23" s="11" t="s">
        <v>881</v>
      </c>
      <c r="B23" s="23"/>
      <c r="C23" s="19">
        <v>116090</v>
      </c>
      <c r="D23" s="17">
        <f t="shared" si="0"/>
        <v>18679.412238382403</v>
      </c>
      <c r="E23" s="539">
        <f t="shared" si="1"/>
        <v>43.448037830811678</v>
      </c>
      <c r="F23" s="18"/>
      <c r="G23" s="19">
        <v>124340</v>
      </c>
      <c r="H23" s="17">
        <f t="shared" si="2"/>
        <v>20006.874991131608</v>
      </c>
      <c r="I23" s="539">
        <f t="shared" si="3"/>
        <v>46.535696648144757</v>
      </c>
      <c r="J23" s="18"/>
      <c r="K23" s="22">
        <v>2819</v>
      </c>
      <c r="Q23" s="546"/>
      <c r="R23" s="546"/>
      <c r="S23" s="546"/>
      <c r="T23" s="546"/>
      <c r="U23" s="546"/>
      <c r="V23" s="546"/>
      <c r="W23" s="546"/>
    </row>
    <row r="24" spans="1:23" ht="13" x14ac:dyDescent="0.25">
      <c r="A24" s="11" t="s">
        <v>882</v>
      </c>
      <c r="B24" s="23"/>
      <c r="C24" s="19">
        <v>84950</v>
      </c>
      <c r="D24" s="17">
        <f t="shared" si="0"/>
        <v>20037.686167446696</v>
      </c>
      <c r="E24" s="539">
        <f t="shared" si="1"/>
        <v>46.607362990589891</v>
      </c>
      <c r="F24" s="18"/>
      <c r="G24" s="19">
        <v>91410</v>
      </c>
      <c r="H24" s="17">
        <f t="shared" si="2"/>
        <v>21561.446645865835</v>
      </c>
      <c r="I24" s="539">
        <f t="shared" si="3"/>
        <v>50.151607427543532</v>
      </c>
      <c r="J24" s="18"/>
      <c r="K24" s="22">
        <v>1923</v>
      </c>
      <c r="Q24" s="546"/>
      <c r="R24" s="546"/>
      <c r="S24" s="546"/>
      <c r="T24" s="546"/>
      <c r="U24" s="546"/>
      <c r="V24" s="546"/>
      <c r="W24" s="546"/>
    </row>
    <row r="25" spans="1:23" ht="13" x14ac:dyDescent="0.25">
      <c r="A25" s="11" t="s">
        <v>883</v>
      </c>
      <c r="B25" s="23"/>
      <c r="C25" s="19">
        <v>74720</v>
      </c>
      <c r="D25" s="17">
        <f t="shared" si="0"/>
        <v>20908.23244910549</v>
      </c>
      <c r="E25" s="539">
        <f t="shared" si="1"/>
        <v>48.632240823804793</v>
      </c>
      <c r="F25" s="18"/>
      <c r="G25" s="19">
        <v>84820</v>
      </c>
      <c r="H25" s="17">
        <f t="shared" si="2"/>
        <v>23734.425539790249</v>
      </c>
      <c r="I25" s="539">
        <f t="shared" si="3"/>
        <v>55.205924339870478</v>
      </c>
      <c r="J25" s="18"/>
      <c r="K25" s="22">
        <v>1621</v>
      </c>
      <c r="Q25" s="546"/>
      <c r="R25" s="546"/>
      <c r="S25" s="546"/>
      <c r="T25" s="546"/>
      <c r="U25" s="546"/>
      <c r="V25" s="546"/>
      <c r="W25" s="546"/>
    </row>
    <row r="26" spans="1:23" ht="13" x14ac:dyDescent="0.25">
      <c r="A26" s="11" t="s">
        <v>884</v>
      </c>
      <c r="B26" s="23"/>
      <c r="C26" s="19">
        <v>68930</v>
      </c>
      <c r="D26" s="17">
        <f t="shared" si="0"/>
        <v>12416.981215250198</v>
      </c>
      <c r="E26" s="539">
        <f t="shared" si="1"/>
        <v>28.881715479040551</v>
      </c>
      <c r="F26" s="18"/>
      <c r="G26" s="19">
        <v>75610</v>
      </c>
      <c r="H26" s="17">
        <f t="shared" si="2"/>
        <v>13620.3097299444</v>
      </c>
      <c r="I26" s="539">
        <f t="shared" si="3"/>
        <v>31.680639886410216</v>
      </c>
      <c r="J26" s="18"/>
      <c r="K26" s="22">
        <v>2518</v>
      </c>
      <c r="Q26" s="546"/>
      <c r="R26" s="546"/>
      <c r="S26" s="546"/>
      <c r="T26" s="546"/>
      <c r="U26" s="546"/>
      <c r="V26" s="546"/>
      <c r="W26" s="546"/>
    </row>
    <row r="27" spans="1:23" ht="13" x14ac:dyDescent="0.25">
      <c r="A27" s="11" t="s">
        <v>885</v>
      </c>
      <c r="B27" s="23"/>
      <c r="C27" s="19">
        <v>72200</v>
      </c>
      <c r="D27" s="17">
        <f t="shared" si="0"/>
        <v>10061.197542242702</v>
      </c>
      <c r="E27" s="539">
        <f t="shared" si="1"/>
        <v>23.402197342183918</v>
      </c>
      <c r="F27" s="18"/>
      <c r="G27" s="19">
        <v>79196.89540113158</v>
      </c>
      <c r="H27" s="17">
        <f t="shared" si="2"/>
        <v>11036.227276497471</v>
      </c>
      <c r="I27" s="539">
        <f t="shared" si="3"/>
        <v>25.670102147722705</v>
      </c>
      <c r="J27" s="18"/>
      <c r="K27" s="22">
        <v>3255</v>
      </c>
      <c r="Q27" s="546"/>
      <c r="R27" s="546"/>
      <c r="S27" s="546"/>
      <c r="T27" s="546"/>
      <c r="U27" s="546"/>
      <c r="V27" s="546"/>
      <c r="W27" s="546"/>
    </row>
    <row r="28" spans="1:23" ht="13" x14ac:dyDescent="0.25">
      <c r="A28" s="11" t="s">
        <v>886</v>
      </c>
      <c r="B28" s="23"/>
      <c r="C28" s="19">
        <v>119550</v>
      </c>
      <c r="D28" s="17">
        <f t="shared" si="0"/>
        <v>16134.09238321928</v>
      </c>
      <c r="E28" s="539">
        <f t="shared" si="1"/>
        <v>37.527661324991804</v>
      </c>
      <c r="F28" s="18"/>
      <c r="G28" s="19">
        <v>127960</v>
      </c>
      <c r="H28" s="17">
        <f t="shared" si="2"/>
        <v>17269.079559654863</v>
      </c>
      <c r="I28" s="539">
        <f t="shared" si="3"/>
        <v>40.167624785829787</v>
      </c>
      <c r="J28" s="18"/>
      <c r="K28" s="22">
        <v>3361</v>
      </c>
      <c r="Q28" s="546"/>
      <c r="R28" s="546"/>
      <c r="S28" s="546"/>
      <c r="T28" s="546"/>
      <c r="U28" s="546"/>
      <c r="V28" s="546"/>
      <c r="W28" s="546"/>
    </row>
    <row r="29" spans="1:23" ht="13" x14ac:dyDescent="0.25">
      <c r="A29" s="11" t="s">
        <v>887</v>
      </c>
      <c r="B29" s="23"/>
      <c r="C29" s="19">
        <v>123670</v>
      </c>
      <c r="D29" s="17">
        <f t="shared" si="0"/>
        <v>18593.130692741131</v>
      </c>
      <c r="E29" s="539">
        <f t="shared" si="1"/>
        <v>43.247348226059557</v>
      </c>
      <c r="F29" s="18"/>
      <c r="G29" s="19">
        <v>130030</v>
      </c>
      <c r="H29" s="17">
        <f t="shared" si="2"/>
        <v>19549.323069274113</v>
      </c>
      <c r="I29" s="539">
        <f t="shared" si="3"/>
        <v>45.471437614898726</v>
      </c>
      <c r="J29" s="18"/>
      <c r="K29" s="22">
        <v>3017</v>
      </c>
      <c r="Q29" s="546"/>
      <c r="R29" s="546"/>
      <c r="S29" s="546"/>
      <c r="T29" s="546"/>
      <c r="U29" s="546"/>
      <c r="V29" s="546"/>
      <c r="W29" s="546"/>
    </row>
    <row r="30" spans="1:23" ht="13" x14ac:dyDescent="0.25">
      <c r="A30" s="11" t="s">
        <v>967</v>
      </c>
      <c r="B30" s="23"/>
      <c r="C30" s="19">
        <v>117059</v>
      </c>
      <c r="D30" s="17">
        <f t="shared" si="0"/>
        <v>18729.027093474426</v>
      </c>
      <c r="E30" s="539">
        <f t="shared" si="1"/>
        <v>43.563441253226593</v>
      </c>
      <c r="F30" s="18"/>
      <c r="G30" s="19">
        <v>125294</v>
      </c>
      <c r="H30" s="17">
        <f t="shared" si="2"/>
        <v>20046.598045855379</v>
      </c>
      <c r="I30" s="539">
        <f t="shared" si="3"/>
        <v>46.628091888549989</v>
      </c>
      <c r="J30" s="18"/>
      <c r="K30" s="22">
        <v>2835</v>
      </c>
      <c r="Q30" s="546"/>
      <c r="R30" s="546"/>
      <c r="S30" s="546"/>
      <c r="T30" s="546"/>
      <c r="U30" s="546"/>
      <c r="V30" s="546"/>
      <c r="W30" s="546"/>
    </row>
    <row r="31" spans="1:23" ht="13" x14ac:dyDescent="0.25">
      <c r="A31" s="11" t="s">
        <v>968</v>
      </c>
      <c r="B31" s="23"/>
      <c r="C31" s="19">
        <v>122887</v>
      </c>
      <c r="D31" s="17">
        <f t="shared" si="0"/>
        <v>18907.840681818183</v>
      </c>
      <c r="E31" s="539">
        <f t="shared" si="1"/>
        <v>43.979359026862895</v>
      </c>
      <c r="F31" s="18"/>
      <c r="G31" s="19">
        <v>130817</v>
      </c>
      <c r="H31" s="17">
        <f t="shared" si="2"/>
        <v>20127.979318181817</v>
      </c>
      <c r="I31" s="539">
        <f t="shared" si="3"/>
        <v>46.817383529723436</v>
      </c>
      <c r="J31" s="18"/>
      <c r="K31" s="22">
        <v>2948</v>
      </c>
      <c r="Q31" s="546"/>
      <c r="R31" s="546"/>
      <c r="S31" s="546"/>
      <c r="T31" s="546"/>
      <c r="U31" s="546"/>
      <c r="V31" s="546"/>
      <c r="W31" s="546"/>
    </row>
    <row r="32" spans="1:23" ht="13" x14ac:dyDescent="0.25">
      <c r="A32" s="11" t="s">
        <v>969</v>
      </c>
      <c r="B32" s="23"/>
      <c r="C32" s="19">
        <v>115983</v>
      </c>
      <c r="D32" s="17">
        <f t="shared" si="0"/>
        <v>18589.656879858656</v>
      </c>
      <c r="E32" s="539">
        <f t="shared" si="1"/>
        <v>43.23926818844334</v>
      </c>
      <c r="F32" s="18"/>
      <c r="G32" s="19">
        <v>124230</v>
      </c>
      <c r="H32" s="17">
        <f t="shared" si="2"/>
        <v>19911.479045936394</v>
      </c>
      <c r="I32" s="539">
        <f t="shared" si="3"/>
        <v>46.313807084230582</v>
      </c>
      <c r="J32" s="18"/>
      <c r="K32" s="22">
        <v>2830</v>
      </c>
      <c r="Q32" s="546"/>
      <c r="R32" s="546"/>
      <c r="S32" s="546"/>
      <c r="T32" s="546"/>
      <c r="U32" s="546"/>
      <c r="V32" s="546"/>
      <c r="W32" s="546"/>
    </row>
    <row r="33" spans="1:23" ht="13" x14ac:dyDescent="0.25">
      <c r="A33" s="11" t="s">
        <v>888</v>
      </c>
      <c r="B33" s="23"/>
      <c r="C33" s="19">
        <v>30500</v>
      </c>
      <c r="D33" s="17">
        <f t="shared" si="0"/>
        <v>51621.249999999993</v>
      </c>
      <c r="E33" s="542">
        <f t="shared" si="1"/>
        <v>120.070267428715</v>
      </c>
      <c r="F33" s="18"/>
      <c r="G33" s="19">
        <v>36020</v>
      </c>
      <c r="H33" s="17">
        <f t="shared" si="2"/>
        <v>60963.849999999991</v>
      </c>
      <c r="I33" s="542">
        <f t="shared" si="3"/>
        <v>141.80101746827262</v>
      </c>
      <c r="J33" s="18"/>
      <c r="K33" s="22">
        <v>268</v>
      </c>
      <c r="Q33" s="546"/>
      <c r="R33" s="546"/>
      <c r="S33" s="546"/>
      <c r="T33" s="546"/>
      <c r="U33" s="546"/>
      <c r="V33" s="546"/>
      <c r="W33" s="546"/>
    </row>
    <row r="34" spans="1:23" ht="13" x14ac:dyDescent="0.25">
      <c r="A34" s="11" t="s">
        <v>889</v>
      </c>
      <c r="B34" s="23"/>
      <c r="C34" s="19">
        <v>93540</v>
      </c>
      <c r="D34" s="17">
        <f t="shared" si="0"/>
        <v>15093.848665955175</v>
      </c>
      <c r="E34" s="539">
        <f t="shared" si="1"/>
        <v>35.108069755183983</v>
      </c>
      <c r="F34" s="18"/>
      <c r="G34" s="19">
        <v>101130</v>
      </c>
      <c r="H34" s="17">
        <f t="shared" si="2"/>
        <v>16318.59007470651</v>
      </c>
      <c r="I34" s="539">
        <f t="shared" si="3"/>
        <v>37.95680023884708</v>
      </c>
      <c r="J34" s="18"/>
      <c r="K34" s="22">
        <v>2811</v>
      </c>
      <c r="Q34" s="546"/>
      <c r="R34" s="546"/>
      <c r="S34" s="546"/>
      <c r="T34" s="546"/>
      <c r="U34" s="546"/>
      <c r="V34" s="546"/>
      <c r="W34" s="546"/>
    </row>
    <row r="35" spans="1:23" ht="13" x14ac:dyDescent="0.25">
      <c r="A35" s="11" t="s">
        <v>890</v>
      </c>
      <c r="B35" s="16"/>
      <c r="C35" s="19">
        <v>96720</v>
      </c>
      <c r="D35" s="17">
        <f t="shared" si="0"/>
        <v>15612.535516014234</v>
      </c>
      <c r="E35" s="539">
        <f t="shared" si="1"/>
        <v>36.314527731276172</v>
      </c>
      <c r="F35" s="18"/>
      <c r="G35" s="19">
        <v>104530</v>
      </c>
      <c r="H35" s="17">
        <f t="shared" si="2"/>
        <v>16873.225160142349</v>
      </c>
      <c r="I35" s="539">
        <f t="shared" si="3"/>
        <v>39.246873281123854</v>
      </c>
      <c r="J35" s="18"/>
      <c r="K35" s="21">
        <v>2810</v>
      </c>
      <c r="Q35" s="546"/>
      <c r="R35" s="546"/>
      <c r="S35" s="546"/>
      <c r="T35" s="546"/>
      <c r="U35" s="546"/>
      <c r="V35" s="546"/>
      <c r="W35" s="546"/>
    </row>
    <row r="36" spans="1:23" ht="13" x14ac:dyDescent="0.25">
      <c r="A36" s="11" t="s">
        <v>891</v>
      </c>
      <c r="B36" s="16"/>
      <c r="C36" s="19">
        <v>100480</v>
      </c>
      <c r="D36" s="17">
        <f t="shared" si="0"/>
        <v>15645.974322004806</v>
      </c>
      <c r="E36" s="539">
        <f t="shared" si="1"/>
        <v>36.392305901657274</v>
      </c>
      <c r="F36" s="18"/>
      <c r="G36" s="19">
        <v>108570</v>
      </c>
      <c r="H36" s="17">
        <f t="shared" si="2"/>
        <v>16905.687023686918</v>
      </c>
      <c r="I36" s="539">
        <f t="shared" si="3"/>
        <v>39.322379097760042</v>
      </c>
      <c r="J36" s="18"/>
      <c r="K36" s="21">
        <v>2913</v>
      </c>
      <c r="Q36" s="546"/>
      <c r="R36" s="546"/>
      <c r="S36" s="546"/>
      <c r="T36" s="546"/>
      <c r="U36" s="546"/>
      <c r="V36" s="546"/>
      <c r="W36" s="546"/>
    </row>
    <row r="37" spans="1:23" ht="13" x14ac:dyDescent="0.25">
      <c r="A37" s="11" t="s">
        <v>892</v>
      </c>
      <c r="B37" s="16"/>
      <c r="C37" s="19">
        <v>94970</v>
      </c>
      <c r="D37" s="17">
        <f t="shared" si="0"/>
        <v>19465.631405332126</v>
      </c>
      <c r="E37" s="539">
        <f t="shared" si="1"/>
        <v>45.27677203684572</v>
      </c>
      <c r="F37" s="18"/>
      <c r="G37" s="19">
        <v>103220</v>
      </c>
      <c r="H37" s="17">
        <f t="shared" si="2"/>
        <v>21156.601807501127</v>
      </c>
      <c r="I37" s="539">
        <f t="shared" si="3"/>
        <v>49.209944294442614</v>
      </c>
      <c r="J37" s="18"/>
      <c r="K37" s="21">
        <v>2213</v>
      </c>
      <c r="Q37" s="546"/>
      <c r="R37" s="546"/>
      <c r="S37" s="546"/>
      <c r="T37" s="546"/>
      <c r="U37" s="546"/>
      <c r="V37" s="546"/>
      <c r="W37" s="546"/>
    </row>
    <row r="38" spans="1:23" ht="13" x14ac:dyDescent="0.25">
      <c r="A38" s="11" t="s">
        <v>893</v>
      </c>
      <c r="B38" s="16"/>
      <c r="C38" s="19">
        <v>90060</v>
      </c>
      <c r="D38" s="17">
        <f t="shared" si="0"/>
        <v>19287.212181303115</v>
      </c>
      <c r="E38" s="539">
        <f t="shared" si="1"/>
        <v>44.861771548798892</v>
      </c>
      <c r="F38" s="18"/>
      <c r="G38" s="19">
        <v>98560</v>
      </c>
      <c r="H38" s="17">
        <f t="shared" si="2"/>
        <v>21107.568649669498</v>
      </c>
      <c r="I38" s="539">
        <f t="shared" si="3"/>
        <v>49.095893891290459</v>
      </c>
      <c r="J38" s="18"/>
      <c r="K38" s="21">
        <v>2118</v>
      </c>
      <c r="Q38" s="546"/>
      <c r="R38" s="546"/>
      <c r="S38" s="546"/>
      <c r="T38" s="546"/>
      <c r="U38" s="546"/>
      <c r="V38" s="546"/>
      <c r="W38" s="546"/>
    </row>
    <row r="39" spans="1:23" ht="13" x14ac:dyDescent="0.25">
      <c r="A39" s="11" t="s">
        <v>894</v>
      </c>
      <c r="B39" s="16"/>
      <c r="C39" s="19">
        <v>95720</v>
      </c>
      <c r="D39" s="17">
        <f t="shared" si="0"/>
        <v>19271.031868619615</v>
      </c>
      <c r="E39" s="539">
        <f t="shared" si="1"/>
        <v>44.824136379735997</v>
      </c>
      <c r="F39" s="18"/>
      <c r="G39" s="19">
        <v>103010</v>
      </c>
      <c r="H39" s="17">
        <f t="shared" si="2"/>
        <v>20738.706569019083</v>
      </c>
      <c r="I39" s="539">
        <f t="shared" si="3"/>
        <v>48.237926122822877</v>
      </c>
      <c r="J39" s="18"/>
      <c r="K39" s="21">
        <v>2253</v>
      </c>
      <c r="Q39" s="546"/>
      <c r="R39" s="546"/>
      <c r="S39" s="546"/>
      <c r="T39" s="546"/>
      <c r="U39" s="546"/>
      <c r="V39" s="546"/>
      <c r="W39" s="546"/>
    </row>
    <row r="40" spans="1:23" ht="13" x14ac:dyDescent="0.25">
      <c r="A40" s="11" t="s">
        <v>313</v>
      </c>
      <c r="B40" s="16"/>
      <c r="C40" s="19">
        <v>84250</v>
      </c>
      <c r="D40" s="17">
        <f t="shared" si="0"/>
        <v>19903.623697916668</v>
      </c>
      <c r="E40" s="539">
        <f t="shared" si="1"/>
        <v>46.295535660398848</v>
      </c>
      <c r="F40" s="18"/>
      <c r="G40" s="19">
        <v>91420</v>
      </c>
      <c r="H40" s="17">
        <f t="shared" si="2"/>
        <v>21597.498854166668</v>
      </c>
      <c r="I40" s="539">
        <f t="shared" si="3"/>
        <v>50.235464333218552</v>
      </c>
      <c r="J40" s="18"/>
      <c r="K40" s="21">
        <v>1920</v>
      </c>
      <c r="Q40" s="546"/>
      <c r="R40" s="546"/>
      <c r="S40" s="546"/>
      <c r="T40" s="546"/>
      <c r="U40" s="546"/>
      <c r="V40" s="546"/>
      <c r="W40" s="546"/>
    </row>
    <row r="41" spans="1:23" ht="13" x14ac:dyDescent="0.25">
      <c r="A41" s="7" t="s">
        <v>314</v>
      </c>
      <c r="B41" s="8"/>
      <c r="C41" s="9" t="s">
        <v>315</v>
      </c>
      <c r="D41" s="9" t="s">
        <v>316</v>
      </c>
      <c r="E41" s="9" t="s">
        <v>307</v>
      </c>
      <c r="F41" s="9"/>
      <c r="G41" s="9" t="s">
        <v>315</v>
      </c>
      <c r="H41" s="9" t="s">
        <v>316</v>
      </c>
      <c r="I41" s="9" t="s">
        <v>307</v>
      </c>
      <c r="J41" s="9"/>
      <c r="K41" s="10"/>
      <c r="Q41" s="546"/>
      <c r="R41" s="546"/>
      <c r="S41" s="546"/>
      <c r="T41" s="546"/>
      <c r="U41" s="546"/>
      <c r="V41" s="546"/>
      <c r="W41" s="546"/>
    </row>
    <row r="42" spans="1:23" ht="13" x14ac:dyDescent="0.25">
      <c r="A42" s="15" t="s">
        <v>895</v>
      </c>
      <c r="B42" s="16"/>
      <c r="C42" s="24">
        <v>19546300</v>
      </c>
      <c r="D42" s="17">
        <f t="shared" ref="D42:D50" si="4">C42/2000</f>
        <v>9773.15</v>
      </c>
      <c r="E42" s="539">
        <f t="shared" ref="E42:E50" si="5">D42*1.05506/1000*2.2046</f>
        <v>22.7322030001394</v>
      </c>
      <c r="F42" s="18"/>
      <c r="G42" s="19">
        <v>20608570</v>
      </c>
      <c r="H42" s="17">
        <f>G42/2000</f>
        <v>10304.285</v>
      </c>
      <c r="I42" s="539">
        <f t="shared" ref="I42:I50" si="6">H42*1.05506/1000*2.2046</f>
        <v>23.967615189707661</v>
      </c>
      <c r="J42" s="18"/>
      <c r="K42" s="22"/>
      <c r="Q42" s="546"/>
      <c r="R42" s="546"/>
      <c r="S42" s="546"/>
      <c r="T42" s="546"/>
      <c r="U42" s="546"/>
      <c r="V42" s="546"/>
      <c r="W42" s="546"/>
    </row>
    <row r="43" spans="1:23" ht="13" x14ac:dyDescent="0.25">
      <c r="A43" s="15" t="s">
        <v>896</v>
      </c>
      <c r="B43" s="16"/>
      <c r="C43" s="24">
        <v>22460600</v>
      </c>
      <c r="D43" s="17">
        <f t="shared" si="4"/>
        <v>11230.3</v>
      </c>
      <c r="E43" s="539">
        <f t="shared" si="5"/>
        <v>26.121512445062798</v>
      </c>
      <c r="F43" s="18"/>
      <c r="G43" s="19">
        <v>23445900</v>
      </c>
      <c r="H43" s="17">
        <f t="shared" ref="H43:H50" si="7">G43/2000</f>
        <v>11722.95</v>
      </c>
      <c r="I43" s="539">
        <f t="shared" si="6"/>
        <v>27.267409091284208</v>
      </c>
      <c r="J43" s="18"/>
      <c r="K43" s="22"/>
      <c r="Q43" s="546"/>
      <c r="R43" s="546"/>
      <c r="S43" s="546"/>
      <c r="T43" s="546"/>
      <c r="U43" s="546"/>
      <c r="V43" s="546"/>
      <c r="W43" s="546"/>
    </row>
    <row r="44" spans="1:23" ht="13" x14ac:dyDescent="0.25">
      <c r="A44" s="11" t="s">
        <v>897</v>
      </c>
      <c r="B44" s="12"/>
      <c r="C44" s="24">
        <v>24600497.144575384</v>
      </c>
      <c r="D44" s="17">
        <f t="shared" si="4"/>
        <v>12300.248572287692</v>
      </c>
      <c r="E44" s="539">
        <f t="shared" si="5"/>
        <v>28.610197070281195</v>
      </c>
      <c r="F44" s="18"/>
      <c r="G44" s="19">
        <v>25679670</v>
      </c>
      <c r="H44" s="17">
        <f t="shared" si="7"/>
        <v>12839.834999999999</v>
      </c>
      <c r="I44" s="539">
        <f t="shared" si="6"/>
        <v>29.865267156269461</v>
      </c>
      <c r="J44" s="18"/>
      <c r="K44" s="22"/>
    </row>
    <row r="45" spans="1:23" ht="13" x14ac:dyDescent="0.25">
      <c r="A45" s="15" t="s">
        <v>898</v>
      </c>
      <c r="B45" s="16"/>
      <c r="C45" s="24">
        <v>16811000</v>
      </c>
      <c r="D45" s="17">
        <f t="shared" si="4"/>
        <v>8405.5</v>
      </c>
      <c r="E45" s="539">
        <f t="shared" si="5"/>
        <v>19.551069237418005</v>
      </c>
      <c r="F45" s="18"/>
      <c r="G45" s="19">
        <v>17703170</v>
      </c>
      <c r="H45" s="17">
        <f t="shared" si="7"/>
        <v>8851.5849999999991</v>
      </c>
      <c r="I45" s="539">
        <f t="shared" si="6"/>
        <v>20.588656379262464</v>
      </c>
      <c r="J45" s="18"/>
      <c r="K45" s="22"/>
    </row>
    <row r="46" spans="1:23" ht="13" x14ac:dyDescent="0.25">
      <c r="A46" s="15" t="s">
        <v>899</v>
      </c>
      <c r="B46" s="16"/>
      <c r="C46" s="24">
        <v>14797554.763920812</v>
      </c>
      <c r="D46" s="17">
        <f t="shared" si="4"/>
        <v>7398.7773819604063</v>
      </c>
      <c r="E46" s="539">
        <f t="shared" si="5"/>
        <v>17.209447250841734</v>
      </c>
      <c r="F46" s="18"/>
      <c r="G46" s="19">
        <v>15582870</v>
      </c>
      <c r="H46" s="17">
        <f t="shared" si="7"/>
        <v>7791.4350000000004</v>
      </c>
      <c r="I46" s="539">
        <f t="shared" si="6"/>
        <v>18.122763088911064</v>
      </c>
      <c r="J46" s="18"/>
      <c r="K46" s="22"/>
    </row>
    <row r="47" spans="1:23" ht="13" x14ac:dyDescent="0.25">
      <c r="A47" s="15" t="s">
        <v>900</v>
      </c>
      <c r="B47" s="16"/>
      <c r="C47" s="24">
        <v>14075990</v>
      </c>
      <c r="D47" s="17">
        <f t="shared" si="4"/>
        <v>7037.9949999999999</v>
      </c>
      <c r="E47" s="539">
        <f t="shared" si="5"/>
        <v>16.370272742561625</v>
      </c>
      <c r="F47" s="18"/>
      <c r="G47" s="19">
        <v>14974460</v>
      </c>
      <c r="H47" s="17">
        <f t="shared" si="7"/>
        <v>7487.23</v>
      </c>
      <c r="I47" s="539">
        <f t="shared" si="6"/>
        <v>17.415186738025483</v>
      </c>
      <c r="J47" s="18"/>
      <c r="K47" s="22"/>
    </row>
    <row r="48" spans="1:23" ht="13" x14ac:dyDescent="0.25">
      <c r="A48" s="15" t="s">
        <v>901</v>
      </c>
      <c r="B48" s="16"/>
      <c r="C48" s="24">
        <v>13243490</v>
      </c>
      <c r="D48" s="17">
        <f t="shared" si="4"/>
        <v>6621.7449999999999</v>
      </c>
      <c r="E48" s="539">
        <f t="shared" si="5"/>
        <v>15.40208137142662</v>
      </c>
      <c r="F48" s="18"/>
      <c r="G48" s="19">
        <v>14164160</v>
      </c>
      <c r="H48" s="17">
        <f t="shared" si="7"/>
        <v>7082.08</v>
      </c>
      <c r="I48" s="539">
        <f t="shared" si="6"/>
        <v>16.472813803454081</v>
      </c>
      <c r="J48" s="18"/>
      <c r="K48" s="22"/>
    </row>
    <row r="49" spans="1:11" ht="13" x14ac:dyDescent="0.25">
      <c r="A49" s="15" t="s">
        <v>970</v>
      </c>
      <c r="B49" s="16"/>
      <c r="C49" s="24">
        <v>12947318</v>
      </c>
      <c r="D49" s="17">
        <f t="shared" si="4"/>
        <v>6473.6589999999997</v>
      </c>
      <c r="E49" s="539">
        <f t="shared" si="5"/>
        <v>15.057635515844886</v>
      </c>
      <c r="F49" s="18"/>
      <c r="G49" s="19">
        <v>14062678</v>
      </c>
      <c r="H49" s="17">
        <f t="shared" si="7"/>
        <v>7031.3389999999999</v>
      </c>
      <c r="I49" s="539">
        <f t="shared" si="6"/>
        <v>16.354790984564566</v>
      </c>
      <c r="J49" s="18"/>
      <c r="K49" s="22"/>
    </row>
    <row r="50" spans="1:11" ht="13" x14ac:dyDescent="0.25">
      <c r="A50" s="15" t="s">
        <v>971</v>
      </c>
      <c r="B50" s="16"/>
      <c r="C50" s="24">
        <v>25370000</v>
      </c>
      <c r="D50" s="17">
        <f t="shared" si="4"/>
        <v>12685</v>
      </c>
      <c r="E50" s="539">
        <f t="shared" si="5"/>
        <v>29.505123226060004</v>
      </c>
      <c r="F50" s="18"/>
      <c r="G50" s="19">
        <v>26920000</v>
      </c>
      <c r="H50" s="17">
        <f t="shared" si="7"/>
        <v>13460</v>
      </c>
      <c r="I50" s="539">
        <f t="shared" si="6"/>
        <v>31.307761814960006</v>
      </c>
      <c r="J50" s="18"/>
      <c r="K50" s="22"/>
    </row>
    <row r="51" spans="1:11" ht="13" x14ac:dyDescent="0.25">
      <c r="A51" s="1734" t="s">
        <v>317</v>
      </c>
      <c r="B51" s="1735"/>
      <c r="C51" s="1735"/>
      <c r="D51" s="1735"/>
      <c r="E51" s="1735"/>
      <c r="F51" s="1735"/>
      <c r="G51" s="1735"/>
      <c r="H51" s="1735"/>
      <c r="I51" s="1735"/>
      <c r="J51" s="1735"/>
      <c r="K51" s="1736"/>
    </row>
    <row r="52" spans="1:11" x14ac:dyDescent="0.25">
      <c r="A52" s="1731" t="s">
        <v>902</v>
      </c>
      <c r="B52" s="1732"/>
      <c r="C52" s="1732"/>
      <c r="D52" s="1732"/>
      <c r="E52" s="1732"/>
      <c r="F52" s="1732"/>
      <c r="G52" s="1732"/>
      <c r="H52" s="1732"/>
      <c r="I52" s="1732"/>
      <c r="J52" s="1732"/>
      <c r="K52" s="1733"/>
    </row>
    <row r="53" spans="1:11" x14ac:dyDescent="0.25">
      <c r="A53" s="1739" t="s">
        <v>903</v>
      </c>
      <c r="B53" s="1740"/>
      <c r="C53" s="1740"/>
      <c r="D53" s="1740"/>
      <c r="E53" s="1740"/>
      <c r="F53" s="1740"/>
      <c r="G53" s="1740"/>
      <c r="H53" s="1740"/>
      <c r="I53" s="1740"/>
      <c r="J53" s="1740"/>
      <c r="K53" s="1741"/>
    </row>
    <row r="54" spans="1:11" x14ac:dyDescent="0.25">
      <c r="A54" s="1739" t="s">
        <v>904</v>
      </c>
      <c r="B54" s="1740"/>
      <c r="C54" s="1740"/>
      <c r="D54" s="1740"/>
      <c r="E54" s="1740"/>
      <c r="F54" s="1740"/>
      <c r="G54" s="1740"/>
      <c r="H54" s="1740"/>
      <c r="I54" s="1740"/>
      <c r="J54" s="1740"/>
      <c r="K54" s="1741"/>
    </row>
    <row r="55" spans="1:11" x14ac:dyDescent="0.25">
      <c r="A55" s="1739" t="s">
        <v>905</v>
      </c>
      <c r="B55" s="1740"/>
      <c r="C55" s="1740"/>
      <c r="D55" s="1740"/>
      <c r="E55" s="1740"/>
      <c r="F55" s="1740"/>
      <c r="G55" s="1740"/>
      <c r="H55" s="1740"/>
      <c r="I55" s="1740"/>
      <c r="J55" s="1740"/>
      <c r="K55" s="1741"/>
    </row>
    <row r="56" spans="1:11" x14ac:dyDescent="0.25">
      <c r="A56" s="1746" t="s">
        <v>318</v>
      </c>
      <c r="B56" s="1747"/>
      <c r="C56" s="1747"/>
      <c r="D56" s="1747"/>
      <c r="E56" s="1747"/>
      <c r="F56" s="1747"/>
      <c r="G56" s="1747"/>
      <c r="H56" s="1747"/>
      <c r="I56" s="1747"/>
      <c r="J56" s="1747"/>
      <c r="K56" s="1748"/>
    </row>
    <row r="57" spans="1:11" x14ac:dyDescent="0.25">
      <c r="A57" s="1739" t="s">
        <v>319</v>
      </c>
      <c r="B57" s="1740"/>
      <c r="C57" s="1740"/>
      <c r="D57" s="1740"/>
      <c r="E57" s="1740"/>
      <c r="F57" s="1740"/>
      <c r="G57" s="1740"/>
      <c r="H57" s="1740"/>
      <c r="I57" s="1740"/>
      <c r="J57" s="1740"/>
      <c r="K57" s="1741"/>
    </row>
    <row r="58" spans="1:11" x14ac:dyDescent="0.25">
      <c r="A58" s="1739" t="s">
        <v>906</v>
      </c>
      <c r="B58" s="1740"/>
      <c r="C58" s="1740"/>
      <c r="D58" s="1740"/>
      <c r="E58" s="1740"/>
      <c r="F58" s="1740"/>
      <c r="G58" s="1740"/>
      <c r="H58" s="1740"/>
      <c r="I58" s="1740"/>
      <c r="J58" s="1740"/>
      <c r="K58" s="1741"/>
    </row>
    <row r="59" spans="1:11" x14ac:dyDescent="0.25">
      <c r="A59" s="1739" t="s">
        <v>907</v>
      </c>
      <c r="B59" s="1740"/>
      <c r="C59" s="1740"/>
      <c r="D59" s="1740"/>
      <c r="E59" s="1740"/>
      <c r="F59" s="1740"/>
      <c r="G59" s="1740"/>
      <c r="H59" s="1740"/>
      <c r="I59" s="1740"/>
      <c r="J59" s="1740"/>
      <c r="K59" s="1741"/>
    </row>
    <row r="60" spans="1:11" x14ac:dyDescent="0.25">
      <c r="A60" s="25"/>
      <c r="B60" s="26"/>
      <c r="C60" s="26"/>
      <c r="D60" s="26"/>
      <c r="E60" s="26"/>
      <c r="F60" s="26"/>
      <c r="G60" s="26"/>
      <c r="H60" s="26"/>
      <c r="I60" s="26"/>
      <c r="J60" s="26"/>
      <c r="K60" s="27"/>
    </row>
    <row r="61" spans="1:11" x14ac:dyDescent="0.25">
      <c r="A61" s="1739" t="s">
        <v>320</v>
      </c>
      <c r="B61" s="1740"/>
      <c r="C61" s="1740"/>
      <c r="D61" s="1740"/>
      <c r="E61" s="1740"/>
      <c r="F61" s="1740"/>
      <c r="G61" s="1740"/>
      <c r="H61" s="1740"/>
      <c r="I61" s="1740"/>
      <c r="J61" s="1740"/>
      <c r="K61" s="1741"/>
    </row>
    <row r="62" spans="1:11" ht="13" thickBot="1" x14ac:dyDescent="0.3">
      <c r="A62" s="1754" t="s">
        <v>972</v>
      </c>
      <c r="B62" s="1755"/>
      <c r="C62" s="1755"/>
      <c r="D62" s="1755"/>
      <c r="E62" s="1755"/>
      <c r="F62" s="1755"/>
      <c r="G62" s="1755"/>
      <c r="H62" s="1755"/>
      <c r="I62" s="1755"/>
      <c r="J62" s="1755"/>
      <c r="K62" s="1756"/>
    </row>
    <row r="63" spans="1:11" x14ac:dyDescent="0.25">
      <c r="A63" s="534"/>
      <c r="B63" s="535"/>
      <c r="C63" s="535"/>
      <c r="D63" s="535"/>
      <c r="E63" s="535"/>
      <c r="F63" s="535"/>
      <c r="G63" s="535"/>
      <c r="H63" s="535"/>
      <c r="I63" s="535"/>
      <c r="J63" s="535"/>
      <c r="K63" s="535"/>
    </row>
    <row r="64" spans="1:11" x14ac:dyDescent="0.25">
      <c r="A64" s="534"/>
      <c r="B64" s="535"/>
      <c r="C64" s="535"/>
      <c r="D64" s="535"/>
      <c r="E64" s="535"/>
      <c r="F64" s="535"/>
      <c r="G64" s="535"/>
      <c r="H64" s="535"/>
      <c r="I64" s="535"/>
      <c r="J64" s="535"/>
      <c r="K64" s="535"/>
    </row>
    <row r="65" spans="1:14" x14ac:dyDescent="0.25">
      <c r="A65" s="534"/>
      <c r="B65" s="535"/>
      <c r="C65" s="535"/>
      <c r="D65" s="535"/>
      <c r="E65" s="535"/>
      <c r="F65" s="535"/>
      <c r="G65" s="535"/>
      <c r="H65" s="535"/>
      <c r="I65" s="535"/>
      <c r="J65" s="535"/>
      <c r="K65" s="535"/>
    </row>
    <row r="66" spans="1:14" x14ac:dyDescent="0.25">
      <c r="A66" s="534"/>
      <c r="B66" s="535"/>
      <c r="C66" s="535"/>
      <c r="D66" s="535"/>
      <c r="E66" s="535"/>
      <c r="F66" s="535"/>
      <c r="G66" s="535"/>
      <c r="H66" s="535"/>
      <c r="I66" s="535"/>
      <c r="J66" s="535"/>
      <c r="K66" s="535"/>
    </row>
    <row r="68" spans="1:14" ht="13" thickBot="1" x14ac:dyDescent="0.3"/>
    <row r="69" spans="1:14" ht="43.5" customHeight="1" thickTop="1" thickBot="1" x14ac:dyDescent="0.3">
      <c r="A69" s="368" t="s">
        <v>1082</v>
      </c>
      <c r="B69" s="369"/>
      <c r="C69" s="369"/>
      <c r="D69" s="369"/>
      <c r="E69" s="369"/>
      <c r="F69" s="369"/>
      <c r="G69" s="369"/>
      <c r="H69" s="369"/>
      <c r="I69" s="369"/>
      <c r="J69" s="369"/>
      <c r="K69" s="370"/>
      <c r="L69" s="370"/>
      <c r="M69" s="631"/>
      <c r="N69" s="632"/>
    </row>
    <row r="70" spans="1:14" ht="56.5" thickTop="1" x14ac:dyDescent="0.25">
      <c r="A70" s="633" t="s">
        <v>1089</v>
      </c>
      <c r="B70" s="634" t="s">
        <v>1030</v>
      </c>
      <c r="C70" s="635" t="s">
        <v>1039</v>
      </c>
      <c r="D70" s="635" t="s">
        <v>1040</v>
      </c>
      <c r="E70" s="634" t="s">
        <v>190</v>
      </c>
      <c r="F70" s="634" t="s">
        <v>1038</v>
      </c>
      <c r="G70" s="636" t="s">
        <v>1037</v>
      </c>
      <c r="H70" s="637" t="s">
        <v>267</v>
      </c>
      <c r="I70" s="634" t="s">
        <v>703</v>
      </c>
      <c r="J70" s="634" t="s">
        <v>1055</v>
      </c>
      <c r="K70" s="638" t="s">
        <v>702</v>
      </c>
      <c r="L70" s="638" t="s">
        <v>930</v>
      </c>
      <c r="M70" s="639" t="s">
        <v>533</v>
      </c>
      <c r="N70" s="640" t="s">
        <v>534</v>
      </c>
    </row>
    <row r="71" spans="1:14" ht="37.5" x14ac:dyDescent="0.25">
      <c r="A71" s="890" t="s">
        <v>1084</v>
      </c>
      <c r="B71" s="645" t="s">
        <v>864</v>
      </c>
      <c r="C71" s="891" t="s">
        <v>699</v>
      </c>
      <c r="D71" s="645">
        <v>2007</v>
      </c>
      <c r="E71" s="892" t="s">
        <v>700</v>
      </c>
      <c r="F71" s="646"/>
      <c r="G71" s="645"/>
      <c r="H71" s="892" t="s">
        <v>863</v>
      </c>
      <c r="I71" s="842">
        <f>mmBTU_to_GJ</f>
        <v>1.0549999999999999</v>
      </c>
      <c r="J71" s="641" t="s">
        <v>1057</v>
      </c>
      <c r="K71" s="642">
        <v>56.31533863997597</v>
      </c>
      <c r="L71" s="642" t="s">
        <v>931</v>
      </c>
      <c r="M71" s="643"/>
      <c r="N71" s="644"/>
    </row>
    <row r="72" spans="1:14" ht="37.5" x14ac:dyDescent="0.25">
      <c r="A72" s="890" t="s">
        <v>283</v>
      </c>
      <c r="B72" s="645" t="s">
        <v>864</v>
      </c>
      <c r="C72" s="891" t="s">
        <v>699</v>
      </c>
      <c r="D72" s="645">
        <v>2007</v>
      </c>
      <c r="E72" s="892" t="s">
        <v>700</v>
      </c>
      <c r="F72" s="646"/>
      <c r="G72" s="645"/>
      <c r="H72" s="892" t="s">
        <v>863</v>
      </c>
      <c r="I72" s="842">
        <f>mmBTU_to_GJ</f>
        <v>1.0549999999999999</v>
      </c>
      <c r="J72" s="641" t="s">
        <v>1057</v>
      </c>
      <c r="K72" s="642">
        <v>56.31533863997597</v>
      </c>
      <c r="L72" s="642" t="s">
        <v>931</v>
      </c>
      <c r="M72" s="643"/>
      <c r="N72" s="644"/>
    </row>
    <row r="73" spans="1:14" ht="37.5" x14ac:dyDescent="0.25">
      <c r="A73" s="890" t="s">
        <v>681</v>
      </c>
      <c r="B73" s="645" t="s">
        <v>864</v>
      </c>
      <c r="C73" s="891" t="s">
        <v>699</v>
      </c>
      <c r="D73" s="645">
        <v>2007</v>
      </c>
      <c r="E73" s="892" t="s">
        <v>700</v>
      </c>
      <c r="F73" s="646"/>
      <c r="G73" s="645"/>
      <c r="H73" s="892" t="s">
        <v>863</v>
      </c>
      <c r="I73" s="842">
        <f>mmBTU_to_GJ</f>
        <v>1.0549999999999999</v>
      </c>
      <c r="J73" s="641" t="s">
        <v>1057</v>
      </c>
      <c r="K73" s="642">
        <v>56.31533863997597</v>
      </c>
      <c r="L73" s="642" t="s">
        <v>931</v>
      </c>
      <c r="M73" s="643"/>
      <c r="N73" s="644"/>
    </row>
    <row r="74" spans="1:14" ht="37.5" x14ac:dyDescent="0.25">
      <c r="A74" s="890" t="s">
        <v>1085</v>
      </c>
      <c r="B74" s="645" t="s">
        <v>864</v>
      </c>
      <c r="C74" s="891" t="s">
        <v>699</v>
      </c>
      <c r="D74" s="645">
        <v>2007</v>
      </c>
      <c r="E74" s="892" t="s">
        <v>700</v>
      </c>
      <c r="F74" s="646"/>
      <c r="G74" s="645"/>
      <c r="H74" s="892" t="s">
        <v>863</v>
      </c>
      <c r="I74" s="842">
        <f>mmBTU_to_GJ</f>
        <v>1.0549999999999999</v>
      </c>
      <c r="J74" s="641" t="s">
        <v>1057</v>
      </c>
      <c r="K74" s="642">
        <v>56.31533863997597</v>
      </c>
      <c r="L74" s="642" t="s">
        <v>931</v>
      </c>
      <c r="M74" s="643"/>
      <c r="N74" s="644"/>
    </row>
    <row r="75" spans="1:14" ht="25" x14ac:dyDescent="0.25">
      <c r="A75" s="890" t="s">
        <v>682</v>
      </c>
      <c r="B75" s="645"/>
      <c r="C75" s="891" t="s">
        <v>699</v>
      </c>
      <c r="D75" s="645">
        <v>2007</v>
      </c>
      <c r="E75" s="892" t="s">
        <v>700</v>
      </c>
      <c r="F75" s="646"/>
      <c r="G75" s="645"/>
      <c r="H75" s="892" t="s">
        <v>863</v>
      </c>
      <c r="I75" s="842">
        <f>mmBTU_to_GJ</f>
        <v>1.0549999999999999</v>
      </c>
      <c r="J75" s="641" t="s">
        <v>1057</v>
      </c>
      <c r="K75" s="642">
        <v>56.31533863997597</v>
      </c>
      <c r="L75" s="642" t="s">
        <v>931</v>
      </c>
      <c r="M75" s="643"/>
      <c r="N75" s="644"/>
    </row>
    <row r="76" spans="1:14" ht="37.5" x14ac:dyDescent="0.25">
      <c r="A76" s="890" t="s">
        <v>683</v>
      </c>
      <c r="B76" s="645" t="s">
        <v>864</v>
      </c>
      <c r="C76" s="891" t="s">
        <v>699</v>
      </c>
      <c r="D76" s="645">
        <v>2007</v>
      </c>
      <c r="E76" s="892" t="s">
        <v>701</v>
      </c>
      <c r="F76" s="645"/>
      <c r="G76" s="645"/>
      <c r="H76" s="641" t="s">
        <v>296</v>
      </c>
      <c r="I76" s="842">
        <f>1/MJ_to_kWh/1000</f>
        <v>3.5999999999999995E-3</v>
      </c>
      <c r="J76" s="641" t="s">
        <v>1070</v>
      </c>
      <c r="K76" s="642">
        <v>0</v>
      </c>
      <c r="L76" s="642" t="s">
        <v>931</v>
      </c>
      <c r="M76" s="643"/>
      <c r="N76" s="644"/>
    </row>
    <row r="77" spans="1:14" ht="37.5" x14ac:dyDescent="0.25">
      <c r="A77" s="890" t="s">
        <v>698</v>
      </c>
      <c r="B77" s="645" t="s">
        <v>864</v>
      </c>
      <c r="C77" s="891" t="s">
        <v>699</v>
      </c>
      <c r="D77" s="645">
        <v>2007</v>
      </c>
      <c r="E77" s="892" t="s">
        <v>701</v>
      </c>
      <c r="F77" s="645"/>
      <c r="G77" s="645"/>
      <c r="H77" s="641" t="s">
        <v>296</v>
      </c>
      <c r="I77" s="842">
        <f>1/MJ_to_kWh/1000</f>
        <v>3.5999999999999995E-3</v>
      </c>
      <c r="J77" s="641" t="s">
        <v>1070</v>
      </c>
      <c r="K77" s="642">
        <v>0</v>
      </c>
      <c r="L77" s="642" t="s">
        <v>931</v>
      </c>
      <c r="M77" s="643"/>
      <c r="N77" s="644"/>
    </row>
    <row r="78" spans="1:14" ht="37.5" x14ac:dyDescent="0.25">
      <c r="A78" s="890" t="s">
        <v>684</v>
      </c>
      <c r="B78" s="645" t="s">
        <v>864</v>
      </c>
      <c r="C78" s="891" t="s">
        <v>699</v>
      </c>
      <c r="D78" s="645">
        <v>2007</v>
      </c>
      <c r="E78" s="892" t="s">
        <v>701</v>
      </c>
      <c r="F78" s="645"/>
      <c r="G78" s="645"/>
      <c r="H78" s="641" t="s">
        <v>296</v>
      </c>
      <c r="I78" s="842">
        <f>1/MJ_to_kWh/1000</f>
        <v>3.5999999999999995E-3</v>
      </c>
      <c r="J78" s="641" t="s">
        <v>1070</v>
      </c>
      <c r="K78" s="642">
        <v>0</v>
      </c>
      <c r="L78" s="642" t="s">
        <v>931</v>
      </c>
      <c r="M78" s="643"/>
      <c r="N78" s="644"/>
    </row>
    <row r="79" spans="1:14" ht="37.5" x14ac:dyDescent="0.25">
      <c r="A79" s="890" t="s">
        <v>1086</v>
      </c>
      <c r="B79" s="645" t="s">
        <v>864</v>
      </c>
      <c r="C79" s="891" t="s">
        <v>699</v>
      </c>
      <c r="D79" s="645">
        <v>2007</v>
      </c>
      <c r="E79" s="892" t="s">
        <v>700</v>
      </c>
      <c r="F79" s="646"/>
      <c r="G79" s="645"/>
      <c r="H79" s="641" t="s">
        <v>268</v>
      </c>
      <c r="I79" s="842">
        <f>$C$42/2000/lb_to_kg/1000000*mmBTU_to_GJ</f>
        <v>2.2735034516249999E-2</v>
      </c>
      <c r="J79" s="641" t="s">
        <v>1051</v>
      </c>
      <c r="K79" s="642">
        <v>102.75287348239476</v>
      </c>
      <c r="L79" s="642" t="s">
        <v>931</v>
      </c>
      <c r="M79" s="643"/>
      <c r="N79" s="644"/>
    </row>
    <row r="80" spans="1:14" ht="37.5" x14ac:dyDescent="0.25">
      <c r="A80" s="890" t="s">
        <v>716</v>
      </c>
      <c r="B80" s="645" t="s">
        <v>864</v>
      </c>
      <c r="C80" s="891" t="s">
        <v>699</v>
      </c>
      <c r="D80" s="645">
        <v>2007</v>
      </c>
      <c r="E80" s="892" t="s">
        <v>700</v>
      </c>
      <c r="F80" s="646"/>
      <c r="G80" s="645"/>
      <c r="H80" s="641" t="s">
        <v>268</v>
      </c>
      <c r="I80" s="842">
        <f>$C$42/2000/lb_to_kg/1000000*mmBTU_to_GJ</f>
        <v>2.2735034516249999E-2</v>
      </c>
      <c r="J80" s="641" t="s">
        <v>1051</v>
      </c>
      <c r="K80" s="642">
        <v>102.75287348239476</v>
      </c>
      <c r="L80" s="642" t="s">
        <v>931</v>
      </c>
      <c r="M80" s="643"/>
      <c r="N80" s="644"/>
    </row>
    <row r="81" spans="1:14" ht="37.5" x14ac:dyDescent="0.25">
      <c r="A81" s="890" t="s">
        <v>717</v>
      </c>
      <c r="B81" s="645" t="s">
        <v>864</v>
      </c>
      <c r="C81" s="891" t="s">
        <v>699</v>
      </c>
      <c r="D81" s="645">
        <v>2007</v>
      </c>
      <c r="E81" s="892" t="s">
        <v>700</v>
      </c>
      <c r="F81" s="646"/>
      <c r="G81" s="645"/>
      <c r="H81" s="641" t="s">
        <v>268</v>
      </c>
      <c r="I81" s="842">
        <f>$C$42/2000/lb_to_kg/1000000*mmBTU_to_GJ</f>
        <v>2.2735034516249999E-2</v>
      </c>
      <c r="J81" s="641" t="s">
        <v>1051</v>
      </c>
      <c r="K81" s="642">
        <v>102.75287348239476</v>
      </c>
      <c r="L81" s="642" t="s">
        <v>931</v>
      </c>
      <c r="M81" s="643"/>
      <c r="N81" s="644"/>
    </row>
    <row r="82" spans="1:14" ht="37.5" x14ac:dyDescent="0.25">
      <c r="A82" s="890" t="s">
        <v>911</v>
      </c>
      <c r="B82" s="645" t="s">
        <v>864</v>
      </c>
      <c r="C82" s="891" t="s">
        <v>699</v>
      </c>
      <c r="D82" s="645">
        <v>2007</v>
      </c>
      <c r="E82" s="892" t="s">
        <v>700</v>
      </c>
      <c r="F82" s="646"/>
      <c r="G82" s="645"/>
      <c r="H82" s="641" t="s">
        <v>269</v>
      </c>
      <c r="I82" s="842">
        <f>$C$14/gal_to_liters*mmBTU_to_GJ/1000000</f>
        <v>3.5803104359313075E-2</v>
      </c>
      <c r="J82" s="641" t="s">
        <v>1057</v>
      </c>
      <c r="K82" s="642">
        <v>74.122324937568308</v>
      </c>
      <c r="L82" s="642" t="s">
        <v>931</v>
      </c>
      <c r="M82" s="643"/>
      <c r="N82" s="644"/>
    </row>
    <row r="83" spans="1:14" ht="37.5" x14ac:dyDescent="0.25">
      <c r="A83" s="890" t="s">
        <v>909</v>
      </c>
      <c r="B83" s="645" t="s">
        <v>864</v>
      </c>
      <c r="C83" s="891" t="s">
        <v>699</v>
      </c>
      <c r="D83" s="645">
        <v>2007</v>
      </c>
      <c r="E83" s="892" t="s">
        <v>700</v>
      </c>
      <c r="F83" s="646"/>
      <c r="G83" s="645"/>
      <c r="H83" s="641" t="s">
        <v>269</v>
      </c>
      <c r="I83" s="842">
        <f>$Q$14/gal_to_liters*mmBTU_to_GJ/1000000</f>
        <v>2.4157130779392338E-2</v>
      </c>
      <c r="J83" s="641" t="s">
        <v>1051</v>
      </c>
      <c r="K83" s="642">
        <v>71.019041167591709</v>
      </c>
      <c r="L83" s="642" t="s">
        <v>931</v>
      </c>
      <c r="M83" s="643"/>
      <c r="N83" s="644"/>
    </row>
    <row r="84" spans="1:14" ht="37.5" x14ac:dyDescent="0.25">
      <c r="A84" s="890" t="s">
        <v>912</v>
      </c>
      <c r="B84" s="645" t="s">
        <v>864</v>
      </c>
      <c r="C84" s="891" t="s">
        <v>699</v>
      </c>
      <c r="D84" s="645">
        <v>2007</v>
      </c>
      <c r="E84" s="892" t="s">
        <v>700</v>
      </c>
      <c r="F84" s="646"/>
      <c r="G84" s="645"/>
      <c r="H84" s="641" t="s">
        <v>269</v>
      </c>
      <c r="I84" s="842">
        <f>$C$11/gal_to_liters*mmBTU_to_GJ/1000000</f>
        <v>3.2357978863936591E-2</v>
      </c>
      <c r="J84" s="641" t="s">
        <v>1051</v>
      </c>
      <c r="K84" s="642">
        <v>72.833307273582633</v>
      </c>
      <c r="L84" s="642" t="s">
        <v>931</v>
      </c>
      <c r="M84" s="643"/>
      <c r="N84" s="644"/>
    </row>
    <row r="85" spans="1:14" ht="275" x14ac:dyDescent="0.25">
      <c r="A85" s="890" t="s">
        <v>1080</v>
      </c>
      <c r="B85" s="841" t="s">
        <v>437</v>
      </c>
      <c r="C85" s="891" t="s">
        <v>699</v>
      </c>
      <c r="D85" s="645">
        <v>2007</v>
      </c>
      <c r="E85" s="892" t="s">
        <v>701</v>
      </c>
      <c r="F85" s="646"/>
      <c r="G85" s="645"/>
      <c r="H85" s="641" t="s">
        <v>268</v>
      </c>
      <c r="I85" s="842">
        <f>$E$45/1000</f>
        <v>1.9551069237418006E-2</v>
      </c>
      <c r="J85" s="641" t="s">
        <v>1051</v>
      </c>
      <c r="K85" s="642">
        <v>97.876597052612851</v>
      </c>
      <c r="L85" s="642" t="s">
        <v>931</v>
      </c>
      <c r="M85" s="643"/>
      <c r="N85" s="644"/>
    </row>
    <row r="86" spans="1:14" x14ac:dyDescent="0.25">
      <c r="A86" s="890" t="s">
        <v>815</v>
      </c>
      <c r="B86" s="841"/>
      <c r="C86" s="891"/>
      <c r="D86" s="645"/>
      <c r="E86" s="892" t="s">
        <v>701</v>
      </c>
      <c r="F86" s="646"/>
      <c r="G86" s="645"/>
      <c r="H86" s="641" t="s">
        <v>268</v>
      </c>
      <c r="I86" s="842">
        <f>$E$45/1000</f>
        <v>1.9551069237418006E-2</v>
      </c>
      <c r="J86" s="641" t="s">
        <v>1051</v>
      </c>
      <c r="K86" s="642">
        <v>97.876597052612851</v>
      </c>
      <c r="L86" s="642" t="s">
        <v>931</v>
      </c>
      <c r="M86" s="643"/>
      <c r="N86" s="644"/>
    </row>
    <row r="87" spans="1:14" ht="75" x14ac:dyDescent="0.25">
      <c r="A87" s="890" t="s">
        <v>824</v>
      </c>
      <c r="B87" s="989" t="s">
        <v>831</v>
      </c>
      <c r="C87" s="891"/>
      <c r="D87" s="645"/>
      <c r="E87" s="892" t="s">
        <v>701</v>
      </c>
      <c r="F87" s="646"/>
      <c r="G87" s="645"/>
      <c r="H87" s="641" t="s">
        <v>268</v>
      </c>
      <c r="I87" s="842">
        <f>18.608/1000</f>
        <v>1.8608E-2</v>
      </c>
      <c r="J87" s="641" t="s">
        <v>1051</v>
      </c>
      <c r="K87" s="642">
        <v>97.876597052612851</v>
      </c>
      <c r="L87" s="642" t="s">
        <v>931</v>
      </c>
      <c r="M87" s="643"/>
      <c r="N87" s="644"/>
    </row>
    <row r="88" spans="1:14" ht="75" x14ac:dyDescent="0.25">
      <c r="A88" s="890" t="s">
        <v>1087</v>
      </c>
      <c r="B88" s="645" t="s">
        <v>1088</v>
      </c>
      <c r="C88" s="891" t="s">
        <v>699</v>
      </c>
      <c r="D88" s="645">
        <v>2007</v>
      </c>
      <c r="E88" s="892" t="s">
        <v>701</v>
      </c>
      <c r="F88" s="646"/>
      <c r="G88" s="645"/>
      <c r="H88" s="641" t="s">
        <v>268</v>
      </c>
      <c r="I88" s="842">
        <v>2.8300000000000001E-3</v>
      </c>
      <c r="J88" s="641" t="s">
        <v>1070</v>
      </c>
      <c r="K88" s="642">
        <v>0</v>
      </c>
      <c r="L88" s="642" t="s">
        <v>931</v>
      </c>
      <c r="M88" s="643"/>
      <c r="N88" s="644"/>
    </row>
    <row r="90" spans="1:14" ht="13" thickBot="1" x14ac:dyDescent="0.3"/>
    <row r="91" spans="1:14" ht="33.75" customHeight="1" thickTop="1" x14ac:dyDescent="0.3">
      <c r="A91" s="1737" t="s">
        <v>991</v>
      </c>
      <c r="B91" s="1738"/>
      <c r="D91" s="1737" t="s">
        <v>685</v>
      </c>
      <c r="E91" s="1738"/>
      <c r="G91" s="1737" t="s">
        <v>686</v>
      </c>
      <c r="H91" s="1738"/>
      <c r="K91" s="1757" t="s">
        <v>688</v>
      </c>
      <c r="L91" s="1758"/>
    </row>
    <row r="92" spans="1:14" ht="41.25" customHeight="1" thickBot="1" x14ac:dyDescent="0.3">
      <c r="A92" s="1226" t="s">
        <v>1099</v>
      </c>
      <c r="B92" s="1040"/>
      <c r="D92" s="1749" t="s">
        <v>687</v>
      </c>
      <c r="E92" s="1750"/>
      <c r="G92" s="1226" t="s">
        <v>1100</v>
      </c>
      <c r="H92" s="1040"/>
      <c r="K92" s="1749" t="s">
        <v>689</v>
      </c>
      <c r="L92" s="1750"/>
      <c r="N92" s="1294"/>
    </row>
    <row r="93" spans="1:14" ht="14" x14ac:dyDescent="0.3">
      <c r="A93" s="30" t="s">
        <v>1083</v>
      </c>
      <c r="B93" s="31" t="s">
        <v>1091</v>
      </c>
      <c r="D93" s="30" t="s">
        <v>1083</v>
      </c>
      <c r="E93" s="31" t="s">
        <v>1091</v>
      </c>
      <c r="G93" s="30" t="s">
        <v>1083</v>
      </c>
      <c r="H93" s="31" t="s">
        <v>1091</v>
      </c>
      <c r="K93" s="30" t="s">
        <v>1083</v>
      </c>
      <c r="L93" s="31" t="s">
        <v>1091</v>
      </c>
    </row>
    <row r="94" spans="1:14" ht="28.5" customHeight="1" x14ac:dyDescent="0.25">
      <c r="A94" s="1037">
        <v>1992</v>
      </c>
      <c r="B94" s="1038">
        <v>70.563999999999993</v>
      </c>
      <c r="C94" s="862"/>
      <c r="D94" s="1229">
        <v>1992</v>
      </c>
      <c r="E94" s="1230">
        <v>358.2</v>
      </c>
      <c r="F94" s="1299"/>
      <c r="G94" s="1229">
        <v>1992</v>
      </c>
      <c r="H94" s="1232">
        <v>13.7</v>
      </c>
      <c r="K94" s="1229">
        <v>1980</v>
      </c>
      <c r="L94" s="1233">
        <v>55.195749555178075</v>
      </c>
    </row>
    <row r="95" spans="1:14" x14ac:dyDescent="0.25">
      <c r="A95" s="1037">
        <v>1993</v>
      </c>
      <c r="B95" s="1038">
        <v>72.244</v>
      </c>
      <c r="D95" s="1229">
        <v>1993</v>
      </c>
      <c r="E95" s="1230">
        <v>359.2</v>
      </c>
      <c r="F95" s="1299"/>
      <c r="G95" s="1229">
        <v>1993</v>
      </c>
      <c r="H95" s="1232">
        <v>13.97</v>
      </c>
      <c r="K95" s="1229">
        <v>1981</v>
      </c>
      <c r="L95" s="1233">
        <v>61.025412991342954</v>
      </c>
    </row>
    <row r="96" spans="1:14" x14ac:dyDescent="0.25">
      <c r="A96" s="1037">
        <v>1994</v>
      </c>
      <c r="B96" s="1038">
        <v>73.781000000000006</v>
      </c>
      <c r="D96" s="1229">
        <v>1994</v>
      </c>
      <c r="E96" s="1230">
        <v>368.1</v>
      </c>
      <c r="F96" s="1299"/>
      <c r="G96" s="1229">
        <v>1994</v>
      </c>
      <c r="H96" s="1232">
        <v>14.33</v>
      </c>
      <c r="K96" s="1229">
        <v>1982</v>
      </c>
      <c r="L96" s="1233">
        <v>62.017696129413558</v>
      </c>
    </row>
    <row r="97" spans="1:15" x14ac:dyDescent="0.25">
      <c r="A97" s="1037">
        <v>1995</v>
      </c>
      <c r="B97" s="1038">
        <v>75.320999999999998</v>
      </c>
      <c r="D97" s="1229">
        <v>1995</v>
      </c>
      <c r="E97" s="1230">
        <v>381.1</v>
      </c>
      <c r="F97" s="1299"/>
      <c r="G97" s="1229">
        <v>1995</v>
      </c>
      <c r="H97" s="1232">
        <v>14.86</v>
      </c>
      <c r="K97" s="1229">
        <v>1983</v>
      </c>
      <c r="L97" s="1233">
        <v>62.203749217801807</v>
      </c>
    </row>
    <row r="98" spans="1:15" x14ac:dyDescent="0.25">
      <c r="A98" s="1037">
        <v>1996</v>
      </c>
      <c r="B98" s="1038">
        <v>76.694999999999993</v>
      </c>
      <c r="D98" s="1229">
        <v>1996</v>
      </c>
      <c r="E98" s="1230">
        <v>381.7</v>
      </c>
      <c r="F98" s="1299"/>
      <c r="G98" s="1229">
        <v>1996</v>
      </c>
      <c r="H98" s="1232">
        <v>15.37</v>
      </c>
      <c r="K98" s="1229">
        <v>1984</v>
      </c>
      <c r="L98" s="1233">
        <v>63.81620931716656</v>
      </c>
    </row>
    <row r="99" spans="1:15" x14ac:dyDescent="0.25">
      <c r="A99" s="1037">
        <v>1997</v>
      </c>
      <c r="B99" s="1038">
        <v>78.009</v>
      </c>
      <c r="D99" s="1229">
        <v>1997</v>
      </c>
      <c r="E99" s="1230">
        <v>386.5</v>
      </c>
      <c r="F99" s="1299"/>
      <c r="G99" s="1229">
        <v>1997</v>
      </c>
      <c r="H99" s="1232">
        <v>15.78</v>
      </c>
      <c r="K99" s="1229">
        <v>1985</v>
      </c>
      <c r="L99" s="1233">
        <v>64.262922782386738</v>
      </c>
      <c r="M99" s="1296"/>
    </row>
    <row r="100" spans="1:15" x14ac:dyDescent="0.25">
      <c r="A100" s="1037">
        <v>1998</v>
      </c>
      <c r="B100" s="1038">
        <v>78.855000000000004</v>
      </c>
      <c r="D100" s="1229">
        <v>1998</v>
      </c>
      <c r="E100" s="1230">
        <v>389.5</v>
      </c>
      <c r="F100" s="1299"/>
      <c r="G100" s="1229">
        <v>1998</v>
      </c>
      <c r="H100" s="1232">
        <v>16.23</v>
      </c>
      <c r="K100" s="1229">
        <v>1986</v>
      </c>
      <c r="L100" s="1233">
        <v>64.135290363752389</v>
      </c>
      <c r="M100" s="1296"/>
      <c r="N100" s="1297"/>
      <c r="O100" s="1297"/>
    </row>
    <row r="101" spans="1:15" x14ac:dyDescent="0.25">
      <c r="A101" s="1037">
        <v>1999</v>
      </c>
      <c r="B101" s="1038">
        <v>80.061000000000007</v>
      </c>
      <c r="D101" s="1229">
        <v>1999</v>
      </c>
      <c r="E101" s="1230">
        <v>390.6</v>
      </c>
      <c r="F101" s="1299"/>
      <c r="G101" s="1229">
        <v>1999</v>
      </c>
      <c r="H101" s="1232">
        <v>16.399999999999999</v>
      </c>
      <c r="K101" s="1229">
        <v>1987</v>
      </c>
      <c r="L101" s="1233">
        <v>66.11359285258456</v>
      </c>
      <c r="M101" s="1296"/>
      <c r="N101" s="1297"/>
      <c r="O101" s="1297"/>
    </row>
    <row r="102" spans="1:15" x14ac:dyDescent="0.25">
      <c r="A102" s="1037">
        <v>2000</v>
      </c>
      <c r="B102" s="1038">
        <v>81.882999999999996</v>
      </c>
      <c r="D102" s="1229">
        <v>2000</v>
      </c>
      <c r="E102" s="1230">
        <v>394.1</v>
      </c>
      <c r="F102" s="1299"/>
      <c r="G102" s="1229">
        <v>2000</v>
      </c>
      <c r="H102" s="1232">
        <v>17.09</v>
      </c>
      <c r="K102" s="1229">
        <v>1988</v>
      </c>
      <c r="L102" s="1233">
        <v>72.112316528398225</v>
      </c>
      <c r="M102" s="1296"/>
      <c r="N102" s="1297"/>
      <c r="O102" s="1297"/>
    </row>
    <row r="103" spans="1:15" x14ac:dyDescent="0.25">
      <c r="A103" s="1037">
        <v>2001</v>
      </c>
      <c r="B103" s="1038">
        <v>83.753</v>
      </c>
      <c r="D103" s="1229">
        <v>2001</v>
      </c>
      <c r="E103" s="1230">
        <v>394.3</v>
      </c>
      <c r="F103" s="1299"/>
      <c r="G103" s="1229">
        <v>2001</v>
      </c>
      <c r="H103" s="1232">
        <v>17.57</v>
      </c>
      <c r="K103" s="1229">
        <v>1989</v>
      </c>
      <c r="L103" s="1233">
        <v>76.324186343331206</v>
      </c>
      <c r="M103" s="1296"/>
      <c r="N103" s="1297"/>
      <c r="O103" s="1297"/>
    </row>
    <row r="104" spans="1:15" x14ac:dyDescent="0.25">
      <c r="A104" s="1037">
        <v>2002</v>
      </c>
      <c r="B104" s="1038">
        <v>85.037999999999997</v>
      </c>
      <c r="D104" s="1229">
        <v>2002</v>
      </c>
      <c r="E104" s="1230">
        <v>395.6</v>
      </c>
      <c r="F104" s="1299"/>
      <c r="G104" s="1229">
        <v>2002</v>
      </c>
      <c r="H104" s="1232">
        <v>17.97</v>
      </c>
      <c r="K104" s="1229">
        <v>1990</v>
      </c>
      <c r="L104" s="1233">
        <v>77.217613273771548</v>
      </c>
      <c r="M104" s="1296"/>
      <c r="N104" s="1297"/>
      <c r="O104" s="1297"/>
    </row>
    <row r="105" spans="1:15" x14ac:dyDescent="0.25">
      <c r="A105" s="1037">
        <v>2003</v>
      </c>
      <c r="B105" s="1038">
        <v>86.728999999999999</v>
      </c>
      <c r="D105" s="1229">
        <v>2003</v>
      </c>
      <c r="E105" s="1230">
        <v>402</v>
      </c>
      <c r="F105" s="1299"/>
      <c r="G105" s="1229">
        <v>2003</v>
      </c>
      <c r="H105" s="1232">
        <v>18.5</v>
      </c>
      <c r="K105" s="1229">
        <v>1991</v>
      </c>
      <c r="L105" s="1233">
        <v>79.38736439055522</v>
      </c>
      <c r="M105" s="1296"/>
      <c r="N105" s="1297"/>
      <c r="O105" s="1297"/>
    </row>
    <row r="106" spans="1:15" x14ac:dyDescent="0.25">
      <c r="A106" s="1037">
        <v>2004</v>
      </c>
      <c r="B106" s="1038">
        <v>89.114000000000004</v>
      </c>
      <c r="D106" s="1229">
        <v>2004</v>
      </c>
      <c r="E106" s="1230">
        <v>444.2</v>
      </c>
      <c r="F106" s="1299"/>
      <c r="G106" s="1229">
        <v>2004</v>
      </c>
      <c r="H106" s="1232">
        <v>19.170000000000002</v>
      </c>
      <c r="K106" s="1229">
        <v>1992</v>
      </c>
      <c r="L106" s="1234">
        <v>80.280791320995533</v>
      </c>
      <c r="M106" s="1296"/>
      <c r="N106" s="1297"/>
      <c r="O106" s="1297"/>
    </row>
    <row r="107" spans="1:15" ht="13" x14ac:dyDescent="0.3">
      <c r="A107" s="1037">
        <v>2005</v>
      </c>
      <c r="B107" s="1038">
        <v>91.980999999999995</v>
      </c>
      <c r="D107" s="1229">
        <v>2005</v>
      </c>
      <c r="E107" s="1230">
        <v>468.2</v>
      </c>
      <c r="F107" s="1299"/>
      <c r="G107" s="1229">
        <v>2005</v>
      </c>
      <c r="H107" s="1389">
        <v>19.670000000000002</v>
      </c>
      <c r="K107" s="1229">
        <v>1993</v>
      </c>
      <c r="L107" s="1234">
        <v>81.174218251435875</v>
      </c>
      <c r="M107" s="1296"/>
      <c r="N107" s="1297"/>
      <c r="O107" s="1297"/>
    </row>
    <row r="108" spans="1:15" x14ac:dyDescent="0.25">
      <c r="A108" s="1037">
        <v>2006</v>
      </c>
      <c r="B108" s="1038">
        <v>94.811999999999998</v>
      </c>
      <c r="D108" s="1229">
        <v>2006</v>
      </c>
      <c r="E108" s="1230">
        <v>499.6</v>
      </c>
      <c r="F108" s="1299"/>
      <c r="G108" s="1229">
        <v>2006</v>
      </c>
      <c r="H108" s="1232">
        <v>19.600000000000001</v>
      </c>
      <c r="K108" s="1229">
        <v>1994</v>
      </c>
      <c r="L108" s="1234">
        <v>82.961072112316543</v>
      </c>
      <c r="M108" s="1296"/>
      <c r="N108" s="1297"/>
      <c r="O108" s="1297"/>
    </row>
    <row r="109" spans="1:15" x14ac:dyDescent="0.25">
      <c r="A109" s="1037">
        <v>2007</v>
      </c>
      <c r="B109" s="1038">
        <v>97.334000000000003</v>
      </c>
      <c r="D109" s="1229">
        <v>2007</v>
      </c>
      <c r="E109" s="1230">
        <v>525.4</v>
      </c>
      <c r="F109" s="1328"/>
      <c r="G109" s="1229">
        <v>2007</v>
      </c>
      <c r="H109" s="1232">
        <v>19.55</v>
      </c>
      <c r="K109" s="1229">
        <v>1995</v>
      </c>
      <c r="L109" s="1234">
        <v>91.512444160816855</v>
      </c>
      <c r="M109" s="1296"/>
      <c r="N109" s="1297"/>
      <c r="O109" s="1297"/>
    </row>
    <row r="110" spans="1:15" x14ac:dyDescent="0.25">
      <c r="A110" s="1037">
        <v>2008</v>
      </c>
      <c r="B110" s="1038">
        <v>99.25</v>
      </c>
      <c r="D110" s="1229">
        <v>2008</v>
      </c>
      <c r="E110" s="1230">
        <v>575.4</v>
      </c>
      <c r="F110" s="1299"/>
      <c r="G110" s="1229">
        <v>2008</v>
      </c>
      <c r="H110" s="1232">
        <v>19.5</v>
      </c>
      <c r="K110" s="1229">
        <v>1996</v>
      </c>
      <c r="L110" s="1234">
        <v>93.044033184428855</v>
      </c>
      <c r="M110" s="1296"/>
      <c r="N110" s="1297"/>
      <c r="O110" s="1297"/>
    </row>
    <row r="111" spans="1:15" ht="14.5" x14ac:dyDescent="0.35">
      <c r="A111" s="1037">
        <v>2009</v>
      </c>
      <c r="B111" s="1227">
        <v>100</v>
      </c>
      <c r="D111" s="861">
        <v>2009</v>
      </c>
      <c r="E111" s="1230">
        <v>521.9</v>
      </c>
      <c r="F111" s="1299"/>
      <c r="G111" s="861">
        <v>2009</v>
      </c>
      <c r="H111" s="1041">
        <v>20.3</v>
      </c>
      <c r="K111" s="1229">
        <v>1997</v>
      </c>
      <c r="L111" s="1234">
        <v>93.873643905552015</v>
      </c>
      <c r="M111" s="1296"/>
      <c r="N111" s="1297"/>
      <c r="O111" s="1297"/>
    </row>
    <row r="112" spans="1:15" ht="14.5" x14ac:dyDescent="0.35">
      <c r="A112" s="1037">
        <v>2010</v>
      </c>
      <c r="B112" s="1227">
        <v>101.217</v>
      </c>
      <c r="D112" s="861">
        <v>2010</v>
      </c>
      <c r="E112" s="1230">
        <v>550.79999999999995</v>
      </c>
      <c r="F112" s="1299"/>
      <c r="G112" s="861">
        <v>2010</v>
      </c>
      <c r="H112" s="1041">
        <v>21.07</v>
      </c>
      <c r="K112" s="1229">
        <v>1998</v>
      </c>
      <c r="L112" s="1234">
        <v>94.894703254626677</v>
      </c>
      <c r="M112" s="1296"/>
      <c r="N112" s="1297"/>
      <c r="O112" s="1297"/>
    </row>
    <row r="113" spans="1:15" ht="14.5" x14ac:dyDescent="0.35">
      <c r="A113" s="1037">
        <v>2011</v>
      </c>
      <c r="B113" s="1227">
        <v>103.307</v>
      </c>
      <c r="D113" s="861">
        <v>2011</v>
      </c>
      <c r="E113" s="1230">
        <v>585.70000000000005</v>
      </c>
      <c r="F113" s="1299"/>
      <c r="G113" s="861">
        <v>2011</v>
      </c>
      <c r="H113" s="1041">
        <v>21.45</v>
      </c>
      <c r="K113" s="1229">
        <v>1999</v>
      </c>
      <c r="L113" s="1234">
        <v>95.532865347798349</v>
      </c>
      <c r="M113" s="1296"/>
      <c r="N113" s="1297"/>
      <c r="O113" s="1297"/>
    </row>
    <row r="114" spans="1:15" ht="14.5" x14ac:dyDescent="0.35">
      <c r="A114" s="1037">
        <v>2012</v>
      </c>
      <c r="B114" s="1227">
        <v>105.21299999999999</v>
      </c>
      <c r="D114" s="861">
        <v>2012</v>
      </c>
      <c r="E114" s="1230">
        <v>584.6</v>
      </c>
      <c r="F114" s="1299"/>
      <c r="G114" s="861">
        <v>2012</v>
      </c>
      <c r="H114" s="1041">
        <v>21.45</v>
      </c>
      <c r="K114" s="1229">
        <v>2000</v>
      </c>
      <c r="L114" s="1234">
        <v>100</v>
      </c>
      <c r="M114" s="1296"/>
      <c r="N114" s="1297"/>
      <c r="O114" s="1297"/>
    </row>
    <row r="115" spans="1:15" ht="14.5" x14ac:dyDescent="0.35">
      <c r="A115" s="1037">
        <v>2013</v>
      </c>
      <c r="B115" s="1227">
        <v>106.91</v>
      </c>
      <c r="D115" s="861">
        <v>2013</v>
      </c>
      <c r="E115" s="1230">
        <v>567.29999999999995</v>
      </c>
      <c r="F115" s="1299"/>
      <c r="G115" s="861">
        <v>2013</v>
      </c>
      <c r="H115" s="1041">
        <v>21.4</v>
      </c>
      <c r="K115" s="1229">
        <v>2001</v>
      </c>
      <c r="L115" s="1234">
        <v>101.08487555839186</v>
      </c>
      <c r="M115" s="1296"/>
      <c r="N115" s="1297"/>
      <c r="O115" s="1297"/>
    </row>
    <row r="116" spans="1:15" ht="14.5" x14ac:dyDescent="0.35">
      <c r="A116" s="1037">
        <v>2014</v>
      </c>
      <c r="B116" s="1227">
        <v>108.827</v>
      </c>
      <c r="D116" s="861">
        <v>2014</v>
      </c>
      <c r="E116" s="1230">
        <v>576.1</v>
      </c>
      <c r="F116" s="1299"/>
      <c r="G116" s="861">
        <v>2014</v>
      </c>
      <c r="H116" s="1041">
        <v>21.488333333333333</v>
      </c>
      <c r="K116" s="1229">
        <v>2002</v>
      </c>
      <c r="L116" s="1234">
        <v>100.38289725590302</v>
      </c>
      <c r="M116" s="1296"/>
      <c r="N116" s="1297"/>
      <c r="O116" s="1297"/>
    </row>
    <row r="117" spans="1:15" ht="14.5" x14ac:dyDescent="0.35">
      <c r="A117" s="1037">
        <v>2015</v>
      </c>
      <c r="B117" s="1227">
        <v>110.01</v>
      </c>
      <c r="D117" s="861">
        <v>2015</v>
      </c>
      <c r="E117" s="1230">
        <v>556.79999999999995</v>
      </c>
      <c r="F117" s="1299"/>
      <c r="G117" s="861">
        <v>2015</v>
      </c>
      <c r="H117" s="1041">
        <v>21.754999999999999</v>
      </c>
      <c r="K117" s="1229">
        <v>2003</v>
      </c>
      <c r="L117" s="1234">
        <v>105.04148053605616</v>
      </c>
      <c r="M117" s="1296"/>
      <c r="N117" s="1297"/>
      <c r="O117" s="1297"/>
    </row>
    <row r="118" spans="1:15" ht="15" thickBot="1" x14ac:dyDescent="0.4">
      <c r="A118" s="1037">
        <v>2016</v>
      </c>
      <c r="B118" s="1227">
        <v>111.41200000000001</v>
      </c>
      <c r="D118" s="863">
        <v>2016</v>
      </c>
      <c r="E118" s="1231">
        <v>541.70000000000005</v>
      </c>
      <c r="F118" s="1299"/>
      <c r="G118" s="863">
        <v>2016</v>
      </c>
      <c r="H118" s="1042">
        <v>22.714999999999993</v>
      </c>
      <c r="K118" s="1229">
        <v>2004</v>
      </c>
      <c r="L118" s="1234">
        <v>110.27440970006384</v>
      </c>
      <c r="M118" s="1296"/>
      <c r="N118" s="1297"/>
      <c r="O118" s="1297"/>
    </row>
    <row r="119" spans="1:15" ht="13.5" thickTop="1" thickBot="1" x14ac:dyDescent="0.3">
      <c r="A119" s="1039">
        <v>2017</v>
      </c>
      <c r="B119" s="1228">
        <v>112.854</v>
      </c>
      <c r="G119" s="305" t="s">
        <v>1101</v>
      </c>
      <c r="H119" s="305"/>
      <c r="K119" s="1229">
        <v>2005</v>
      </c>
      <c r="L119" s="1234">
        <v>119.52776005105299</v>
      </c>
      <c r="M119" s="1296"/>
      <c r="N119" s="1297"/>
      <c r="O119" s="1297"/>
    </row>
    <row r="120" spans="1:15" ht="13" thickTop="1" x14ac:dyDescent="0.25">
      <c r="K120" s="1229">
        <v>2006</v>
      </c>
      <c r="L120" s="1234">
        <v>125.5902999361838</v>
      </c>
      <c r="M120" s="1296"/>
      <c r="N120" s="1297"/>
      <c r="O120" s="1297"/>
    </row>
    <row r="121" spans="1:15" x14ac:dyDescent="0.25">
      <c r="K121" s="1229">
        <v>2007</v>
      </c>
      <c r="L121" s="1234">
        <v>129.73835354179963</v>
      </c>
      <c r="M121" s="1296"/>
      <c r="N121" s="1297"/>
      <c r="O121" s="1297"/>
    </row>
    <row r="122" spans="1:15" x14ac:dyDescent="0.25">
      <c r="K122" s="1229">
        <v>2008</v>
      </c>
      <c r="L122" s="1234">
        <v>145.6285896617741</v>
      </c>
      <c r="M122" s="1296"/>
      <c r="N122" s="1297"/>
      <c r="O122" s="1297"/>
    </row>
    <row r="123" spans="1:15" x14ac:dyDescent="0.25">
      <c r="K123" s="1229">
        <v>2009</v>
      </c>
      <c r="L123" s="1235">
        <v>143.39502233567327</v>
      </c>
      <c r="M123" s="1296"/>
      <c r="N123" s="1297"/>
      <c r="O123" s="1297"/>
    </row>
    <row r="124" spans="1:15" x14ac:dyDescent="0.25">
      <c r="K124" s="1229">
        <v>2010</v>
      </c>
      <c r="L124" s="1235">
        <v>149.13848117421827</v>
      </c>
      <c r="M124" s="1296"/>
      <c r="N124" s="1297"/>
      <c r="O124" s="1297"/>
    </row>
    <row r="125" spans="1:15" x14ac:dyDescent="0.25">
      <c r="K125" s="1229">
        <v>2011</v>
      </c>
      <c r="L125" s="1235">
        <v>160.8806636885769</v>
      </c>
      <c r="M125" s="1296"/>
      <c r="N125" s="1297"/>
      <c r="O125" s="1297"/>
    </row>
    <row r="126" spans="1:15" x14ac:dyDescent="0.25">
      <c r="K126" s="1229">
        <v>2012</v>
      </c>
      <c r="L126" s="1235">
        <v>166.11359285258459</v>
      </c>
      <c r="M126" s="1296"/>
      <c r="N126" s="1297"/>
      <c r="O126" s="1297"/>
    </row>
    <row r="127" spans="1:15" x14ac:dyDescent="0.25">
      <c r="K127" s="1229">
        <v>2013</v>
      </c>
      <c r="L127" s="1235">
        <v>168.41097638800255</v>
      </c>
      <c r="M127" s="1296"/>
      <c r="N127" s="1297"/>
      <c r="O127" s="1297"/>
    </row>
    <row r="128" spans="1:15" x14ac:dyDescent="0.25">
      <c r="K128" s="1229">
        <v>2014</v>
      </c>
      <c r="L128" s="1235">
        <v>171.79323548181239</v>
      </c>
      <c r="N128" s="1297"/>
      <c r="O128" s="1297"/>
    </row>
    <row r="129" spans="1:15" x14ac:dyDescent="0.25">
      <c r="K129" s="1229">
        <v>2015</v>
      </c>
      <c r="L129" s="1235">
        <v>168.98532227185709</v>
      </c>
      <c r="N129" s="1297"/>
      <c r="O129" s="1297"/>
    </row>
    <row r="130" spans="1:15" ht="13" thickBot="1" x14ac:dyDescent="0.3">
      <c r="K130" s="1236">
        <v>2016</v>
      </c>
      <c r="L130" s="1237">
        <v>170.4530950861519</v>
      </c>
      <c r="M130" s="1296"/>
      <c r="N130" s="1297"/>
      <c r="O130" s="1297"/>
    </row>
    <row r="131" spans="1:15" ht="13" thickTop="1" x14ac:dyDescent="0.25">
      <c r="K131" s="305" t="s">
        <v>1203</v>
      </c>
    </row>
    <row r="132" spans="1:15" ht="13" thickBot="1" x14ac:dyDescent="0.3">
      <c r="K132" s="305" t="s">
        <v>1230</v>
      </c>
    </row>
    <row r="133" spans="1:15" ht="28.5" thickBot="1" x14ac:dyDescent="0.35">
      <c r="A133" s="1432" t="s">
        <v>1102</v>
      </c>
      <c r="B133" s="1433"/>
      <c r="C133" s="1433"/>
      <c r="D133" s="1433"/>
      <c r="E133" s="1433"/>
      <c r="F133" s="1433"/>
      <c r="G133" s="1433"/>
      <c r="H133" s="1433"/>
      <c r="I133" s="1434"/>
    </row>
    <row r="134" spans="1:15" ht="52" x14ac:dyDescent="0.3">
      <c r="A134" s="1416"/>
      <c r="B134" s="603"/>
      <c r="C134" s="1751" t="s">
        <v>124</v>
      </c>
      <c r="D134" s="1751"/>
      <c r="E134" s="1751"/>
      <c r="F134" s="1752" t="s">
        <v>125</v>
      </c>
      <c r="G134" s="1751"/>
      <c r="H134" s="1753"/>
      <c r="I134" s="1417" t="s">
        <v>126</v>
      </c>
    </row>
    <row r="135" spans="1:15" ht="30" customHeight="1" thickBot="1" x14ac:dyDescent="0.35">
      <c r="A135" s="578" t="s">
        <v>127</v>
      </c>
      <c r="B135" s="604" t="s">
        <v>128</v>
      </c>
      <c r="C135" s="605" t="s">
        <v>129</v>
      </c>
      <c r="D135" s="605" t="s">
        <v>398</v>
      </c>
      <c r="E135" s="605" t="s">
        <v>399</v>
      </c>
      <c r="F135" s="578" t="s">
        <v>403</v>
      </c>
      <c r="G135" s="579" t="s">
        <v>404</v>
      </c>
      <c r="H135" s="580" t="s">
        <v>405</v>
      </c>
      <c r="I135" s="1418" t="s">
        <v>130</v>
      </c>
    </row>
    <row r="136" spans="1:15" x14ac:dyDescent="0.25">
      <c r="A136" s="1419" t="s">
        <v>1084</v>
      </c>
      <c r="B136" s="606" t="s">
        <v>131</v>
      </c>
      <c r="C136" s="843">
        <f t="shared" ref="C136:I145" si="8">+AVERAGEIFS(D$165:D$524,$B$165:$B$524,$A136,$C$165:$C$524,"&gt;="&amp;startup_year,$C$165:$C$524,"&lt;="&amp;(startup_year+anal_period))</f>
        <v>1092000</v>
      </c>
      <c r="D136" s="844">
        <f t="shared" si="8"/>
        <v>1092000</v>
      </c>
      <c r="E136" s="845">
        <f t="shared" si="8"/>
        <v>3971.5555555555557</v>
      </c>
      <c r="F136" s="846">
        <f t="shared" si="8"/>
        <v>5.74</v>
      </c>
      <c r="G136" s="846">
        <f t="shared" si="8"/>
        <v>0.18462200000000004</v>
      </c>
      <c r="H136" s="846">
        <f t="shared" si="8"/>
        <v>8.6102222222222209E-4</v>
      </c>
      <c r="I136" s="1420">
        <f t="shared" si="8"/>
        <v>11.566300000000002</v>
      </c>
    </row>
    <row r="137" spans="1:15" ht="16.5" customHeight="1" x14ac:dyDescent="0.25">
      <c r="A137" s="1421" t="s">
        <v>283</v>
      </c>
      <c r="B137" s="607" t="s">
        <v>131</v>
      </c>
      <c r="C137" s="847">
        <f t="shared" si="8"/>
        <v>1092000</v>
      </c>
      <c r="D137" s="848">
        <f t="shared" si="8"/>
        <v>1092000</v>
      </c>
      <c r="E137" s="849">
        <f t="shared" si="8"/>
        <v>3971.5555555555557</v>
      </c>
      <c r="F137" s="850">
        <f t="shared" si="8"/>
        <v>5.74</v>
      </c>
      <c r="G137" s="850">
        <f t="shared" si="8"/>
        <v>0.18462200000000004</v>
      </c>
      <c r="H137" s="850">
        <f t="shared" si="8"/>
        <v>8.6102222222222209E-4</v>
      </c>
      <c r="I137" s="1422">
        <f t="shared" si="8"/>
        <v>11.566300000000002</v>
      </c>
    </row>
    <row r="138" spans="1:15" x14ac:dyDescent="0.25">
      <c r="A138" s="1423" t="s">
        <v>1085</v>
      </c>
      <c r="B138" s="1411" t="s">
        <v>131</v>
      </c>
      <c r="C138" s="1412">
        <f t="shared" si="8"/>
        <v>1092000</v>
      </c>
      <c r="D138" s="1413">
        <f t="shared" si="8"/>
        <v>1092000</v>
      </c>
      <c r="E138" s="1414">
        <f t="shared" si="8"/>
        <v>3971.5555555555557</v>
      </c>
      <c r="F138" s="1415">
        <f t="shared" si="8"/>
        <v>5.74</v>
      </c>
      <c r="G138" s="1415">
        <f t="shared" si="8"/>
        <v>0.18462200000000004</v>
      </c>
      <c r="H138" s="1415">
        <f t="shared" si="8"/>
        <v>8.6102222222222209E-4</v>
      </c>
      <c r="I138" s="1424">
        <f t="shared" si="8"/>
        <v>11.566300000000002</v>
      </c>
    </row>
    <row r="139" spans="1:15" x14ac:dyDescent="0.25">
      <c r="A139" s="1421" t="s">
        <v>681</v>
      </c>
      <c r="B139" s="608" t="s">
        <v>131</v>
      </c>
      <c r="C139" s="848">
        <f t="shared" si="8"/>
        <v>1092000</v>
      </c>
      <c r="D139" s="848">
        <f t="shared" si="8"/>
        <v>1092000</v>
      </c>
      <c r="E139" s="848">
        <f t="shared" si="8"/>
        <v>3971.5555555555557</v>
      </c>
      <c r="F139" s="851">
        <f t="shared" si="8"/>
        <v>5.74</v>
      </c>
      <c r="G139" s="850">
        <f t="shared" si="8"/>
        <v>0.18462200000000004</v>
      </c>
      <c r="H139" s="852">
        <f t="shared" si="8"/>
        <v>8.6102222222222209E-4</v>
      </c>
      <c r="I139" s="1422">
        <f t="shared" si="8"/>
        <v>11.566300000000002</v>
      </c>
    </row>
    <row r="140" spans="1:15" x14ac:dyDescent="0.25">
      <c r="A140" s="1421" t="s">
        <v>682</v>
      </c>
      <c r="B140" s="608" t="s">
        <v>1294</v>
      </c>
      <c r="C140" s="848">
        <f t="shared" si="8"/>
        <v>-1185000</v>
      </c>
      <c r="D140" s="848">
        <f t="shared" si="8"/>
        <v>0</v>
      </c>
      <c r="E140" s="848">
        <f t="shared" si="8"/>
        <v>0</v>
      </c>
      <c r="F140" s="851">
        <f t="shared" si="8"/>
        <v>-85.800000000000011</v>
      </c>
      <c r="G140" s="850">
        <f t="shared" si="8"/>
        <v>0.54700000000000004</v>
      </c>
      <c r="H140" s="852">
        <f t="shared" si="8"/>
        <v>-1.8286999999999995E-3</v>
      </c>
      <c r="I140" s="1422">
        <f t="shared" si="8"/>
        <v>-70.08</v>
      </c>
    </row>
    <row r="141" spans="1:15" x14ac:dyDescent="0.25">
      <c r="A141" s="1421" t="s">
        <v>683</v>
      </c>
      <c r="B141" s="608" t="s">
        <v>132</v>
      </c>
      <c r="C141" s="848">
        <f t="shared" si="8"/>
        <v>1722555.5555555555</v>
      </c>
      <c r="D141" s="848">
        <f t="shared" si="8"/>
        <v>1293777.7777777778</v>
      </c>
      <c r="E141" s="848">
        <f t="shared" si="8"/>
        <v>15361.111111111111</v>
      </c>
      <c r="F141" s="851">
        <f t="shared" si="8"/>
        <v>125.73222222222223</v>
      </c>
      <c r="G141" s="850">
        <f t="shared" si="8"/>
        <v>0.20455800000000002</v>
      </c>
      <c r="H141" s="852">
        <f t="shared" si="8"/>
        <v>1.7955444444444446E-3</v>
      </c>
      <c r="I141" s="1422">
        <f t="shared" si="8"/>
        <v>130.52666666666664</v>
      </c>
    </row>
    <row r="142" spans="1:15" x14ac:dyDescent="0.25">
      <c r="A142" s="1421" t="s">
        <v>698</v>
      </c>
      <c r="B142" s="608" t="s">
        <v>132</v>
      </c>
      <c r="C142" s="848">
        <f t="shared" si="8"/>
        <v>1722555.5555555555</v>
      </c>
      <c r="D142" s="848">
        <f t="shared" si="8"/>
        <v>1293777.7777777778</v>
      </c>
      <c r="E142" s="848">
        <f t="shared" si="8"/>
        <v>15361.111111111111</v>
      </c>
      <c r="F142" s="851">
        <f t="shared" si="8"/>
        <v>125.73222222222223</v>
      </c>
      <c r="G142" s="850">
        <f t="shared" si="8"/>
        <v>0.20455800000000002</v>
      </c>
      <c r="H142" s="852">
        <f t="shared" si="8"/>
        <v>1.7955444444444446E-3</v>
      </c>
      <c r="I142" s="1422">
        <f t="shared" si="8"/>
        <v>130.52666666666664</v>
      </c>
    </row>
    <row r="143" spans="1:15" x14ac:dyDescent="0.25">
      <c r="A143" s="1421" t="s">
        <v>684</v>
      </c>
      <c r="B143" s="608" t="s">
        <v>132</v>
      </c>
      <c r="C143" s="848">
        <f t="shared" si="8"/>
        <v>1722555.5555555555</v>
      </c>
      <c r="D143" s="848">
        <f t="shared" si="8"/>
        <v>1293777.7777777778</v>
      </c>
      <c r="E143" s="848">
        <f t="shared" si="8"/>
        <v>15361.111111111111</v>
      </c>
      <c r="F143" s="851">
        <f t="shared" si="8"/>
        <v>125.73222222222223</v>
      </c>
      <c r="G143" s="850">
        <f t="shared" si="8"/>
        <v>0.20455800000000002</v>
      </c>
      <c r="H143" s="852">
        <f t="shared" si="8"/>
        <v>1.7955444444444446E-3</v>
      </c>
      <c r="I143" s="1422">
        <f t="shared" si="8"/>
        <v>130.52666666666664</v>
      </c>
    </row>
    <row r="144" spans="1:15" x14ac:dyDescent="0.25">
      <c r="A144" s="1421" t="s">
        <v>1086</v>
      </c>
      <c r="B144" s="608" t="s">
        <v>133</v>
      </c>
      <c r="C144" s="848">
        <f t="shared" si="8"/>
        <v>1022000</v>
      </c>
      <c r="D144" s="848">
        <f t="shared" si="8"/>
        <v>1021000</v>
      </c>
      <c r="E144" s="848">
        <f t="shared" si="8"/>
        <v>15510</v>
      </c>
      <c r="F144" s="851">
        <f t="shared" si="8"/>
        <v>1.6978444444444447</v>
      </c>
      <c r="G144" s="850">
        <f t="shared" si="8"/>
        <v>0.14096234111111108</v>
      </c>
      <c r="H144" s="852">
        <f t="shared" si="8"/>
        <v>3.279166666666666E-5</v>
      </c>
      <c r="I144" s="1422">
        <f t="shared" si="8"/>
        <v>5.9552888888888873</v>
      </c>
    </row>
    <row r="145" spans="1:9" x14ac:dyDescent="0.25">
      <c r="A145" s="1421" t="s">
        <v>716</v>
      </c>
      <c r="B145" s="608" t="s">
        <v>133</v>
      </c>
      <c r="C145" s="848">
        <f t="shared" si="8"/>
        <v>1022000</v>
      </c>
      <c r="D145" s="848">
        <f t="shared" si="8"/>
        <v>1021000</v>
      </c>
      <c r="E145" s="848">
        <f t="shared" si="8"/>
        <v>15510</v>
      </c>
      <c r="F145" s="851">
        <f t="shared" si="8"/>
        <v>1.6978444444444447</v>
      </c>
      <c r="G145" s="850">
        <f t="shared" si="8"/>
        <v>0.14096234111111108</v>
      </c>
      <c r="H145" s="852">
        <f t="shared" si="8"/>
        <v>3.279166666666666E-5</v>
      </c>
      <c r="I145" s="1422">
        <f t="shared" si="8"/>
        <v>5.9552888888888873</v>
      </c>
    </row>
    <row r="146" spans="1:9" x14ac:dyDescent="0.25">
      <c r="A146" s="1421" t="s">
        <v>717</v>
      </c>
      <c r="B146" s="608" t="s">
        <v>133</v>
      </c>
      <c r="C146" s="848">
        <f t="shared" ref="C146:I153" si="9">+AVERAGEIFS(D$165:D$524,$B$165:$B$524,$A146,$C$165:$C$524,"&gt;="&amp;startup_year,$C$165:$C$524,"&lt;="&amp;(startup_year+anal_period))</f>
        <v>1022000</v>
      </c>
      <c r="D146" s="848">
        <f t="shared" si="9"/>
        <v>1021000</v>
      </c>
      <c r="E146" s="848">
        <f t="shared" si="9"/>
        <v>15510</v>
      </c>
      <c r="F146" s="851">
        <f t="shared" si="9"/>
        <v>1.6978444444444447</v>
      </c>
      <c r="G146" s="850">
        <f t="shared" si="9"/>
        <v>0.14096234111111108</v>
      </c>
      <c r="H146" s="852">
        <f t="shared" si="9"/>
        <v>3.279166666666666E-5</v>
      </c>
      <c r="I146" s="1422">
        <f t="shared" si="9"/>
        <v>5.9552888888888873</v>
      </c>
    </row>
    <row r="147" spans="1:9" x14ac:dyDescent="0.25">
      <c r="A147" s="1421" t="s">
        <v>911</v>
      </c>
      <c r="B147" s="608" t="s">
        <v>134</v>
      </c>
      <c r="C147" s="848">
        <f t="shared" si="9"/>
        <v>1209000</v>
      </c>
      <c r="D147" s="848">
        <f t="shared" si="9"/>
        <v>1202000</v>
      </c>
      <c r="E147" s="848">
        <f t="shared" si="9"/>
        <v>1052000</v>
      </c>
      <c r="F147" s="851">
        <f t="shared" si="9"/>
        <v>17.978222222222218</v>
      </c>
      <c r="G147" s="850">
        <f t="shared" si="9"/>
        <v>0.1641276666666667</v>
      </c>
      <c r="H147" s="852">
        <f t="shared" si="9"/>
        <v>2.9047555555555561E-4</v>
      </c>
      <c r="I147" s="1422">
        <f t="shared" si="9"/>
        <v>22.99966666666667</v>
      </c>
    </row>
    <row r="148" spans="1:9" x14ac:dyDescent="0.25">
      <c r="A148" s="1421" t="s">
        <v>909</v>
      </c>
      <c r="B148" s="608" t="s">
        <v>1103</v>
      </c>
      <c r="C148" s="848">
        <f t="shared" si="9"/>
        <v>1585222.2222222222</v>
      </c>
      <c r="D148" s="848">
        <f t="shared" si="9"/>
        <v>696333.33333333337</v>
      </c>
      <c r="E148" s="848">
        <f t="shared" si="9"/>
        <v>286011.11111111112</v>
      </c>
      <c r="F148" s="851">
        <f t="shared" si="9"/>
        <v>38.073444444444448</v>
      </c>
      <c r="G148" s="850">
        <f t="shared" si="9"/>
        <v>0.1118</v>
      </c>
      <c r="H148" s="852">
        <f t="shared" si="9"/>
        <v>2.5350000000000004E-2</v>
      </c>
      <c r="I148" s="1422">
        <f t="shared" si="9"/>
        <v>45.206666666666663</v>
      </c>
    </row>
    <row r="149" spans="1:9" x14ac:dyDescent="0.25">
      <c r="A149" s="1421" t="s">
        <v>912</v>
      </c>
      <c r="B149" s="608" t="s">
        <v>134</v>
      </c>
      <c r="C149" s="848">
        <f t="shared" si="9"/>
        <v>1249111.111111111</v>
      </c>
      <c r="D149" s="848">
        <f t="shared" si="9"/>
        <v>1242000</v>
      </c>
      <c r="E149" s="848">
        <f t="shared" si="9"/>
        <v>1078000</v>
      </c>
      <c r="F149" s="851">
        <f t="shared" si="9"/>
        <v>23.850666666666669</v>
      </c>
      <c r="G149" s="850">
        <f t="shared" si="9"/>
        <v>0.16985744444444445</v>
      </c>
      <c r="H149" s="852">
        <f t="shared" si="9"/>
        <v>3.7835111111111111E-4</v>
      </c>
      <c r="I149" s="1422">
        <f t="shared" si="9"/>
        <v>29.169000000000008</v>
      </c>
    </row>
    <row r="150" spans="1:9" x14ac:dyDescent="0.25">
      <c r="A150" s="1421" t="s">
        <v>1080</v>
      </c>
      <c r="B150" s="608" t="s">
        <v>1295</v>
      </c>
      <c r="C150" s="848">
        <f t="shared" si="9"/>
        <v>1190000</v>
      </c>
      <c r="D150" s="848">
        <f t="shared" si="9"/>
        <v>51592.222222222219</v>
      </c>
      <c r="E150" s="848">
        <f t="shared" si="9"/>
        <v>29220</v>
      </c>
      <c r="F150" s="851">
        <f t="shared" si="9"/>
        <v>3.7602333333333329</v>
      </c>
      <c r="G150" s="850">
        <f t="shared" si="9"/>
        <v>8.4359666666666642E-3</v>
      </c>
      <c r="H150" s="852">
        <f t="shared" si="9"/>
        <v>-3.8261034444444448E-3</v>
      </c>
      <c r="I150" s="1422">
        <f t="shared" si="9"/>
        <v>3.0076888888888895</v>
      </c>
    </row>
    <row r="151" spans="1:9" x14ac:dyDescent="0.25">
      <c r="A151" s="1421" t="s">
        <v>815</v>
      </c>
      <c r="B151" s="608" t="s">
        <v>1295</v>
      </c>
      <c r="C151" s="848">
        <f t="shared" si="9"/>
        <v>1190000</v>
      </c>
      <c r="D151" s="848">
        <f t="shared" si="9"/>
        <v>51592.222222222219</v>
      </c>
      <c r="E151" s="848">
        <f t="shared" si="9"/>
        <v>29220</v>
      </c>
      <c r="F151" s="851">
        <f t="shared" si="9"/>
        <v>3.7602333333333329</v>
      </c>
      <c r="G151" s="850">
        <f t="shared" si="9"/>
        <v>8.4359666666666642E-3</v>
      </c>
      <c r="H151" s="852">
        <f t="shared" si="9"/>
        <v>-3.8261034444444448E-3</v>
      </c>
      <c r="I151" s="1422">
        <f t="shared" si="9"/>
        <v>3.0076888888888895</v>
      </c>
    </row>
    <row r="152" spans="1:9" x14ac:dyDescent="0.25">
      <c r="A152" s="1421" t="s">
        <v>824</v>
      </c>
      <c r="B152" s="608" t="s">
        <v>1295</v>
      </c>
      <c r="C152" s="848">
        <f t="shared" si="9"/>
        <v>1190000</v>
      </c>
      <c r="D152" s="848">
        <f t="shared" si="9"/>
        <v>51592.222222222219</v>
      </c>
      <c r="E152" s="848">
        <f t="shared" si="9"/>
        <v>29220</v>
      </c>
      <c r="F152" s="851">
        <f t="shared" si="9"/>
        <v>3.7602333333333329</v>
      </c>
      <c r="G152" s="850">
        <f t="shared" si="9"/>
        <v>8.4359666666666642E-3</v>
      </c>
      <c r="H152" s="852">
        <f t="shared" si="9"/>
        <v>-3.8261034444444448E-3</v>
      </c>
      <c r="I152" s="1422">
        <f t="shared" si="9"/>
        <v>3.0076888888888895</v>
      </c>
    </row>
    <row r="153" spans="1:9" ht="13" thickBot="1" x14ac:dyDescent="0.3">
      <c r="A153" s="1425" t="s">
        <v>1087</v>
      </c>
      <c r="B153" s="1426" t="s">
        <v>1296</v>
      </c>
      <c r="C153" s="1427">
        <f t="shared" si="9"/>
        <v>1384000</v>
      </c>
      <c r="D153" s="1427">
        <f t="shared" si="9"/>
        <v>1383000</v>
      </c>
      <c r="E153" s="1427">
        <f t="shared" si="9"/>
        <v>5034</v>
      </c>
      <c r="F153" s="1428">
        <f t="shared" si="9"/>
        <v>78.571100000000001</v>
      </c>
      <c r="G153" s="1429">
        <f t="shared" si="9"/>
        <v>0.27494000000000002</v>
      </c>
      <c r="H153" s="1430">
        <f t="shared" si="9"/>
        <v>2.3304000000000003E-3</v>
      </c>
      <c r="I153" s="1431">
        <f t="shared" si="9"/>
        <v>87.59429999999999</v>
      </c>
    </row>
    <row r="162" spans="2:10" ht="13" thickBot="1" x14ac:dyDescent="0.3">
      <c r="B162" s="305" t="s">
        <v>1293</v>
      </c>
    </row>
    <row r="163" spans="2:10" ht="37.5" x14ac:dyDescent="0.25">
      <c r="D163" s="1393" t="s">
        <v>124</v>
      </c>
      <c r="E163" s="1394"/>
      <c r="F163" s="1395"/>
      <c r="G163" s="1393" t="s">
        <v>125</v>
      </c>
      <c r="H163" s="1394"/>
      <c r="I163" s="1394"/>
      <c r="J163" s="1395" t="s">
        <v>126</v>
      </c>
    </row>
    <row r="164" spans="2:10" ht="13.5" thickBot="1" x14ac:dyDescent="0.35">
      <c r="B164" s="1" t="s">
        <v>248</v>
      </c>
      <c r="C164" s="1" t="s">
        <v>1083</v>
      </c>
      <c r="D164" s="1396" t="s">
        <v>129</v>
      </c>
      <c r="E164" s="1397" t="s">
        <v>398</v>
      </c>
      <c r="F164" s="1398" t="s">
        <v>399</v>
      </c>
      <c r="G164" s="1396" t="s">
        <v>403</v>
      </c>
      <c r="H164" s="1397" t="s">
        <v>404</v>
      </c>
      <c r="I164" s="1397" t="s">
        <v>405</v>
      </c>
      <c r="J164" s="1398" t="s">
        <v>130</v>
      </c>
    </row>
    <row r="165" spans="2:10" x14ac:dyDescent="0.25">
      <c r="B165" s="1399" t="s">
        <v>1084</v>
      </c>
      <c r="C165" s="1400">
        <v>2005</v>
      </c>
      <c r="D165" s="1399">
        <v>1094000</v>
      </c>
      <c r="E165" s="1401">
        <v>1094000</v>
      </c>
      <c r="F165" s="1402">
        <v>4252</v>
      </c>
      <c r="G165" s="1399">
        <v>5.9984999999999999</v>
      </c>
      <c r="H165" s="1401">
        <v>0.18232600000000002</v>
      </c>
      <c r="I165" s="1401">
        <v>8.8801999999999994E-5</v>
      </c>
      <c r="J165" s="1402">
        <v>11.536999999999999</v>
      </c>
    </row>
    <row r="166" spans="2:10" x14ac:dyDescent="0.25">
      <c r="B166" s="1403" t="s">
        <v>283</v>
      </c>
      <c r="C166" s="1404">
        <v>2005</v>
      </c>
      <c r="D166" s="1403">
        <v>1094000</v>
      </c>
      <c r="E166" s="1405">
        <v>1094000</v>
      </c>
      <c r="F166" s="1406">
        <v>4252</v>
      </c>
      <c r="G166" s="1403">
        <v>5.9984999999999999</v>
      </c>
      <c r="H166" s="1405">
        <v>0.18232600000000002</v>
      </c>
      <c r="I166" s="1405">
        <v>8.8801999999999994E-5</v>
      </c>
      <c r="J166" s="1406">
        <v>11.536999999999999</v>
      </c>
    </row>
    <row r="167" spans="2:10" x14ac:dyDescent="0.25">
      <c r="B167" s="1403" t="s">
        <v>1085</v>
      </c>
      <c r="C167" s="1404">
        <v>2005</v>
      </c>
      <c r="D167" s="1403">
        <v>1094000</v>
      </c>
      <c r="E167" s="1405">
        <v>1094000</v>
      </c>
      <c r="F167" s="1406">
        <v>4252</v>
      </c>
      <c r="G167" s="1403">
        <v>5.9984999999999999</v>
      </c>
      <c r="H167" s="1405">
        <v>0.18232600000000002</v>
      </c>
      <c r="I167" s="1405">
        <v>8.8801999999999994E-5</v>
      </c>
      <c r="J167" s="1406">
        <v>11.536999999999999</v>
      </c>
    </row>
    <row r="168" spans="2:10" x14ac:dyDescent="0.25">
      <c r="B168" s="1403" t="s">
        <v>681</v>
      </c>
      <c r="C168" s="1404">
        <v>2005</v>
      </c>
      <c r="D168" s="1403">
        <v>1094000</v>
      </c>
      <c r="E168" s="1405">
        <v>1094000</v>
      </c>
      <c r="F168" s="1406">
        <v>4252</v>
      </c>
      <c r="G168" s="1403">
        <v>5.9984999999999999</v>
      </c>
      <c r="H168" s="1405">
        <v>0.18232600000000002</v>
      </c>
      <c r="I168" s="1405">
        <v>8.8801999999999994E-5</v>
      </c>
      <c r="J168" s="1406">
        <v>11.536999999999999</v>
      </c>
    </row>
    <row r="169" spans="2:10" x14ac:dyDescent="0.25">
      <c r="B169" s="1403" t="s">
        <v>682</v>
      </c>
      <c r="C169" s="1404">
        <v>2005</v>
      </c>
      <c r="D169" s="1403">
        <v>-1208000</v>
      </c>
      <c r="E169" s="1405">
        <v>0</v>
      </c>
      <c r="F169" s="1406">
        <v>0</v>
      </c>
      <c r="G169" s="1403">
        <v>-85.789999999999992</v>
      </c>
      <c r="H169" s="1405">
        <v>0.54689999999999994</v>
      </c>
      <c r="I169" s="1405">
        <v>-1.4884E-3</v>
      </c>
      <c r="J169" s="1406">
        <v>-70</v>
      </c>
    </row>
    <row r="170" spans="2:10" x14ac:dyDescent="0.25">
      <c r="B170" s="1403" t="s">
        <v>683</v>
      </c>
      <c r="C170" s="1404">
        <v>2005</v>
      </c>
      <c r="D170" s="1403">
        <v>2475000</v>
      </c>
      <c r="E170" s="1405">
        <v>2129000</v>
      </c>
      <c r="F170" s="1406">
        <v>124000</v>
      </c>
      <c r="G170" s="1403">
        <v>251.83</v>
      </c>
      <c r="H170" s="1405">
        <v>0.31369799999999998</v>
      </c>
      <c r="I170" s="1405">
        <v>3.6604999999999997E-3</v>
      </c>
      <c r="J170" s="1406">
        <v>255.85999999999999</v>
      </c>
    </row>
    <row r="171" spans="2:10" x14ac:dyDescent="0.25">
      <c r="B171" s="1403" t="s">
        <v>698</v>
      </c>
      <c r="C171" s="1404">
        <v>2005</v>
      </c>
      <c r="D171" s="1403">
        <v>2475000</v>
      </c>
      <c r="E171" s="1405">
        <v>2129000</v>
      </c>
      <c r="F171" s="1406">
        <v>124000</v>
      </c>
      <c r="G171" s="1403">
        <v>251.83</v>
      </c>
      <c r="H171" s="1405">
        <v>0.31369799999999998</v>
      </c>
      <c r="I171" s="1405">
        <v>3.6604999999999997E-3</v>
      </c>
      <c r="J171" s="1406">
        <v>255.85999999999999</v>
      </c>
    </row>
    <row r="172" spans="2:10" x14ac:dyDescent="0.25">
      <c r="B172" s="1403" t="s">
        <v>684</v>
      </c>
      <c r="C172" s="1404">
        <v>2005</v>
      </c>
      <c r="D172" s="1403">
        <v>2475000</v>
      </c>
      <c r="E172" s="1405">
        <v>2129000</v>
      </c>
      <c r="F172" s="1406">
        <v>124000</v>
      </c>
      <c r="G172" s="1403">
        <v>251.83</v>
      </c>
      <c r="H172" s="1405">
        <v>0.31369799999999998</v>
      </c>
      <c r="I172" s="1405">
        <v>3.6604999999999997E-3</v>
      </c>
      <c r="J172" s="1406">
        <v>255.85999999999999</v>
      </c>
    </row>
    <row r="173" spans="2:10" x14ac:dyDescent="0.25">
      <c r="B173" s="1403" t="s">
        <v>1086</v>
      </c>
      <c r="C173" s="1404">
        <v>2005</v>
      </c>
      <c r="D173" s="1403">
        <v>1023000</v>
      </c>
      <c r="E173" s="1405">
        <v>1022000</v>
      </c>
      <c r="F173" s="1406">
        <v>15840</v>
      </c>
      <c r="G173" s="1403">
        <v>1.9352</v>
      </c>
      <c r="H173" s="1405">
        <v>0.14136591000000001</v>
      </c>
      <c r="I173" s="1405">
        <v>3.6392E-5</v>
      </c>
      <c r="J173" s="1406">
        <v>6.2023000000000001</v>
      </c>
    </row>
    <row r="174" spans="2:10" x14ac:dyDescent="0.25">
      <c r="B174" s="1403" t="s">
        <v>716</v>
      </c>
      <c r="C174" s="1404">
        <v>2005</v>
      </c>
      <c r="D174" s="1403">
        <v>1023000</v>
      </c>
      <c r="E174" s="1405">
        <v>1022000</v>
      </c>
      <c r="F174" s="1406">
        <v>15840</v>
      </c>
      <c r="G174" s="1403">
        <v>1.9352</v>
      </c>
      <c r="H174" s="1405">
        <v>0.14136591000000001</v>
      </c>
      <c r="I174" s="1405">
        <v>3.6392E-5</v>
      </c>
      <c r="J174" s="1406">
        <v>6.2023000000000001</v>
      </c>
    </row>
    <row r="175" spans="2:10" x14ac:dyDescent="0.25">
      <c r="B175" s="1403" t="s">
        <v>717</v>
      </c>
      <c r="C175" s="1404">
        <v>2005</v>
      </c>
      <c r="D175" s="1403">
        <v>1023000</v>
      </c>
      <c r="E175" s="1405">
        <v>1022000</v>
      </c>
      <c r="F175" s="1406">
        <v>15840</v>
      </c>
      <c r="G175" s="1403">
        <v>1.9352</v>
      </c>
      <c r="H175" s="1405">
        <v>0.14136591000000001</v>
      </c>
      <c r="I175" s="1405">
        <v>3.6392E-5</v>
      </c>
      <c r="J175" s="1406">
        <v>6.2023000000000001</v>
      </c>
    </row>
    <row r="176" spans="2:10" x14ac:dyDescent="0.25">
      <c r="B176" s="1403" t="s">
        <v>911</v>
      </c>
      <c r="C176" s="1404">
        <v>2005</v>
      </c>
      <c r="D176" s="1403">
        <v>1205000</v>
      </c>
      <c r="E176" s="1405">
        <v>1200000</v>
      </c>
      <c r="F176" s="1406">
        <v>1056000</v>
      </c>
      <c r="G176" s="1403">
        <v>18.433</v>
      </c>
      <c r="H176" s="1405">
        <v>0.18217</v>
      </c>
      <c r="I176" s="1405">
        <v>2.0549999999999998E-4</v>
      </c>
      <c r="J176" s="1406">
        <v>23.908999999999999</v>
      </c>
    </row>
    <row r="177" spans="2:10" x14ac:dyDescent="0.25">
      <c r="B177" s="1403" t="s">
        <v>909</v>
      </c>
      <c r="C177" s="1404">
        <v>2005</v>
      </c>
      <c r="D177" s="1403">
        <v>1760000</v>
      </c>
      <c r="E177" s="1405">
        <v>783400</v>
      </c>
      <c r="F177" s="1406">
        <v>307400</v>
      </c>
      <c r="G177" s="1403">
        <v>47.923999999999999</v>
      </c>
      <c r="H177" s="1405">
        <v>0.13161500000000001</v>
      </c>
      <c r="I177" s="1405">
        <v>3.3619999999999997E-2</v>
      </c>
      <c r="J177" s="1406">
        <v>56.43</v>
      </c>
    </row>
    <row r="178" spans="2:10" x14ac:dyDescent="0.25">
      <c r="B178" s="1403" t="s">
        <v>912</v>
      </c>
      <c r="C178" s="1404">
        <v>2005</v>
      </c>
      <c r="D178" s="1403">
        <v>1248000</v>
      </c>
      <c r="E178" s="1405">
        <v>1242000</v>
      </c>
      <c r="F178" s="1406">
        <v>1084000</v>
      </c>
      <c r="G178" s="1403">
        <v>24.465</v>
      </c>
      <c r="H178" s="1405">
        <v>0.18840200000000001</v>
      </c>
      <c r="I178" s="1405">
        <v>2.7361999999999997E-4</v>
      </c>
      <c r="J178" s="1406">
        <v>30.237000000000002</v>
      </c>
    </row>
    <row r="179" spans="2:10" x14ac:dyDescent="0.25">
      <c r="B179" s="1403" t="s">
        <v>1080</v>
      </c>
      <c r="C179" s="1404">
        <v>2005</v>
      </c>
      <c r="D179" s="1403">
        <v>1195000</v>
      </c>
      <c r="E179" s="1405">
        <v>56800</v>
      </c>
      <c r="F179" s="1406">
        <v>32280</v>
      </c>
      <c r="G179" s="1403">
        <v>4.3339999999999996</v>
      </c>
      <c r="H179" s="1405">
        <v>9.434399999999999E-3</v>
      </c>
      <c r="I179" s="1405">
        <v>-3.8369229999999999E-3</v>
      </c>
      <c r="J179" s="1406">
        <v>3.6147</v>
      </c>
    </row>
    <row r="180" spans="2:10" x14ac:dyDescent="0.25">
      <c r="B180" s="1403" t="s">
        <v>815</v>
      </c>
      <c r="C180" s="1404">
        <v>2005</v>
      </c>
      <c r="D180" s="1403">
        <v>1195000</v>
      </c>
      <c r="E180" s="1405">
        <v>56800</v>
      </c>
      <c r="F180" s="1406">
        <v>32280</v>
      </c>
      <c r="G180" s="1403">
        <v>4.3339999999999996</v>
      </c>
      <c r="H180" s="1405">
        <v>9.434399999999999E-3</v>
      </c>
      <c r="I180" s="1405">
        <v>-3.8369229999999999E-3</v>
      </c>
      <c r="J180" s="1406">
        <v>3.6147</v>
      </c>
    </row>
    <row r="181" spans="2:10" x14ac:dyDescent="0.25">
      <c r="B181" s="1403" t="s">
        <v>824</v>
      </c>
      <c r="C181" s="1404">
        <v>2005</v>
      </c>
      <c r="D181" s="1403">
        <v>1195000</v>
      </c>
      <c r="E181" s="1405">
        <v>56800</v>
      </c>
      <c r="F181" s="1406">
        <v>32280</v>
      </c>
      <c r="G181" s="1403">
        <v>4.3339999999999996</v>
      </c>
      <c r="H181" s="1405">
        <v>9.434399999999999E-3</v>
      </c>
      <c r="I181" s="1405">
        <v>-3.8369229999999999E-3</v>
      </c>
      <c r="J181" s="1406">
        <v>3.6147</v>
      </c>
    </row>
    <row r="182" spans="2:10" ht="13" thickBot="1" x14ac:dyDescent="0.3">
      <c r="B182" s="1407" t="s">
        <v>1087</v>
      </c>
      <c r="C182" s="1408">
        <v>2005</v>
      </c>
      <c r="D182" s="1407">
        <v>1387000</v>
      </c>
      <c r="E182" s="1409">
        <v>1386000</v>
      </c>
      <c r="F182" s="1410">
        <v>5427</v>
      </c>
      <c r="G182" s="1407">
        <v>78.934799999999996</v>
      </c>
      <c r="H182" s="1409">
        <v>0.27050000000000002</v>
      </c>
      <c r="I182" s="1409">
        <v>1.418723E-3</v>
      </c>
      <c r="J182" s="1410">
        <v>87.571399999999997</v>
      </c>
    </row>
    <row r="183" spans="2:10" x14ac:dyDescent="0.25">
      <c r="B183" s="1399" t="s">
        <v>1084</v>
      </c>
      <c r="C183" s="1400">
        <v>2010</v>
      </c>
      <c r="D183" s="1399">
        <v>1094000</v>
      </c>
      <c r="E183" s="1401">
        <v>1093000</v>
      </c>
      <c r="F183" s="1402">
        <v>4104</v>
      </c>
      <c r="G183" s="1399">
        <v>5.9177</v>
      </c>
      <c r="H183" s="1401">
        <v>0.18431800000000001</v>
      </c>
      <c r="I183" s="1401">
        <v>8.6370000000000001E-4</v>
      </c>
      <c r="J183" s="1402">
        <v>11.7387</v>
      </c>
    </row>
    <row r="184" spans="2:10" x14ac:dyDescent="0.25">
      <c r="B184" s="1403" t="s">
        <v>283</v>
      </c>
      <c r="C184" s="1404">
        <v>2010</v>
      </c>
      <c r="D184" s="1403">
        <v>1094000</v>
      </c>
      <c r="E184" s="1405">
        <v>1093000</v>
      </c>
      <c r="F184" s="1406">
        <v>4104</v>
      </c>
      <c r="G184" s="1403">
        <v>5.9177</v>
      </c>
      <c r="H184" s="1405">
        <v>0.18431800000000001</v>
      </c>
      <c r="I184" s="1405">
        <v>8.6370000000000001E-4</v>
      </c>
      <c r="J184" s="1406">
        <v>11.7387</v>
      </c>
    </row>
    <row r="185" spans="2:10" x14ac:dyDescent="0.25">
      <c r="B185" s="1403" t="s">
        <v>1085</v>
      </c>
      <c r="C185" s="1404">
        <v>2010</v>
      </c>
      <c r="D185" s="1403">
        <v>1094000</v>
      </c>
      <c r="E185" s="1405">
        <v>1093000</v>
      </c>
      <c r="F185" s="1406">
        <v>4104</v>
      </c>
      <c r="G185" s="1403">
        <v>5.9177</v>
      </c>
      <c r="H185" s="1405">
        <v>0.18431800000000001</v>
      </c>
      <c r="I185" s="1405">
        <v>8.6370000000000001E-4</v>
      </c>
      <c r="J185" s="1406">
        <v>11.7387</v>
      </c>
    </row>
    <row r="186" spans="2:10" x14ac:dyDescent="0.25">
      <c r="B186" s="1403" t="s">
        <v>681</v>
      </c>
      <c r="C186" s="1404">
        <v>2010</v>
      </c>
      <c r="D186" s="1403">
        <v>1094000</v>
      </c>
      <c r="E186" s="1405">
        <v>1093000</v>
      </c>
      <c r="F186" s="1406">
        <v>4104</v>
      </c>
      <c r="G186" s="1403">
        <v>5.9177</v>
      </c>
      <c r="H186" s="1405">
        <v>0.18431800000000001</v>
      </c>
      <c r="I186" s="1405">
        <v>8.6370000000000001E-4</v>
      </c>
      <c r="J186" s="1406">
        <v>11.7387</v>
      </c>
    </row>
    <row r="187" spans="2:10" x14ac:dyDescent="0.25">
      <c r="B187" s="1403" t="s">
        <v>682</v>
      </c>
      <c r="C187" s="1404">
        <v>2010</v>
      </c>
      <c r="D187" s="1403">
        <v>-1208000</v>
      </c>
      <c r="E187" s="1405">
        <v>0</v>
      </c>
      <c r="F187" s="1406">
        <v>0</v>
      </c>
      <c r="G187" s="1403">
        <v>-85.789999999999992</v>
      </c>
      <c r="H187" s="1405">
        <v>0.54600000000000004</v>
      </c>
      <c r="I187" s="1405">
        <v>-1.8614999999999999E-3</v>
      </c>
      <c r="J187" s="1406">
        <v>-70.12</v>
      </c>
    </row>
    <row r="188" spans="2:10" x14ac:dyDescent="0.25">
      <c r="B188" s="1403" t="s">
        <v>683</v>
      </c>
      <c r="C188" s="1404">
        <v>2010</v>
      </c>
      <c r="D188" s="1403">
        <v>2254000</v>
      </c>
      <c r="E188" s="1405">
        <v>1938000</v>
      </c>
      <c r="F188" s="1406">
        <v>52730</v>
      </c>
      <c r="G188" s="1403">
        <v>220.67</v>
      </c>
      <c r="H188" s="1405">
        <v>0.288267</v>
      </c>
      <c r="I188" s="1405">
        <v>3.4012000000000001E-3</v>
      </c>
      <c r="J188" s="1406">
        <v>228.91000000000003</v>
      </c>
    </row>
    <row r="189" spans="2:10" x14ac:dyDescent="0.25">
      <c r="B189" s="1403" t="s">
        <v>698</v>
      </c>
      <c r="C189" s="1404">
        <v>2010</v>
      </c>
      <c r="D189" s="1403">
        <v>2254000</v>
      </c>
      <c r="E189" s="1405">
        <v>1938000</v>
      </c>
      <c r="F189" s="1406">
        <v>52730</v>
      </c>
      <c r="G189" s="1403">
        <v>220.67</v>
      </c>
      <c r="H189" s="1405">
        <v>0.288267</v>
      </c>
      <c r="I189" s="1405">
        <v>3.4012000000000001E-3</v>
      </c>
      <c r="J189" s="1406">
        <v>228.91000000000003</v>
      </c>
    </row>
    <row r="190" spans="2:10" x14ac:dyDescent="0.25">
      <c r="B190" s="1403" t="s">
        <v>684</v>
      </c>
      <c r="C190" s="1404">
        <v>2010</v>
      </c>
      <c r="D190" s="1403">
        <v>2254000</v>
      </c>
      <c r="E190" s="1405">
        <v>1938000</v>
      </c>
      <c r="F190" s="1406">
        <v>52730</v>
      </c>
      <c r="G190" s="1403">
        <v>220.67</v>
      </c>
      <c r="H190" s="1405">
        <v>0.288267</v>
      </c>
      <c r="I190" s="1405">
        <v>3.4012000000000001E-3</v>
      </c>
      <c r="J190" s="1406">
        <v>228.91000000000003</v>
      </c>
    </row>
    <row r="191" spans="2:10" x14ac:dyDescent="0.25">
      <c r="B191" s="1403" t="s">
        <v>1086</v>
      </c>
      <c r="C191" s="1404">
        <v>2010</v>
      </c>
      <c r="D191" s="1403">
        <v>1023000</v>
      </c>
      <c r="E191" s="1405">
        <v>1022000</v>
      </c>
      <c r="F191" s="1406">
        <v>15710</v>
      </c>
      <c r="G191" s="1403">
        <v>1.8761000000000001</v>
      </c>
      <c r="H191" s="1405">
        <v>0.14136795000000002</v>
      </c>
      <c r="I191" s="1405">
        <v>3.5802E-5</v>
      </c>
      <c r="J191" s="1406">
        <v>6.1511000000000005</v>
      </c>
    </row>
    <row r="192" spans="2:10" x14ac:dyDescent="0.25">
      <c r="B192" s="1403" t="s">
        <v>716</v>
      </c>
      <c r="C192" s="1404">
        <v>2010</v>
      </c>
      <c r="D192" s="1403">
        <v>1023000</v>
      </c>
      <c r="E192" s="1405">
        <v>1022000</v>
      </c>
      <c r="F192" s="1406">
        <v>15710</v>
      </c>
      <c r="G192" s="1403">
        <v>1.8761000000000001</v>
      </c>
      <c r="H192" s="1405">
        <v>0.14136795000000002</v>
      </c>
      <c r="I192" s="1405">
        <v>3.5802E-5</v>
      </c>
      <c r="J192" s="1406">
        <v>6.1511000000000005</v>
      </c>
    </row>
    <row r="193" spans="2:10" x14ac:dyDescent="0.25">
      <c r="B193" s="1403" t="s">
        <v>717</v>
      </c>
      <c r="C193" s="1404">
        <v>2010</v>
      </c>
      <c r="D193" s="1403">
        <v>1023000</v>
      </c>
      <c r="E193" s="1405">
        <v>1022000</v>
      </c>
      <c r="F193" s="1406">
        <v>15710</v>
      </c>
      <c r="G193" s="1403">
        <v>1.8761000000000001</v>
      </c>
      <c r="H193" s="1405">
        <v>0.14136795000000002</v>
      </c>
      <c r="I193" s="1405">
        <v>3.5802E-5</v>
      </c>
      <c r="J193" s="1406">
        <v>6.1511000000000005</v>
      </c>
    </row>
    <row r="194" spans="2:10" x14ac:dyDescent="0.25">
      <c r="B194" s="1403" t="s">
        <v>911</v>
      </c>
      <c r="C194" s="1404">
        <v>2010</v>
      </c>
      <c r="D194" s="1403">
        <v>1206000</v>
      </c>
      <c r="E194" s="1405">
        <v>1201000</v>
      </c>
      <c r="F194" s="1406">
        <v>1056000</v>
      </c>
      <c r="G194" s="1403">
        <v>18.166999999999998</v>
      </c>
      <c r="H194" s="1405">
        <v>0.18199899999999999</v>
      </c>
      <c r="I194" s="1405">
        <v>2.9639E-4</v>
      </c>
      <c r="J194" s="1406">
        <v>23.741999999999997</v>
      </c>
    </row>
    <row r="195" spans="2:10" x14ac:dyDescent="0.25">
      <c r="B195" s="1403" t="s">
        <v>909</v>
      </c>
      <c r="C195" s="1404">
        <v>2010</v>
      </c>
      <c r="D195" s="1403">
        <v>1687000</v>
      </c>
      <c r="E195" s="1405">
        <v>740000</v>
      </c>
      <c r="F195" s="1406">
        <v>297100</v>
      </c>
      <c r="G195" s="1403">
        <v>42.921999999999997</v>
      </c>
      <c r="H195" s="1405">
        <v>0.12687100000000001</v>
      </c>
      <c r="I195" s="1405">
        <v>2.955E-2</v>
      </c>
      <c r="J195" s="1406">
        <v>50.54</v>
      </c>
    </row>
    <row r="196" spans="2:10" x14ac:dyDescent="0.25">
      <c r="B196" s="1403" t="s">
        <v>912</v>
      </c>
      <c r="C196" s="1404">
        <v>2010</v>
      </c>
      <c r="D196" s="1403">
        <v>1248000</v>
      </c>
      <c r="E196" s="1405">
        <v>1242000</v>
      </c>
      <c r="F196" s="1406">
        <v>1083000</v>
      </c>
      <c r="G196" s="1403">
        <v>24.158999999999999</v>
      </c>
      <c r="H196" s="1405">
        <v>0.18823500000000001</v>
      </c>
      <c r="I196" s="1405">
        <v>3.8572999999999998E-4</v>
      </c>
      <c r="J196" s="1406">
        <v>30.041</v>
      </c>
    </row>
    <row r="197" spans="2:10" x14ac:dyDescent="0.25">
      <c r="B197" s="1403" t="s">
        <v>1080</v>
      </c>
      <c r="C197" s="1404">
        <v>2010</v>
      </c>
      <c r="D197" s="1403">
        <v>1194000</v>
      </c>
      <c r="E197" s="1405">
        <v>56320</v>
      </c>
      <c r="F197" s="1406">
        <v>32080</v>
      </c>
      <c r="G197" s="1403">
        <v>4.2514000000000003</v>
      </c>
      <c r="H197" s="1405">
        <v>9.6048000000000001E-3</v>
      </c>
      <c r="I197" s="1405">
        <v>-3.820487E-3</v>
      </c>
      <c r="J197" s="1406">
        <v>3.5488999999999997</v>
      </c>
    </row>
    <row r="198" spans="2:10" x14ac:dyDescent="0.25">
      <c r="B198" s="1403" t="s">
        <v>815</v>
      </c>
      <c r="C198" s="1404">
        <v>2010</v>
      </c>
      <c r="D198" s="1403">
        <v>1194000</v>
      </c>
      <c r="E198" s="1405">
        <v>56320</v>
      </c>
      <c r="F198" s="1406">
        <v>32080</v>
      </c>
      <c r="G198" s="1403">
        <v>4.2514000000000003</v>
      </c>
      <c r="H198" s="1405">
        <v>9.6048000000000001E-3</v>
      </c>
      <c r="I198" s="1405">
        <v>-3.820487E-3</v>
      </c>
      <c r="J198" s="1406">
        <v>3.5488999999999997</v>
      </c>
    </row>
    <row r="199" spans="2:10" x14ac:dyDescent="0.25">
      <c r="B199" s="1403" t="s">
        <v>824</v>
      </c>
      <c r="C199" s="1404">
        <v>2010</v>
      </c>
      <c r="D199" s="1403">
        <v>1194000</v>
      </c>
      <c r="E199" s="1405">
        <v>56320</v>
      </c>
      <c r="F199" s="1406">
        <v>32080</v>
      </c>
      <c r="G199" s="1403">
        <v>4.2514000000000003</v>
      </c>
      <c r="H199" s="1405">
        <v>9.6048000000000001E-3</v>
      </c>
      <c r="I199" s="1405">
        <v>-3.820487E-3</v>
      </c>
      <c r="J199" s="1406">
        <v>3.5488999999999997</v>
      </c>
    </row>
    <row r="200" spans="2:10" ht="13" thickBot="1" x14ac:dyDescent="0.3">
      <c r="B200" s="1407" t="s">
        <v>1087</v>
      </c>
      <c r="C200" s="1408">
        <v>2010</v>
      </c>
      <c r="D200" s="1407">
        <v>1386000</v>
      </c>
      <c r="E200" s="1409">
        <v>1385000</v>
      </c>
      <c r="F200" s="1410">
        <v>5215</v>
      </c>
      <c r="G200" s="1407">
        <v>78.8352</v>
      </c>
      <c r="H200" s="1409">
        <v>0.27453</v>
      </c>
      <c r="I200" s="1409">
        <v>2.3346E-3</v>
      </c>
      <c r="J200" s="1410">
        <v>87.848799999999997</v>
      </c>
    </row>
    <row r="201" spans="2:10" x14ac:dyDescent="0.25">
      <c r="B201" s="1399" t="s">
        <v>1084</v>
      </c>
      <c r="C201" s="1400">
        <v>2015</v>
      </c>
      <c r="D201" s="1399">
        <v>1093000</v>
      </c>
      <c r="E201" s="1401">
        <v>1092000</v>
      </c>
      <c r="F201" s="1402">
        <v>4020</v>
      </c>
      <c r="G201" s="1399">
        <v>5.8287000000000004</v>
      </c>
      <c r="H201" s="1401">
        <v>0.18472100000000002</v>
      </c>
      <c r="I201" s="1401">
        <v>8.6249999999999999E-4</v>
      </c>
      <c r="J201" s="1402">
        <v>11.659600000000001</v>
      </c>
    </row>
    <row r="202" spans="2:10" x14ac:dyDescent="0.25">
      <c r="B202" s="1403" t="s">
        <v>283</v>
      </c>
      <c r="C202" s="1404">
        <v>2015</v>
      </c>
      <c r="D202" s="1403">
        <v>1093000</v>
      </c>
      <c r="E202" s="1405">
        <v>1092000</v>
      </c>
      <c r="F202" s="1406">
        <v>4020</v>
      </c>
      <c r="G202" s="1403">
        <v>5.8287000000000004</v>
      </c>
      <c r="H202" s="1405">
        <v>0.18472100000000002</v>
      </c>
      <c r="I202" s="1405">
        <v>8.6249999999999999E-4</v>
      </c>
      <c r="J202" s="1406">
        <v>11.659600000000001</v>
      </c>
    </row>
    <row r="203" spans="2:10" x14ac:dyDescent="0.25">
      <c r="B203" s="1403" t="s">
        <v>1085</v>
      </c>
      <c r="C203" s="1404">
        <v>2015</v>
      </c>
      <c r="D203" s="1403">
        <v>1093000</v>
      </c>
      <c r="E203" s="1405">
        <v>1092000</v>
      </c>
      <c r="F203" s="1406">
        <v>4020</v>
      </c>
      <c r="G203" s="1403">
        <v>5.8287000000000004</v>
      </c>
      <c r="H203" s="1405">
        <v>0.18472100000000002</v>
      </c>
      <c r="I203" s="1405">
        <v>8.6249999999999999E-4</v>
      </c>
      <c r="J203" s="1406">
        <v>11.659600000000001</v>
      </c>
    </row>
    <row r="204" spans="2:10" x14ac:dyDescent="0.25">
      <c r="B204" s="1403" t="s">
        <v>681</v>
      </c>
      <c r="C204" s="1404">
        <v>2015</v>
      </c>
      <c r="D204" s="1403">
        <v>1093000</v>
      </c>
      <c r="E204" s="1405">
        <v>1092000</v>
      </c>
      <c r="F204" s="1406">
        <v>4020</v>
      </c>
      <c r="G204" s="1403">
        <v>5.8287000000000004</v>
      </c>
      <c r="H204" s="1405">
        <v>0.18472100000000002</v>
      </c>
      <c r="I204" s="1405">
        <v>8.6249999999999999E-4</v>
      </c>
      <c r="J204" s="1406">
        <v>11.659600000000001</v>
      </c>
    </row>
    <row r="205" spans="2:10" x14ac:dyDescent="0.25">
      <c r="B205" s="1403" t="s">
        <v>682</v>
      </c>
      <c r="C205" s="1404">
        <v>2015</v>
      </c>
      <c r="D205" s="1403">
        <v>-1194000</v>
      </c>
      <c r="E205" s="1405">
        <v>0</v>
      </c>
      <c r="F205" s="1406">
        <v>0</v>
      </c>
      <c r="G205" s="1403">
        <v>-85.789999999999992</v>
      </c>
      <c r="H205" s="1405">
        <v>0.54659999999999997</v>
      </c>
      <c r="I205" s="1405">
        <v>-1.8422E-3</v>
      </c>
      <c r="J205" s="1406">
        <v>-70.099999999999994</v>
      </c>
    </row>
    <row r="206" spans="2:10" x14ac:dyDescent="0.25">
      <c r="B206" s="1403" t="s">
        <v>683</v>
      </c>
      <c r="C206" s="1404">
        <v>2015</v>
      </c>
      <c r="D206" s="1403">
        <v>2038000</v>
      </c>
      <c r="E206" s="1405">
        <v>1688000</v>
      </c>
      <c r="F206" s="1406">
        <v>38920</v>
      </c>
      <c r="G206" s="1403">
        <v>180.61</v>
      </c>
      <c r="H206" s="1405">
        <v>0.25748300000000002</v>
      </c>
      <c r="I206" s="1405">
        <v>2.7356999999999998E-3</v>
      </c>
      <c r="J206" s="1406">
        <v>187.32</v>
      </c>
    </row>
    <row r="207" spans="2:10" x14ac:dyDescent="0.25">
      <c r="B207" s="1403" t="s">
        <v>698</v>
      </c>
      <c r="C207" s="1404">
        <v>2015</v>
      </c>
      <c r="D207" s="1403">
        <v>2038000</v>
      </c>
      <c r="E207" s="1405">
        <v>1688000</v>
      </c>
      <c r="F207" s="1406">
        <v>38920</v>
      </c>
      <c r="G207" s="1403">
        <v>180.61</v>
      </c>
      <c r="H207" s="1405">
        <v>0.25748300000000002</v>
      </c>
      <c r="I207" s="1405">
        <v>2.7356999999999998E-3</v>
      </c>
      <c r="J207" s="1406">
        <v>187.32</v>
      </c>
    </row>
    <row r="208" spans="2:10" x14ac:dyDescent="0.25">
      <c r="B208" s="1403" t="s">
        <v>684</v>
      </c>
      <c r="C208" s="1404">
        <v>2015</v>
      </c>
      <c r="D208" s="1403">
        <v>2038000</v>
      </c>
      <c r="E208" s="1405">
        <v>1688000</v>
      </c>
      <c r="F208" s="1406">
        <v>38920</v>
      </c>
      <c r="G208" s="1403">
        <v>180.61</v>
      </c>
      <c r="H208" s="1405">
        <v>0.25748300000000002</v>
      </c>
      <c r="I208" s="1405">
        <v>2.7356999999999998E-3</v>
      </c>
      <c r="J208" s="1406">
        <v>187.32</v>
      </c>
    </row>
    <row r="209" spans="2:10" x14ac:dyDescent="0.25">
      <c r="B209" s="1403" t="s">
        <v>1086</v>
      </c>
      <c r="C209" s="1404">
        <v>2015</v>
      </c>
      <c r="D209" s="1403">
        <v>1022000</v>
      </c>
      <c r="E209" s="1405">
        <v>1021000</v>
      </c>
      <c r="F209" s="1406">
        <v>15590</v>
      </c>
      <c r="G209" s="1403">
        <v>1.8048999999999999</v>
      </c>
      <c r="H209" s="1405">
        <v>0.14106285999999998</v>
      </c>
      <c r="I209" s="1405">
        <v>3.4603000000000001E-5</v>
      </c>
      <c r="J209" s="1406">
        <v>6.0683999999999996</v>
      </c>
    </row>
    <row r="210" spans="2:10" x14ac:dyDescent="0.25">
      <c r="B210" s="1403" t="s">
        <v>716</v>
      </c>
      <c r="C210" s="1404">
        <v>2015</v>
      </c>
      <c r="D210" s="1403">
        <v>1022000</v>
      </c>
      <c r="E210" s="1405">
        <v>1021000</v>
      </c>
      <c r="F210" s="1406">
        <v>15590</v>
      </c>
      <c r="G210" s="1403">
        <v>1.8048999999999999</v>
      </c>
      <c r="H210" s="1405">
        <v>0.14106285999999998</v>
      </c>
      <c r="I210" s="1405">
        <v>3.4603000000000001E-5</v>
      </c>
      <c r="J210" s="1406">
        <v>6.0683999999999996</v>
      </c>
    </row>
    <row r="211" spans="2:10" x14ac:dyDescent="0.25">
      <c r="B211" s="1403" t="s">
        <v>717</v>
      </c>
      <c r="C211" s="1404">
        <v>2015</v>
      </c>
      <c r="D211" s="1403">
        <v>1022000</v>
      </c>
      <c r="E211" s="1405">
        <v>1021000</v>
      </c>
      <c r="F211" s="1406">
        <v>15590</v>
      </c>
      <c r="G211" s="1403">
        <v>1.8048999999999999</v>
      </c>
      <c r="H211" s="1405">
        <v>0.14106285999999998</v>
      </c>
      <c r="I211" s="1405">
        <v>3.4603000000000001E-5</v>
      </c>
      <c r="J211" s="1406">
        <v>6.0683999999999996</v>
      </c>
    </row>
    <row r="212" spans="2:10" x14ac:dyDescent="0.25">
      <c r="B212" s="1403" t="s">
        <v>911</v>
      </c>
      <c r="C212" s="1404">
        <v>2015</v>
      </c>
      <c r="D212" s="1403">
        <v>1210000</v>
      </c>
      <c r="E212" s="1405">
        <v>1204000</v>
      </c>
      <c r="F212" s="1406">
        <v>1053000</v>
      </c>
      <c r="G212" s="1403">
        <v>18.527999999999999</v>
      </c>
      <c r="H212" s="1405">
        <v>0.16494200000000001</v>
      </c>
      <c r="I212" s="1405">
        <v>2.9771000000000002E-4</v>
      </c>
      <c r="J212" s="1406">
        <v>23.579000000000001</v>
      </c>
    </row>
    <row r="213" spans="2:10" x14ac:dyDescent="0.25">
      <c r="B213" s="1403" t="s">
        <v>909</v>
      </c>
      <c r="C213" s="1404">
        <v>2015</v>
      </c>
      <c r="D213" s="1403">
        <v>1642000</v>
      </c>
      <c r="E213" s="1405">
        <v>724000</v>
      </c>
      <c r="F213" s="1406">
        <v>290600</v>
      </c>
      <c r="G213" s="1403">
        <v>41.042999999999999</v>
      </c>
      <c r="H213" s="1405">
        <v>0.1162</v>
      </c>
      <c r="I213" s="1405">
        <v>2.7609999999999999E-2</v>
      </c>
      <c r="J213" s="1406">
        <v>48.36</v>
      </c>
    </row>
    <row r="214" spans="2:10" x14ac:dyDescent="0.25">
      <c r="B214" s="1403" t="s">
        <v>912</v>
      </c>
      <c r="C214" s="1404">
        <v>2015</v>
      </c>
      <c r="D214" s="1403">
        <v>1252000</v>
      </c>
      <c r="E214" s="1405">
        <v>1245000</v>
      </c>
      <c r="F214" s="1406">
        <v>1081000</v>
      </c>
      <c r="G214" s="1403">
        <v>24.462</v>
      </c>
      <c r="H214" s="1405">
        <v>0.17067199999999999</v>
      </c>
      <c r="I214" s="1405">
        <v>3.8633E-4</v>
      </c>
      <c r="J214" s="1406">
        <v>29.811999999999998</v>
      </c>
    </row>
    <row r="215" spans="2:10" x14ac:dyDescent="0.25">
      <c r="B215" s="1403" t="s">
        <v>1080</v>
      </c>
      <c r="C215" s="1404">
        <v>2015</v>
      </c>
      <c r="D215" s="1403">
        <v>1191000</v>
      </c>
      <c r="E215" s="1405">
        <v>53390</v>
      </c>
      <c r="F215" s="1406">
        <v>29910</v>
      </c>
      <c r="G215" s="1403">
        <v>3.9701</v>
      </c>
      <c r="H215" s="1405">
        <v>8.6864999999999998E-3</v>
      </c>
      <c r="I215" s="1405">
        <v>-3.8232459999999998E-3</v>
      </c>
      <c r="J215" s="1406">
        <v>3.2326999999999999</v>
      </c>
    </row>
    <row r="216" spans="2:10" x14ac:dyDescent="0.25">
      <c r="B216" s="1403" t="s">
        <v>815</v>
      </c>
      <c r="C216" s="1404">
        <v>2015</v>
      </c>
      <c r="D216" s="1403">
        <v>1191000</v>
      </c>
      <c r="E216" s="1405">
        <v>53390</v>
      </c>
      <c r="F216" s="1406">
        <v>29910</v>
      </c>
      <c r="G216" s="1403">
        <v>3.9701</v>
      </c>
      <c r="H216" s="1405">
        <v>8.6864999999999998E-3</v>
      </c>
      <c r="I216" s="1405">
        <v>-3.8232459999999998E-3</v>
      </c>
      <c r="J216" s="1406">
        <v>3.2326999999999999</v>
      </c>
    </row>
    <row r="217" spans="2:10" x14ac:dyDescent="0.25">
      <c r="B217" s="1403" t="s">
        <v>824</v>
      </c>
      <c r="C217" s="1404">
        <v>2015</v>
      </c>
      <c r="D217" s="1403">
        <v>1191000</v>
      </c>
      <c r="E217" s="1405">
        <v>53390</v>
      </c>
      <c r="F217" s="1406">
        <v>29910</v>
      </c>
      <c r="G217" s="1403">
        <v>3.9701</v>
      </c>
      <c r="H217" s="1405">
        <v>8.6864999999999998E-3</v>
      </c>
      <c r="I217" s="1405">
        <v>-3.8232459999999998E-3</v>
      </c>
      <c r="J217" s="1406">
        <v>3.2326999999999999</v>
      </c>
    </row>
    <row r="218" spans="2:10" ht="13" thickBot="1" x14ac:dyDescent="0.3">
      <c r="B218" s="1407" t="s">
        <v>1087</v>
      </c>
      <c r="C218" s="1408">
        <v>2015</v>
      </c>
      <c r="D218" s="1407">
        <v>1385000</v>
      </c>
      <c r="E218" s="1409">
        <v>1384000</v>
      </c>
      <c r="F218" s="1410">
        <v>5105</v>
      </c>
      <c r="G218" s="1407">
        <v>78.707400000000007</v>
      </c>
      <c r="H218" s="1409">
        <v>0.27494000000000002</v>
      </c>
      <c r="I218" s="1409">
        <v>2.3330999999999998E-3</v>
      </c>
      <c r="J218" s="1410">
        <v>87.730800000000002</v>
      </c>
    </row>
    <row r="219" spans="2:10" x14ac:dyDescent="0.25">
      <c r="B219" s="1399" t="s">
        <v>1084</v>
      </c>
      <c r="C219" s="1400">
        <v>2020</v>
      </c>
      <c r="D219" s="1399">
        <v>1093000</v>
      </c>
      <c r="E219" s="1401">
        <v>1092000</v>
      </c>
      <c r="F219" s="1402">
        <v>3993</v>
      </c>
      <c r="G219" s="1399">
        <v>5.7995000000000001</v>
      </c>
      <c r="H219" s="1401">
        <v>0.18462100000000001</v>
      </c>
      <c r="I219" s="1401">
        <v>8.6209999999999998E-4</v>
      </c>
      <c r="J219" s="1402">
        <v>11.6227</v>
      </c>
    </row>
    <row r="220" spans="2:10" x14ac:dyDescent="0.25">
      <c r="B220" s="1403" t="s">
        <v>283</v>
      </c>
      <c r="C220" s="1404">
        <v>2020</v>
      </c>
      <c r="D220" s="1403">
        <v>1093000</v>
      </c>
      <c r="E220" s="1405">
        <v>1092000</v>
      </c>
      <c r="F220" s="1406">
        <v>3993</v>
      </c>
      <c r="G220" s="1403">
        <v>5.7995000000000001</v>
      </c>
      <c r="H220" s="1405">
        <v>0.18462100000000001</v>
      </c>
      <c r="I220" s="1405">
        <v>8.6209999999999998E-4</v>
      </c>
      <c r="J220" s="1406">
        <v>11.6227</v>
      </c>
    </row>
    <row r="221" spans="2:10" x14ac:dyDescent="0.25">
      <c r="B221" s="1403" t="s">
        <v>1085</v>
      </c>
      <c r="C221" s="1404">
        <v>2020</v>
      </c>
      <c r="D221" s="1403">
        <v>1093000</v>
      </c>
      <c r="E221" s="1405">
        <v>1092000</v>
      </c>
      <c r="F221" s="1406">
        <v>3993</v>
      </c>
      <c r="G221" s="1403">
        <v>5.7995000000000001</v>
      </c>
      <c r="H221" s="1405">
        <v>0.18462100000000001</v>
      </c>
      <c r="I221" s="1405">
        <v>8.6209999999999998E-4</v>
      </c>
      <c r="J221" s="1406">
        <v>11.6227</v>
      </c>
    </row>
    <row r="222" spans="2:10" x14ac:dyDescent="0.25">
      <c r="B222" s="1403" t="s">
        <v>681</v>
      </c>
      <c r="C222" s="1404">
        <v>2020</v>
      </c>
      <c r="D222" s="1403">
        <v>1093000</v>
      </c>
      <c r="E222" s="1405">
        <v>1092000</v>
      </c>
      <c r="F222" s="1406">
        <v>3993</v>
      </c>
      <c r="G222" s="1403">
        <v>5.7995000000000001</v>
      </c>
      <c r="H222" s="1405">
        <v>0.18462100000000001</v>
      </c>
      <c r="I222" s="1405">
        <v>8.6209999999999998E-4</v>
      </c>
      <c r="J222" s="1406">
        <v>11.6227</v>
      </c>
    </row>
    <row r="223" spans="2:10" x14ac:dyDescent="0.25">
      <c r="B223" s="1403" t="s">
        <v>682</v>
      </c>
      <c r="C223" s="1404">
        <v>2020</v>
      </c>
      <c r="D223" s="1403">
        <v>-1185000</v>
      </c>
      <c r="E223" s="1405">
        <v>0</v>
      </c>
      <c r="F223" s="1406">
        <v>0</v>
      </c>
      <c r="G223" s="1403">
        <v>-85.800000000000011</v>
      </c>
      <c r="H223" s="1405">
        <v>0.54700000000000004</v>
      </c>
      <c r="I223" s="1405">
        <v>-1.8286999999999999E-3</v>
      </c>
      <c r="J223" s="1406">
        <v>-70.08</v>
      </c>
    </row>
    <row r="224" spans="2:10" x14ac:dyDescent="0.25">
      <c r="B224" s="1403" t="s">
        <v>683</v>
      </c>
      <c r="C224" s="1404">
        <v>2020</v>
      </c>
      <c r="D224" s="1403">
        <v>1866000</v>
      </c>
      <c r="E224" s="1405">
        <v>1484000</v>
      </c>
      <c r="F224" s="1406">
        <v>26490</v>
      </c>
      <c r="G224" s="1403">
        <v>161.61000000000001</v>
      </c>
      <c r="H224" s="1405">
        <v>0.22423899999999999</v>
      </c>
      <c r="I224" s="1405">
        <v>2.4153E-3</v>
      </c>
      <c r="J224" s="1406">
        <v>168.06</v>
      </c>
    </row>
    <row r="225" spans="2:10" x14ac:dyDescent="0.25">
      <c r="B225" s="1403" t="s">
        <v>698</v>
      </c>
      <c r="C225" s="1404">
        <v>2020</v>
      </c>
      <c r="D225" s="1403">
        <v>1866000</v>
      </c>
      <c r="E225" s="1405">
        <v>1484000</v>
      </c>
      <c r="F225" s="1406">
        <v>26490</v>
      </c>
      <c r="G225" s="1403">
        <v>161.61000000000001</v>
      </c>
      <c r="H225" s="1405">
        <v>0.22423899999999999</v>
      </c>
      <c r="I225" s="1405">
        <v>2.4153E-3</v>
      </c>
      <c r="J225" s="1406">
        <v>168.06</v>
      </c>
    </row>
    <row r="226" spans="2:10" x14ac:dyDescent="0.25">
      <c r="B226" s="1403" t="s">
        <v>684</v>
      </c>
      <c r="C226" s="1404">
        <v>2020</v>
      </c>
      <c r="D226" s="1403">
        <v>1866000</v>
      </c>
      <c r="E226" s="1405">
        <v>1484000</v>
      </c>
      <c r="F226" s="1406">
        <v>26490</v>
      </c>
      <c r="G226" s="1403">
        <v>161.61000000000001</v>
      </c>
      <c r="H226" s="1405">
        <v>0.22423899999999999</v>
      </c>
      <c r="I226" s="1405">
        <v>2.4153E-3</v>
      </c>
      <c r="J226" s="1406">
        <v>168.06</v>
      </c>
    </row>
    <row r="227" spans="2:10" x14ac:dyDescent="0.25">
      <c r="B227" s="1403" t="s">
        <v>1086</v>
      </c>
      <c r="C227" s="1404">
        <v>2020</v>
      </c>
      <c r="D227" s="1403">
        <v>1022000</v>
      </c>
      <c r="E227" s="1405">
        <v>1021000</v>
      </c>
      <c r="F227" s="1406">
        <v>15530</v>
      </c>
      <c r="G227" s="1403">
        <v>1.7706</v>
      </c>
      <c r="H227" s="1405">
        <v>0.14096106</v>
      </c>
      <c r="I227" s="1405">
        <v>3.4058000000000005E-5</v>
      </c>
      <c r="J227" s="1406">
        <v>6.0322999999999993</v>
      </c>
    </row>
    <row r="228" spans="2:10" x14ac:dyDescent="0.25">
      <c r="B228" s="1403" t="s">
        <v>716</v>
      </c>
      <c r="C228" s="1404">
        <v>2020</v>
      </c>
      <c r="D228" s="1403">
        <v>1022000</v>
      </c>
      <c r="E228" s="1405">
        <v>1021000</v>
      </c>
      <c r="F228" s="1406">
        <v>15530</v>
      </c>
      <c r="G228" s="1403">
        <v>1.7706</v>
      </c>
      <c r="H228" s="1405">
        <v>0.14096106</v>
      </c>
      <c r="I228" s="1405">
        <v>3.4058000000000005E-5</v>
      </c>
      <c r="J228" s="1406">
        <v>6.0322999999999993</v>
      </c>
    </row>
    <row r="229" spans="2:10" x14ac:dyDescent="0.25">
      <c r="B229" s="1403" t="s">
        <v>717</v>
      </c>
      <c r="C229" s="1404">
        <v>2020</v>
      </c>
      <c r="D229" s="1403">
        <v>1022000</v>
      </c>
      <c r="E229" s="1405">
        <v>1021000</v>
      </c>
      <c r="F229" s="1406">
        <v>15530</v>
      </c>
      <c r="G229" s="1403">
        <v>1.7706</v>
      </c>
      <c r="H229" s="1405">
        <v>0.14096106</v>
      </c>
      <c r="I229" s="1405">
        <v>3.4058000000000005E-5</v>
      </c>
      <c r="J229" s="1406">
        <v>6.0322999999999993</v>
      </c>
    </row>
    <row r="230" spans="2:10" x14ac:dyDescent="0.25">
      <c r="B230" s="1403" t="s">
        <v>911</v>
      </c>
      <c r="C230" s="1404">
        <v>2020</v>
      </c>
      <c r="D230" s="1403">
        <v>1211000</v>
      </c>
      <c r="E230" s="1405">
        <v>1205000</v>
      </c>
      <c r="F230" s="1406">
        <v>1052000</v>
      </c>
      <c r="G230" s="1403">
        <v>18.605999999999998</v>
      </c>
      <c r="H230" s="1405">
        <v>0.162991</v>
      </c>
      <c r="I230" s="1405">
        <v>3.0018999999999998E-4</v>
      </c>
      <c r="J230" s="1406">
        <v>23.607999999999997</v>
      </c>
    </row>
    <row r="231" spans="2:10" x14ac:dyDescent="0.25">
      <c r="B231" s="1403" t="s">
        <v>909</v>
      </c>
      <c r="C231" s="1404">
        <v>2020</v>
      </c>
      <c r="D231" s="1403">
        <v>1591000</v>
      </c>
      <c r="E231" s="1405">
        <v>703100</v>
      </c>
      <c r="F231" s="1406">
        <v>286400</v>
      </c>
      <c r="G231" s="1403">
        <v>39.366999999999997</v>
      </c>
      <c r="H231" s="1405">
        <v>0.11210000000000001</v>
      </c>
      <c r="I231" s="1405">
        <v>2.5360000000000001E-2</v>
      </c>
      <c r="J231" s="1406">
        <v>46.16</v>
      </c>
    </row>
    <row r="232" spans="2:10" x14ac:dyDescent="0.25">
      <c r="B232" s="1403" t="s">
        <v>912</v>
      </c>
      <c r="C232" s="1404">
        <v>2020</v>
      </c>
      <c r="D232" s="1403">
        <v>1252000</v>
      </c>
      <c r="E232" s="1405">
        <v>1245000</v>
      </c>
      <c r="F232" s="1406">
        <v>1078000</v>
      </c>
      <c r="G232" s="1403">
        <v>24.533999999999999</v>
      </c>
      <c r="H232" s="1405">
        <v>0.16861900000000002</v>
      </c>
      <c r="I232" s="1405">
        <v>3.8906999999999999E-4</v>
      </c>
      <c r="J232" s="1406">
        <v>29.833999999999996</v>
      </c>
    </row>
    <row r="233" spans="2:10" x14ac:dyDescent="0.25">
      <c r="B233" s="1403" t="s">
        <v>1080</v>
      </c>
      <c r="C233" s="1404">
        <v>2020</v>
      </c>
      <c r="D233" s="1403">
        <v>1190000</v>
      </c>
      <c r="E233" s="1405">
        <v>52190</v>
      </c>
      <c r="F233" s="1406">
        <v>29260</v>
      </c>
      <c r="G233" s="1403">
        <v>3.8701999999999996</v>
      </c>
      <c r="H233" s="1405">
        <v>8.4535000000000009E-3</v>
      </c>
      <c r="I233" s="1405">
        <v>-3.824488E-3</v>
      </c>
      <c r="J233" s="1406">
        <v>3.1251000000000002</v>
      </c>
    </row>
    <row r="234" spans="2:10" x14ac:dyDescent="0.25">
      <c r="B234" s="1403" t="s">
        <v>815</v>
      </c>
      <c r="C234" s="1404">
        <v>2020</v>
      </c>
      <c r="D234" s="1403">
        <v>1190000</v>
      </c>
      <c r="E234" s="1405">
        <v>52190</v>
      </c>
      <c r="F234" s="1406">
        <v>29260</v>
      </c>
      <c r="G234" s="1403">
        <v>3.8701999999999996</v>
      </c>
      <c r="H234" s="1405">
        <v>8.4535000000000009E-3</v>
      </c>
      <c r="I234" s="1405">
        <v>-3.824488E-3</v>
      </c>
      <c r="J234" s="1406">
        <v>3.1251000000000002</v>
      </c>
    </row>
    <row r="235" spans="2:10" x14ac:dyDescent="0.25">
      <c r="B235" s="1403" t="s">
        <v>824</v>
      </c>
      <c r="C235" s="1404">
        <v>2020</v>
      </c>
      <c r="D235" s="1403">
        <v>1190000</v>
      </c>
      <c r="E235" s="1405">
        <v>52190</v>
      </c>
      <c r="F235" s="1406">
        <v>29260</v>
      </c>
      <c r="G235" s="1403">
        <v>3.8701999999999996</v>
      </c>
      <c r="H235" s="1405">
        <v>8.4535000000000009E-3</v>
      </c>
      <c r="I235" s="1405">
        <v>-3.824488E-3</v>
      </c>
      <c r="J235" s="1406">
        <v>3.1251000000000002</v>
      </c>
    </row>
    <row r="236" spans="2:10" ht="13" thickBot="1" x14ac:dyDescent="0.3">
      <c r="B236" s="1407" t="s">
        <v>1087</v>
      </c>
      <c r="C236" s="1408">
        <v>2020</v>
      </c>
      <c r="D236" s="1407">
        <v>1384000</v>
      </c>
      <c r="E236" s="1409">
        <v>1384000</v>
      </c>
      <c r="F236" s="1410">
        <v>5066</v>
      </c>
      <c r="G236" s="1407">
        <v>78.656899999999993</v>
      </c>
      <c r="H236" s="1409">
        <v>0.27494000000000002</v>
      </c>
      <c r="I236" s="1409">
        <v>2.3319E-3</v>
      </c>
      <c r="J236" s="1410">
        <v>87.680599999999998</v>
      </c>
    </row>
    <row r="237" spans="2:10" x14ac:dyDescent="0.25">
      <c r="B237" s="1399" t="s">
        <v>1084</v>
      </c>
      <c r="C237" s="1400">
        <v>2025</v>
      </c>
      <c r="D237" s="1399">
        <v>1093000</v>
      </c>
      <c r="E237" s="1401">
        <v>1092000</v>
      </c>
      <c r="F237" s="1402">
        <v>3984</v>
      </c>
      <c r="G237" s="1399">
        <v>5.7702</v>
      </c>
      <c r="H237" s="1401">
        <v>0.18462100000000001</v>
      </c>
      <c r="I237" s="1401">
        <v>8.6159999999999991E-4</v>
      </c>
      <c r="J237" s="1402">
        <v>11.5953</v>
      </c>
    </row>
    <row r="238" spans="2:10" x14ac:dyDescent="0.25">
      <c r="B238" s="1403" t="s">
        <v>283</v>
      </c>
      <c r="C238" s="1404">
        <v>2025</v>
      </c>
      <c r="D238" s="1403">
        <v>1093000</v>
      </c>
      <c r="E238" s="1405">
        <v>1092000</v>
      </c>
      <c r="F238" s="1406">
        <v>3984</v>
      </c>
      <c r="G238" s="1403">
        <v>5.7702</v>
      </c>
      <c r="H238" s="1405">
        <v>0.18462100000000001</v>
      </c>
      <c r="I238" s="1405">
        <v>8.6159999999999991E-4</v>
      </c>
      <c r="J238" s="1406">
        <v>11.5953</v>
      </c>
    </row>
    <row r="239" spans="2:10" x14ac:dyDescent="0.25">
      <c r="B239" s="1403" t="s">
        <v>1085</v>
      </c>
      <c r="C239" s="1404">
        <v>2025</v>
      </c>
      <c r="D239" s="1403">
        <v>1093000</v>
      </c>
      <c r="E239" s="1405">
        <v>1092000</v>
      </c>
      <c r="F239" s="1406">
        <v>3984</v>
      </c>
      <c r="G239" s="1403">
        <v>5.7702</v>
      </c>
      <c r="H239" s="1405">
        <v>0.18462100000000001</v>
      </c>
      <c r="I239" s="1405">
        <v>8.6159999999999991E-4</v>
      </c>
      <c r="J239" s="1406">
        <v>11.5953</v>
      </c>
    </row>
    <row r="240" spans="2:10" x14ac:dyDescent="0.25">
      <c r="B240" s="1403" t="s">
        <v>681</v>
      </c>
      <c r="C240" s="1404">
        <v>2025</v>
      </c>
      <c r="D240" s="1403">
        <v>1093000</v>
      </c>
      <c r="E240" s="1405">
        <v>1092000</v>
      </c>
      <c r="F240" s="1406">
        <v>3984</v>
      </c>
      <c r="G240" s="1403">
        <v>5.7702</v>
      </c>
      <c r="H240" s="1405">
        <v>0.18462100000000001</v>
      </c>
      <c r="I240" s="1405">
        <v>8.6159999999999991E-4</v>
      </c>
      <c r="J240" s="1406">
        <v>11.5953</v>
      </c>
    </row>
    <row r="241" spans="2:10" x14ac:dyDescent="0.25">
      <c r="B241" s="1403" t="s">
        <v>682</v>
      </c>
      <c r="C241" s="1404">
        <v>2025</v>
      </c>
      <c r="D241" s="1403">
        <v>-1185000</v>
      </c>
      <c r="E241" s="1405">
        <v>0</v>
      </c>
      <c r="F241" s="1406">
        <v>0</v>
      </c>
      <c r="G241" s="1403">
        <v>-85.800000000000011</v>
      </c>
      <c r="H241" s="1405">
        <v>0.54700000000000004</v>
      </c>
      <c r="I241" s="1405">
        <v>-1.8286999999999999E-3</v>
      </c>
      <c r="J241" s="1406">
        <v>-70.08</v>
      </c>
    </row>
    <row r="242" spans="2:10" x14ac:dyDescent="0.25">
      <c r="B242" s="1403" t="s">
        <v>683</v>
      </c>
      <c r="C242" s="1404">
        <v>2025</v>
      </c>
      <c r="D242" s="1403">
        <v>1787000</v>
      </c>
      <c r="E242" s="1405">
        <v>1356000</v>
      </c>
      <c r="F242" s="1406">
        <v>23200</v>
      </c>
      <c r="G242" s="1403">
        <v>145.11000000000001</v>
      </c>
      <c r="H242" s="1405">
        <v>0.20658799999999999</v>
      </c>
      <c r="I242" s="1405">
        <v>2.1538999999999998E-3</v>
      </c>
      <c r="J242" s="1406">
        <v>150.89999999999998</v>
      </c>
    </row>
    <row r="243" spans="2:10" x14ac:dyDescent="0.25">
      <c r="B243" s="1403" t="s">
        <v>698</v>
      </c>
      <c r="C243" s="1404">
        <v>2025</v>
      </c>
      <c r="D243" s="1403">
        <v>1787000</v>
      </c>
      <c r="E243" s="1405">
        <v>1356000</v>
      </c>
      <c r="F243" s="1406">
        <v>23200</v>
      </c>
      <c r="G243" s="1403">
        <v>145.11000000000001</v>
      </c>
      <c r="H243" s="1405">
        <v>0.20658799999999999</v>
      </c>
      <c r="I243" s="1405">
        <v>2.1538999999999998E-3</v>
      </c>
      <c r="J243" s="1406">
        <v>150.89999999999998</v>
      </c>
    </row>
    <row r="244" spans="2:10" x14ac:dyDescent="0.25">
      <c r="B244" s="1403" t="s">
        <v>684</v>
      </c>
      <c r="C244" s="1404">
        <v>2025</v>
      </c>
      <c r="D244" s="1403">
        <v>1787000</v>
      </c>
      <c r="E244" s="1405">
        <v>1356000</v>
      </c>
      <c r="F244" s="1406">
        <v>23200</v>
      </c>
      <c r="G244" s="1403">
        <v>145.11000000000001</v>
      </c>
      <c r="H244" s="1405">
        <v>0.20658799999999999</v>
      </c>
      <c r="I244" s="1405">
        <v>2.1538999999999998E-3</v>
      </c>
      <c r="J244" s="1406">
        <v>150.89999999999998</v>
      </c>
    </row>
    <row r="245" spans="2:10" x14ac:dyDescent="0.25">
      <c r="B245" s="1403" t="s">
        <v>1086</v>
      </c>
      <c r="C245" s="1404">
        <v>2025</v>
      </c>
      <c r="D245" s="1403">
        <v>1022000</v>
      </c>
      <c r="E245" s="1405">
        <v>1021000</v>
      </c>
      <c r="F245" s="1406">
        <v>15530</v>
      </c>
      <c r="G245" s="1403">
        <v>1.7374000000000001</v>
      </c>
      <c r="H245" s="1405">
        <v>0.14096106999999999</v>
      </c>
      <c r="I245" s="1405">
        <v>3.3522000000000002E-5</v>
      </c>
      <c r="J245" s="1406">
        <v>5.9969999999999999</v>
      </c>
    </row>
    <row r="246" spans="2:10" x14ac:dyDescent="0.25">
      <c r="B246" s="1403" t="s">
        <v>716</v>
      </c>
      <c r="C246" s="1404">
        <v>2025</v>
      </c>
      <c r="D246" s="1403">
        <v>1022000</v>
      </c>
      <c r="E246" s="1405">
        <v>1021000</v>
      </c>
      <c r="F246" s="1406">
        <v>15530</v>
      </c>
      <c r="G246" s="1403">
        <v>1.7374000000000001</v>
      </c>
      <c r="H246" s="1405">
        <v>0.14096106999999999</v>
      </c>
      <c r="I246" s="1405">
        <v>3.3522000000000002E-5</v>
      </c>
      <c r="J246" s="1406">
        <v>5.9969999999999999</v>
      </c>
    </row>
    <row r="247" spans="2:10" x14ac:dyDescent="0.25">
      <c r="B247" s="1403" t="s">
        <v>717</v>
      </c>
      <c r="C247" s="1404">
        <v>2025</v>
      </c>
      <c r="D247" s="1403">
        <v>1022000</v>
      </c>
      <c r="E247" s="1405">
        <v>1021000</v>
      </c>
      <c r="F247" s="1406">
        <v>15530</v>
      </c>
      <c r="G247" s="1403">
        <v>1.7374000000000001</v>
      </c>
      <c r="H247" s="1405">
        <v>0.14096106999999999</v>
      </c>
      <c r="I247" s="1405">
        <v>3.3522000000000002E-5</v>
      </c>
      <c r="J247" s="1406">
        <v>5.9969999999999999</v>
      </c>
    </row>
    <row r="248" spans="2:10" x14ac:dyDescent="0.25">
      <c r="B248" s="1403" t="s">
        <v>911</v>
      </c>
      <c r="C248" s="1404">
        <v>2025</v>
      </c>
      <c r="D248" s="1403">
        <v>1210000</v>
      </c>
      <c r="E248" s="1405">
        <v>1203000</v>
      </c>
      <c r="F248" s="1406">
        <v>1052000</v>
      </c>
      <c r="G248" s="1403">
        <v>18.323</v>
      </c>
      <c r="H248" s="1405">
        <v>0.16309799999999999</v>
      </c>
      <c r="I248" s="1405">
        <v>2.9605000000000001E-4</v>
      </c>
      <c r="J248" s="1406">
        <v>23.334</v>
      </c>
    </row>
    <row r="249" spans="2:10" x14ac:dyDescent="0.25">
      <c r="B249" s="1403" t="s">
        <v>909</v>
      </c>
      <c r="C249" s="1404">
        <v>2025</v>
      </c>
      <c r="D249" s="1403">
        <v>1588000</v>
      </c>
      <c r="E249" s="1405">
        <v>698600</v>
      </c>
      <c r="F249" s="1406">
        <v>286300</v>
      </c>
      <c r="G249" s="1403">
        <v>38.775999999999996</v>
      </c>
      <c r="H249" s="1405">
        <v>0.1116</v>
      </c>
      <c r="I249" s="1405">
        <v>2.5360000000000001E-2</v>
      </c>
      <c r="J249" s="1406">
        <v>45.71</v>
      </c>
    </row>
    <row r="250" spans="2:10" x14ac:dyDescent="0.25">
      <c r="B250" s="1403" t="s">
        <v>912</v>
      </c>
      <c r="C250" s="1404">
        <v>2025</v>
      </c>
      <c r="D250" s="1403">
        <v>1251000</v>
      </c>
      <c r="E250" s="1405">
        <v>1243000</v>
      </c>
      <c r="F250" s="1406">
        <v>1078000</v>
      </c>
      <c r="G250" s="1403">
        <v>24.223999999999997</v>
      </c>
      <c r="H250" s="1405">
        <v>0.16872600000000001</v>
      </c>
      <c r="I250" s="1405">
        <v>3.8451000000000002E-4</v>
      </c>
      <c r="J250" s="1406">
        <v>29.523000000000003</v>
      </c>
    </row>
    <row r="251" spans="2:10" x14ac:dyDescent="0.25">
      <c r="B251" s="1403" t="s">
        <v>1080</v>
      </c>
      <c r="C251" s="1404">
        <v>2025</v>
      </c>
      <c r="D251" s="1403">
        <v>1190000</v>
      </c>
      <c r="E251" s="1405">
        <v>51790</v>
      </c>
      <c r="F251" s="1406">
        <v>29250</v>
      </c>
      <c r="G251" s="1403">
        <v>3.8201000000000001</v>
      </c>
      <c r="H251" s="1405">
        <v>8.410599999999999E-3</v>
      </c>
      <c r="I251" s="1405">
        <v>-3.8247120000000001E-3</v>
      </c>
      <c r="J251" s="1406">
        <v>3.0718000000000001</v>
      </c>
    </row>
    <row r="252" spans="2:10" x14ac:dyDescent="0.25">
      <c r="B252" s="1403" t="s">
        <v>815</v>
      </c>
      <c r="C252" s="1404">
        <v>2025</v>
      </c>
      <c r="D252" s="1403">
        <v>1190000</v>
      </c>
      <c r="E252" s="1405">
        <v>51790</v>
      </c>
      <c r="F252" s="1406">
        <v>29250</v>
      </c>
      <c r="G252" s="1403">
        <v>3.8201000000000001</v>
      </c>
      <c r="H252" s="1405">
        <v>8.410599999999999E-3</v>
      </c>
      <c r="I252" s="1405">
        <v>-3.8247120000000001E-3</v>
      </c>
      <c r="J252" s="1406">
        <v>3.0718000000000001</v>
      </c>
    </row>
    <row r="253" spans="2:10" x14ac:dyDescent="0.25">
      <c r="B253" s="1403" t="s">
        <v>824</v>
      </c>
      <c r="C253" s="1404">
        <v>2025</v>
      </c>
      <c r="D253" s="1403">
        <v>1190000</v>
      </c>
      <c r="E253" s="1405">
        <v>51790</v>
      </c>
      <c r="F253" s="1406">
        <v>29250</v>
      </c>
      <c r="G253" s="1403">
        <v>3.8201000000000001</v>
      </c>
      <c r="H253" s="1405">
        <v>8.410599999999999E-3</v>
      </c>
      <c r="I253" s="1405">
        <v>-3.8247120000000001E-3</v>
      </c>
      <c r="J253" s="1406">
        <v>3.0718000000000001</v>
      </c>
    </row>
    <row r="254" spans="2:10" ht="13" thickBot="1" x14ac:dyDescent="0.3">
      <c r="B254" s="1407" t="s">
        <v>1087</v>
      </c>
      <c r="C254" s="1408">
        <v>2025</v>
      </c>
      <c r="D254" s="1407">
        <v>1384000</v>
      </c>
      <c r="E254" s="1409">
        <v>1383000</v>
      </c>
      <c r="F254" s="1410">
        <v>5053</v>
      </c>
      <c r="G254" s="1407">
        <v>78.616100000000003</v>
      </c>
      <c r="H254" s="1409">
        <v>0.27494000000000002</v>
      </c>
      <c r="I254" s="1409">
        <v>2.3316999999999999E-3</v>
      </c>
      <c r="J254" s="1410">
        <v>87.639700000000005</v>
      </c>
    </row>
    <row r="255" spans="2:10" x14ac:dyDescent="0.25">
      <c r="B255" s="1399" t="s">
        <v>1084</v>
      </c>
      <c r="C255" s="1400">
        <v>2030</v>
      </c>
      <c r="D255" s="1399">
        <v>1092000</v>
      </c>
      <c r="E255" s="1401">
        <v>1092000</v>
      </c>
      <c r="F255" s="1402">
        <v>3981</v>
      </c>
      <c r="G255" s="1399">
        <v>5.7552000000000003</v>
      </c>
      <c r="H255" s="1401">
        <v>0.18462100000000001</v>
      </c>
      <c r="I255" s="1401">
        <v>8.6129999999999996E-4</v>
      </c>
      <c r="J255" s="1402">
        <v>11.5802</v>
      </c>
    </row>
    <row r="256" spans="2:10" x14ac:dyDescent="0.25">
      <c r="B256" s="1403" t="s">
        <v>283</v>
      </c>
      <c r="C256" s="1404">
        <v>2030</v>
      </c>
      <c r="D256" s="1403">
        <v>1092000</v>
      </c>
      <c r="E256" s="1405">
        <v>1092000</v>
      </c>
      <c r="F256" s="1406">
        <v>3981</v>
      </c>
      <c r="G256" s="1403">
        <v>5.7552000000000003</v>
      </c>
      <c r="H256" s="1405">
        <v>0.18462100000000001</v>
      </c>
      <c r="I256" s="1405">
        <v>8.6129999999999996E-4</v>
      </c>
      <c r="J256" s="1406">
        <v>11.5802</v>
      </c>
    </row>
    <row r="257" spans="2:10" x14ac:dyDescent="0.25">
      <c r="B257" s="1403" t="s">
        <v>1085</v>
      </c>
      <c r="C257" s="1404">
        <v>2030</v>
      </c>
      <c r="D257" s="1403">
        <v>1092000</v>
      </c>
      <c r="E257" s="1405">
        <v>1092000</v>
      </c>
      <c r="F257" s="1406">
        <v>3981</v>
      </c>
      <c r="G257" s="1403">
        <v>5.7552000000000003</v>
      </c>
      <c r="H257" s="1405">
        <v>0.18462100000000001</v>
      </c>
      <c r="I257" s="1405">
        <v>8.6129999999999996E-4</v>
      </c>
      <c r="J257" s="1406">
        <v>11.5802</v>
      </c>
    </row>
    <row r="258" spans="2:10" x14ac:dyDescent="0.25">
      <c r="B258" s="1403" t="s">
        <v>681</v>
      </c>
      <c r="C258" s="1404">
        <v>2030</v>
      </c>
      <c r="D258" s="1403">
        <v>1092000</v>
      </c>
      <c r="E258" s="1405">
        <v>1092000</v>
      </c>
      <c r="F258" s="1406">
        <v>3981</v>
      </c>
      <c r="G258" s="1403">
        <v>5.7552000000000003</v>
      </c>
      <c r="H258" s="1405">
        <v>0.18462100000000001</v>
      </c>
      <c r="I258" s="1405">
        <v>8.6129999999999996E-4</v>
      </c>
      <c r="J258" s="1406">
        <v>11.5802</v>
      </c>
    </row>
    <row r="259" spans="2:10" x14ac:dyDescent="0.25">
      <c r="B259" s="1403" t="s">
        <v>682</v>
      </c>
      <c r="C259" s="1404">
        <v>2030</v>
      </c>
      <c r="D259" s="1403">
        <v>-1185000</v>
      </c>
      <c r="E259" s="1405">
        <v>0</v>
      </c>
      <c r="F259" s="1406">
        <v>0</v>
      </c>
      <c r="G259" s="1403">
        <v>-85.800000000000011</v>
      </c>
      <c r="H259" s="1405">
        <v>0.54700000000000004</v>
      </c>
      <c r="I259" s="1405">
        <v>-1.8286999999999999E-3</v>
      </c>
      <c r="J259" s="1406">
        <v>-70.08</v>
      </c>
    </row>
    <row r="260" spans="2:10" x14ac:dyDescent="0.25">
      <c r="B260" s="1403" t="s">
        <v>683</v>
      </c>
      <c r="C260" s="1404">
        <v>2030</v>
      </c>
      <c r="D260" s="1403">
        <v>1749000</v>
      </c>
      <c r="E260" s="1405">
        <v>1310000</v>
      </c>
      <c r="F260" s="1406">
        <v>19790</v>
      </c>
      <c r="G260" s="1403">
        <v>134.88</v>
      </c>
      <c r="H260" s="1405">
        <v>0.20275799999999999</v>
      </c>
      <c r="I260" s="1405">
        <v>1.9713E-3</v>
      </c>
      <c r="J260" s="1406">
        <v>140.09</v>
      </c>
    </row>
    <row r="261" spans="2:10" x14ac:dyDescent="0.25">
      <c r="B261" s="1403" t="s">
        <v>698</v>
      </c>
      <c r="C261" s="1404">
        <v>2030</v>
      </c>
      <c r="D261" s="1403">
        <v>1749000</v>
      </c>
      <c r="E261" s="1405">
        <v>1310000</v>
      </c>
      <c r="F261" s="1406">
        <v>19790</v>
      </c>
      <c r="G261" s="1403">
        <v>134.88</v>
      </c>
      <c r="H261" s="1405">
        <v>0.20275799999999999</v>
      </c>
      <c r="I261" s="1405">
        <v>1.9713E-3</v>
      </c>
      <c r="J261" s="1406">
        <v>140.09</v>
      </c>
    </row>
    <row r="262" spans="2:10" x14ac:dyDescent="0.25">
      <c r="B262" s="1403" t="s">
        <v>684</v>
      </c>
      <c r="C262" s="1404">
        <v>2030</v>
      </c>
      <c r="D262" s="1403">
        <v>1749000</v>
      </c>
      <c r="E262" s="1405">
        <v>1310000</v>
      </c>
      <c r="F262" s="1406">
        <v>19790</v>
      </c>
      <c r="G262" s="1403">
        <v>134.88</v>
      </c>
      <c r="H262" s="1405">
        <v>0.20275799999999999</v>
      </c>
      <c r="I262" s="1405">
        <v>1.9713E-3</v>
      </c>
      <c r="J262" s="1406">
        <v>140.09</v>
      </c>
    </row>
    <row r="263" spans="2:10" x14ac:dyDescent="0.25">
      <c r="B263" s="1403" t="s">
        <v>1086</v>
      </c>
      <c r="C263" s="1404">
        <v>2030</v>
      </c>
      <c r="D263" s="1403">
        <v>1022000</v>
      </c>
      <c r="E263" s="1405">
        <v>1021000</v>
      </c>
      <c r="F263" s="1406">
        <v>15520</v>
      </c>
      <c r="G263" s="1403">
        <v>1.716</v>
      </c>
      <c r="H263" s="1405">
        <v>0.14096175</v>
      </c>
      <c r="I263" s="1405">
        <v>3.3149000000000004E-5</v>
      </c>
      <c r="J263" s="1406">
        <v>5.9754000000000005</v>
      </c>
    </row>
    <row r="264" spans="2:10" x14ac:dyDescent="0.25">
      <c r="B264" s="1403" t="s">
        <v>716</v>
      </c>
      <c r="C264" s="1404">
        <v>2030</v>
      </c>
      <c r="D264" s="1403">
        <v>1022000</v>
      </c>
      <c r="E264" s="1405">
        <v>1021000</v>
      </c>
      <c r="F264" s="1406">
        <v>15520</v>
      </c>
      <c r="G264" s="1403">
        <v>1.716</v>
      </c>
      <c r="H264" s="1405">
        <v>0.14096175</v>
      </c>
      <c r="I264" s="1405">
        <v>3.3149000000000004E-5</v>
      </c>
      <c r="J264" s="1406">
        <v>5.9754000000000005</v>
      </c>
    </row>
    <row r="265" spans="2:10" x14ac:dyDescent="0.25">
      <c r="B265" s="1403" t="s">
        <v>717</v>
      </c>
      <c r="C265" s="1404">
        <v>2030</v>
      </c>
      <c r="D265" s="1403">
        <v>1022000</v>
      </c>
      <c r="E265" s="1405">
        <v>1021000</v>
      </c>
      <c r="F265" s="1406">
        <v>15520</v>
      </c>
      <c r="G265" s="1403">
        <v>1.716</v>
      </c>
      <c r="H265" s="1405">
        <v>0.14096175</v>
      </c>
      <c r="I265" s="1405">
        <v>3.3149000000000004E-5</v>
      </c>
      <c r="J265" s="1406">
        <v>5.9754000000000005</v>
      </c>
    </row>
    <row r="266" spans="2:10" x14ac:dyDescent="0.25">
      <c r="B266" s="1403" t="s">
        <v>911</v>
      </c>
      <c r="C266" s="1404">
        <v>2030</v>
      </c>
      <c r="D266" s="1403">
        <v>1209000</v>
      </c>
      <c r="E266" s="1405">
        <v>1202000</v>
      </c>
      <c r="F266" s="1406">
        <v>1052000</v>
      </c>
      <c r="G266" s="1403">
        <v>18.120999999999999</v>
      </c>
      <c r="H266" s="1405">
        <v>0.16412299999999999</v>
      </c>
      <c r="I266" s="1405">
        <v>2.9339999999999998E-4</v>
      </c>
      <c r="J266" s="1406">
        <v>23.162000000000003</v>
      </c>
    </row>
    <row r="267" spans="2:10" x14ac:dyDescent="0.25">
      <c r="B267" s="1403" t="s">
        <v>909</v>
      </c>
      <c r="C267" s="1404">
        <v>2030</v>
      </c>
      <c r="D267" s="1403">
        <v>1586000</v>
      </c>
      <c r="E267" s="1405">
        <v>697000</v>
      </c>
      <c r="F267" s="1406">
        <v>286200</v>
      </c>
      <c r="G267" s="1403">
        <v>38.404000000000003</v>
      </c>
      <c r="H267" s="1405">
        <v>0.1118</v>
      </c>
      <c r="I267" s="1405">
        <v>2.5350000000000001E-2</v>
      </c>
      <c r="J267" s="1406">
        <v>45.44</v>
      </c>
    </row>
    <row r="268" spans="2:10" x14ac:dyDescent="0.25">
      <c r="B268" s="1403" t="s">
        <v>912</v>
      </c>
      <c r="C268" s="1404">
        <v>2030</v>
      </c>
      <c r="D268" s="1403">
        <v>1250000</v>
      </c>
      <c r="E268" s="1405">
        <v>1242000</v>
      </c>
      <c r="F268" s="1406">
        <v>1078000</v>
      </c>
      <c r="G268" s="1403">
        <v>24.006999999999998</v>
      </c>
      <c r="H268" s="1405">
        <v>0.16975200000000001</v>
      </c>
      <c r="I268" s="1405">
        <v>3.8147000000000002E-4</v>
      </c>
      <c r="J268" s="1406">
        <v>29.335999999999999</v>
      </c>
    </row>
    <row r="269" spans="2:10" x14ac:dyDescent="0.25">
      <c r="B269" s="1403" t="s">
        <v>1080</v>
      </c>
      <c r="C269" s="1404">
        <v>2030</v>
      </c>
      <c r="D269" s="1403">
        <v>1190000</v>
      </c>
      <c r="E269" s="1405">
        <v>51650</v>
      </c>
      <c r="F269" s="1406">
        <v>29230</v>
      </c>
      <c r="G269" s="1403">
        <v>3.7881999999999998</v>
      </c>
      <c r="H269" s="1405">
        <v>8.4297E-3</v>
      </c>
      <c r="I269" s="1405">
        <v>-3.825901E-3</v>
      </c>
      <c r="J269" s="1406">
        <v>3.0377000000000001</v>
      </c>
    </row>
    <row r="270" spans="2:10" x14ac:dyDescent="0.25">
      <c r="B270" s="1403" t="s">
        <v>815</v>
      </c>
      <c r="C270" s="1404">
        <v>2030</v>
      </c>
      <c r="D270" s="1403">
        <v>1190000</v>
      </c>
      <c r="E270" s="1405">
        <v>51650</v>
      </c>
      <c r="F270" s="1406">
        <v>29230</v>
      </c>
      <c r="G270" s="1403">
        <v>3.7881999999999998</v>
      </c>
      <c r="H270" s="1405">
        <v>8.4297E-3</v>
      </c>
      <c r="I270" s="1405">
        <v>-3.825901E-3</v>
      </c>
      <c r="J270" s="1406">
        <v>3.0377000000000001</v>
      </c>
    </row>
    <row r="271" spans="2:10" x14ac:dyDescent="0.25">
      <c r="B271" s="1403" t="s">
        <v>824</v>
      </c>
      <c r="C271" s="1404">
        <v>2030</v>
      </c>
      <c r="D271" s="1403">
        <v>1190000</v>
      </c>
      <c r="E271" s="1405">
        <v>51650</v>
      </c>
      <c r="F271" s="1406">
        <v>29230</v>
      </c>
      <c r="G271" s="1403">
        <v>3.7881999999999998</v>
      </c>
      <c r="H271" s="1405">
        <v>8.4297E-3</v>
      </c>
      <c r="I271" s="1405">
        <v>-3.825901E-3</v>
      </c>
      <c r="J271" s="1406">
        <v>3.0377000000000001</v>
      </c>
    </row>
    <row r="272" spans="2:10" ht="13" thickBot="1" x14ac:dyDescent="0.3">
      <c r="B272" s="1407" t="s">
        <v>1087</v>
      </c>
      <c r="C272" s="1408">
        <v>2030</v>
      </c>
      <c r="D272" s="1407">
        <v>1384000</v>
      </c>
      <c r="E272" s="1409">
        <v>1383000</v>
      </c>
      <c r="F272" s="1410">
        <v>5048</v>
      </c>
      <c r="G272" s="1407">
        <v>78.598700000000008</v>
      </c>
      <c r="H272" s="1409">
        <v>0.27484000000000003</v>
      </c>
      <c r="I272" s="1409">
        <v>2.3306000000000004E-3</v>
      </c>
      <c r="J272" s="1410">
        <v>87.622100000000003</v>
      </c>
    </row>
    <row r="273" spans="2:10" x14ac:dyDescent="0.25">
      <c r="B273" s="1399" t="s">
        <v>1084</v>
      </c>
      <c r="C273" s="1400">
        <v>2035</v>
      </c>
      <c r="D273" s="1399">
        <v>1092000</v>
      </c>
      <c r="E273" s="1401">
        <v>1092000</v>
      </c>
      <c r="F273" s="1402">
        <v>3981</v>
      </c>
      <c r="G273" s="1399">
        <v>5.7552000000000003</v>
      </c>
      <c r="H273" s="1401">
        <v>0.18462100000000001</v>
      </c>
      <c r="I273" s="1401">
        <v>8.6129999999999996E-4</v>
      </c>
      <c r="J273" s="1402">
        <v>11.5802</v>
      </c>
    </row>
    <row r="274" spans="2:10" x14ac:dyDescent="0.25">
      <c r="B274" s="1403" t="s">
        <v>283</v>
      </c>
      <c r="C274" s="1404">
        <v>2035</v>
      </c>
      <c r="D274" s="1403">
        <v>1092000</v>
      </c>
      <c r="E274" s="1405">
        <v>1092000</v>
      </c>
      <c r="F274" s="1406">
        <v>3981</v>
      </c>
      <c r="G274" s="1403">
        <v>5.7552000000000003</v>
      </c>
      <c r="H274" s="1405">
        <v>0.18462100000000001</v>
      </c>
      <c r="I274" s="1405">
        <v>8.6129999999999996E-4</v>
      </c>
      <c r="J274" s="1406">
        <v>11.5802</v>
      </c>
    </row>
    <row r="275" spans="2:10" x14ac:dyDescent="0.25">
      <c r="B275" s="1403" t="s">
        <v>1085</v>
      </c>
      <c r="C275" s="1404">
        <v>2035</v>
      </c>
      <c r="D275" s="1403">
        <v>1092000</v>
      </c>
      <c r="E275" s="1405">
        <v>1092000</v>
      </c>
      <c r="F275" s="1406">
        <v>3981</v>
      </c>
      <c r="G275" s="1403">
        <v>5.7552000000000003</v>
      </c>
      <c r="H275" s="1405">
        <v>0.18462100000000001</v>
      </c>
      <c r="I275" s="1405">
        <v>8.6129999999999996E-4</v>
      </c>
      <c r="J275" s="1406">
        <v>11.5802</v>
      </c>
    </row>
    <row r="276" spans="2:10" x14ac:dyDescent="0.25">
      <c r="B276" s="1403" t="s">
        <v>681</v>
      </c>
      <c r="C276" s="1404">
        <v>2035</v>
      </c>
      <c r="D276" s="1403">
        <v>1092000</v>
      </c>
      <c r="E276" s="1405">
        <v>1092000</v>
      </c>
      <c r="F276" s="1406">
        <v>3981</v>
      </c>
      <c r="G276" s="1403">
        <v>5.7552000000000003</v>
      </c>
      <c r="H276" s="1405">
        <v>0.18462100000000001</v>
      </c>
      <c r="I276" s="1405">
        <v>8.6129999999999996E-4</v>
      </c>
      <c r="J276" s="1406">
        <v>11.5802</v>
      </c>
    </row>
    <row r="277" spans="2:10" x14ac:dyDescent="0.25">
      <c r="B277" s="1403" t="s">
        <v>682</v>
      </c>
      <c r="C277" s="1404">
        <v>2035</v>
      </c>
      <c r="D277" s="1403">
        <v>-1185000</v>
      </c>
      <c r="E277" s="1405">
        <v>0</v>
      </c>
      <c r="F277" s="1406">
        <v>0</v>
      </c>
      <c r="G277" s="1403">
        <v>-85.800000000000011</v>
      </c>
      <c r="H277" s="1405">
        <v>0.54700000000000004</v>
      </c>
      <c r="I277" s="1405">
        <v>-1.8286999999999999E-3</v>
      </c>
      <c r="J277" s="1406">
        <v>-70.08</v>
      </c>
    </row>
    <row r="278" spans="2:10" x14ac:dyDescent="0.25">
      <c r="B278" s="1403" t="s">
        <v>683</v>
      </c>
      <c r="C278" s="1404">
        <v>2035</v>
      </c>
      <c r="D278" s="1403">
        <v>1745000</v>
      </c>
      <c r="E278" s="1405">
        <v>1314000</v>
      </c>
      <c r="F278" s="1406">
        <v>18650</v>
      </c>
      <c r="G278" s="1403">
        <v>132.69</v>
      </c>
      <c r="H278" s="1405">
        <v>0.204869</v>
      </c>
      <c r="I278" s="1405">
        <v>1.9257999999999999E-3</v>
      </c>
      <c r="J278" s="1406">
        <v>137.91999999999999</v>
      </c>
    </row>
    <row r="279" spans="2:10" x14ac:dyDescent="0.25">
      <c r="B279" s="1403" t="s">
        <v>698</v>
      </c>
      <c r="C279" s="1404">
        <v>2035</v>
      </c>
      <c r="D279" s="1403">
        <v>1745000</v>
      </c>
      <c r="E279" s="1405">
        <v>1314000</v>
      </c>
      <c r="F279" s="1406">
        <v>18650</v>
      </c>
      <c r="G279" s="1403">
        <v>132.69</v>
      </c>
      <c r="H279" s="1405">
        <v>0.204869</v>
      </c>
      <c r="I279" s="1405">
        <v>1.9257999999999999E-3</v>
      </c>
      <c r="J279" s="1406">
        <v>137.91999999999999</v>
      </c>
    </row>
    <row r="280" spans="2:10" x14ac:dyDescent="0.25">
      <c r="B280" s="1403" t="s">
        <v>684</v>
      </c>
      <c r="C280" s="1404">
        <v>2035</v>
      </c>
      <c r="D280" s="1403">
        <v>1745000</v>
      </c>
      <c r="E280" s="1405">
        <v>1314000</v>
      </c>
      <c r="F280" s="1406">
        <v>18650</v>
      </c>
      <c r="G280" s="1403">
        <v>132.69</v>
      </c>
      <c r="H280" s="1405">
        <v>0.204869</v>
      </c>
      <c r="I280" s="1405">
        <v>1.9257999999999999E-3</v>
      </c>
      <c r="J280" s="1406">
        <v>137.91999999999999</v>
      </c>
    </row>
    <row r="281" spans="2:10" x14ac:dyDescent="0.25">
      <c r="B281" s="1403" t="s">
        <v>1086</v>
      </c>
      <c r="C281" s="1404">
        <v>2035</v>
      </c>
      <c r="D281" s="1403">
        <v>1022000</v>
      </c>
      <c r="E281" s="1405">
        <v>1021000</v>
      </c>
      <c r="F281" s="1406">
        <v>15520</v>
      </c>
      <c r="G281" s="1403">
        <v>1.7124999999999999</v>
      </c>
      <c r="H281" s="1405">
        <v>0.14096197999999999</v>
      </c>
      <c r="I281" s="1405">
        <v>3.3061000000000001E-5</v>
      </c>
      <c r="J281" s="1406">
        <v>5.9708000000000006</v>
      </c>
    </row>
    <row r="282" spans="2:10" x14ac:dyDescent="0.25">
      <c r="B282" s="1403" t="s">
        <v>716</v>
      </c>
      <c r="C282" s="1404">
        <v>2035</v>
      </c>
      <c r="D282" s="1403">
        <v>1022000</v>
      </c>
      <c r="E282" s="1405">
        <v>1021000</v>
      </c>
      <c r="F282" s="1406">
        <v>15520</v>
      </c>
      <c r="G282" s="1403">
        <v>1.7124999999999999</v>
      </c>
      <c r="H282" s="1405">
        <v>0.14096197999999999</v>
      </c>
      <c r="I282" s="1405">
        <v>3.3061000000000001E-5</v>
      </c>
      <c r="J282" s="1406">
        <v>5.9708000000000006</v>
      </c>
    </row>
    <row r="283" spans="2:10" x14ac:dyDescent="0.25">
      <c r="B283" s="1403" t="s">
        <v>717</v>
      </c>
      <c r="C283" s="1404">
        <v>2035</v>
      </c>
      <c r="D283" s="1403">
        <v>1022000</v>
      </c>
      <c r="E283" s="1405">
        <v>1021000</v>
      </c>
      <c r="F283" s="1406">
        <v>15520</v>
      </c>
      <c r="G283" s="1403">
        <v>1.7124999999999999</v>
      </c>
      <c r="H283" s="1405">
        <v>0.14096197999999999</v>
      </c>
      <c r="I283" s="1405">
        <v>3.3061000000000001E-5</v>
      </c>
      <c r="J283" s="1406">
        <v>5.9708000000000006</v>
      </c>
    </row>
    <row r="284" spans="2:10" x14ac:dyDescent="0.25">
      <c r="B284" s="1403" t="s">
        <v>911</v>
      </c>
      <c r="C284" s="1404">
        <v>2035</v>
      </c>
      <c r="D284" s="1403">
        <v>1209000</v>
      </c>
      <c r="E284" s="1405">
        <v>1202000</v>
      </c>
      <c r="F284" s="1406">
        <v>1052000</v>
      </c>
      <c r="G284" s="1403">
        <v>18.088999999999999</v>
      </c>
      <c r="H284" s="1405">
        <v>0.16412499999999999</v>
      </c>
      <c r="I284" s="1405">
        <v>2.9260000000000001E-4</v>
      </c>
      <c r="J284" s="1406">
        <v>23.119</v>
      </c>
    </row>
    <row r="285" spans="2:10" x14ac:dyDescent="0.25">
      <c r="B285" s="1403" t="s">
        <v>909</v>
      </c>
      <c r="C285" s="1404">
        <v>2035</v>
      </c>
      <c r="D285" s="1403">
        <v>1586000</v>
      </c>
      <c r="E285" s="1405">
        <v>697100</v>
      </c>
      <c r="F285" s="1406">
        <v>286100</v>
      </c>
      <c r="G285" s="1403">
        <v>38.326999999999998</v>
      </c>
      <c r="H285" s="1405">
        <v>0.1118</v>
      </c>
      <c r="I285" s="1405">
        <v>2.5350000000000001E-2</v>
      </c>
      <c r="J285" s="1406">
        <v>45.39</v>
      </c>
    </row>
    <row r="286" spans="2:10" x14ac:dyDescent="0.25">
      <c r="B286" s="1403" t="s">
        <v>912</v>
      </c>
      <c r="C286" s="1404">
        <v>2035</v>
      </c>
      <c r="D286" s="1403">
        <v>1250000</v>
      </c>
      <c r="E286" s="1405">
        <v>1242000</v>
      </c>
      <c r="F286" s="1406">
        <v>1078000</v>
      </c>
      <c r="G286" s="1403">
        <v>23.973999999999997</v>
      </c>
      <c r="H286" s="1405">
        <v>0.169854</v>
      </c>
      <c r="I286" s="1405">
        <v>3.8064000000000001E-4</v>
      </c>
      <c r="J286" s="1406">
        <v>29.302</v>
      </c>
    </row>
    <row r="287" spans="2:10" x14ac:dyDescent="0.25">
      <c r="B287" s="1403" t="s">
        <v>1080</v>
      </c>
      <c r="C287" s="1404">
        <v>2035</v>
      </c>
      <c r="D287" s="1403">
        <v>1190000</v>
      </c>
      <c r="E287" s="1405">
        <v>51660</v>
      </c>
      <c r="F287" s="1406">
        <v>29230</v>
      </c>
      <c r="G287" s="1403">
        <v>3.7818000000000001</v>
      </c>
      <c r="H287" s="1405">
        <v>8.4370999999999995E-3</v>
      </c>
      <c r="I287" s="1405">
        <v>-3.8259590000000003E-3</v>
      </c>
      <c r="J287" s="1406">
        <v>3.0312999999999999</v>
      </c>
    </row>
    <row r="288" spans="2:10" x14ac:dyDescent="0.25">
      <c r="B288" s="1403" t="s">
        <v>815</v>
      </c>
      <c r="C288" s="1404">
        <v>2035</v>
      </c>
      <c r="D288" s="1403">
        <v>1190000</v>
      </c>
      <c r="E288" s="1405">
        <v>51660</v>
      </c>
      <c r="F288" s="1406">
        <v>29230</v>
      </c>
      <c r="G288" s="1403">
        <v>3.7818000000000001</v>
      </c>
      <c r="H288" s="1405">
        <v>8.4370999999999995E-3</v>
      </c>
      <c r="I288" s="1405">
        <v>-3.8259590000000003E-3</v>
      </c>
      <c r="J288" s="1406">
        <v>3.0312999999999999</v>
      </c>
    </row>
    <row r="289" spans="2:10" x14ac:dyDescent="0.25">
      <c r="B289" s="1403" t="s">
        <v>824</v>
      </c>
      <c r="C289" s="1404">
        <v>2035</v>
      </c>
      <c r="D289" s="1403">
        <v>1190000</v>
      </c>
      <c r="E289" s="1405">
        <v>51660</v>
      </c>
      <c r="F289" s="1406">
        <v>29230</v>
      </c>
      <c r="G289" s="1403">
        <v>3.7818000000000001</v>
      </c>
      <c r="H289" s="1405">
        <v>8.4370999999999995E-3</v>
      </c>
      <c r="I289" s="1405">
        <v>-3.8259590000000003E-3</v>
      </c>
      <c r="J289" s="1406">
        <v>3.0312999999999999</v>
      </c>
    </row>
    <row r="290" spans="2:10" ht="13" thickBot="1" x14ac:dyDescent="0.3">
      <c r="B290" s="1407" t="s">
        <v>1087</v>
      </c>
      <c r="C290" s="1408">
        <v>2035</v>
      </c>
      <c r="D290" s="1407">
        <v>1384000</v>
      </c>
      <c r="E290" s="1409">
        <v>1383000</v>
      </c>
      <c r="F290" s="1410">
        <v>5034</v>
      </c>
      <c r="G290" s="1407">
        <v>78.571100000000001</v>
      </c>
      <c r="H290" s="1409">
        <v>0.27494000000000002</v>
      </c>
      <c r="I290" s="1409">
        <v>2.3304000000000003E-3</v>
      </c>
      <c r="J290" s="1410">
        <v>87.594300000000004</v>
      </c>
    </row>
    <row r="291" spans="2:10" x14ac:dyDescent="0.25">
      <c r="B291" s="1399" t="s">
        <v>1084</v>
      </c>
      <c r="C291" s="1400">
        <v>2040</v>
      </c>
      <c r="D291" s="1399">
        <v>1092000</v>
      </c>
      <c r="E291" s="1401">
        <v>1092000</v>
      </c>
      <c r="F291" s="1402">
        <v>3975</v>
      </c>
      <c r="G291" s="1399">
        <v>5.7453000000000003</v>
      </c>
      <c r="H291" s="1401">
        <v>0.18462200000000001</v>
      </c>
      <c r="I291" s="1401">
        <v>8.6110000000000006E-4</v>
      </c>
      <c r="J291" s="1402">
        <v>11.577199999999999</v>
      </c>
    </row>
    <row r="292" spans="2:10" x14ac:dyDescent="0.25">
      <c r="B292" s="1403" t="s">
        <v>283</v>
      </c>
      <c r="C292" s="1404">
        <v>2040</v>
      </c>
      <c r="D292" s="1403">
        <v>1092000</v>
      </c>
      <c r="E292" s="1405">
        <v>1092000</v>
      </c>
      <c r="F292" s="1406">
        <v>3975</v>
      </c>
      <c r="G292" s="1403">
        <v>5.7453000000000003</v>
      </c>
      <c r="H292" s="1405">
        <v>0.18462200000000001</v>
      </c>
      <c r="I292" s="1405">
        <v>8.6110000000000006E-4</v>
      </c>
      <c r="J292" s="1406">
        <v>11.577199999999999</v>
      </c>
    </row>
    <row r="293" spans="2:10" x14ac:dyDescent="0.25">
      <c r="B293" s="1403" t="s">
        <v>1085</v>
      </c>
      <c r="C293" s="1404">
        <v>2040</v>
      </c>
      <c r="D293" s="1403">
        <v>1092000</v>
      </c>
      <c r="E293" s="1405">
        <v>1092000</v>
      </c>
      <c r="F293" s="1406">
        <v>3975</v>
      </c>
      <c r="G293" s="1403">
        <v>5.7453000000000003</v>
      </c>
      <c r="H293" s="1405">
        <v>0.18462200000000001</v>
      </c>
      <c r="I293" s="1405">
        <v>8.6110000000000006E-4</v>
      </c>
      <c r="J293" s="1406">
        <v>11.577199999999999</v>
      </c>
    </row>
    <row r="294" spans="2:10" x14ac:dyDescent="0.25">
      <c r="B294" s="1403" t="s">
        <v>681</v>
      </c>
      <c r="C294" s="1404">
        <v>2040</v>
      </c>
      <c r="D294" s="1403">
        <v>1092000</v>
      </c>
      <c r="E294" s="1405">
        <v>1092000</v>
      </c>
      <c r="F294" s="1406">
        <v>3975</v>
      </c>
      <c r="G294" s="1403">
        <v>5.7453000000000003</v>
      </c>
      <c r="H294" s="1405">
        <v>0.18462200000000001</v>
      </c>
      <c r="I294" s="1405">
        <v>8.6110000000000006E-4</v>
      </c>
      <c r="J294" s="1406">
        <v>11.577199999999999</v>
      </c>
    </row>
    <row r="295" spans="2:10" x14ac:dyDescent="0.25">
      <c r="B295" s="1403" t="s">
        <v>682</v>
      </c>
      <c r="C295" s="1404">
        <v>2040</v>
      </c>
      <c r="D295" s="1403">
        <v>-1185000</v>
      </c>
      <c r="E295" s="1405">
        <v>0</v>
      </c>
      <c r="F295" s="1406">
        <v>0</v>
      </c>
      <c r="G295" s="1403">
        <v>-85.800000000000011</v>
      </c>
      <c r="H295" s="1405">
        <v>0.54700000000000004</v>
      </c>
      <c r="I295" s="1405">
        <v>-1.8286999999999999E-3</v>
      </c>
      <c r="J295" s="1406">
        <v>-70.08</v>
      </c>
    </row>
    <row r="296" spans="2:10" x14ac:dyDescent="0.25">
      <c r="B296" s="1403" t="s">
        <v>683</v>
      </c>
      <c r="C296" s="1404">
        <v>2040</v>
      </c>
      <c r="D296" s="1403">
        <v>1732000</v>
      </c>
      <c r="E296" s="1405">
        <v>1300000</v>
      </c>
      <c r="F296" s="1406">
        <v>17320</v>
      </c>
      <c r="G296" s="1403">
        <v>129.32</v>
      </c>
      <c r="H296" s="1405">
        <v>0.20383000000000001</v>
      </c>
      <c r="I296" s="1405">
        <v>1.8644999999999998E-3</v>
      </c>
      <c r="J296" s="1406">
        <v>134.37</v>
      </c>
    </row>
    <row r="297" spans="2:10" x14ac:dyDescent="0.25">
      <c r="B297" s="1403" t="s">
        <v>698</v>
      </c>
      <c r="C297" s="1404">
        <v>2040</v>
      </c>
      <c r="D297" s="1403">
        <v>1732000</v>
      </c>
      <c r="E297" s="1405">
        <v>1300000</v>
      </c>
      <c r="F297" s="1406">
        <v>17320</v>
      </c>
      <c r="G297" s="1403">
        <v>129.32</v>
      </c>
      <c r="H297" s="1405">
        <v>0.20383000000000001</v>
      </c>
      <c r="I297" s="1405">
        <v>1.8644999999999998E-3</v>
      </c>
      <c r="J297" s="1406">
        <v>134.37</v>
      </c>
    </row>
    <row r="298" spans="2:10" x14ac:dyDescent="0.25">
      <c r="B298" s="1403" t="s">
        <v>684</v>
      </c>
      <c r="C298" s="1404">
        <v>2040</v>
      </c>
      <c r="D298" s="1403">
        <v>1732000</v>
      </c>
      <c r="E298" s="1405">
        <v>1300000</v>
      </c>
      <c r="F298" s="1406">
        <v>17320</v>
      </c>
      <c r="G298" s="1403">
        <v>129.32</v>
      </c>
      <c r="H298" s="1405">
        <v>0.20383000000000001</v>
      </c>
      <c r="I298" s="1405">
        <v>1.8644999999999998E-3</v>
      </c>
      <c r="J298" s="1406">
        <v>134.37</v>
      </c>
    </row>
    <row r="299" spans="2:10" x14ac:dyDescent="0.25">
      <c r="B299" s="1403" t="s">
        <v>1086</v>
      </c>
      <c r="C299" s="1404">
        <v>2040</v>
      </c>
      <c r="D299" s="1403">
        <v>1022000</v>
      </c>
      <c r="E299" s="1405">
        <v>1021000</v>
      </c>
      <c r="F299" s="1406">
        <v>15510</v>
      </c>
      <c r="G299" s="1403">
        <v>1.7054</v>
      </c>
      <c r="H299" s="1405">
        <v>0.14096210000000001</v>
      </c>
      <c r="I299" s="1405">
        <v>3.2928999999999996E-5</v>
      </c>
      <c r="J299" s="1406">
        <v>5.9637000000000002</v>
      </c>
    </row>
    <row r="300" spans="2:10" x14ac:dyDescent="0.25">
      <c r="B300" s="1403" t="s">
        <v>716</v>
      </c>
      <c r="C300" s="1404">
        <v>2040</v>
      </c>
      <c r="D300" s="1403">
        <v>1022000</v>
      </c>
      <c r="E300" s="1405">
        <v>1021000</v>
      </c>
      <c r="F300" s="1406">
        <v>15510</v>
      </c>
      <c r="G300" s="1403">
        <v>1.7054</v>
      </c>
      <c r="H300" s="1405">
        <v>0.14096210000000001</v>
      </c>
      <c r="I300" s="1405">
        <v>3.2928999999999996E-5</v>
      </c>
      <c r="J300" s="1406">
        <v>5.9637000000000002</v>
      </c>
    </row>
    <row r="301" spans="2:10" x14ac:dyDescent="0.25">
      <c r="B301" s="1403" t="s">
        <v>717</v>
      </c>
      <c r="C301" s="1404">
        <v>2040</v>
      </c>
      <c r="D301" s="1403">
        <v>1022000</v>
      </c>
      <c r="E301" s="1405">
        <v>1021000</v>
      </c>
      <c r="F301" s="1406">
        <v>15510</v>
      </c>
      <c r="G301" s="1403">
        <v>1.7054</v>
      </c>
      <c r="H301" s="1405">
        <v>0.14096210000000001</v>
      </c>
      <c r="I301" s="1405">
        <v>3.2928999999999996E-5</v>
      </c>
      <c r="J301" s="1406">
        <v>5.9637000000000002</v>
      </c>
    </row>
    <row r="302" spans="2:10" x14ac:dyDescent="0.25">
      <c r="B302" s="1403" t="s">
        <v>911</v>
      </c>
      <c r="C302" s="1404">
        <v>2040</v>
      </c>
      <c r="D302" s="1403">
        <v>1209000</v>
      </c>
      <c r="E302" s="1405">
        <v>1202000</v>
      </c>
      <c r="F302" s="1406">
        <v>1052000</v>
      </c>
      <c r="G302" s="1403">
        <v>18.032</v>
      </c>
      <c r="H302" s="1405">
        <v>0.16412599999999999</v>
      </c>
      <c r="I302" s="1405">
        <v>2.9167E-4</v>
      </c>
      <c r="J302" s="1406">
        <v>23.062000000000001</v>
      </c>
    </row>
    <row r="303" spans="2:10" x14ac:dyDescent="0.25">
      <c r="B303" s="1403" t="s">
        <v>909</v>
      </c>
      <c r="C303" s="1404">
        <v>2040</v>
      </c>
      <c r="D303" s="1403">
        <v>1586000</v>
      </c>
      <c r="E303" s="1405">
        <v>696600</v>
      </c>
      <c r="F303" s="1406">
        <v>286100</v>
      </c>
      <c r="G303" s="1403">
        <v>38.200000000000003</v>
      </c>
      <c r="H303" s="1405">
        <v>0.1118</v>
      </c>
      <c r="I303" s="1405">
        <v>2.5350000000000001E-2</v>
      </c>
      <c r="J303" s="1406">
        <v>45.3</v>
      </c>
    </row>
    <row r="304" spans="2:10" x14ac:dyDescent="0.25">
      <c r="B304" s="1403" t="s">
        <v>912</v>
      </c>
      <c r="C304" s="1404">
        <v>2040</v>
      </c>
      <c r="D304" s="1403">
        <v>1250000</v>
      </c>
      <c r="E304" s="1405">
        <v>1242000</v>
      </c>
      <c r="F304" s="1406">
        <v>1078000</v>
      </c>
      <c r="G304" s="1403">
        <v>23.914999999999999</v>
      </c>
      <c r="H304" s="1405">
        <v>0.16985499999999998</v>
      </c>
      <c r="I304" s="1405">
        <v>3.7957999999999997E-4</v>
      </c>
      <c r="J304" s="1406">
        <v>29.232999999999997</v>
      </c>
    </row>
    <row r="305" spans="2:10" x14ac:dyDescent="0.25">
      <c r="B305" s="1403" t="s">
        <v>1080</v>
      </c>
      <c r="C305" s="1404">
        <v>2040</v>
      </c>
      <c r="D305" s="1403">
        <v>1190000</v>
      </c>
      <c r="E305" s="1405">
        <v>51610</v>
      </c>
      <c r="F305" s="1406">
        <v>29220</v>
      </c>
      <c r="G305" s="1403">
        <v>3.7715999999999998</v>
      </c>
      <c r="H305" s="1405">
        <v>8.4332999999999995E-3</v>
      </c>
      <c r="I305" s="1405">
        <v>-3.8260220000000001E-3</v>
      </c>
      <c r="J305" s="1406">
        <v>3.02</v>
      </c>
    </row>
    <row r="306" spans="2:10" x14ac:dyDescent="0.25">
      <c r="B306" s="1403" t="s">
        <v>815</v>
      </c>
      <c r="C306" s="1404">
        <v>2040</v>
      </c>
      <c r="D306" s="1403">
        <v>1190000</v>
      </c>
      <c r="E306" s="1405">
        <v>51610</v>
      </c>
      <c r="F306" s="1406">
        <v>29220</v>
      </c>
      <c r="G306" s="1403">
        <v>3.7715999999999998</v>
      </c>
      <c r="H306" s="1405">
        <v>8.4332999999999995E-3</v>
      </c>
      <c r="I306" s="1405">
        <v>-3.8260220000000001E-3</v>
      </c>
      <c r="J306" s="1406">
        <v>3.02</v>
      </c>
    </row>
    <row r="307" spans="2:10" x14ac:dyDescent="0.25">
      <c r="B307" s="1403" t="s">
        <v>824</v>
      </c>
      <c r="C307" s="1404">
        <v>2040</v>
      </c>
      <c r="D307" s="1403">
        <v>1190000</v>
      </c>
      <c r="E307" s="1405">
        <v>51610</v>
      </c>
      <c r="F307" s="1406">
        <v>29220</v>
      </c>
      <c r="G307" s="1403">
        <v>3.7715999999999998</v>
      </c>
      <c r="H307" s="1405">
        <v>8.4332999999999995E-3</v>
      </c>
      <c r="I307" s="1405">
        <v>-3.8260220000000001E-3</v>
      </c>
      <c r="J307" s="1406">
        <v>3.02</v>
      </c>
    </row>
    <row r="308" spans="2:10" ht="13" thickBot="1" x14ac:dyDescent="0.3">
      <c r="B308" s="1407" t="s">
        <v>1087</v>
      </c>
      <c r="C308" s="1408">
        <v>2040</v>
      </c>
      <c r="D308" s="1407">
        <v>1384000</v>
      </c>
      <c r="E308" s="1409">
        <v>1383000</v>
      </c>
      <c r="F308" s="1410">
        <v>5034</v>
      </c>
      <c r="G308" s="1407">
        <v>78.571100000000001</v>
      </c>
      <c r="H308" s="1409">
        <v>0.27494000000000002</v>
      </c>
      <c r="I308" s="1409">
        <v>2.3304000000000003E-3</v>
      </c>
      <c r="J308" s="1410">
        <v>87.594300000000004</v>
      </c>
    </row>
    <row r="309" spans="2:10" x14ac:dyDescent="0.25">
      <c r="B309" s="1399" t="s">
        <v>1084</v>
      </c>
      <c r="C309" s="1400">
        <v>2045</v>
      </c>
      <c r="D309" s="1399">
        <v>1092000</v>
      </c>
      <c r="E309" s="1401">
        <v>1092000</v>
      </c>
      <c r="F309" s="1402">
        <v>3972</v>
      </c>
      <c r="G309" s="1399">
        <v>5.7410000000000005</v>
      </c>
      <c r="H309" s="1401">
        <v>0.18462200000000001</v>
      </c>
      <c r="I309" s="1401">
        <v>8.6110000000000006E-4</v>
      </c>
      <c r="J309" s="1402">
        <v>11.565900000000001</v>
      </c>
    </row>
    <row r="310" spans="2:10" x14ac:dyDescent="0.25">
      <c r="B310" s="1403" t="s">
        <v>283</v>
      </c>
      <c r="C310" s="1404">
        <v>2045</v>
      </c>
      <c r="D310" s="1403">
        <v>1092000</v>
      </c>
      <c r="E310" s="1405">
        <v>1092000</v>
      </c>
      <c r="F310" s="1406">
        <v>3972</v>
      </c>
      <c r="G310" s="1403">
        <v>5.7410000000000005</v>
      </c>
      <c r="H310" s="1405">
        <v>0.18462200000000001</v>
      </c>
      <c r="I310" s="1405">
        <v>8.6110000000000006E-4</v>
      </c>
      <c r="J310" s="1406">
        <v>11.565900000000001</v>
      </c>
    </row>
    <row r="311" spans="2:10" x14ac:dyDescent="0.25">
      <c r="B311" s="1403" t="s">
        <v>1085</v>
      </c>
      <c r="C311" s="1404">
        <v>2045</v>
      </c>
      <c r="D311" s="1403">
        <v>1092000</v>
      </c>
      <c r="E311" s="1405">
        <v>1092000</v>
      </c>
      <c r="F311" s="1406">
        <v>3972</v>
      </c>
      <c r="G311" s="1403">
        <v>5.7410000000000005</v>
      </c>
      <c r="H311" s="1405">
        <v>0.18462200000000001</v>
      </c>
      <c r="I311" s="1405">
        <v>8.6110000000000006E-4</v>
      </c>
      <c r="J311" s="1406">
        <v>11.565900000000001</v>
      </c>
    </row>
    <row r="312" spans="2:10" x14ac:dyDescent="0.25">
      <c r="B312" s="1403" t="s">
        <v>681</v>
      </c>
      <c r="C312" s="1404">
        <v>2045</v>
      </c>
      <c r="D312" s="1403">
        <v>1092000</v>
      </c>
      <c r="E312" s="1405">
        <v>1092000</v>
      </c>
      <c r="F312" s="1406">
        <v>3972</v>
      </c>
      <c r="G312" s="1403">
        <v>5.7410000000000005</v>
      </c>
      <c r="H312" s="1405">
        <v>0.18462200000000001</v>
      </c>
      <c r="I312" s="1405">
        <v>8.6110000000000006E-4</v>
      </c>
      <c r="J312" s="1406">
        <v>11.565900000000001</v>
      </c>
    </row>
    <row r="313" spans="2:10" x14ac:dyDescent="0.25">
      <c r="B313" s="1403" t="s">
        <v>682</v>
      </c>
      <c r="C313" s="1404">
        <v>2045</v>
      </c>
      <c r="D313" s="1403">
        <v>-1185000</v>
      </c>
      <c r="E313" s="1405">
        <v>0</v>
      </c>
      <c r="F313" s="1406">
        <v>0</v>
      </c>
      <c r="G313" s="1403">
        <v>-85.800000000000011</v>
      </c>
      <c r="H313" s="1405">
        <v>0.54700000000000004</v>
      </c>
      <c r="I313" s="1405">
        <v>-1.8286999999999999E-3</v>
      </c>
      <c r="J313" s="1406">
        <v>-70.08</v>
      </c>
    </row>
    <row r="314" spans="2:10" x14ac:dyDescent="0.25">
      <c r="B314" s="1403" t="s">
        <v>683</v>
      </c>
      <c r="C314" s="1404">
        <v>2045</v>
      </c>
      <c r="D314" s="1403">
        <v>1724000</v>
      </c>
      <c r="E314" s="1405">
        <v>1293000</v>
      </c>
      <c r="F314" s="1406">
        <v>15580</v>
      </c>
      <c r="G314" s="1403">
        <v>126.71000000000001</v>
      </c>
      <c r="H314" s="1405">
        <v>0.203795</v>
      </c>
      <c r="I314" s="1405">
        <v>1.8165E-3</v>
      </c>
      <c r="J314" s="1406">
        <v>131.63</v>
      </c>
    </row>
    <row r="315" spans="2:10" x14ac:dyDescent="0.25">
      <c r="B315" s="1403" t="s">
        <v>698</v>
      </c>
      <c r="C315" s="1404">
        <v>2045</v>
      </c>
      <c r="D315" s="1403">
        <v>1724000</v>
      </c>
      <c r="E315" s="1405">
        <v>1293000</v>
      </c>
      <c r="F315" s="1406">
        <v>15580</v>
      </c>
      <c r="G315" s="1403">
        <v>126.71000000000001</v>
      </c>
      <c r="H315" s="1405">
        <v>0.203795</v>
      </c>
      <c r="I315" s="1405">
        <v>1.8165E-3</v>
      </c>
      <c r="J315" s="1406">
        <v>131.63</v>
      </c>
    </row>
    <row r="316" spans="2:10" x14ac:dyDescent="0.25">
      <c r="B316" s="1403" t="s">
        <v>684</v>
      </c>
      <c r="C316" s="1404">
        <v>2045</v>
      </c>
      <c r="D316" s="1403">
        <v>1724000</v>
      </c>
      <c r="E316" s="1405">
        <v>1293000</v>
      </c>
      <c r="F316" s="1406">
        <v>15580</v>
      </c>
      <c r="G316" s="1403">
        <v>126.71000000000001</v>
      </c>
      <c r="H316" s="1405">
        <v>0.203795</v>
      </c>
      <c r="I316" s="1405">
        <v>1.8165E-3</v>
      </c>
      <c r="J316" s="1406">
        <v>131.63</v>
      </c>
    </row>
    <row r="317" spans="2:10" x14ac:dyDescent="0.25">
      <c r="B317" s="1403" t="s">
        <v>1086</v>
      </c>
      <c r="C317" s="1404">
        <v>2045</v>
      </c>
      <c r="D317" s="1403">
        <v>1022000</v>
      </c>
      <c r="E317" s="1405">
        <v>1021000</v>
      </c>
      <c r="F317" s="1406">
        <v>15510</v>
      </c>
      <c r="G317" s="1403">
        <v>1.6997</v>
      </c>
      <c r="H317" s="1405">
        <v>0.14096223999999999</v>
      </c>
      <c r="I317" s="1405">
        <v>3.2833999999999998E-5</v>
      </c>
      <c r="J317" s="1406">
        <v>5.9580000000000002</v>
      </c>
    </row>
    <row r="318" spans="2:10" x14ac:dyDescent="0.25">
      <c r="B318" s="1403" t="s">
        <v>716</v>
      </c>
      <c r="C318" s="1404">
        <v>2045</v>
      </c>
      <c r="D318" s="1403">
        <v>1022000</v>
      </c>
      <c r="E318" s="1405">
        <v>1021000</v>
      </c>
      <c r="F318" s="1406">
        <v>15510</v>
      </c>
      <c r="G318" s="1403">
        <v>1.6997</v>
      </c>
      <c r="H318" s="1405">
        <v>0.14096223999999999</v>
      </c>
      <c r="I318" s="1405">
        <v>3.2833999999999998E-5</v>
      </c>
      <c r="J318" s="1406">
        <v>5.9580000000000002</v>
      </c>
    </row>
    <row r="319" spans="2:10" x14ac:dyDescent="0.25">
      <c r="B319" s="1403" t="s">
        <v>717</v>
      </c>
      <c r="C319" s="1404">
        <v>2045</v>
      </c>
      <c r="D319" s="1403">
        <v>1022000</v>
      </c>
      <c r="E319" s="1405">
        <v>1021000</v>
      </c>
      <c r="F319" s="1406">
        <v>15510</v>
      </c>
      <c r="G319" s="1403">
        <v>1.6997</v>
      </c>
      <c r="H319" s="1405">
        <v>0.14096223999999999</v>
      </c>
      <c r="I319" s="1405">
        <v>3.2833999999999998E-5</v>
      </c>
      <c r="J319" s="1406">
        <v>5.9580000000000002</v>
      </c>
    </row>
    <row r="320" spans="2:10" x14ac:dyDescent="0.25">
      <c r="B320" s="1403" t="s">
        <v>911</v>
      </c>
      <c r="C320" s="1404">
        <v>2045</v>
      </c>
      <c r="D320" s="1403">
        <v>1209000</v>
      </c>
      <c r="E320" s="1405">
        <v>1202000</v>
      </c>
      <c r="F320" s="1406">
        <v>1052000</v>
      </c>
      <c r="G320" s="1403">
        <v>17.989000000000001</v>
      </c>
      <c r="H320" s="1405">
        <v>0.164127</v>
      </c>
      <c r="I320" s="1405">
        <v>2.9079000000000003E-4</v>
      </c>
      <c r="J320" s="1406">
        <v>23.018999999999998</v>
      </c>
    </row>
    <row r="321" spans="2:10" x14ac:dyDescent="0.25">
      <c r="B321" s="1403" t="s">
        <v>909</v>
      </c>
      <c r="C321" s="1404">
        <v>2045</v>
      </c>
      <c r="D321" s="1403">
        <v>1586000</v>
      </c>
      <c r="E321" s="1405">
        <v>696300</v>
      </c>
      <c r="F321" s="1406">
        <v>286000</v>
      </c>
      <c r="G321" s="1403">
        <v>38.110999999999997</v>
      </c>
      <c r="H321" s="1405">
        <v>0.1118</v>
      </c>
      <c r="I321" s="1405">
        <v>2.5350000000000001E-2</v>
      </c>
      <c r="J321" s="1406">
        <v>45.23</v>
      </c>
    </row>
    <row r="322" spans="2:10" x14ac:dyDescent="0.25">
      <c r="B322" s="1403" t="s">
        <v>912</v>
      </c>
      <c r="C322" s="1404">
        <v>2045</v>
      </c>
      <c r="D322" s="1403">
        <v>1249000</v>
      </c>
      <c r="E322" s="1405">
        <v>1242000</v>
      </c>
      <c r="F322" s="1406">
        <v>1078000</v>
      </c>
      <c r="G322" s="1403">
        <v>23.861000000000001</v>
      </c>
      <c r="H322" s="1405">
        <v>0.16985599999999998</v>
      </c>
      <c r="I322" s="1405">
        <v>3.7867E-4</v>
      </c>
      <c r="J322" s="1406">
        <v>29.189</v>
      </c>
    </row>
    <row r="323" spans="2:10" x14ac:dyDescent="0.25">
      <c r="B323" s="1403" t="s">
        <v>1080</v>
      </c>
      <c r="C323" s="1404">
        <v>2045</v>
      </c>
      <c r="D323" s="1403">
        <v>1190000</v>
      </c>
      <c r="E323" s="1405">
        <v>51590</v>
      </c>
      <c r="F323" s="1406">
        <v>29220</v>
      </c>
      <c r="G323" s="1403">
        <v>3.7631000000000001</v>
      </c>
      <c r="H323" s="1405">
        <v>8.4335E-3</v>
      </c>
      <c r="I323" s="1405">
        <v>-3.8260760000000003E-3</v>
      </c>
      <c r="J323" s="1406">
        <v>3.0114000000000001</v>
      </c>
    </row>
    <row r="324" spans="2:10" x14ac:dyDescent="0.25">
      <c r="B324" s="1403" t="s">
        <v>815</v>
      </c>
      <c r="C324" s="1404">
        <v>2045</v>
      </c>
      <c r="D324" s="1403">
        <v>1190000</v>
      </c>
      <c r="E324" s="1405">
        <v>51590</v>
      </c>
      <c r="F324" s="1406">
        <v>29220</v>
      </c>
      <c r="G324" s="1403">
        <v>3.7631000000000001</v>
      </c>
      <c r="H324" s="1405">
        <v>8.4335E-3</v>
      </c>
      <c r="I324" s="1405">
        <v>-3.8260760000000003E-3</v>
      </c>
      <c r="J324" s="1406">
        <v>3.0114000000000001</v>
      </c>
    </row>
    <row r="325" spans="2:10" x14ac:dyDescent="0.25">
      <c r="B325" s="1403" t="s">
        <v>824</v>
      </c>
      <c r="C325" s="1404">
        <v>2045</v>
      </c>
      <c r="D325" s="1403">
        <v>1190000</v>
      </c>
      <c r="E325" s="1405">
        <v>51590</v>
      </c>
      <c r="F325" s="1406">
        <v>29220</v>
      </c>
      <c r="G325" s="1403">
        <v>3.7631000000000001</v>
      </c>
      <c r="H325" s="1405">
        <v>8.4335E-3</v>
      </c>
      <c r="I325" s="1405">
        <v>-3.8260760000000003E-3</v>
      </c>
      <c r="J325" s="1406">
        <v>3.0114000000000001</v>
      </c>
    </row>
    <row r="326" spans="2:10" ht="13" thickBot="1" x14ac:dyDescent="0.3">
      <c r="B326" s="1407" t="s">
        <v>1087</v>
      </c>
      <c r="C326" s="1408">
        <v>2045</v>
      </c>
      <c r="D326" s="1407">
        <v>1384000</v>
      </c>
      <c r="E326" s="1409">
        <v>1383000</v>
      </c>
      <c r="F326" s="1410">
        <v>5034</v>
      </c>
      <c r="G326" s="1407">
        <v>78.571100000000001</v>
      </c>
      <c r="H326" s="1409">
        <v>0.27494000000000002</v>
      </c>
      <c r="I326" s="1409">
        <v>2.3304000000000003E-3</v>
      </c>
      <c r="J326" s="1410">
        <v>87.594300000000004</v>
      </c>
    </row>
    <row r="327" spans="2:10" x14ac:dyDescent="0.25">
      <c r="B327" s="1399" t="s">
        <v>1084</v>
      </c>
      <c r="C327" s="1400">
        <v>2050</v>
      </c>
      <c r="D327" s="1399">
        <v>1092000</v>
      </c>
      <c r="E327" s="1401">
        <v>1092000</v>
      </c>
      <c r="F327" s="1402">
        <v>3971</v>
      </c>
      <c r="G327" s="1399">
        <v>5.7390999999999996</v>
      </c>
      <c r="H327" s="1401">
        <v>0.18462200000000001</v>
      </c>
      <c r="I327" s="1401">
        <v>8.61E-4</v>
      </c>
      <c r="J327" s="1402">
        <v>11.5648</v>
      </c>
    </row>
    <row r="328" spans="2:10" x14ac:dyDescent="0.25">
      <c r="B328" s="1403" t="s">
        <v>283</v>
      </c>
      <c r="C328" s="1404">
        <v>2050</v>
      </c>
      <c r="D328" s="1403">
        <v>1092000</v>
      </c>
      <c r="E328" s="1405">
        <v>1092000</v>
      </c>
      <c r="F328" s="1406">
        <v>3971</v>
      </c>
      <c r="G328" s="1403">
        <v>5.7390999999999996</v>
      </c>
      <c r="H328" s="1405">
        <v>0.18462200000000001</v>
      </c>
      <c r="I328" s="1405">
        <v>8.61E-4</v>
      </c>
      <c r="J328" s="1406">
        <v>11.5648</v>
      </c>
    </row>
    <row r="329" spans="2:10" x14ac:dyDescent="0.25">
      <c r="B329" s="1403" t="s">
        <v>1085</v>
      </c>
      <c r="C329" s="1404">
        <v>2050</v>
      </c>
      <c r="D329" s="1403">
        <v>1092000</v>
      </c>
      <c r="E329" s="1405">
        <v>1092000</v>
      </c>
      <c r="F329" s="1406">
        <v>3971</v>
      </c>
      <c r="G329" s="1403">
        <v>5.7390999999999996</v>
      </c>
      <c r="H329" s="1405">
        <v>0.18462200000000001</v>
      </c>
      <c r="I329" s="1405">
        <v>8.61E-4</v>
      </c>
      <c r="J329" s="1406">
        <v>11.5648</v>
      </c>
    </row>
    <row r="330" spans="2:10" x14ac:dyDescent="0.25">
      <c r="B330" s="1403" t="s">
        <v>681</v>
      </c>
      <c r="C330" s="1404">
        <v>2050</v>
      </c>
      <c r="D330" s="1403">
        <v>1092000</v>
      </c>
      <c r="E330" s="1405">
        <v>1092000</v>
      </c>
      <c r="F330" s="1406">
        <v>3971</v>
      </c>
      <c r="G330" s="1403">
        <v>5.7390999999999996</v>
      </c>
      <c r="H330" s="1405">
        <v>0.18462200000000001</v>
      </c>
      <c r="I330" s="1405">
        <v>8.61E-4</v>
      </c>
      <c r="J330" s="1406">
        <v>11.5648</v>
      </c>
    </row>
    <row r="331" spans="2:10" x14ac:dyDescent="0.25">
      <c r="B331" s="1403" t="s">
        <v>682</v>
      </c>
      <c r="C331" s="1404">
        <v>2050</v>
      </c>
      <c r="D331" s="1403">
        <v>-1185000</v>
      </c>
      <c r="E331" s="1405">
        <v>0</v>
      </c>
      <c r="F331" s="1406">
        <v>0</v>
      </c>
      <c r="G331" s="1403">
        <v>-85.800000000000011</v>
      </c>
      <c r="H331" s="1405">
        <v>0.54700000000000004</v>
      </c>
      <c r="I331" s="1405">
        <v>-1.8286999999999999E-3</v>
      </c>
      <c r="J331" s="1406">
        <v>-70.08</v>
      </c>
    </row>
    <row r="332" spans="2:10" x14ac:dyDescent="0.25">
      <c r="B332" s="1403" t="s">
        <v>683</v>
      </c>
      <c r="C332" s="1404">
        <v>2050</v>
      </c>
      <c r="D332" s="1403">
        <v>1721000</v>
      </c>
      <c r="E332" s="1405">
        <v>1293000</v>
      </c>
      <c r="F332" s="1406">
        <v>15050</v>
      </c>
      <c r="G332" s="1403">
        <v>125.08</v>
      </c>
      <c r="H332" s="1405">
        <v>0.20477100000000001</v>
      </c>
      <c r="I332" s="1405">
        <v>1.7827000000000001E-3</v>
      </c>
      <c r="J332" s="1406">
        <v>129.82</v>
      </c>
    </row>
    <row r="333" spans="2:10" x14ac:dyDescent="0.25">
      <c r="B333" s="1403" t="s">
        <v>698</v>
      </c>
      <c r="C333" s="1404">
        <v>2050</v>
      </c>
      <c r="D333" s="1403">
        <v>1721000</v>
      </c>
      <c r="E333" s="1405">
        <v>1293000</v>
      </c>
      <c r="F333" s="1406">
        <v>15050</v>
      </c>
      <c r="G333" s="1403">
        <v>125.08</v>
      </c>
      <c r="H333" s="1405">
        <v>0.20477100000000001</v>
      </c>
      <c r="I333" s="1405">
        <v>1.7827000000000001E-3</v>
      </c>
      <c r="J333" s="1406">
        <v>129.82</v>
      </c>
    </row>
    <row r="334" spans="2:10" x14ac:dyDescent="0.25">
      <c r="B334" s="1403" t="s">
        <v>684</v>
      </c>
      <c r="C334" s="1404">
        <v>2050</v>
      </c>
      <c r="D334" s="1403">
        <v>1721000</v>
      </c>
      <c r="E334" s="1405">
        <v>1293000</v>
      </c>
      <c r="F334" s="1406">
        <v>15050</v>
      </c>
      <c r="G334" s="1403">
        <v>125.08</v>
      </c>
      <c r="H334" s="1405">
        <v>0.20477100000000001</v>
      </c>
      <c r="I334" s="1405">
        <v>1.7827000000000001E-3</v>
      </c>
      <c r="J334" s="1406">
        <v>129.82</v>
      </c>
    </row>
    <row r="335" spans="2:10" x14ac:dyDescent="0.25">
      <c r="B335" s="1403" t="s">
        <v>1086</v>
      </c>
      <c r="C335" s="1404">
        <v>2050</v>
      </c>
      <c r="D335" s="1403">
        <v>1022000</v>
      </c>
      <c r="E335" s="1405">
        <v>1021000</v>
      </c>
      <c r="F335" s="1406">
        <v>15510</v>
      </c>
      <c r="G335" s="1403">
        <v>1.6964999999999999</v>
      </c>
      <c r="H335" s="1405">
        <v>0.14096238999999999</v>
      </c>
      <c r="I335" s="1405">
        <v>3.2765999999999998E-5</v>
      </c>
      <c r="J335" s="1406">
        <v>5.9536999999999995</v>
      </c>
    </row>
    <row r="336" spans="2:10" x14ac:dyDescent="0.25">
      <c r="B336" s="1403" t="s">
        <v>716</v>
      </c>
      <c r="C336" s="1404">
        <v>2050</v>
      </c>
      <c r="D336" s="1403">
        <v>1022000</v>
      </c>
      <c r="E336" s="1405">
        <v>1021000</v>
      </c>
      <c r="F336" s="1406">
        <v>15510</v>
      </c>
      <c r="G336" s="1403">
        <v>1.6964999999999999</v>
      </c>
      <c r="H336" s="1405">
        <v>0.14096238999999999</v>
      </c>
      <c r="I336" s="1405">
        <v>3.2765999999999998E-5</v>
      </c>
      <c r="J336" s="1406">
        <v>5.9536999999999995</v>
      </c>
    </row>
    <row r="337" spans="2:10" x14ac:dyDescent="0.25">
      <c r="B337" s="1403" t="s">
        <v>717</v>
      </c>
      <c r="C337" s="1404">
        <v>2050</v>
      </c>
      <c r="D337" s="1403">
        <v>1022000</v>
      </c>
      <c r="E337" s="1405">
        <v>1021000</v>
      </c>
      <c r="F337" s="1406">
        <v>15510</v>
      </c>
      <c r="G337" s="1403">
        <v>1.6964999999999999</v>
      </c>
      <c r="H337" s="1405">
        <v>0.14096238999999999</v>
      </c>
      <c r="I337" s="1405">
        <v>3.2765999999999998E-5</v>
      </c>
      <c r="J337" s="1406">
        <v>5.9536999999999995</v>
      </c>
    </row>
    <row r="338" spans="2:10" x14ac:dyDescent="0.25">
      <c r="B338" s="1403" t="s">
        <v>911</v>
      </c>
      <c r="C338" s="1404">
        <v>2050</v>
      </c>
      <c r="D338" s="1403">
        <v>1209000</v>
      </c>
      <c r="E338" s="1405">
        <v>1202000</v>
      </c>
      <c r="F338" s="1406">
        <v>1052000</v>
      </c>
      <c r="G338" s="1403">
        <v>17.969000000000001</v>
      </c>
      <c r="H338" s="1405">
        <v>0.164128</v>
      </c>
      <c r="I338" s="1405">
        <v>2.9025999999999998E-4</v>
      </c>
      <c r="J338" s="1406">
        <v>22.988</v>
      </c>
    </row>
    <row r="339" spans="2:10" x14ac:dyDescent="0.25">
      <c r="B339" s="1403" t="s">
        <v>909</v>
      </c>
      <c r="C339" s="1404">
        <v>2050</v>
      </c>
      <c r="D339" s="1403">
        <v>1585000</v>
      </c>
      <c r="E339" s="1405">
        <v>696300</v>
      </c>
      <c r="F339" s="1406">
        <v>286000</v>
      </c>
      <c r="G339" s="1403">
        <v>38.049999999999997</v>
      </c>
      <c r="H339" s="1405">
        <v>0.1118</v>
      </c>
      <c r="I339" s="1405">
        <v>2.5350000000000001E-2</v>
      </c>
      <c r="J339" s="1406">
        <v>45.19</v>
      </c>
    </row>
    <row r="340" spans="2:10" x14ac:dyDescent="0.25">
      <c r="B340" s="1403" t="s">
        <v>912</v>
      </c>
      <c r="C340" s="1404">
        <v>2050</v>
      </c>
      <c r="D340" s="1403">
        <v>1249000</v>
      </c>
      <c r="E340" s="1405">
        <v>1242000</v>
      </c>
      <c r="F340" s="1406">
        <v>1078000</v>
      </c>
      <c r="G340" s="1403">
        <v>23.84</v>
      </c>
      <c r="H340" s="1405">
        <v>0.16985799999999998</v>
      </c>
      <c r="I340" s="1405">
        <v>3.7813000000000001E-4</v>
      </c>
      <c r="J340" s="1406">
        <v>29.157000000000004</v>
      </c>
    </row>
    <row r="341" spans="2:10" x14ac:dyDescent="0.25">
      <c r="B341" s="1403" t="s">
        <v>1080</v>
      </c>
      <c r="C341" s="1404">
        <v>2050</v>
      </c>
      <c r="D341" s="1403">
        <v>1190000</v>
      </c>
      <c r="E341" s="1405">
        <v>51590</v>
      </c>
      <c r="F341" s="1406">
        <v>29220</v>
      </c>
      <c r="G341" s="1403">
        <v>3.7582</v>
      </c>
      <c r="H341" s="1405">
        <v>8.4366999999999984E-3</v>
      </c>
      <c r="I341" s="1405">
        <v>-3.8261190000000002E-3</v>
      </c>
      <c r="J341" s="1406">
        <v>3.0054000000000003</v>
      </c>
    </row>
    <row r="342" spans="2:10" x14ac:dyDescent="0.25">
      <c r="B342" s="1403" t="s">
        <v>815</v>
      </c>
      <c r="C342" s="1404">
        <v>2050</v>
      </c>
      <c r="D342" s="1403">
        <v>1190000</v>
      </c>
      <c r="E342" s="1405">
        <v>51590</v>
      </c>
      <c r="F342" s="1406">
        <v>29220</v>
      </c>
      <c r="G342" s="1403">
        <v>3.7582</v>
      </c>
      <c r="H342" s="1405">
        <v>8.4366999999999984E-3</v>
      </c>
      <c r="I342" s="1405">
        <v>-3.8261190000000002E-3</v>
      </c>
      <c r="J342" s="1406">
        <v>3.0054000000000003</v>
      </c>
    </row>
    <row r="343" spans="2:10" x14ac:dyDescent="0.25">
      <c r="B343" s="1403" t="s">
        <v>824</v>
      </c>
      <c r="C343" s="1404">
        <v>2050</v>
      </c>
      <c r="D343" s="1403">
        <v>1190000</v>
      </c>
      <c r="E343" s="1405">
        <v>51590</v>
      </c>
      <c r="F343" s="1406">
        <v>29220</v>
      </c>
      <c r="G343" s="1403">
        <v>3.7582</v>
      </c>
      <c r="H343" s="1405">
        <v>8.4366999999999984E-3</v>
      </c>
      <c r="I343" s="1405">
        <v>-3.8261190000000002E-3</v>
      </c>
      <c r="J343" s="1406">
        <v>3.0054000000000003</v>
      </c>
    </row>
    <row r="344" spans="2:10" ht="13" thickBot="1" x14ac:dyDescent="0.3">
      <c r="B344" s="1407" t="s">
        <v>1087</v>
      </c>
      <c r="C344" s="1408">
        <v>2050</v>
      </c>
      <c r="D344" s="1407">
        <v>1384000</v>
      </c>
      <c r="E344" s="1409">
        <v>1383000</v>
      </c>
      <c r="F344" s="1410">
        <v>5034</v>
      </c>
      <c r="G344" s="1407">
        <v>78.571100000000001</v>
      </c>
      <c r="H344" s="1409">
        <v>0.27494000000000002</v>
      </c>
      <c r="I344" s="1409">
        <v>2.3304000000000003E-3</v>
      </c>
      <c r="J344" s="1410">
        <v>87.594300000000004</v>
      </c>
    </row>
    <row r="345" spans="2:10" x14ac:dyDescent="0.25">
      <c r="B345" s="1399" t="s">
        <v>1084</v>
      </c>
      <c r="C345" s="1400">
        <v>2055</v>
      </c>
      <c r="D345" s="1399">
        <v>1092000</v>
      </c>
      <c r="E345" s="1401">
        <v>1092000</v>
      </c>
      <c r="F345" s="1402">
        <v>3971</v>
      </c>
      <c r="G345" s="1399">
        <v>5.7390999999999996</v>
      </c>
      <c r="H345" s="1401">
        <v>0.18462200000000001</v>
      </c>
      <c r="I345" s="1401">
        <v>8.61E-4</v>
      </c>
      <c r="J345" s="1402">
        <v>11.5648</v>
      </c>
    </row>
    <row r="346" spans="2:10" x14ac:dyDescent="0.25">
      <c r="B346" s="1403" t="s">
        <v>283</v>
      </c>
      <c r="C346" s="1404">
        <v>2055</v>
      </c>
      <c r="D346" s="1403">
        <v>1092000</v>
      </c>
      <c r="E346" s="1405">
        <v>1092000</v>
      </c>
      <c r="F346" s="1406">
        <v>3971</v>
      </c>
      <c r="G346" s="1403">
        <v>5.7390999999999996</v>
      </c>
      <c r="H346" s="1405">
        <v>0.18462200000000001</v>
      </c>
      <c r="I346" s="1405">
        <v>8.61E-4</v>
      </c>
      <c r="J346" s="1406">
        <v>11.5648</v>
      </c>
    </row>
    <row r="347" spans="2:10" x14ac:dyDescent="0.25">
      <c r="B347" s="1403" t="s">
        <v>1085</v>
      </c>
      <c r="C347" s="1404">
        <v>2055</v>
      </c>
      <c r="D347" s="1403">
        <v>1092000</v>
      </c>
      <c r="E347" s="1405">
        <v>1092000</v>
      </c>
      <c r="F347" s="1406">
        <v>3971</v>
      </c>
      <c r="G347" s="1403">
        <v>5.7390999999999996</v>
      </c>
      <c r="H347" s="1405">
        <v>0.18462200000000001</v>
      </c>
      <c r="I347" s="1405">
        <v>8.61E-4</v>
      </c>
      <c r="J347" s="1406">
        <v>11.5648</v>
      </c>
    </row>
    <row r="348" spans="2:10" x14ac:dyDescent="0.25">
      <c r="B348" s="1403" t="s">
        <v>681</v>
      </c>
      <c r="C348" s="1404">
        <v>2055</v>
      </c>
      <c r="D348" s="1403">
        <v>1092000</v>
      </c>
      <c r="E348" s="1405">
        <v>1092000</v>
      </c>
      <c r="F348" s="1406">
        <v>3971</v>
      </c>
      <c r="G348" s="1403">
        <v>5.7390999999999996</v>
      </c>
      <c r="H348" s="1405">
        <v>0.18462200000000001</v>
      </c>
      <c r="I348" s="1405">
        <v>8.61E-4</v>
      </c>
      <c r="J348" s="1406">
        <v>11.5648</v>
      </c>
    </row>
    <row r="349" spans="2:10" x14ac:dyDescent="0.25">
      <c r="B349" s="1403" t="s">
        <v>682</v>
      </c>
      <c r="C349" s="1404">
        <v>2055</v>
      </c>
      <c r="D349" s="1403">
        <v>-1185000</v>
      </c>
      <c r="E349" s="1405">
        <v>0</v>
      </c>
      <c r="F349" s="1406">
        <v>0</v>
      </c>
      <c r="G349" s="1403">
        <v>-85.800000000000011</v>
      </c>
      <c r="H349" s="1405">
        <v>0.54700000000000004</v>
      </c>
      <c r="I349" s="1405">
        <v>-1.8286999999999999E-3</v>
      </c>
      <c r="J349" s="1406">
        <v>-70.08</v>
      </c>
    </row>
    <row r="350" spans="2:10" x14ac:dyDescent="0.25">
      <c r="B350" s="1403" t="s">
        <v>683</v>
      </c>
      <c r="C350" s="1404">
        <v>2055</v>
      </c>
      <c r="D350" s="1403">
        <v>1721000</v>
      </c>
      <c r="E350" s="1405">
        <v>1293000</v>
      </c>
      <c r="F350" s="1406">
        <v>15050</v>
      </c>
      <c r="G350" s="1403">
        <v>125.08</v>
      </c>
      <c r="H350" s="1405">
        <v>0.20477100000000001</v>
      </c>
      <c r="I350" s="1405">
        <v>1.7827000000000001E-3</v>
      </c>
      <c r="J350" s="1406">
        <v>129.82</v>
      </c>
    </row>
    <row r="351" spans="2:10" x14ac:dyDescent="0.25">
      <c r="B351" s="1403" t="s">
        <v>698</v>
      </c>
      <c r="C351" s="1404">
        <v>2055</v>
      </c>
      <c r="D351" s="1403">
        <v>1721000</v>
      </c>
      <c r="E351" s="1405">
        <v>1293000</v>
      </c>
      <c r="F351" s="1406">
        <v>15050</v>
      </c>
      <c r="G351" s="1403">
        <v>125.08</v>
      </c>
      <c r="H351" s="1405">
        <v>0.20477100000000001</v>
      </c>
      <c r="I351" s="1405">
        <v>1.7827000000000001E-3</v>
      </c>
      <c r="J351" s="1406">
        <v>129.82</v>
      </c>
    </row>
    <row r="352" spans="2:10" x14ac:dyDescent="0.25">
      <c r="B352" s="1403" t="s">
        <v>684</v>
      </c>
      <c r="C352" s="1404">
        <v>2055</v>
      </c>
      <c r="D352" s="1403">
        <v>1721000</v>
      </c>
      <c r="E352" s="1405">
        <v>1293000</v>
      </c>
      <c r="F352" s="1406">
        <v>15050</v>
      </c>
      <c r="G352" s="1403">
        <v>125.08</v>
      </c>
      <c r="H352" s="1405">
        <v>0.20477100000000001</v>
      </c>
      <c r="I352" s="1405">
        <v>1.7827000000000001E-3</v>
      </c>
      <c r="J352" s="1406">
        <v>129.82</v>
      </c>
    </row>
    <row r="353" spans="2:10" x14ac:dyDescent="0.25">
      <c r="B353" s="1403" t="s">
        <v>1086</v>
      </c>
      <c r="C353" s="1404">
        <v>2055</v>
      </c>
      <c r="D353" s="1403">
        <v>1022000</v>
      </c>
      <c r="E353" s="1405">
        <v>1021000</v>
      </c>
      <c r="F353" s="1406">
        <v>15510</v>
      </c>
      <c r="G353" s="1403">
        <v>1.6964999999999999</v>
      </c>
      <c r="H353" s="1405">
        <v>0.14096238999999999</v>
      </c>
      <c r="I353" s="1405">
        <v>3.2765999999999998E-5</v>
      </c>
      <c r="J353" s="1406">
        <v>5.9536999999999995</v>
      </c>
    </row>
    <row r="354" spans="2:10" x14ac:dyDescent="0.25">
      <c r="B354" s="1403" t="s">
        <v>716</v>
      </c>
      <c r="C354" s="1404">
        <v>2055</v>
      </c>
      <c r="D354" s="1403">
        <v>1022000</v>
      </c>
      <c r="E354" s="1405">
        <v>1021000</v>
      </c>
      <c r="F354" s="1406">
        <v>15510</v>
      </c>
      <c r="G354" s="1403">
        <v>1.6964999999999999</v>
      </c>
      <c r="H354" s="1405">
        <v>0.14096238999999999</v>
      </c>
      <c r="I354" s="1405">
        <v>3.2765999999999998E-5</v>
      </c>
      <c r="J354" s="1406">
        <v>5.9536999999999995</v>
      </c>
    </row>
    <row r="355" spans="2:10" x14ac:dyDescent="0.25">
      <c r="B355" s="1403" t="s">
        <v>717</v>
      </c>
      <c r="C355" s="1404">
        <v>2055</v>
      </c>
      <c r="D355" s="1403">
        <v>1022000</v>
      </c>
      <c r="E355" s="1405">
        <v>1021000</v>
      </c>
      <c r="F355" s="1406">
        <v>15510</v>
      </c>
      <c r="G355" s="1403">
        <v>1.6964999999999999</v>
      </c>
      <c r="H355" s="1405">
        <v>0.14096238999999999</v>
      </c>
      <c r="I355" s="1405">
        <v>3.2765999999999998E-5</v>
      </c>
      <c r="J355" s="1406">
        <v>5.9536999999999995</v>
      </c>
    </row>
    <row r="356" spans="2:10" x14ac:dyDescent="0.25">
      <c r="B356" s="1403" t="s">
        <v>911</v>
      </c>
      <c r="C356" s="1404">
        <v>2055</v>
      </c>
      <c r="D356" s="1403">
        <v>1209000</v>
      </c>
      <c r="E356" s="1405">
        <v>1202000</v>
      </c>
      <c r="F356" s="1406">
        <v>1052000</v>
      </c>
      <c r="G356" s="1403">
        <v>17.969000000000001</v>
      </c>
      <c r="H356" s="1405">
        <v>0.164128</v>
      </c>
      <c r="I356" s="1405">
        <v>2.9025999999999998E-4</v>
      </c>
      <c r="J356" s="1406">
        <v>22.988</v>
      </c>
    </row>
    <row r="357" spans="2:10" x14ac:dyDescent="0.25">
      <c r="B357" s="1403" t="s">
        <v>909</v>
      </c>
      <c r="C357" s="1404">
        <v>2055</v>
      </c>
      <c r="D357" s="1403">
        <v>1585000</v>
      </c>
      <c r="E357" s="1405">
        <v>696300</v>
      </c>
      <c r="F357" s="1406">
        <v>286000</v>
      </c>
      <c r="G357" s="1403">
        <v>38.049999999999997</v>
      </c>
      <c r="H357" s="1405">
        <v>0.1118</v>
      </c>
      <c r="I357" s="1405">
        <v>2.5350000000000001E-2</v>
      </c>
      <c r="J357" s="1406">
        <v>45.19</v>
      </c>
    </row>
    <row r="358" spans="2:10" x14ac:dyDescent="0.25">
      <c r="B358" s="1403" t="s">
        <v>912</v>
      </c>
      <c r="C358" s="1404">
        <v>2055</v>
      </c>
      <c r="D358" s="1403">
        <v>1249000</v>
      </c>
      <c r="E358" s="1405">
        <v>1242000</v>
      </c>
      <c r="F358" s="1406">
        <v>1078000</v>
      </c>
      <c r="G358" s="1403">
        <v>23.84</v>
      </c>
      <c r="H358" s="1405">
        <v>0.16985799999999998</v>
      </c>
      <c r="I358" s="1405">
        <v>3.7813000000000001E-4</v>
      </c>
      <c r="J358" s="1406">
        <v>29.157000000000004</v>
      </c>
    </row>
    <row r="359" spans="2:10" x14ac:dyDescent="0.25">
      <c r="B359" s="1403" t="s">
        <v>1080</v>
      </c>
      <c r="C359" s="1404">
        <v>2055</v>
      </c>
      <c r="D359" s="1403">
        <v>1190000</v>
      </c>
      <c r="E359" s="1405">
        <v>51590</v>
      </c>
      <c r="F359" s="1406">
        <v>29220</v>
      </c>
      <c r="G359" s="1403">
        <v>3.7582</v>
      </c>
      <c r="H359" s="1405">
        <v>8.4366999999999984E-3</v>
      </c>
      <c r="I359" s="1405">
        <v>-3.8261190000000002E-3</v>
      </c>
      <c r="J359" s="1406">
        <v>3.0054000000000003</v>
      </c>
    </row>
    <row r="360" spans="2:10" x14ac:dyDescent="0.25">
      <c r="B360" s="1403" t="s">
        <v>815</v>
      </c>
      <c r="C360" s="1404">
        <v>2055</v>
      </c>
      <c r="D360" s="1403">
        <v>1190000</v>
      </c>
      <c r="E360" s="1405">
        <v>51590</v>
      </c>
      <c r="F360" s="1406">
        <v>29220</v>
      </c>
      <c r="G360" s="1403">
        <v>3.7582</v>
      </c>
      <c r="H360" s="1405">
        <v>8.4366999999999984E-3</v>
      </c>
      <c r="I360" s="1405">
        <v>-3.8261190000000002E-3</v>
      </c>
      <c r="J360" s="1406">
        <v>3.0054000000000003</v>
      </c>
    </row>
    <row r="361" spans="2:10" x14ac:dyDescent="0.25">
      <c r="B361" s="1403" t="s">
        <v>824</v>
      </c>
      <c r="C361" s="1404">
        <v>2055</v>
      </c>
      <c r="D361" s="1403">
        <v>1190000</v>
      </c>
      <c r="E361" s="1405">
        <v>51590</v>
      </c>
      <c r="F361" s="1406">
        <v>29220</v>
      </c>
      <c r="G361" s="1403">
        <v>3.7582</v>
      </c>
      <c r="H361" s="1405">
        <v>8.4366999999999984E-3</v>
      </c>
      <c r="I361" s="1405">
        <v>-3.8261190000000002E-3</v>
      </c>
      <c r="J361" s="1406">
        <v>3.0054000000000003</v>
      </c>
    </row>
    <row r="362" spans="2:10" ht="13" thickBot="1" x14ac:dyDescent="0.3">
      <c r="B362" s="1407" t="s">
        <v>1087</v>
      </c>
      <c r="C362" s="1408">
        <v>2055</v>
      </c>
      <c r="D362" s="1407">
        <v>1384000</v>
      </c>
      <c r="E362" s="1409">
        <v>1383000</v>
      </c>
      <c r="F362" s="1410">
        <v>5034</v>
      </c>
      <c r="G362" s="1407">
        <v>78.571100000000001</v>
      </c>
      <c r="H362" s="1409">
        <v>0.27494000000000002</v>
      </c>
      <c r="I362" s="1409">
        <v>2.3304000000000003E-3</v>
      </c>
      <c r="J362" s="1410">
        <v>87.594300000000004</v>
      </c>
    </row>
    <row r="363" spans="2:10" x14ac:dyDescent="0.25">
      <c r="B363" s="1399" t="s">
        <v>1084</v>
      </c>
      <c r="C363" s="1400">
        <v>2060</v>
      </c>
      <c r="D363" s="1399">
        <v>1092000</v>
      </c>
      <c r="E363" s="1401">
        <v>1092000</v>
      </c>
      <c r="F363" s="1402">
        <v>3971</v>
      </c>
      <c r="G363" s="1399">
        <v>5.7390999999999996</v>
      </c>
      <c r="H363" s="1401">
        <v>0.18462200000000001</v>
      </c>
      <c r="I363" s="1401">
        <v>8.61E-4</v>
      </c>
      <c r="J363" s="1402">
        <v>11.5648</v>
      </c>
    </row>
    <row r="364" spans="2:10" x14ac:dyDescent="0.25">
      <c r="B364" s="1403" t="s">
        <v>283</v>
      </c>
      <c r="C364" s="1404">
        <v>2060</v>
      </c>
      <c r="D364" s="1403">
        <v>1092000</v>
      </c>
      <c r="E364" s="1405">
        <v>1092000</v>
      </c>
      <c r="F364" s="1406">
        <v>3971</v>
      </c>
      <c r="G364" s="1403">
        <v>5.7390999999999996</v>
      </c>
      <c r="H364" s="1405">
        <v>0.18462200000000001</v>
      </c>
      <c r="I364" s="1405">
        <v>8.61E-4</v>
      </c>
      <c r="J364" s="1406">
        <v>11.5648</v>
      </c>
    </row>
    <row r="365" spans="2:10" x14ac:dyDescent="0.25">
      <c r="B365" s="1403" t="s">
        <v>1085</v>
      </c>
      <c r="C365" s="1404">
        <v>2060</v>
      </c>
      <c r="D365" s="1403">
        <v>1092000</v>
      </c>
      <c r="E365" s="1405">
        <v>1092000</v>
      </c>
      <c r="F365" s="1406">
        <v>3971</v>
      </c>
      <c r="G365" s="1403">
        <v>5.7390999999999996</v>
      </c>
      <c r="H365" s="1405">
        <v>0.18462200000000001</v>
      </c>
      <c r="I365" s="1405">
        <v>8.61E-4</v>
      </c>
      <c r="J365" s="1406">
        <v>11.5648</v>
      </c>
    </row>
    <row r="366" spans="2:10" x14ac:dyDescent="0.25">
      <c r="B366" s="1403" t="s">
        <v>681</v>
      </c>
      <c r="C366" s="1404">
        <v>2060</v>
      </c>
      <c r="D366" s="1403">
        <v>1092000</v>
      </c>
      <c r="E366" s="1405">
        <v>1092000</v>
      </c>
      <c r="F366" s="1406">
        <v>3971</v>
      </c>
      <c r="G366" s="1403">
        <v>5.7390999999999996</v>
      </c>
      <c r="H366" s="1405">
        <v>0.18462200000000001</v>
      </c>
      <c r="I366" s="1405">
        <v>8.61E-4</v>
      </c>
      <c r="J366" s="1406">
        <v>11.5648</v>
      </c>
    </row>
    <row r="367" spans="2:10" x14ac:dyDescent="0.25">
      <c r="B367" s="1403" t="s">
        <v>682</v>
      </c>
      <c r="C367" s="1404">
        <v>2060</v>
      </c>
      <c r="D367" s="1403">
        <v>-1185000</v>
      </c>
      <c r="E367" s="1405">
        <v>0</v>
      </c>
      <c r="F367" s="1406">
        <v>0</v>
      </c>
      <c r="G367" s="1403">
        <v>-85.800000000000011</v>
      </c>
      <c r="H367" s="1405">
        <v>0.54700000000000004</v>
      </c>
      <c r="I367" s="1405">
        <v>-1.8286999999999999E-3</v>
      </c>
      <c r="J367" s="1406">
        <v>-70.08</v>
      </c>
    </row>
    <row r="368" spans="2:10" x14ac:dyDescent="0.25">
      <c r="B368" s="1403" t="s">
        <v>683</v>
      </c>
      <c r="C368" s="1404">
        <v>2060</v>
      </c>
      <c r="D368" s="1403">
        <v>1721000</v>
      </c>
      <c r="E368" s="1405">
        <v>1293000</v>
      </c>
      <c r="F368" s="1406">
        <v>15050</v>
      </c>
      <c r="G368" s="1403">
        <v>125.08</v>
      </c>
      <c r="H368" s="1405">
        <v>0.20477100000000001</v>
      </c>
      <c r="I368" s="1405">
        <v>1.7827000000000001E-3</v>
      </c>
      <c r="J368" s="1406">
        <v>129.82</v>
      </c>
    </row>
    <row r="369" spans="2:10" x14ac:dyDescent="0.25">
      <c r="B369" s="1403" t="s">
        <v>698</v>
      </c>
      <c r="C369" s="1404">
        <v>2060</v>
      </c>
      <c r="D369" s="1403">
        <v>1721000</v>
      </c>
      <c r="E369" s="1405">
        <v>1293000</v>
      </c>
      <c r="F369" s="1406">
        <v>15050</v>
      </c>
      <c r="G369" s="1403">
        <v>125.08</v>
      </c>
      <c r="H369" s="1405">
        <v>0.20477100000000001</v>
      </c>
      <c r="I369" s="1405">
        <v>1.7827000000000001E-3</v>
      </c>
      <c r="J369" s="1406">
        <v>129.82</v>
      </c>
    </row>
    <row r="370" spans="2:10" x14ac:dyDescent="0.25">
      <c r="B370" s="1403" t="s">
        <v>684</v>
      </c>
      <c r="C370" s="1404">
        <v>2060</v>
      </c>
      <c r="D370" s="1403">
        <v>1721000</v>
      </c>
      <c r="E370" s="1405">
        <v>1293000</v>
      </c>
      <c r="F370" s="1406">
        <v>15050</v>
      </c>
      <c r="G370" s="1403">
        <v>125.08</v>
      </c>
      <c r="H370" s="1405">
        <v>0.20477100000000001</v>
      </c>
      <c r="I370" s="1405">
        <v>1.7827000000000001E-3</v>
      </c>
      <c r="J370" s="1406">
        <v>129.82</v>
      </c>
    </row>
    <row r="371" spans="2:10" x14ac:dyDescent="0.25">
      <c r="B371" s="1403" t="s">
        <v>1086</v>
      </c>
      <c r="C371" s="1404">
        <v>2060</v>
      </c>
      <c r="D371" s="1403">
        <v>1022000</v>
      </c>
      <c r="E371" s="1405">
        <v>1021000</v>
      </c>
      <c r="F371" s="1406">
        <v>15510</v>
      </c>
      <c r="G371" s="1403">
        <v>1.6964999999999999</v>
      </c>
      <c r="H371" s="1405">
        <v>0.14096238999999999</v>
      </c>
      <c r="I371" s="1405">
        <v>3.2765999999999998E-5</v>
      </c>
      <c r="J371" s="1406">
        <v>5.9536999999999995</v>
      </c>
    </row>
    <row r="372" spans="2:10" x14ac:dyDescent="0.25">
      <c r="B372" s="1403" t="s">
        <v>716</v>
      </c>
      <c r="C372" s="1404">
        <v>2060</v>
      </c>
      <c r="D372" s="1403">
        <v>1022000</v>
      </c>
      <c r="E372" s="1405">
        <v>1021000</v>
      </c>
      <c r="F372" s="1406">
        <v>15510</v>
      </c>
      <c r="G372" s="1403">
        <v>1.6964999999999999</v>
      </c>
      <c r="H372" s="1405">
        <v>0.14096238999999999</v>
      </c>
      <c r="I372" s="1405">
        <v>3.2765999999999998E-5</v>
      </c>
      <c r="J372" s="1406">
        <v>5.9536999999999995</v>
      </c>
    </row>
    <row r="373" spans="2:10" x14ac:dyDescent="0.25">
      <c r="B373" s="1403" t="s">
        <v>717</v>
      </c>
      <c r="C373" s="1404">
        <v>2060</v>
      </c>
      <c r="D373" s="1403">
        <v>1022000</v>
      </c>
      <c r="E373" s="1405">
        <v>1021000</v>
      </c>
      <c r="F373" s="1406">
        <v>15510</v>
      </c>
      <c r="G373" s="1403">
        <v>1.6964999999999999</v>
      </c>
      <c r="H373" s="1405">
        <v>0.14096238999999999</v>
      </c>
      <c r="I373" s="1405">
        <v>3.2765999999999998E-5</v>
      </c>
      <c r="J373" s="1406">
        <v>5.9536999999999995</v>
      </c>
    </row>
    <row r="374" spans="2:10" x14ac:dyDescent="0.25">
      <c r="B374" s="1403" t="s">
        <v>911</v>
      </c>
      <c r="C374" s="1404">
        <v>2060</v>
      </c>
      <c r="D374" s="1403">
        <v>1209000</v>
      </c>
      <c r="E374" s="1405">
        <v>1202000</v>
      </c>
      <c r="F374" s="1406">
        <v>1052000</v>
      </c>
      <c r="G374" s="1403">
        <v>17.969000000000001</v>
      </c>
      <c r="H374" s="1405">
        <v>0.164128</v>
      </c>
      <c r="I374" s="1405">
        <v>2.9025999999999998E-4</v>
      </c>
      <c r="J374" s="1406">
        <v>22.988</v>
      </c>
    </row>
    <row r="375" spans="2:10" x14ac:dyDescent="0.25">
      <c r="B375" s="1403" t="s">
        <v>909</v>
      </c>
      <c r="C375" s="1404">
        <v>2060</v>
      </c>
      <c r="D375" s="1403">
        <v>1585000</v>
      </c>
      <c r="E375" s="1405">
        <v>696300</v>
      </c>
      <c r="F375" s="1406">
        <v>286000</v>
      </c>
      <c r="G375" s="1403">
        <v>38.049999999999997</v>
      </c>
      <c r="H375" s="1405">
        <v>0.1118</v>
      </c>
      <c r="I375" s="1405">
        <v>2.5350000000000001E-2</v>
      </c>
      <c r="J375" s="1406">
        <v>45.19</v>
      </c>
    </row>
    <row r="376" spans="2:10" x14ac:dyDescent="0.25">
      <c r="B376" s="1403" t="s">
        <v>912</v>
      </c>
      <c r="C376" s="1404">
        <v>2060</v>
      </c>
      <c r="D376" s="1403">
        <v>1249000</v>
      </c>
      <c r="E376" s="1405">
        <v>1242000</v>
      </c>
      <c r="F376" s="1406">
        <v>1078000</v>
      </c>
      <c r="G376" s="1403">
        <v>23.84</v>
      </c>
      <c r="H376" s="1405">
        <v>0.16985799999999998</v>
      </c>
      <c r="I376" s="1405">
        <v>3.7813000000000001E-4</v>
      </c>
      <c r="J376" s="1406">
        <v>29.157000000000004</v>
      </c>
    </row>
    <row r="377" spans="2:10" x14ac:dyDescent="0.25">
      <c r="B377" s="1403" t="s">
        <v>1080</v>
      </c>
      <c r="C377" s="1404">
        <v>2060</v>
      </c>
      <c r="D377" s="1403">
        <v>1190000</v>
      </c>
      <c r="E377" s="1405">
        <v>51590</v>
      </c>
      <c r="F377" s="1406">
        <v>29220</v>
      </c>
      <c r="G377" s="1403">
        <v>3.7582</v>
      </c>
      <c r="H377" s="1405">
        <v>8.4366999999999984E-3</v>
      </c>
      <c r="I377" s="1405">
        <v>-3.8261190000000002E-3</v>
      </c>
      <c r="J377" s="1406">
        <v>3.0054000000000003</v>
      </c>
    </row>
    <row r="378" spans="2:10" x14ac:dyDescent="0.25">
      <c r="B378" s="1403" t="s">
        <v>815</v>
      </c>
      <c r="C378" s="1404">
        <v>2060</v>
      </c>
      <c r="D378" s="1403">
        <v>1190000</v>
      </c>
      <c r="E378" s="1405">
        <v>51590</v>
      </c>
      <c r="F378" s="1406">
        <v>29220</v>
      </c>
      <c r="G378" s="1403">
        <v>3.7582</v>
      </c>
      <c r="H378" s="1405">
        <v>8.4366999999999984E-3</v>
      </c>
      <c r="I378" s="1405">
        <v>-3.8261190000000002E-3</v>
      </c>
      <c r="J378" s="1406">
        <v>3.0054000000000003</v>
      </c>
    </row>
    <row r="379" spans="2:10" x14ac:dyDescent="0.25">
      <c r="B379" s="1403" t="s">
        <v>824</v>
      </c>
      <c r="C379" s="1404">
        <v>2060</v>
      </c>
      <c r="D379" s="1403">
        <v>1190000</v>
      </c>
      <c r="E379" s="1405">
        <v>51590</v>
      </c>
      <c r="F379" s="1406">
        <v>29220</v>
      </c>
      <c r="G379" s="1403">
        <v>3.7582</v>
      </c>
      <c r="H379" s="1405">
        <v>8.4366999999999984E-3</v>
      </c>
      <c r="I379" s="1405">
        <v>-3.8261190000000002E-3</v>
      </c>
      <c r="J379" s="1406">
        <v>3.0054000000000003</v>
      </c>
    </row>
    <row r="380" spans="2:10" ht="13" thickBot="1" x14ac:dyDescent="0.3">
      <c r="B380" s="1407" t="s">
        <v>1087</v>
      </c>
      <c r="C380" s="1408">
        <v>2060</v>
      </c>
      <c r="D380" s="1407">
        <v>1384000</v>
      </c>
      <c r="E380" s="1409">
        <v>1383000</v>
      </c>
      <c r="F380" s="1410">
        <v>5034</v>
      </c>
      <c r="G380" s="1407">
        <v>78.571100000000001</v>
      </c>
      <c r="H380" s="1409">
        <v>0.27494000000000002</v>
      </c>
      <c r="I380" s="1409">
        <v>2.3304000000000003E-3</v>
      </c>
      <c r="J380" s="1410">
        <v>87.594300000000004</v>
      </c>
    </row>
    <row r="381" spans="2:10" x14ac:dyDescent="0.25">
      <c r="B381" s="1399" t="s">
        <v>1084</v>
      </c>
      <c r="C381" s="1400">
        <v>2065</v>
      </c>
      <c r="D381" s="1399">
        <v>1092000</v>
      </c>
      <c r="E381" s="1401">
        <v>1092000</v>
      </c>
      <c r="F381" s="1402">
        <v>3971</v>
      </c>
      <c r="G381" s="1399">
        <v>5.7390999999999996</v>
      </c>
      <c r="H381" s="1401">
        <v>0.18462200000000001</v>
      </c>
      <c r="I381" s="1401">
        <v>8.61E-4</v>
      </c>
      <c r="J381" s="1402">
        <v>11.5648</v>
      </c>
    </row>
    <row r="382" spans="2:10" x14ac:dyDescent="0.25">
      <c r="B382" s="1403" t="s">
        <v>283</v>
      </c>
      <c r="C382" s="1404">
        <v>2065</v>
      </c>
      <c r="D382" s="1403">
        <v>1092000</v>
      </c>
      <c r="E382" s="1405">
        <v>1092000</v>
      </c>
      <c r="F382" s="1406">
        <v>3971</v>
      </c>
      <c r="G382" s="1403">
        <v>5.7390999999999996</v>
      </c>
      <c r="H382" s="1405">
        <v>0.18462200000000001</v>
      </c>
      <c r="I382" s="1405">
        <v>8.61E-4</v>
      </c>
      <c r="J382" s="1406">
        <v>11.5648</v>
      </c>
    </row>
    <row r="383" spans="2:10" x14ac:dyDescent="0.25">
      <c r="B383" s="1403" t="s">
        <v>1085</v>
      </c>
      <c r="C383" s="1404">
        <v>2065</v>
      </c>
      <c r="D383" s="1403">
        <v>1092000</v>
      </c>
      <c r="E383" s="1405">
        <v>1092000</v>
      </c>
      <c r="F383" s="1406">
        <v>3971</v>
      </c>
      <c r="G383" s="1403">
        <v>5.7390999999999996</v>
      </c>
      <c r="H383" s="1405">
        <v>0.18462200000000001</v>
      </c>
      <c r="I383" s="1405">
        <v>8.61E-4</v>
      </c>
      <c r="J383" s="1406">
        <v>11.5648</v>
      </c>
    </row>
    <row r="384" spans="2:10" x14ac:dyDescent="0.25">
      <c r="B384" s="1403" t="s">
        <v>681</v>
      </c>
      <c r="C384" s="1404">
        <v>2065</v>
      </c>
      <c r="D384" s="1403">
        <v>1092000</v>
      </c>
      <c r="E384" s="1405">
        <v>1092000</v>
      </c>
      <c r="F384" s="1406">
        <v>3971</v>
      </c>
      <c r="G384" s="1403">
        <v>5.7390999999999996</v>
      </c>
      <c r="H384" s="1405">
        <v>0.18462200000000001</v>
      </c>
      <c r="I384" s="1405">
        <v>8.61E-4</v>
      </c>
      <c r="J384" s="1406">
        <v>11.5648</v>
      </c>
    </row>
    <row r="385" spans="2:10" x14ac:dyDescent="0.25">
      <c r="B385" s="1403" t="s">
        <v>682</v>
      </c>
      <c r="C385" s="1404">
        <v>2065</v>
      </c>
      <c r="D385" s="1403">
        <v>-1185000</v>
      </c>
      <c r="E385" s="1405">
        <v>0</v>
      </c>
      <c r="F385" s="1406">
        <v>0</v>
      </c>
      <c r="G385" s="1403">
        <v>-85.800000000000011</v>
      </c>
      <c r="H385" s="1405">
        <v>0.54700000000000004</v>
      </c>
      <c r="I385" s="1405">
        <v>-1.8286999999999999E-3</v>
      </c>
      <c r="J385" s="1406">
        <v>-70.08</v>
      </c>
    </row>
    <row r="386" spans="2:10" x14ac:dyDescent="0.25">
      <c r="B386" s="1403" t="s">
        <v>683</v>
      </c>
      <c r="C386" s="1404">
        <v>2065</v>
      </c>
      <c r="D386" s="1403">
        <v>1721000</v>
      </c>
      <c r="E386" s="1405">
        <v>1293000</v>
      </c>
      <c r="F386" s="1406">
        <v>15050</v>
      </c>
      <c r="G386" s="1403">
        <v>125.08</v>
      </c>
      <c r="H386" s="1405">
        <v>0.20477100000000001</v>
      </c>
      <c r="I386" s="1405">
        <v>1.7827000000000001E-3</v>
      </c>
      <c r="J386" s="1406">
        <v>129.82</v>
      </c>
    </row>
    <row r="387" spans="2:10" x14ac:dyDescent="0.25">
      <c r="B387" s="1403" t="s">
        <v>698</v>
      </c>
      <c r="C387" s="1404">
        <v>2065</v>
      </c>
      <c r="D387" s="1403">
        <v>1721000</v>
      </c>
      <c r="E387" s="1405">
        <v>1293000</v>
      </c>
      <c r="F387" s="1406">
        <v>15050</v>
      </c>
      <c r="G387" s="1403">
        <v>125.08</v>
      </c>
      <c r="H387" s="1405">
        <v>0.20477100000000001</v>
      </c>
      <c r="I387" s="1405">
        <v>1.7827000000000001E-3</v>
      </c>
      <c r="J387" s="1406">
        <v>129.82</v>
      </c>
    </row>
    <row r="388" spans="2:10" x14ac:dyDescent="0.25">
      <c r="B388" s="1403" t="s">
        <v>684</v>
      </c>
      <c r="C388" s="1404">
        <v>2065</v>
      </c>
      <c r="D388" s="1403">
        <v>1721000</v>
      </c>
      <c r="E388" s="1405">
        <v>1293000</v>
      </c>
      <c r="F388" s="1406">
        <v>15050</v>
      </c>
      <c r="G388" s="1403">
        <v>125.08</v>
      </c>
      <c r="H388" s="1405">
        <v>0.20477100000000001</v>
      </c>
      <c r="I388" s="1405">
        <v>1.7827000000000001E-3</v>
      </c>
      <c r="J388" s="1406">
        <v>129.82</v>
      </c>
    </row>
    <row r="389" spans="2:10" x14ac:dyDescent="0.25">
      <c r="B389" s="1403" t="s">
        <v>1086</v>
      </c>
      <c r="C389" s="1404">
        <v>2065</v>
      </c>
      <c r="D389" s="1403">
        <v>1022000</v>
      </c>
      <c r="E389" s="1405">
        <v>1021000</v>
      </c>
      <c r="F389" s="1406">
        <v>15510</v>
      </c>
      <c r="G389" s="1403">
        <v>1.6964999999999999</v>
      </c>
      <c r="H389" s="1405">
        <v>0.14096238999999999</v>
      </c>
      <c r="I389" s="1405">
        <v>3.2765999999999998E-5</v>
      </c>
      <c r="J389" s="1406">
        <v>5.9536999999999995</v>
      </c>
    </row>
    <row r="390" spans="2:10" x14ac:dyDescent="0.25">
      <c r="B390" s="1403" t="s">
        <v>716</v>
      </c>
      <c r="C390" s="1404">
        <v>2065</v>
      </c>
      <c r="D390" s="1403">
        <v>1022000</v>
      </c>
      <c r="E390" s="1405">
        <v>1021000</v>
      </c>
      <c r="F390" s="1406">
        <v>15510</v>
      </c>
      <c r="G390" s="1403">
        <v>1.6964999999999999</v>
      </c>
      <c r="H390" s="1405">
        <v>0.14096238999999999</v>
      </c>
      <c r="I390" s="1405">
        <v>3.2765999999999998E-5</v>
      </c>
      <c r="J390" s="1406">
        <v>5.9536999999999995</v>
      </c>
    </row>
    <row r="391" spans="2:10" x14ac:dyDescent="0.25">
      <c r="B391" s="1403" t="s">
        <v>717</v>
      </c>
      <c r="C391" s="1404">
        <v>2065</v>
      </c>
      <c r="D391" s="1403">
        <v>1022000</v>
      </c>
      <c r="E391" s="1405">
        <v>1021000</v>
      </c>
      <c r="F391" s="1406">
        <v>15510</v>
      </c>
      <c r="G391" s="1403">
        <v>1.6964999999999999</v>
      </c>
      <c r="H391" s="1405">
        <v>0.14096238999999999</v>
      </c>
      <c r="I391" s="1405">
        <v>3.2765999999999998E-5</v>
      </c>
      <c r="J391" s="1406">
        <v>5.9536999999999995</v>
      </c>
    </row>
    <row r="392" spans="2:10" x14ac:dyDescent="0.25">
      <c r="B392" s="1403" t="s">
        <v>911</v>
      </c>
      <c r="C392" s="1404">
        <v>2065</v>
      </c>
      <c r="D392" s="1403">
        <v>1209000</v>
      </c>
      <c r="E392" s="1405">
        <v>1202000</v>
      </c>
      <c r="F392" s="1406">
        <v>1052000</v>
      </c>
      <c r="G392" s="1403">
        <v>17.969000000000001</v>
      </c>
      <c r="H392" s="1405">
        <v>0.164128</v>
      </c>
      <c r="I392" s="1405">
        <v>2.9025999999999998E-4</v>
      </c>
      <c r="J392" s="1406">
        <v>22.988</v>
      </c>
    </row>
    <row r="393" spans="2:10" x14ac:dyDescent="0.25">
      <c r="B393" s="1403" t="s">
        <v>909</v>
      </c>
      <c r="C393" s="1404">
        <v>2065</v>
      </c>
      <c r="D393" s="1403">
        <v>1585000</v>
      </c>
      <c r="E393" s="1405">
        <v>696300</v>
      </c>
      <c r="F393" s="1406">
        <v>286000</v>
      </c>
      <c r="G393" s="1403">
        <v>38.049999999999997</v>
      </c>
      <c r="H393" s="1405">
        <v>0.1118</v>
      </c>
      <c r="I393" s="1405">
        <v>2.5350000000000001E-2</v>
      </c>
      <c r="J393" s="1406">
        <v>45.19</v>
      </c>
    </row>
    <row r="394" spans="2:10" x14ac:dyDescent="0.25">
      <c r="B394" s="1403" t="s">
        <v>912</v>
      </c>
      <c r="C394" s="1404">
        <v>2065</v>
      </c>
      <c r="D394" s="1403">
        <v>1249000</v>
      </c>
      <c r="E394" s="1405">
        <v>1242000</v>
      </c>
      <c r="F394" s="1406">
        <v>1078000</v>
      </c>
      <c r="G394" s="1403">
        <v>23.84</v>
      </c>
      <c r="H394" s="1405">
        <v>0.16985799999999998</v>
      </c>
      <c r="I394" s="1405">
        <v>3.7813000000000001E-4</v>
      </c>
      <c r="J394" s="1406">
        <v>29.157000000000004</v>
      </c>
    </row>
    <row r="395" spans="2:10" x14ac:dyDescent="0.25">
      <c r="B395" s="1403" t="s">
        <v>1080</v>
      </c>
      <c r="C395" s="1404">
        <v>2065</v>
      </c>
      <c r="D395" s="1403">
        <v>1190000</v>
      </c>
      <c r="E395" s="1405">
        <v>51590</v>
      </c>
      <c r="F395" s="1406">
        <v>29220</v>
      </c>
      <c r="G395" s="1403">
        <v>3.7582</v>
      </c>
      <c r="H395" s="1405">
        <v>8.4366999999999984E-3</v>
      </c>
      <c r="I395" s="1405">
        <v>-3.8261190000000002E-3</v>
      </c>
      <c r="J395" s="1406">
        <v>3.0054000000000003</v>
      </c>
    </row>
    <row r="396" spans="2:10" x14ac:dyDescent="0.25">
      <c r="B396" s="1403" t="s">
        <v>815</v>
      </c>
      <c r="C396" s="1404">
        <v>2065</v>
      </c>
      <c r="D396" s="1403">
        <v>1190000</v>
      </c>
      <c r="E396" s="1405">
        <v>51590</v>
      </c>
      <c r="F396" s="1406">
        <v>29220</v>
      </c>
      <c r="G396" s="1403">
        <v>3.7582</v>
      </c>
      <c r="H396" s="1405">
        <v>8.4366999999999984E-3</v>
      </c>
      <c r="I396" s="1405">
        <v>-3.8261190000000002E-3</v>
      </c>
      <c r="J396" s="1406">
        <v>3.0054000000000003</v>
      </c>
    </row>
    <row r="397" spans="2:10" x14ac:dyDescent="0.25">
      <c r="B397" s="1403" t="s">
        <v>824</v>
      </c>
      <c r="C397" s="1404">
        <v>2065</v>
      </c>
      <c r="D397" s="1403">
        <v>1190000</v>
      </c>
      <c r="E397" s="1405">
        <v>51590</v>
      </c>
      <c r="F397" s="1406">
        <v>29220</v>
      </c>
      <c r="G397" s="1403">
        <v>3.7582</v>
      </c>
      <c r="H397" s="1405">
        <v>8.4366999999999984E-3</v>
      </c>
      <c r="I397" s="1405">
        <v>-3.8261190000000002E-3</v>
      </c>
      <c r="J397" s="1406">
        <v>3.0054000000000003</v>
      </c>
    </row>
    <row r="398" spans="2:10" ht="13" thickBot="1" x14ac:dyDescent="0.3">
      <c r="B398" s="1407" t="s">
        <v>1087</v>
      </c>
      <c r="C398" s="1408">
        <v>2065</v>
      </c>
      <c r="D398" s="1407">
        <v>1384000</v>
      </c>
      <c r="E398" s="1409">
        <v>1383000</v>
      </c>
      <c r="F398" s="1410">
        <v>5034</v>
      </c>
      <c r="G398" s="1407">
        <v>78.571100000000001</v>
      </c>
      <c r="H398" s="1409">
        <v>0.27494000000000002</v>
      </c>
      <c r="I398" s="1409">
        <v>2.3304000000000003E-3</v>
      </c>
      <c r="J398" s="1410">
        <v>87.594300000000004</v>
      </c>
    </row>
    <row r="399" spans="2:10" x14ac:dyDescent="0.25">
      <c r="B399" s="1399" t="s">
        <v>1084</v>
      </c>
      <c r="C399" s="1400">
        <v>2070</v>
      </c>
      <c r="D399" s="1399">
        <v>1092000</v>
      </c>
      <c r="E399" s="1401">
        <v>1092000</v>
      </c>
      <c r="F399" s="1402">
        <v>3971</v>
      </c>
      <c r="G399" s="1399">
        <v>5.7390999999999996</v>
      </c>
      <c r="H399" s="1401">
        <v>0.18462200000000001</v>
      </c>
      <c r="I399" s="1401">
        <v>8.61E-4</v>
      </c>
      <c r="J399" s="1402">
        <v>11.5648</v>
      </c>
    </row>
    <row r="400" spans="2:10" x14ac:dyDescent="0.25">
      <c r="B400" s="1403" t="s">
        <v>283</v>
      </c>
      <c r="C400" s="1404">
        <v>2070</v>
      </c>
      <c r="D400" s="1403">
        <v>1092000</v>
      </c>
      <c r="E400" s="1405">
        <v>1092000</v>
      </c>
      <c r="F400" s="1406">
        <v>3971</v>
      </c>
      <c r="G400" s="1403">
        <v>5.7390999999999996</v>
      </c>
      <c r="H400" s="1405">
        <v>0.18462200000000001</v>
      </c>
      <c r="I400" s="1405">
        <v>8.61E-4</v>
      </c>
      <c r="J400" s="1406">
        <v>11.5648</v>
      </c>
    </row>
    <row r="401" spans="2:10" x14ac:dyDescent="0.25">
      <c r="B401" s="1403" t="s">
        <v>1085</v>
      </c>
      <c r="C401" s="1404">
        <v>2070</v>
      </c>
      <c r="D401" s="1403">
        <v>1092000</v>
      </c>
      <c r="E401" s="1405">
        <v>1092000</v>
      </c>
      <c r="F401" s="1406">
        <v>3971</v>
      </c>
      <c r="G401" s="1403">
        <v>5.7390999999999996</v>
      </c>
      <c r="H401" s="1405">
        <v>0.18462200000000001</v>
      </c>
      <c r="I401" s="1405">
        <v>8.61E-4</v>
      </c>
      <c r="J401" s="1406">
        <v>11.5648</v>
      </c>
    </row>
    <row r="402" spans="2:10" x14ac:dyDescent="0.25">
      <c r="B402" s="1403" t="s">
        <v>681</v>
      </c>
      <c r="C402" s="1404">
        <v>2070</v>
      </c>
      <c r="D402" s="1403">
        <v>1092000</v>
      </c>
      <c r="E402" s="1405">
        <v>1092000</v>
      </c>
      <c r="F402" s="1406">
        <v>3971</v>
      </c>
      <c r="G402" s="1403">
        <v>5.7390999999999996</v>
      </c>
      <c r="H402" s="1405">
        <v>0.18462200000000001</v>
      </c>
      <c r="I402" s="1405">
        <v>8.61E-4</v>
      </c>
      <c r="J402" s="1406">
        <v>11.5648</v>
      </c>
    </row>
    <row r="403" spans="2:10" x14ac:dyDescent="0.25">
      <c r="B403" s="1403" t="s">
        <v>682</v>
      </c>
      <c r="C403" s="1404">
        <v>2070</v>
      </c>
      <c r="D403" s="1403">
        <v>-1185000</v>
      </c>
      <c r="E403" s="1405">
        <v>0</v>
      </c>
      <c r="F403" s="1406">
        <v>0</v>
      </c>
      <c r="G403" s="1403">
        <v>-85.800000000000011</v>
      </c>
      <c r="H403" s="1405">
        <v>0.54700000000000004</v>
      </c>
      <c r="I403" s="1405">
        <v>-1.8286999999999999E-3</v>
      </c>
      <c r="J403" s="1406">
        <v>-70.08</v>
      </c>
    </row>
    <row r="404" spans="2:10" x14ac:dyDescent="0.25">
      <c r="B404" s="1403" t="s">
        <v>683</v>
      </c>
      <c r="C404" s="1404">
        <v>2070</v>
      </c>
      <c r="D404" s="1403">
        <v>1721000</v>
      </c>
      <c r="E404" s="1405">
        <v>1293000</v>
      </c>
      <c r="F404" s="1406">
        <v>15050</v>
      </c>
      <c r="G404" s="1403">
        <v>125.08</v>
      </c>
      <c r="H404" s="1405">
        <v>0.20477100000000001</v>
      </c>
      <c r="I404" s="1405">
        <v>1.7827000000000001E-3</v>
      </c>
      <c r="J404" s="1406">
        <v>129.82</v>
      </c>
    </row>
    <row r="405" spans="2:10" x14ac:dyDescent="0.25">
      <c r="B405" s="1403" t="s">
        <v>698</v>
      </c>
      <c r="C405" s="1404">
        <v>2070</v>
      </c>
      <c r="D405" s="1403">
        <v>1721000</v>
      </c>
      <c r="E405" s="1405">
        <v>1293000</v>
      </c>
      <c r="F405" s="1406">
        <v>15050</v>
      </c>
      <c r="G405" s="1403">
        <v>125.08</v>
      </c>
      <c r="H405" s="1405">
        <v>0.20477100000000001</v>
      </c>
      <c r="I405" s="1405">
        <v>1.7827000000000001E-3</v>
      </c>
      <c r="J405" s="1406">
        <v>129.82</v>
      </c>
    </row>
    <row r="406" spans="2:10" x14ac:dyDescent="0.25">
      <c r="B406" s="1403" t="s">
        <v>684</v>
      </c>
      <c r="C406" s="1404">
        <v>2070</v>
      </c>
      <c r="D406" s="1403">
        <v>1721000</v>
      </c>
      <c r="E406" s="1405">
        <v>1293000</v>
      </c>
      <c r="F406" s="1406">
        <v>15050</v>
      </c>
      <c r="G406" s="1403">
        <v>125.08</v>
      </c>
      <c r="H406" s="1405">
        <v>0.20477100000000001</v>
      </c>
      <c r="I406" s="1405">
        <v>1.7827000000000001E-3</v>
      </c>
      <c r="J406" s="1406">
        <v>129.82</v>
      </c>
    </row>
    <row r="407" spans="2:10" x14ac:dyDescent="0.25">
      <c r="B407" s="1403" t="s">
        <v>1086</v>
      </c>
      <c r="C407" s="1404">
        <v>2070</v>
      </c>
      <c r="D407" s="1403">
        <v>1022000</v>
      </c>
      <c r="E407" s="1405">
        <v>1021000</v>
      </c>
      <c r="F407" s="1406">
        <v>15510</v>
      </c>
      <c r="G407" s="1403">
        <v>1.6964999999999999</v>
      </c>
      <c r="H407" s="1405">
        <v>0.14096238999999999</v>
      </c>
      <c r="I407" s="1405">
        <v>3.2765999999999998E-5</v>
      </c>
      <c r="J407" s="1406">
        <v>5.9536999999999995</v>
      </c>
    </row>
    <row r="408" spans="2:10" x14ac:dyDescent="0.25">
      <c r="B408" s="1403" t="s">
        <v>716</v>
      </c>
      <c r="C408" s="1404">
        <v>2070</v>
      </c>
      <c r="D408" s="1403">
        <v>1022000</v>
      </c>
      <c r="E408" s="1405">
        <v>1021000</v>
      </c>
      <c r="F408" s="1406">
        <v>15510</v>
      </c>
      <c r="G408" s="1403">
        <v>1.6964999999999999</v>
      </c>
      <c r="H408" s="1405">
        <v>0.14096238999999999</v>
      </c>
      <c r="I408" s="1405">
        <v>3.2765999999999998E-5</v>
      </c>
      <c r="J408" s="1406">
        <v>5.9536999999999995</v>
      </c>
    </row>
    <row r="409" spans="2:10" x14ac:dyDescent="0.25">
      <c r="B409" s="1403" t="s">
        <v>717</v>
      </c>
      <c r="C409" s="1404">
        <v>2070</v>
      </c>
      <c r="D409" s="1403">
        <v>1022000</v>
      </c>
      <c r="E409" s="1405">
        <v>1021000</v>
      </c>
      <c r="F409" s="1406">
        <v>15510</v>
      </c>
      <c r="G409" s="1403">
        <v>1.6964999999999999</v>
      </c>
      <c r="H409" s="1405">
        <v>0.14096238999999999</v>
      </c>
      <c r="I409" s="1405">
        <v>3.2765999999999998E-5</v>
      </c>
      <c r="J409" s="1406">
        <v>5.9536999999999995</v>
      </c>
    </row>
    <row r="410" spans="2:10" x14ac:dyDescent="0.25">
      <c r="B410" s="1403" t="s">
        <v>911</v>
      </c>
      <c r="C410" s="1404">
        <v>2070</v>
      </c>
      <c r="D410" s="1403">
        <v>1209000</v>
      </c>
      <c r="E410" s="1405">
        <v>1202000</v>
      </c>
      <c r="F410" s="1406">
        <v>1052000</v>
      </c>
      <c r="G410" s="1403">
        <v>17.969000000000001</v>
      </c>
      <c r="H410" s="1405">
        <v>0.164128</v>
      </c>
      <c r="I410" s="1405">
        <v>2.9025999999999998E-4</v>
      </c>
      <c r="J410" s="1406">
        <v>22.988</v>
      </c>
    </row>
    <row r="411" spans="2:10" x14ac:dyDescent="0.25">
      <c r="B411" s="1403" t="s">
        <v>909</v>
      </c>
      <c r="C411" s="1404">
        <v>2070</v>
      </c>
      <c r="D411" s="1403">
        <v>1585000</v>
      </c>
      <c r="E411" s="1405">
        <v>696300</v>
      </c>
      <c r="F411" s="1406">
        <v>286000</v>
      </c>
      <c r="G411" s="1403">
        <v>38.049999999999997</v>
      </c>
      <c r="H411" s="1405">
        <v>0.1118</v>
      </c>
      <c r="I411" s="1405">
        <v>2.5350000000000001E-2</v>
      </c>
      <c r="J411" s="1406">
        <v>45.19</v>
      </c>
    </row>
    <row r="412" spans="2:10" x14ac:dyDescent="0.25">
      <c r="B412" s="1403" t="s">
        <v>912</v>
      </c>
      <c r="C412" s="1404">
        <v>2070</v>
      </c>
      <c r="D412" s="1403">
        <v>1249000</v>
      </c>
      <c r="E412" s="1405">
        <v>1242000</v>
      </c>
      <c r="F412" s="1406">
        <v>1078000</v>
      </c>
      <c r="G412" s="1403">
        <v>23.84</v>
      </c>
      <c r="H412" s="1405">
        <v>0.16985799999999998</v>
      </c>
      <c r="I412" s="1405">
        <v>3.7813000000000001E-4</v>
      </c>
      <c r="J412" s="1406">
        <v>29.157000000000004</v>
      </c>
    </row>
    <row r="413" spans="2:10" x14ac:dyDescent="0.25">
      <c r="B413" s="1403" t="s">
        <v>1080</v>
      </c>
      <c r="C413" s="1404">
        <v>2070</v>
      </c>
      <c r="D413" s="1403">
        <v>1190000</v>
      </c>
      <c r="E413" s="1405">
        <v>51590</v>
      </c>
      <c r="F413" s="1406">
        <v>29220</v>
      </c>
      <c r="G413" s="1403">
        <v>3.7582</v>
      </c>
      <c r="H413" s="1405">
        <v>8.4366999999999984E-3</v>
      </c>
      <c r="I413" s="1405">
        <v>-3.8261190000000002E-3</v>
      </c>
      <c r="J413" s="1406">
        <v>3.0054000000000003</v>
      </c>
    </row>
    <row r="414" spans="2:10" x14ac:dyDescent="0.25">
      <c r="B414" s="1403" t="s">
        <v>815</v>
      </c>
      <c r="C414" s="1404">
        <v>2070</v>
      </c>
      <c r="D414" s="1403">
        <v>1190000</v>
      </c>
      <c r="E414" s="1405">
        <v>51590</v>
      </c>
      <c r="F414" s="1406">
        <v>29220</v>
      </c>
      <c r="G414" s="1403">
        <v>3.7582</v>
      </c>
      <c r="H414" s="1405">
        <v>8.4366999999999984E-3</v>
      </c>
      <c r="I414" s="1405">
        <v>-3.8261190000000002E-3</v>
      </c>
      <c r="J414" s="1406">
        <v>3.0054000000000003</v>
      </c>
    </row>
    <row r="415" spans="2:10" x14ac:dyDescent="0.25">
      <c r="B415" s="1403" t="s">
        <v>824</v>
      </c>
      <c r="C415" s="1404">
        <v>2070</v>
      </c>
      <c r="D415" s="1403">
        <v>1190000</v>
      </c>
      <c r="E415" s="1405">
        <v>51590</v>
      </c>
      <c r="F415" s="1406">
        <v>29220</v>
      </c>
      <c r="G415" s="1403">
        <v>3.7582</v>
      </c>
      <c r="H415" s="1405">
        <v>8.4366999999999984E-3</v>
      </c>
      <c r="I415" s="1405">
        <v>-3.8261190000000002E-3</v>
      </c>
      <c r="J415" s="1406">
        <v>3.0054000000000003</v>
      </c>
    </row>
    <row r="416" spans="2:10" ht="13" thickBot="1" x14ac:dyDescent="0.3">
      <c r="B416" s="1407" t="s">
        <v>1087</v>
      </c>
      <c r="C416" s="1408">
        <v>2070</v>
      </c>
      <c r="D416" s="1407">
        <v>1384000</v>
      </c>
      <c r="E416" s="1409">
        <v>1383000</v>
      </c>
      <c r="F416" s="1410">
        <v>5034</v>
      </c>
      <c r="G416" s="1407">
        <v>78.571100000000001</v>
      </c>
      <c r="H416" s="1409">
        <v>0.27494000000000002</v>
      </c>
      <c r="I416" s="1409">
        <v>2.3304000000000003E-3</v>
      </c>
      <c r="J416" s="1410">
        <v>87.594300000000004</v>
      </c>
    </row>
    <row r="417" spans="2:10" x14ac:dyDescent="0.25">
      <c r="B417" s="1399" t="s">
        <v>1084</v>
      </c>
      <c r="C417" s="1400">
        <v>2075</v>
      </c>
      <c r="D417" s="1399">
        <v>1092000</v>
      </c>
      <c r="E417" s="1401">
        <v>1092000</v>
      </c>
      <c r="F417" s="1402">
        <v>3971</v>
      </c>
      <c r="G417" s="1399">
        <v>5.7390999999999996</v>
      </c>
      <c r="H417" s="1401">
        <v>0.18462200000000001</v>
      </c>
      <c r="I417" s="1401">
        <v>8.61E-4</v>
      </c>
      <c r="J417" s="1402">
        <v>11.5648</v>
      </c>
    </row>
    <row r="418" spans="2:10" x14ac:dyDescent="0.25">
      <c r="B418" s="1403" t="s">
        <v>283</v>
      </c>
      <c r="C418" s="1404">
        <v>2075</v>
      </c>
      <c r="D418" s="1403">
        <v>1092000</v>
      </c>
      <c r="E418" s="1405">
        <v>1092000</v>
      </c>
      <c r="F418" s="1406">
        <v>3971</v>
      </c>
      <c r="G418" s="1403">
        <v>5.7390999999999996</v>
      </c>
      <c r="H418" s="1405">
        <v>0.18462200000000001</v>
      </c>
      <c r="I418" s="1405">
        <v>8.61E-4</v>
      </c>
      <c r="J418" s="1406">
        <v>11.5648</v>
      </c>
    </row>
    <row r="419" spans="2:10" x14ac:dyDescent="0.25">
      <c r="B419" s="1403" t="s">
        <v>1085</v>
      </c>
      <c r="C419" s="1404">
        <v>2075</v>
      </c>
      <c r="D419" s="1403">
        <v>1092000</v>
      </c>
      <c r="E419" s="1405">
        <v>1092000</v>
      </c>
      <c r="F419" s="1406">
        <v>3971</v>
      </c>
      <c r="G419" s="1403">
        <v>5.7390999999999996</v>
      </c>
      <c r="H419" s="1405">
        <v>0.18462200000000001</v>
      </c>
      <c r="I419" s="1405">
        <v>8.61E-4</v>
      </c>
      <c r="J419" s="1406">
        <v>11.5648</v>
      </c>
    </row>
    <row r="420" spans="2:10" x14ac:dyDescent="0.25">
      <c r="B420" s="1403" t="s">
        <v>681</v>
      </c>
      <c r="C420" s="1404">
        <v>2075</v>
      </c>
      <c r="D420" s="1403">
        <v>1092000</v>
      </c>
      <c r="E420" s="1405">
        <v>1092000</v>
      </c>
      <c r="F420" s="1406">
        <v>3971</v>
      </c>
      <c r="G420" s="1403">
        <v>5.7390999999999996</v>
      </c>
      <c r="H420" s="1405">
        <v>0.18462200000000001</v>
      </c>
      <c r="I420" s="1405">
        <v>8.61E-4</v>
      </c>
      <c r="J420" s="1406">
        <v>11.5648</v>
      </c>
    </row>
    <row r="421" spans="2:10" x14ac:dyDescent="0.25">
      <c r="B421" s="1403" t="s">
        <v>682</v>
      </c>
      <c r="C421" s="1404">
        <v>2075</v>
      </c>
      <c r="D421" s="1403">
        <v>-1185000</v>
      </c>
      <c r="E421" s="1405">
        <v>0</v>
      </c>
      <c r="F421" s="1406">
        <v>0</v>
      </c>
      <c r="G421" s="1403">
        <v>-85.800000000000011</v>
      </c>
      <c r="H421" s="1405">
        <v>0.54700000000000004</v>
      </c>
      <c r="I421" s="1405">
        <v>-1.8286999999999999E-3</v>
      </c>
      <c r="J421" s="1406">
        <v>-70.08</v>
      </c>
    </row>
    <row r="422" spans="2:10" x14ac:dyDescent="0.25">
      <c r="B422" s="1403" t="s">
        <v>683</v>
      </c>
      <c r="C422" s="1404">
        <v>2075</v>
      </c>
      <c r="D422" s="1403">
        <v>1721000</v>
      </c>
      <c r="E422" s="1405">
        <v>1293000</v>
      </c>
      <c r="F422" s="1406">
        <v>15050</v>
      </c>
      <c r="G422" s="1403">
        <v>125.08</v>
      </c>
      <c r="H422" s="1405">
        <v>0.20477100000000001</v>
      </c>
      <c r="I422" s="1405">
        <v>1.7827000000000001E-3</v>
      </c>
      <c r="J422" s="1406">
        <v>129.82</v>
      </c>
    </row>
    <row r="423" spans="2:10" x14ac:dyDescent="0.25">
      <c r="B423" s="1403" t="s">
        <v>698</v>
      </c>
      <c r="C423" s="1404">
        <v>2075</v>
      </c>
      <c r="D423" s="1403">
        <v>1721000</v>
      </c>
      <c r="E423" s="1405">
        <v>1293000</v>
      </c>
      <c r="F423" s="1406">
        <v>15050</v>
      </c>
      <c r="G423" s="1403">
        <v>125.08</v>
      </c>
      <c r="H423" s="1405">
        <v>0.20477100000000001</v>
      </c>
      <c r="I423" s="1405">
        <v>1.7827000000000001E-3</v>
      </c>
      <c r="J423" s="1406">
        <v>129.82</v>
      </c>
    </row>
    <row r="424" spans="2:10" x14ac:dyDescent="0.25">
      <c r="B424" s="1403" t="s">
        <v>684</v>
      </c>
      <c r="C424" s="1404">
        <v>2075</v>
      </c>
      <c r="D424" s="1403">
        <v>1721000</v>
      </c>
      <c r="E424" s="1405">
        <v>1293000</v>
      </c>
      <c r="F424" s="1406">
        <v>15050</v>
      </c>
      <c r="G424" s="1403">
        <v>125.08</v>
      </c>
      <c r="H424" s="1405">
        <v>0.20477100000000001</v>
      </c>
      <c r="I424" s="1405">
        <v>1.7827000000000001E-3</v>
      </c>
      <c r="J424" s="1406">
        <v>129.82</v>
      </c>
    </row>
    <row r="425" spans="2:10" x14ac:dyDescent="0.25">
      <c r="B425" s="1403" t="s">
        <v>1086</v>
      </c>
      <c r="C425" s="1404">
        <v>2075</v>
      </c>
      <c r="D425" s="1403">
        <v>1022000</v>
      </c>
      <c r="E425" s="1405">
        <v>1021000</v>
      </c>
      <c r="F425" s="1406">
        <v>15510</v>
      </c>
      <c r="G425" s="1403">
        <v>1.6964999999999999</v>
      </c>
      <c r="H425" s="1405">
        <v>0.14096238999999999</v>
      </c>
      <c r="I425" s="1405">
        <v>3.2765999999999998E-5</v>
      </c>
      <c r="J425" s="1406">
        <v>5.9536999999999995</v>
      </c>
    </row>
    <row r="426" spans="2:10" x14ac:dyDescent="0.25">
      <c r="B426" s="1403" t="s">
        <v>716</v>
      </c>
      <c r="C426" s="1404">
        <v>2075</v>
      </c>
      <c r="D426" s="1403">
        <v>1022000</v>
      </c>
      <c r="E426" s="1405">
        <v>1021000</v>
      </c>
      <c r="F426" s="1406">
        <v>15510</v>
      </c>
      <c r="G426" s="1403">
        <v>1.6964999999999999</v>
      </c>
      <c r="H426" s="1405">
        <v>0.14096238999999999</v>
      </c>
      <c r="I426" s="1405">
        <v>3.2765999999999998E-5</v>
      </c>
      <c r="J426" s="1406">
        <v>5.9536999999999995</v>
      </c>
    </row>
    <row r="427" spans="2:10" x14ac:dyDescent="0.25">
      <c r="B427" s="1403" t="s">
        <v>717</v>
      </c>
      <c r="C427" s="1404">
        <v>2075</v>
      </c>
      <c r="D427" s="1403">
        <v>1022000</v>
      </c>
      <c r="E427" s="1405">
        <v>1021000</v>
      </c>
      <c r="F427" s="1406">
        <v>15510</v>
      </c>
      <c r="G427" s="1403">
        <v>1.6964999999999999</v>
      </c>
      <c r="H427" s="1405">
        <v>0.14096238999999999</v>
      </c>
      <c r="I427" s="1405">
        <v>3.2765999999999998E-5</v>
      </c>
      <c r="J427" s="1406">
        <v>5.9536999999999995</v>
      </c>
    </row>
    <row r="428" spans="2:10" x14ac:dyDescent="0.25">
      <c r="B428" s="1403" t="s">
        <v>911</v>
      </c>
      <c r="C428" s="1404">
        <v>2075</v>
      </c>
      <c r="D428" s="1403">
        <v>1209000</v>
      </c>
      <c r="E428" s="1405">
        <v>1202000</v>
      </c>
      <c r="F428" s="1406">
        <v>1052000</v>
      </c>
      <c r="G428" s="1403">
        <v>17.969000000000001</v>
      </c>
      <c r="H428" s="1405">
        <v>0.164128</v>
      </c>
      <c r="I428" s="1405">
        <v>2.9025999999999998E-4</v>
      </c>
      <c r="J428" s="1406">
        <v>22.988</v>
      </c>
    </row>
    <row r="429" spans="2:10" x14ac:dyDescent="0.25">
      <c r="B429" s="1403" t="s">
        <v>909</v>
      </c>
      <c r="C429" s="1404">
        <v>2075</v>
      </c>
      <c r="D429" s="1403">
        <v>1585000</v>
      </c>
      <c r="E429" s="1405">
        <v>696300</v>
      </c>
      <c r="F429" s="1406">
        <v>286000</v>
      </c>
      <c r="G429" s="1403">
        <v>38.049999999999997</v>
      </c>
      <c r="H429" s="1405">
        <v>0.1118</v>
      </c>
      <c r="I429" s="1405">
        <v>2.5350000000000001E-2</v>
      </c>
      <c r="J429" s="1406">
        <v>45.19</v>
      </c>
    </row>
    <row r="430" spans="2:10" x14ac:dyDescent="0.25">
      <c r="B430" s="1403" t="s">
        <v>912</v>
      </c>
      <c r="C430" s="1404">
        <v>2075</v>
      </c>
      <c r="D430" s="1403">
        <v>1249000</v>
      </c>
      <c r="E430" s="1405">
        <v>1242000</v>
      </c>
      <c r="F430" s="1406">
        <v>1078000</v>
      </c>
      <c r="G430" s="1403">
        <v>23.84</v>
      </c>
      <c r="H430" s="1405">
        <v>0.16985799999999998</v>
      </c>
      <c r="I430" s="1405">
        <v>3.7813000000000001E-4</v>
      </c>
      <c r="J430" s="1406">
        <v>29.157000000000004</v>
      </c>
    </row>
    <row r="431" spans="2:10" x14ac:dyDescent="0.25">
      <c r="B431" s="1403" t="s">
        <v>1080</v>
      </c>
      <c r="C431" s="1404">
        <v>2075</v>
      </c>
      <c r="D431" s="1403">
        <v>1190000</v>
      </c>
      <c r="E431" s="1405">
        <v>51590</v>
      </c>
      <c r="F431" s="1406">
        <v>29220</v>
      </c>
      <c r="G431" s="1403">
        <v>3.7582</v>
      </c>
      <c r="H431" s="1405">
        <v>8.4366999999999984E-3</v>
      </c>
      <c r="I431" s="1405">
        <v>-3.8261190000000002E-3</v>
      </c>
      <c r="J431" s="1406">
        <v>3.0054000000000003</v>
      </c>
    </row>
    <row r="432" spans="2:10" x14ac:dyDescent="0.25">
      <c r="B432" s="1403" t="s">
        <v>815</v>
      </c>
      <c r="C432" s="1404">
        <v>2075</v>
      </c>
      <c r="D432" s="1403">
        <v>1190000</v>
      </c>
      <c r="E432" s="1405">
        <v>51590</v>
      </c>
      <c r="F432" s="1406">
        <v>29220</v>
      </c>
      <c r="G432" s="1403">
        <v>3.7582</v>
      </c>
      <c r="H432" s="1405">
        <v>8.4366999999999984E-3</v>
      </c>
      <c r="I432" s="1405">
        <v>-3.8261190000000002E-3</v>
      </c>
      <c r="J432" s="1406">
        <v>3.0054000000000003</v>
      </c>
    </row>
    <row r="433" spans="2:10" x14ac:dyDescent="0.25">
      <c r="B433" s="1403" t="s">
        <v>824</v>
      </c>
      <c r="C433" s="1404">
        <v>2075</v>
      </c>
      <c r="D433" s="1403">
        <v>1190000</v>
      </c>
      <c r="E433" s="1405">
        <v>51590</v>
      </c>
      <c r="F433" s="1406">
        <v>29220</v>
      </c>
      <c r="G433" s="1403">
        <v>3.7582</v>
      </c>
      <c r="H433" s="1405">
        <v>8.4366999999999984E-3</v>
      </c>
      <c r="I433" s="1405">
        <v>-3.8261190000000002E-3</v>
      </c>
      <c r="J433" s="1406">
        <v>3.0054000000000003</v>
      </c>
    </row>
    <row r="434" spans="2:10" ht="13" thickBot="1" x14ac:dyDescent="0.3">
      <c r="B434" s="1407" t="s">
        <v>1087</v>
      </c>
      <c r="C434" s="1408">
        <v>2075</v>
      </c>
      <c r="D434" s="1407">
        <v>1384000</v>
      </c>
      <c r="E434" s="1409">
        <v>1383000</v>
      </c>
      <c r="F434" s="1410">
        <v>5034</v>
      </c>
      <c r="G434" s="1407">
        <v>78.571100000000001</v>
      </c>
      <c r="H434" s="1409">
        <v>0.27494000000000002</v>
      </c>
      <c r="I434" s="1409">
        <v>2.3304000000000003E-3</v>
      </c>
      <c r="J434" s="1410">
        <v>87.594300000000004</v>
      </c>
    </row>
    <row r="435" spans="2:10" x14ac:dyDescent="0.25">
      <c r="B435" s="1399" t="s">
        <v>1084</v>
      </c>
      <c r="C435" s="1400">
        <v>2080</v>
      </c>
      <c r="D435" s="1399">
        <v>1092000</v>
      </c>
      <c r="E435" s="1401">
        <v>1092000</v>
      </c>
      <c r="F435" s="1402">
        <v>3971</v>
      </c>
      <c r="G435" s="1399">
        <v>5.7390999999999996</v>
      </c>
      <c r="H435" s="1401">
        <v>0.18462200000000001</v>
      </c>
      <c r="I435" s="1401">
        <v>8.61E-4</v>
      </c>
      <c r="J435" s="1402">
        <v>11.5648</v>
      </c>
    </row>
    <row r="436" spans="2:10" x14ac:dyDescent="0.25">
      <c r="B436" s="1403" t="s">
        <v>283</v>
      </c>
      <c r="C436" s="1404">
        <v>2080</v>
      </c>
      <c r="D436" s="1403">
        <v>1092000</v>
      </c>
      <c r="E436" s="1405">
        <v>1092000</v>
      </c>
      <c r="F436" s="1406">
        <v>3971</v>
      </c>
      <c r="G436" s="1403">
        <v>5.7390999999999996</v>
      </c>
      <c r="H436" s="1405">
        <v>0.18462200000000001</v>
      </c>
      <c r="I436" s="1405">
        <v>8.61E-4</v>
      </c>
      <c r="J436" s="1406">
        <v>11.5648</v>
      </c>
    </row>
    <row r="437" spans="2:10" x14ac:dyDescent="0.25">
      <c r="B437" s="1403" t="s">
        <v>1085</v>
      </c>
      <c r="C437" s="1404">
        <v>2080</v>
      </c>
      <c r="D437" s="1403">
        <v>1092000</v>
      </c>
      <c r="E437" s="1405">
        <v>1092000</v>
      </c>
      <c r="F437" s="1406">
        <v>3971</v>
      </c>
      <c r="G437" s="1403">
        <v>5.7390999999999996</v>
      </c>
      <c r="H437" s="1405">
        <v>0.18462200000000001</v>
      </c>
      <c r="I437" s="1405">
        <v>8.61E-4</v>
      </c>
      <c r="J437" s="1406">
        <v>11.5648</v>
      </c>
    </row>
    <row r="438" spans="2:10" x14ac:dyDescent="0.25">
      <c r="B438" s="1403" t="s">
        <v>681</v>
      </c>
      <c r="C438" s="1404">
        <v>2080</v>
      </c>
      <c r="D438" s="1403">
        <v>1092000</v>
      </c>
      <c r="E438" s="1405">
        <v>1092000</v>
      </c>
      <c r="F438" s="1406">
        <v>3971</v>
      </c>
      <c r="G438" s="1403">
        <v>5.7390999999999996</v>
      </c>
      <c r="H438" s="1405">
        <v>0.18462200000000001</v>
      </c>
      <c r="I438" s="1405">
        <v>8.61E-4</v>
      </c>
      <c r="J438" s="1406">
        <v>11.5648</v>
      </c>
    </row>
    <row r="439" spans="2:10" x14ac:dyDescent="0.25">
      <c r="B439" s="1403" t="s">
        <v>682</v>
      </c>
      <c r="C439" s="1404">
        <v>2080</v>
      </c>
      <c r="D439" s="1403">
        <v>-1185000</v>
      </c>
      <c r="E439" s="1405">
        <v>0</v>
      </c>
      <c r="F439" s="1406">
        <v>0</v>
      </c>
      <c r="G439" s="1403">
        <v>-85.800000000000011</v>
      </c>
      <c r="H439" s="1405">
        <v>0.54700000000000004</v>
      </c>
      <c r="I439" s="1405">
        <v>-1.8286999999999999E-3</v>
      </c>
      <c r="J439" s="1406">
        <v>-70.08</v>
      </c>
    </row>
    <row r="440" spans="2:10" x14ac:dyDescent="0.25">
      <c r="B440" s="1403" t="s">
        <v>683</v>
      </c>
      <c r="C440" s="1404">
        <v>2080</v>
      </c>
      <c r="D440" s="1403">
        <v>1721000</v>
      </c>
      <c r="E440" s="1405">
        <v>1293000</v>
      </c>
      <c r="F440" s="1406">
        <v>15050</v>
      </c>
      <c r="G440" s="1403">
        <v>125.08</v>
      </c>
      <c r="H440" s="1405">
        <v>0.20477100000000001</v>
      </c>
      <c r="I440" s="1405">
        <v>1.7827000000000001E-3</v>
      </c>
      <c r="J440" s="1406">
        <v>129.82</v>
      </c>
    </row>
    <row r="441" spans="2:10" x14ac:dyDescent="0.25">
      <c r="B441" s="1403" t="s">
        <v>698</v>
      </c>
      <c r="C441" s="1404">
        <v>2080</v>
      </c>
      <c r="D441" s="1403">
        <v>1721000</v>
      </c>
      <c r="E441" s="1405">
        <v>1293000</v>
      </c>
      <c r="F441" s="1406">
        <v>15050</v>
      </c>
      <c r="G441" s="1403">
        <v>125.08</v>
      </c>
      <c r="H441" s="1405">
        <v>0.20477100000000001</v>
      </c>
      <c r="I441" s="1405">
        <v>1.7827000000000001E-3</v>
      </c>
      <c r="J441" s="1406">
        <v>129.82</v>
      </c>
    </row>
    <row r="442" spans="2:10" x14ac:dyDescent="0.25">
      <c r="B442" s="1403" t="s">
        <v>684</v>
      </c>
      <c r="C442" s="1404">
        <v>2080</v>
      </c>
      <c r="D442" s="1403">
        <v>1721000</v>
      </c>
      <c r="E442" s="1405">
        <v>1293000</v>
      </c>
      <c r="F442" s="1406">
        <v>15050</v>
      </c>
      <c r="G442" s="1403">
        <v>125.08</v>
      </c>
      <c r="H442" s="1405">
        <v>0.20477100000000001</v>
      </c>
      <c r="I442" s="1405">
        <v>1.7827000000000001E-3</v>
      </c>
      <c r="J442" s="1406">
        <v>129.82</v>
      </c>
    </row>
    <row r="443" spans="2:10" x14ac:dyDescent="0.25">
      <c r="B443" s="1403" t="s">
        <v>1086</v>
      </c>
      <c r="C443" s="1404">
        <v>2080</v>
      </c>
      <c r="D443" s="1403">
        <v>1022000</v>
      </c>
      <c r="E443" s="1405">
        <v>1021000</v>
      </c>
      <c r="F443" s="1406">
        <v>15510</v>
      </c>
      <c r="G443" s="1403">
        <v>1.6964999999999999</v>
      </c>
      <c r="H443" s="1405">
        <v>0.14096238999999999</v>
      </c>
      <c r="I443" s="1405">
        <v>3.2765999999999998E-5</v>
      </c>
      <c r="J443" s="1406">
        <v>5.9536999999999995</v>
      </c>
    </row>
    <row r="444" spans="2:10" x14ac:dyDescent="0.25">
      <c r="B444" s="1403" t="s">
        <v>716</v>
      </c>
      <c r="C444" s="1404">
        <v>2080</v>
      </c>
      <c r="D444" s="1403">
        <v>1022000</v>
      </c>
      <c r="E444" s="1405">
        <v>1021000</v>
      </c>
      <c r="F444" s="1406">
        <v>15510</v>
      </c>
      <c r="G444" s="1403">
        <v>1.6964999999999999</v>
      </c>
      <c r="H444" s="1405">
        <v>0.14096238999999999</v>
      </c>
      <c r="I444" s="1405">
        <v>3.2765999999999998E-5</v>
      </c>
      <c r="J444" s="1406">
        <v>5.9536999999999995</v>
      </c>
    </row>
    <row r="445" spans="2:10" x14ac:dyDescent="0.25">
      <c r="B445" s="1403" t="s">
        <v>717</v>
      </c>
      <c r="C445" s="1404">
        <v>2080</v>
      </c>
      <c r="D445" s="1403">
        <v>1022000</v>
      </c>
      <c r="E445" s="1405">
        <v>1021000</v>
      </c>
      <c r="F445" s="1406">
        <v>15510</v>
      </c>
      <c r="G445" s="1403">
        <v>1.6964999999999999</v>
      </c>
      <c r="H445" s="1405">
        <v>0.14096238999999999</v>
      </c>
      <c r="I445" s="1405">
        <v>3.2765999999999998E-5</v>
      </c>
      <c r="J445" s="1406">
        <v>5.9536999999999995</v>
      </c>
    </row>
    <row r="446" spans="2:10" x14ac:dyDescent="0.25">
      <c r="B446" s="1403" t="s">
        <v>911</v>
      </c>
      <c r="C446" s="1404">
        <v>2080</v>
      </c>
      <c r="D446" s="1403">
        <v>1209000</v>
      </c>
      <c r="E446" s="1405">
        <v>1202000</v>
      </c>
      <c r="F446" s="1406">
        <v>1052000</v>
      </c>
      <c r="G446" s="1403">
        <v>17.969000000000001</v>
      </c>
      <c r="H446" s="1405">
        <v>0.164128</v>
      </c>
      <c r="I446" s="1405">
        <v>2.9025999999999998E-4</v>
      </c>
      <c r="J446" s="1406">
        <v>22.988</v>
      </c>
    </row>
    <row r="447" spans="2:10" x14ac:dyDescent="0.25">
      <c r="B447" s="1403" t="s">
        <v>909</v>
      </c>
      <c r="C447" s="1404">
        <v>2080</v>
      </c>
      <c r="D447" s="1403">
        <v>1585000</v>
      </c>
      <c r="E447" s="1405">
        <v>696300</v>
      </c>
      <c r="F447" s="1406">
        <v>286000</v>
      </c>
      <c r="G447" s="1403">
        <v>38.049999999999997</v>
      </c>
      <c r="H447" s="1405">
        <v>0.1118</v>
      </c>
      <c r="I447" s="1405">
        <v>2.5350000000000001E-2</v>
      </c>
      <c r="J447" s="1406">
        <v>45.19</v>
      </c>
    </row>
    <row r="448" spans="2:10" x14ac:dyDescent="0.25">
      <c r="B448" s="1403" t="s">
        <v>912</v>
      </c>
      <c r="C448" s="1404">
        <v>2080</v>
      </c>
      <c r="D448" s="1403">
        <v>1249000</v>
      </c>
      <c r="E448" s="1405">
        <v>1242000</v>
      </c>
      <c r="F448" s="1406">
        <v>1078000</v>
      </c>
      <c r="G448" s="1403">
        <v>23.84</v>
      </c>
      <c r="H448" s="1405">
        <v>0.16985799999999998</v>
      </c>
      <c r="I448" s="1405">
        <v>3.7813000000000001E-4</v>
      </c>
      <c r="J448" s="1406">
        <v>29.157000000000004</v>
      </c>
    </row>
    <row r="449" spans="2:10" x14ac:dyDescent="0.25">
      <c r="B449" s="1403" t="s">
        <v>1080</v>
      </c>
      <c r="C449" s="1404">
        <v>2080</v>
      </c>
      <c r="D449" s="1403">
        <v>1190000</v>
      </c>
      <c r="E449" s="1405">
        <v>51590</v>
      </c>
      <c r="F449" s="1406">
        <v>29220</v>
      </c>
      <c r="G449" s="1403">
        <v>3.7582</v>
      </c>
      <c r="H449" s="1405">
        <v>8.4366999999999984E-3</v>
      </c>
      <c r="I449" s="1405">
        <v>-3.8261190000000002E-3</v>
      </c>
      <c r="J449" s="1406">
        <v>3.0054000000000003</v>
      </c>
    </row>
    <row r="450" spans="2:10" x14ac:dyDescent="0.25">
      <c r="B450" s="1403" t="s">
        <v>815</v>
      </c>
      <c r="C450" s="1404">
        <v>2080</v>
      </c>
      <c r="D450" s="1403">
        <v>1190000</v>
      </c>
      <c r="E450" s="1405">
        <v>51590</v>
      </c>
      <c r="F450" s="1406">
        <v>29220</v>
      </c>
      <c r="G450" s="1403">
        <v>3.7582</v>
      </c>
      <c r="H450" s="1405">
        <v>8.4366999999999984E-3</v>
      </c>
      <c r="I450" s="1405">
        <v>-3.8261190000000002E-3</v>
      </c>
      <c r="J450" s="1406">
        <v>3.0054000000000003</v>
      </c>
    </row>
    <row r="451" spans="2:10" x14ac:dyDescent="0.25">
      <c r="B451" s="1403" t="s">
        <v>824</v>
      </c>
      <c r="C451" s="1404">
        <v>2080</v>
      </c>
      <c r="D451" s="1403">
        <v>1190000</v>
      </c>
      <c r="E451" s="1405">
        <v>51590</v>
      </c>
      <c r="F451" s="1406">
        <v>29220</v>
      </c>
      <c r="G451" s="1403">
        <v>3.7582</v>
      </c>
      <c r="H451" s="1405">
        <v>8.4366999999999984E-3</v>
      </c>
      <c r="I451" s="1405">
        <v>-3.8261190000000002E-3</v>
      </c>
      <c r="J451" s="1406">
        <v>3.0054000000000003</v>
      </c>
    </row>
    <row r="452" spans="2:10" ht="13" thickBot="1" x14ac:dyDescent="0.3">
      <c r="B452" s="1407" t="s">
        <v>1087</v>
      </c>
      <c r="C452" s="1408">
        <v>2080</v>
      </c>
      <c r="D452" s="1407">
        <v>1384000</v>
      </c>
      <c r="E452" s="1409">
        <v>1383000</v>
      </c>
      <c r="F452" s="1410">
        <v>5034</v>
      </c>
      <c r="G452" s="1407">
        <v>78.571100000000001</v>
      </c>
      <c r="H452" s="1409">
        <v>0.27494000000000002</v>
      </c>
      <c r="I452" s="1409">
        <v>2.3304000000000003E-3</v>
      </c>
      <c r="J452" s="1410">
        <v>87.594300000000004</v>
      </c>
    </row>
    <row r="453" spans="2:10" x14ac:dyDescent="0.25">
      <c r="B453" s="1399" t="s">
        <v>1084</v>
      </c>
      <c r="C453" s="1400">
        <v>2085</v>
      </c>
      <c r="D453" s="1399">
        <v>1092000</v>
      </c>
      <c r="E453" s="1401">
        <v>1092000</v>
      </c>
      <c r="F453" s="1402">
        <v>3971</v>
      </c>
      <c r="G453" s="1399">
        <v>5.7390999999999996</v>
      </c>
      <c r="H453" s="1401">
        <v>0.18462200000000001</v>
      </c>
      <c r="I453" s="1401">
        <v>8.61E-4</v>
      </c>
      <c r="J453" s="1402">
        <v>11.5648</v>
      </c>
    </row>
    <row r="454" spans="2:10" x14ac:dyDescent="0.25">
      <c r="B454" s="1403" t="s">
        <v>283</v>
      </c>
      <c r="C454" s="1404">
        <v>2085</v>
      </c>
      <c r="D454" s="1403">
        <v>1092000</v>
      </c>
      <c r="E454" s="1405">
        <v>1092000</v>
      </c>
      <c r="F454" s="1406">
        <v>3971</v>
      </c>
      <c r="G454" s="1403">
        <v>5.7390999999999996</v>
      </c>
      <c r="H454" s="1405">
        <v>0.18462200000000001</v>
      </c>
      <c r="I454" s="1405">
        <v>8.61E-4</v>
      </c>
      <c r="J454" s="1406">
        <v>11.5648</v>
      </c>
    </row>
    <row r="455" spans="2:10" x14ac:dyDescent="0.25">
      <c r="B455" s="1403" t="s">
        <v>1085</v>
      </c>
      <c r="C455" s="1404">
        <v>2085</v>
      </c>
      <c r="D455" s="1403">
        <v>1092000</v>
      </c>
      <c r="E455" s="1405">
        <v>1092000</v>
      </c>
      <c r="F455" s="1406">
        <v>3971</v>
      </c>
      <c r="G455" s="1403">
        <v>5.7390999999999996</v>
      </c>
      <c r="H455" s="1405">
        <v>0.18462200000000001</v>
      </c>
      <c r="I455" s="1405">
        <v>8.61E-4</v>
      </c>
      <c r="J455" s="1406">
        <v>11.5648</v>
      </c>
    </row>
    <row r="456" spans="2:10" x14ac:dyDescent="0.25">
      <c r="B456" s="1403" t="s">
        <v>681</v>
      </c>
      <c r="C456" s="1404">
        <v>2085</v>
      </c>
      <c r="D456" s="1403">
        <v>1092000</v>
      </c>
      <c r="E456" s="1405">
        <v>1092000</v>
      </c>
      <c r="F456" s="1406">
        <v>3971</v>
      </c>
      <c r="G456" s="1403">
        <v>5.7390999999999996</v>
      </c>
      <c r="H456" s="1405">
        <v>0.18462200000000001</v>
      </c>
      <c r="I456" s="1405">
        <v>8.61E-4</v>
      </c>
      <c r="J456" s="1406">
        <v>11.5648</v>
      </c>
    </row>
    <row r="457" spans="2:10" x14ac:dyDescent="0.25">
      <c r="B457" s="1403" t="s">
        <v>682</v>
      </c>
      <c r="C457" s="1404">
        <v>2085</v>
      </c>
      <c r="D457" s="1403">
        <v>-1185000</v>
      </c>
      <c r="E457" s="1405">
        <v>0</v>
      </c>
      <c r="F457" s="1406">
        <v>0</v>
      </c>
      <c r="G457" s="1403">
        <v>-85.800000000000011</v>
      </c>
      <c r="H457" s="1405">
        <v>0.54700000000000004</v>
      </c>
      <c r="I457" s="1405">
        <v>-1.8286999999999999E-3</v>
      </c>
      <c r="J457" s="1406">
        <v>-70.08</v>
      </c>
    </row>
    <row r="458" spans="2:10" x14ac:dyDescent="0.25">
      <c r="B458" s="1403" t="s">
        <v>683</v>
      </c>
      <c r="C458" s="1404">
        <v>2085</v>
      </c>
      <c r="D458" s="1403">
        <v>1721000</v>
      </c>
      <c r="E458" s="1405">
        <v>1293000</v>
      </c>
      <c r="F458" s="1406">
        <v>15050</v>
      </c>
      <c r="G458" s="1403">
        <v>125.08</v>
      </c>
      <c r="H458" s="1405">
        <v>0.20477100000000001</v>
      </c>
      <c r="I458" s="1405">
        <v>1.7827000000000001E-3</v>
      </c>
      <c r="J458" s="1406">
        <v>129.82</v>
      </c>
    </row>
    <row r="459" spans="2:10" x14ac:dyDescent="0.25">
      <c r="B459" s="1403" t="s">
        <v>698</v>
      </c>
      <c r="C459" s="1404">
        <v>2085</v>
      </c>
      <c r="D459" s="1403">
        <v>1721000</v>
      </c>
      <c r="E459" s="1405">
        <v>1293000</v>
      </c>
      <c r="F459" s="1406">
        <v>15050</v>
      </c>
      <c r="G459" s="1403">
        <v>125.08</v>
      </c>
      <c r="H459" s="1405">
        <v>0.20477100000000001</v>
      </c>
      <c r="I459" s="1405">
        <v>1.7827000000000001E-3</v>
      </c>
      <c r="J459" s="1406">
        <v>129.82</v>
      </c>
    </row>
    <row r="460" spans="2:10" x14ac:dyDescent="0.25">
      <c r="B460" s="1403" t="s">
        <v>684</v>
      </c>
      <c r="C460" s="1404">
        <v>2085</v>
      </c>
      <c r="D460" s="1403">
        <v>1721000</v>
      </c>
      <c r="E460" s="1405">
        <v>1293000</v>
      </c>
      <c r="F460" s="1406">
        <v>15050</v>
      </c>
      <c r="G460" s="1403">
        <v>125.08</v>
      </c>
      <c r="H460" s="1405">
        <v>0.20477100000000001</v>
      </c>
      <c r="I460" s="1405">
        <v>1.7827000000000001E-3</v>
      </c>
      <c r="J460" s="1406">
        <v>129.82</v>
      </c>
    </row>
    <row r="461" spans="2:10" x14ac:dyDescent="0.25">
      <c r="B461" s="1403" t="s">
        <v>1086</v>
      </c>
      <c r="C461" s="1404">
        <v>2085</v>
      </c>
      <c r="D461" s="1403">
        <v>1022000</v>
      </c>
      <c r="E461" s="1405">
        <v>1021000</v>
      </c>
      <c r="F461" s="1406">
        <v>15510</v>
      </c>
      <c r="G461" s="1403">
        <v>1.6964999999999999</v>
      </c>
      <c r="H461" s="1405">
        <v>0.14096238999999999</v>
      </c>
      <c r="I461" s="1405">
        <v>3.2765999999999998E-5</v>
      </c>
      <c r="J461" s="1406">
        <v>5.9536999999999995</v>
      </c>
    </row>
    <row r="462" spans="2:10" x14ac:dyDescent="0.25">
      <c r="B462" s="1403" t="s">
        <v>716</v>
      </c>
      <c r="C462" s="1404">
        <v>2085</v>
      </c>
      <c r="D462" s="1403">
        <v>1022000</v>
      </c>
      <c r="E462" s="1405">
        <v>1021000</v>
      </c>
      <c r="F462" s="1406">
        <v>15510</v>
      </c>
      <c r="G462" s="1403">
        <v>1.6964999999999999</v>
      </c>
      <c r="H462" s="1405">
        <v>0.14096238999999999</v>
      </c>
      <c r="I462" s="1405">
        <v>3.2765999999999998E-5</v>
      </c>
      <c r="J462" s="1406">
        <v>5.9536999999999995</v>
      </c>
    </row>
    <row r="463" spans="2:10" x14ac:dyDescent="0.25">
      <c r="B463" s="1403" t="s">
        <v>717</v>
      </c>
      <c r="C463" s="1404">
        <v>2085</v>
      </c>
      <c r="D463" s="1403">
        <v>1022000</v>
      </c>
      <c r="E463" s="1405">
        <v>1021000</v>
      </c>
      <c r="F463" s="1406">
        <v>15510</v>
      </c>
      <c r="G463" s="1403">
        <v>1.6964999999999999</v>
      </c>
      <c r="H463" s="1405">
        <v>0.14096238999999999</v>
      </c>
      <c r="I463" s="1405">
        <v>3.2765999999999998E-5</v>
      </c>
      <c r="J463" s="1406">
        <v>5.9536999999999995</v>
      </c>
    </row>
    <row r="464" spans="2:10" x14ac:dyDescent="0.25">
      <c r="B464" s="1403" t="s">
        <v>911</v>
      </c>
      <c r="C464" s="1404">
        <v>2085</v>
      </c>
      <c r="D464" s="1403">
        <v>1209000</v>
      </c>
      <c r="E464" s="1405">
        <v>1202000</v>
      </c>
      <c r="F464" s="1406">
        <v>1052000</v>
      </c>
      <c r="G464" s="1403">
        <v>17.969000000000001</v>
      </c>
      <c r="H464" s="1405">
        <v>0.164128</v>
      </c>
      <c r="I464" s="1405">
        <v>2.9025999999999998E-4</v>
      </c>
      <c r="J464" s="1406">
        <v>22.988</v>
      </c>
    </row>
    <row r="465" spans="2:10" x14ac:dyDescent="0.25">
      <c r="B465" s="1403" t="s">
        <v>909</v>
      </c>
      <c r="C465" s="1404">
        <v>2085</v>
      </c>
      <c r="D465" s="1403">
        <v>1585000</v>
      </c>
      <c r="E465" s="1405">
        <v>696300</v>
      </c>
      <c r="F465" s="1406">
        <v>286000</v>
      </c>
      <c r="G465" s="1403">
        <v>38.049999999999997</v>
      </c>
      <c r="H465" s="1405">
        <v>0.1118</v>
      </c>
      <c r="I465" s="1405">
        <v>2.5350000000000001E-2</v>
      </c>
      <c r="J465" s="1406">
        <v>45.19</v>
      </c>
    </row>
    <row r="466" spans="2:10" x14ac:dyDescent="0.25">
      <c r="B466" s="1403" t="s">
        <v>912</v>
      </c>
      <c r="C466" s="1404">
        <v>2085</v>
      </c>
      <c r="D466" s="1403">
        <v>1249000</v>
      </c>
      <c r="E466" s="1405">
        <v>1242000</v>
      </c>
      <c r="F466" s="1406">
        <v>1078000</v>
      </c>
      <c r="G466" s="1403">
        <v>23.84</v>
      </c>
      <c r="H466" s="1405">
        <v>0.16985799999999998</v>
      </c>
      <c r="I466" s="1405">
        <v>3.7813000000000001E-4</v>
      </c>
      <c r="J466" s="1406">
        <v>29.157000000000004</v>
      </c>
    </row>
    <row r="467" spans="2:10" x14ac:dyDescent="0.25">
      <c r="B467" s="1403" t="s">
        <v>1080</v>
      </c>
      <c r="C467" s="1404">
        <v>2085</v>
      </c>
      <c r="D467" s="1403">
        <v>1190000</v>
      </c>
      <c r="E467" s="1405">
        <v>51590</v>
      </c>
      <c r="F467" s="1406">
        <v>29220</v>
      </c>
      <c r="G467" s="1403">
        <v>3.7582</v>
      </c>
      <c r="H467" s="1405">
        <v>8.4366999999999984E-3</v>
      </c>
      <c r="I467" s="1405">
        <v>-3.8261190000000002E-3</v>
      </c>
      <c r="J467" s="1406">
        <v>3.0054000000000003</v>
      </c>
    </row>
    <row r="468" spans="2:10" x14ac:dyDescent="0.25">
      <c r="B468" s="1403" t="s">
        <v>815</v>
      </c>
      <c r="C468" s="1404">
        <v>2085</v>
      </c>
      <c r="D468" s="1403">
        <v>1190000</v>
      </c>
      <c r="E468" s="1405">
        <v>51590</v>
      </c>
      <c r="F468" s="1406">
        <v>29220</v>
      </c>
      <c r="G468" s="1403">
        <v>3.7582</v>
      </c>
      <c r="H468" s="1405">
        <v>8.4366999999999984E-3</v>
      </c>
      <c r="I468" s="1405">
        <v>-3.8261190000000002E-3</v>
      </c>
      <c r="J468" s="1406">
        <v>3.0054000000000003</v>
      </c>
    </row>
    <row r="469" spans="2:10" x14ac:dyDescent="0.25">
      <c r="B469" s="1403" t="s">
        <v>824</v>
      </c>
      <c r="C469" s="1404">
        <v>2085</v>
      </c>
      <c r="D469" s="1403">
        <v>1190000</v>
      </c>
      <c r="E469" s="1405">
        <v>51590</v>
      </c>
      <c r="F469" s="1406">
        <v>29220</v>
      </c>
      <c r="G469" s="1403">
        <v>3.7582</v>
      </c>
      <c r="H469" s="1405">
        <v>8.4366999999999984E-3</v>
      </c>
      <c r="I469" s="1405">
        <v>-3.8261190000000002E-3</v>
      </c>
      <c r="J469" s="1406">
        <v>3.0054000000000003</v>
      </c>
    </row>
    <row r="470" spans="2:10" ht="13" thickBot="1" x14ac:dyDescent="0.3">
      <c r="B470" s="1407" t="s">
        <v>1087</v>
      </c>
      <c r="C470" s="1408">
        <v>2085</v>
      </c>
      <c r="D470" s="1407">
        <v>1384000</v>
      </c>
      <c r="E470" s="1409">
        <v>1383000</v>
      </c>
      <c r="F470" s="1410">
        <v>5034</v>
      </c>
      <c r="G470" s="1407">
        <v>78.571100000000001</v>
      </c>
      <c r="H470" s="1409">
        <v>0.27494000000000002</v>
      </c>
      <c r="I470" s="1409">
        <v>2.3304000000000003E-3</v>
      </c>
      <c r="J470" s="1410">
        <v>87.594300000000004</v>
      </c>
    </row>
    <row r="471" spans="2:10" x14ac:dyDescent="0.25">
      <c r="B471" s="1399" t="s">
        <v>1084</v>
      </c>
      <c r="C471" s="1400">
        <v>2090</v>
      </c>
      <c r="D471" s="1399">
        <v>1092000</v>
      </c>
      <c r="E471" s="1401">
        <v>1092000</v>
      </c>
      <c r="F471" s="1402">
        <v>3971</v>
      </c>
      <c r="G471" s="1399">
        <v>5.7390999999999996</v>
      </c>
      <c r="H471" s="1401">
        <v>0.18462200000000001</v>
      </c>
      <c r="I471" s="1401">
        <v>8.61E-4</v>
      </c>
      <c r="J471" s="1402">
        <v>11.5648</v>
      </c>
    </row>
    <row r="472" spans="2:10" x14ac:dyDescent="0.25">
      <c r="B472" s="1403" t="s">
        <v>283</v>
      </c>
      <c r="C472" s="1404">
        <v>2090</v>
      </c>
      <c r="D472" s="1403">
        <v>1092000</v>
      </c>
      <c r="E472" s="1405">
        <v>1092000</v>
      </c>
      <c r="F472" s="1406">
        <v>3971</v>
      </c>
      <c r="G472" s="1403">
        <v>5.7390999999999996</v>
      </c>
      <c r="H472" s="1405">
        <v>0.18462200000000001</v>
      </c>
      <c r="I472" s="1405">
        <v>8.61E-4</v>
      </c>
      <c r="J472" s="1406">
        <v>11.5648</v>
      </c>
    </row>
    <row r="473" spans="2:10" x14ac:dyDescent="0.25">
      <c r="B473" s="1403" t="s">
        <v>1085</v>
      </c>
      <c r="C473" s="1404">
        <v>2090</v>
      </c>
      <c r="D473" s="1403">
        <v>1092000</v>
      </c>
      <c r="E473" s="1405">
        <v>1092000</v>
      </c>
      <c r="F473" s="1406">
        <v>3971</v>
      </c>
      <c r="G473" s="1403">
        <v>5.7390999999999996</v>
      </c>
      <c r="H473" s="1405">
        <v>0.18462200000000001</v>
      </c>
      <c r="I473" s="1405">
        <v>8.61E-4</v>
      </c>
      <c r="J473" s="1406">
        <v>11.5648</v>
      </c>
    </row>
    <row r="474" spans="2:10" x14ac:dyDescent="0.25">
      <c r="B474" s="1403" t="s">
        <v>681</v>
      </c>
      <c r="C474" s="1404">
        <v>2090</v>
      </c>
      <c r="D474" s="1403">
        <v>1092000</v>
      </c>
      <c r="E474" s="1405">
        <v>1092000</v>
      </c>
      <c r="F474" s="1406">
        <v>3971</v>
      </c>
      <c r="G474" s="1403">
        <v>5.7390999999999996</v>
      </c>
      <c r="H474" s="1405">
        <v>0.18462200000000001</v>
      </c>
      <c r="I474" s="1405">
        <v>8.61E-4</v>
      </c>
      <c r="J474" s="1406">
        <v>11.5648</v>
      </c>
    </row>
    <row r="475" spans="2:10" x14ac:dyDescent="0.25">
      <c r="B475" s="1403" t="s">
        <v>682</v>
      </c>
      <c r="C475" s="1404">
        <v>2090</v>
      </c>
      <c r="D475" s="1403">
        <v>-1185000</v>
      </c>
      <c r="E475" s="1405">
        <v>0</v>
      </c>
      <c r="F475" s="1406">
        <v>0</v>
      </c>
      <c r="G475" s="1403">
        <v>-85.800000000000011</v>
      </c>
      <c r="H475" s="1405">
        <v>0.54700000000000004</v>
      </c>
      <c r="I475" s="1405">
        <v>-1.8286999999999999E-3</v>
      </c>
      <c r="J475" s="1406">
        <v>-70.08</v>
      </c>
    </row>
    <row r="476" spans="2:10" x14ac:dyDescent="0.25">
      <c r="B476" s="1403" t="s">
        <v>683</v>
      </c>
      <c r="C476" s="1404">
        <v>2090</v>
      </c>
      <c r="D476" s="1403">
        <v>1721000</v>
      </c>
      <c r="E476" s="1405">
        <v>1293000</v>
      </c>
      <c r="F476" s="1406">
        <v>15050</v>
      </c>
      <c r="G476" s="1403">
        <v>125.08</v>
      </c>
      <c r="H476" s="1405">
        <v>0.20477100000000001</v>
      </c>
      <c r="I476" s="1405">
        <v>1.7827000000000001E-3</v>
      </c>
      <c r="J476" s="1406">
        <v>129.82</v>
      </c>
    </row>
    <row r="477" spans="2:10" x14ac:dyDescent="0.25">
      <c r="B477" s="1403" t="s">
        <v>698</v>
      </c>
      <c r="C477" s="1404">
        <v>2090</v>
      </c>
      <c r="D477" s="1403">
        <v>1721000</v>
      </c>
      <c r="E477" s="1405">
        <v>1293000</v>
      </c>
      <c r="F477" s="1406">
        <v>15050</v>
      </c>
      <c r="G477" s="1403">
        <v>125.08</v>
      </c>
      <c r="H477" s="1405">
        <v>0.20477100000000001</v>
      </c>
      <c r="I477" s="1405">
        <v>1.7827000000000001E-3</v>
      </c>
      <c r="J477" s="1406">
        <v>129.82</v>
      </c>
    </row>
    <row r="478" spans="2:10" x14ac:dyDescent="0.25">
      <c r="B478" s="1403" t="s">
        <v>684</v>
      </c>
      <c r="C478" s="1404">
        <v>2090</v>
      </c>
      <c r="D478" s="1403">
        <v>1721000</v>
      </c>
      <c r="E478" s="1405">
        <v>1293000</v>
      </c>
      <c r="F478" s="1406">
        <v>15050</v>
      </c>
      <c r="G478" s="1403">
        <v>125.08</v>
      </c>
      <c r="H478" s="1405">
        <v>0.20477100000000001</v>
      </c>
      <c r="I478" s="1405">
        <v>1.7827000000000001E-3</v>
      </c>
      <c r="J478" s="1406">
        <v>129.82</v>
      </c>
    </row>
    <row r="479" spans="2:10" x14ac:dyDescent="0.25">
      <c r="B479" s="1403" t="s">
        <v>1086</v>
      </c>
      <c r="C479" s="1404">
        <v>2090</v>
      </c>
      <c r="D479" s="1403">
        <v>1022000</v>
      </c>
      <c r="E479" s="1405">
        <v>1021000</v>
      </c>
      <c r="F479" s="1406">
        <v>15510</v>
      </c>
      <c r="G479" s="1403">
        <v>1.6964999999999999</v>
      </c>
      <c r="H479" s="1405">
        <v>0.14096238999999999</v>
      </c>
      <c r="I479" s="1405">
        <v>3.2765999999999998E-5</v>
      </c>
      <c r="J479" s="1406">
        <v>5.9536999999999995</v>
      </c>
    </row>
    <row r="480" spans="2:10" x14ac:dyDescent="0.25">
      <c r="B480" s="1403" t="s">
        <v>716</v>
      </c>
      <c r="C480" s="1404">
        <v>2090</v>
      </c>
      <c r="D480" s="1403">
        <v>1022000</v>
      </c>
      <c r="E480" s="1405">
        <v>1021000</v>
      </c>
      <c r="F480" s="1406">
        <v>15510</v>
      </c>
      <c r="G480" s="1403">
        <v>1.6964999999999999</v>
      </c>
      <c r="H480" s="1405">
        <v>0.14096238999999999</v>
      </c>
      <c r="I480" s="1405">
        <v>3.2765999999999998E-5</v>
      </c>
      <c r="J480" s="1406">
        <v>5.9536999999999995</v>
      </c>
    </row>
    <row r="481" spans="2:10" x14ac:dyDescent="0.25">
      <c r="B481" s="1403" t="s">
        <v>717</v>
      </c>
      <c r="C481" s="1404">
        <v>2090</v>
      </c>
      <c r="D481" s="1403">
        <v>1022000</v>
      </c>
      <c r="E481" s="1405">
        <v>1021000</v>
      </c>
      <c r="F481" s="1406">
        <v>15510</v>
      </c>
      <c r="G481" s="1403">
        <v>1.6964999999999999</v>
      </c>
      <c r="H481" s="1405">
        <v>0.14096238999999999</v>
      </c>
      <c r="I481" s="1405">
        <v>3.2765999999999998E-5</v>
      </c>
      <c r="J481" s="1406">
        <v>5.9536999999999995</v>
      </c>
    </row>
    <row r="482" spans="2:10" x14ac:dyDescent="0.25">
      <c r="B482" s="1403" t="s">
        <v>911</v>
      </c>
      <c r="C482" s="1404">
        <v>2090</v>
      </c>
      <c r="D482" s="1403">
        <v>1209000</v>
      </c>
      <c r="E482" s="1405">
        <v>1202000</v>
      </c>
      <c r="F482" s="1406">
        <v>1052000</v>
      </c>
      <c r="G482" s="1403">
        <v>17.969000000000001</v>
      </c>
      <c r="H482" s="1405">
        <v>0.164128</v>
      </c>
      <c r="I482" s="1405">
        <v>2.9025999999999998E-4</v>
      </c>
      <c r="J482" s="1406">
        <v>22.988</v>
      </c>
    </row>
    <row r="483" spans="2:10" x14ac:dyDescent="0.25">
      <c r="B483" s="1403" t="s">
        <v>909</v>
      </c>
      <c r="C483" s="1404">
        <v>2090</v>
      </c>
      <c r="D483" s="1403">
        <v>1585000</v>
      </c>
      <c r="E483" s="1405">
        <v>696300</v>
      </c>
      <c r="F483" s="1406">
        <v>286000</v>
      </c>
      <c r="G483" s="1403">
        <v>38.049999999999997</v>
      </c>
      <c r="H483" s="1405">
        <v>0.1118</v>
      </c>
      <c r="I483" s="1405">
        <v>2.5350000000000001E-2</v>
      </c>
      <c r="J483" s="1406">
        <v>45.19</v>
      </c>
    </row>
    <row r="484" spans="2:10" x14ac:dyDescent="0.25">
      <c r="B484" s="1403" t="s">
        <v>912</v>
      </c>
      <c r="C484" s="1404">
        <v>2090</v>
      </c>
      <c r="D484" s="1403">
        <v>1249000</v>
      </c>
      <c r="E484" s="1405">
        <v>1242000</v>
      </c>
      <c r="F484" s="1406">
        <v>1078000</v>
      </c>
      <c r="G484" s="1403">
        <v>23.84</v>
      </c>
      <c r="H484" s="1405">
        <v>0.16985799999999998</v>
      </c>
      <c r="I484" s="1405">
        <v>3.7813000000000001E-4</v>
      </c>
      <c r="J484" s="1406">
        <v>29.157000000000004</v>
      </c>
    </row>
    <row r="485" spans="2:10" x14ac:dyDescent="0.25">
      <c r="B485" s="1403" t="s">
        <v>1080</v>
      </c>
      <c r="C485" s="1404">
        <v>2090</v>
      </c>
      <c r="D485" s="1403">
        <v>1190000</v>
      </c>
      <c r="E485" s="1405">
        <v>51590</v>
      </c>
      <c r="F485" s="1406">
        <v>29220</v>
      </c>
      <c r="G485" s="1403">
        <v>3.7582</v>
      </c>
      <c r="H485" s="1405">
        <v>8.4366999999999984E-3</v>
      </c>
      <c r="I485" s="1405">
        <v>-3.8261190000000002E-3</v>
      </c>
      <c r="J485" s="1406">
        <v>3.0054000000000003</v>
      </c>
    </row>
    <row r="486" spans="2:10" x14ac:dyDescent="0.25">
      <c r="B486" s="1403" t="s">
        <v>815</v>
      </c>
      <c r="C486" s="1404">
        <v>2090</v>
      </c>
      <c r="D486" s="1403">
        <v>1190000</v>
      </c>
      <c r="E486" s="1405">
        <v>51590</v>
      </c>
      <c r="F486" s="1406">
        <v>29220</v>
      </c>
      <c r="G486" s="1403">
        <v>3.7582</v>
      </c>
      <c r="H486" s="1405">
        <v>8.4366999999999984E-3</v>
      </c>
      <c r="I486" s="1405">
        <v>-3.8261190000000002E-3</v>
      </c>
      <c r="J486" s="1406">
        <v>3.0054000000000003</v>
      </c>
    </row>
    <row r="487" spans="2:10" x14ac:dyDescent="0.25">
      <c r="B487" s="1403" t="s">
        <v>824</v>
      </c>
      <c r="C487" s="1404">
        <v>2090</v>
      </c>
      <c r="D487" s="1403">
        <v>1190000</v>
      </c>
      <c r="E487" s="1405">
        <v>51590</v>
      </c>
      <c r="F487" s="1406">
        <v>29220</v>
      </c>
      <c r="G487" s="1403">
        <v>3.7582</v>
      </c>
      <c r="H487" s="1405">
        <v>8.4366999999999984E-3</v>
      </c>
      <c r="I487" s="1405">
        <v>-3.8261190000000002E-3</v>
      </c>
      <c r="J487" s="1406">
        <v>3.0054000000000003</v>
      </c>
    </row>
    <row r="488" spans="2:10" ht="13" thickBot="1" x14ac:dyDescent="0.3">
      <c r="B488" s="1407" t="s">
        <v>1087</v>
      </c>
      <c r="C488" s="1408">
        <v>2090</v>
      </c>
      <c r="D488" s="1407">
        <v>1384000</v>
      </c>
      <c r="E488" s="1409">
        <v>1383000</v>
      </c>
      <c r="F488" s="1410">
        <v>5034</v>
      </c>
      <c r="G488" s="1407">
        <v>78.571100000000001</v>
      </c>
      <c r="H488" s="1409">
        <v>0.27494000000000002</v>
      </c>
      <c r="I488" s="1409">
        <v>2.3304000000000003E-3</v>
      </c>
      <c r="J488" s="1410">
        <v>87.594300000000004</v>
      </c>
    </row>
    <row r="489" spans="2:10" x14ac:dyDescent="0.25">
      <c r="B489" s="1399" t="s">
        <v>1084</v>
      </c>
      <c r="C489" s="1400">
        <v>2095</v>
      </c>
      <c r="D489" s="1399">
        <v>1092000</v>
      </c>
      <c r="E489" s="1401">
        <v>1092000</v>
      </c>
      <c r="F489" s="1402">
        <v>3971</v>
      </c>
      <c r="G489" s="1399">
        <v>5.7390999999999996</v>
      </c>
      <c r="H489" s="1401">
        <v>0.18462200000000001</v>
      </c>
      <c r="I489" s="1401">
        <v>8.61E-4</v>
      </c>
      <c r="J489" s="1402">
        <v>11.5648</v>
      </c>
    </row>
    <row r="490" spans="2:10" x14ac:dyDescent="0.25">
      <c r="B490" s="1403" t="s">
        <v>283</v>
      </c>
      <c r="C490" s="1404">
        <v>2095</v>
      </c>
      <c r="D490" s="1403">
        <v>1092000</v>
      </c>
      <c r="E490" s="1405">
        <v>1092000</v>
      </c>
      <c r="F490" s="1406">
        <v>3971</v>
      </c>
      <c r="G490" s="1403">
        <v>5.7390999999999996</v>
      </c>
      <c r="H490" s="1405">
        <v>0.18462200000000001</v>
      </c>
      <c r="I490" s="1405">
        <v>8.61E-4</v>
      </c>
      <c r="J490" s="1406">
        <v>11.5648</v>
      </c>
    </row>
    <row r="491" spans="2:10" x14ac:dyDescent="0.25">
      <c r="B491" s="1403" t="s">
        <v>1085</v>
      </c>
      <c r="C491" s="1404">
        <v>2095</v>
      </c>
      <c r="D491" s="1403">
        <v>1092000</v>
      </c>
      <c r="E491" s="1405">
        <v>1092000</v>
      </c>
      <c r="F491" s="1406">
        <v>3971</v>
      </c>
      <c r="G491" s="1403">
        <v>5.7390999999999996</v>
      </c>
      <c r="H491" s="1405">
        <v>0.18462200000000001</v>
      </c>
      <c r="I491" s="1405">
        <v>8.61E-4</v>
      </c>
      <c r="J491" s="1406">
        <v>11.5648</v>
      </c>
    </row>
    <row r="492" spans="2:10" x14ac:dyDescent="0.25">
      <c r="B492" s="1403" t="s">
        <v>681</v>
      </c>
      <c r="C492" s="1404">
        <v>2095</v>
      </c>
      <c r="D492" s="1403">
        <v>1092000</v>
      </c>
      <c r="E492" s="1405">
        <v>1092000</v>
      </c>
      <c r="F492" s="1406">
        <v>3971</v>
      </c>
      <c r="G492" s="1403">
        <v>5.7390999999999996</v>
      </c>
      <c r="H492" s="1405">
        <v>0.18462200000000001</v>
      </c>
      <c r="I492" s="1405">
        <v>8.61E-4</v>
      </c>
      <c r="J492" s="1406">
        <v>11.5648</v>
      </c>
    </row>
    <row r="493" spans="2:10" x14ac:dyDescent="0.25">
      <c r="B493" s="1403" t="s">
        <v>682</v>
      </c>
      <c r="C493" s="1404">
        <v>2095</v>
      </c>
      <c r="D493" s="1403">
        <v>-1185000</v>
      </c>
      <c r="E493" s="1405">
        <v>0</v>
      </c>
      <c r="F493" s="1406">
        <v>0</v>
      </c>
      <c r="G493" s="1403">
        <v>-85.800000000000011</v>
      </c>
      <c r="H493" s="1405">
        <v>0.54700000000000004</v>
      </c>
      <c r="I493" s="1405">
        <v>-1.8286999999999999E-3</v>
      </c>
      <c r="J493" s="1406">
        <v>-70.08</v>
      </c>
    </row>
    <row r="494" spans="2:10" x14ac:dyDescent="0.25">
      <c r="B494" s="1403" t="s">
        <v>683</v>
      </c>
      <c r="C494" s="1404">
        <v>2095</v>
      </c>
      <c r="D494" s="1403">
        <v>1721000</v>
      </c>
      <c r="E494" s="1405">
        <v>1293000</v>
      </c>
      <c r="F494" s="1406">
        <v>15050</v>
      </c>
      <c r="G494" s="1403">
        <v>125.08</v>
      </c>
      <c r="H494" s="1405">
        <v>0.20477100000000001</v>
      </c>
      <c r="I494" s="1405">
        <v>1.7827000000000001E-3</v>
      </c>
      <c r="J494" s="1406">
        <v>129.82</v>
      </c>
    </row>
    <row r="495" spans="2:10" x14ac:dyDescent="0.25">
      <c r="B495" s="1403" t="s">
        <v>698</v>
      </c>
      <c r="C495" s="1404">
        <v>2095</v>
      </c>
      <c r="D495" s="1403">
        <v>1721000</v>
      </c>
      <c r="E495" s="1405">
        <v>1293000</v>
      </c>
      <c r="F495" s="1406">
        <v>15050</v>
      </c>
      <c r="G495" s="1403">
        <v>125.08</v>
      </c>
      <c r="H495" s="1405">
        <v>0.20477100000000001</v>
      </c>
      <c r="I495" s="1405">
        <v>1.7827000000000001E-3</v>
      </c>
      <c r="J495" s="1406">
        <v>129.82</v>
      </c>
    </row>
    <row r="496" spans="2:10" x14ac:dyDescent="0.25">
      <c r="B496" s="1403" t="s">
        <v>684</v>
      </c>
      <c r="C496" s="1404">
        <v>2095</v>
      </c>
      <c r="D496" s="1403">
        <v>1721000</v>
      </c>
      <c r="E496" s="1405">
        <v>1293000</v>
      </c>
      <c r="F496" s="1406">
        <v>15050</v>
      </c>
      <c r="G496" s="1403">
        <v>125.08</v>
      </c>
      <c r="H496" s="1405">
        <v>0.20477100000000001</v>
      </c>
      <c r="I496" s="1405">
        <v>1.7827000000000001E-3</v>
      </c>
      <c r="J496" s="1406">
        <v>129.82</v>
      </c>
    </row>
    <row r="497" spans="2:10" x14ac:dyDescent="0.25">
      <c r="B497" s="1403" t="s">
        <v>1086</v>
      </c>
      <c r="C497" s="1404">
        <v>2095</v>
      </c>
      <c r="D497" s="1403">
        <v>1022000</v>
      </c>
      <c r="E497" s="1405">
        <v>1021000</v>
      </c>
      <c r="F497" s="1406">
        <v>15510</v>
      </c>
      <c r="G497" s="1403">
        <v>1.6964999999999999</v>
      </c>
      <c r="H497" s="1405">
        <v>0.14096238999999999</v>
      </c>
      <c r="I497" s="1405">
        <v>3.2765999999999998E-5</v>
      </c>
      <c r="J497" s="1406">
        <v>5.9536999999999995</v>
      </c>
    </row>
    <row r="498" spans="2:10" x14ac:dyDescent="0.25">
      <c r="B498" s="1403" t="s">
        <v>716</v>
      </c>
      <c r="C498" s="1404">
        <v>2095</v>
      </c>
      <c r="D498" s="1403">
        <v>1022000</v>
      </c>
      <c r="E498" s="1405">
        <v>1021000</v>
      </c>
      <c r="F498" s="1406">
        <v>15510</v>
      </c>
      <c r="G498" s="1403">
        <v>1.6964999999999999</v>
      </c>
      <c r="H498" s="1405">
        <v>0.14096238999999999</v>
      </c>
      <c r="I498" s="1405">
        <v>3.2765999999999998E-5</v>
      </c>
      <c r="J498" s="1406">
        <v>5.9536999999999995</v>
      </c>
    </row>
    <row r="499" spans="2:10" x14ac:dyDescent="0.25">
      <c r="B499" s="1403" t="s">
        <v>717</v>
      </c>
      <c r="C499" s="1404">
        <v>2095</v>
      </c>
      <c r="D499" s="1403">
        <v>1022000</v>
      </c>
      <c r="E499" s="1405">
        <v>1021000</v>
      </c>
      <c r="F499" s="1406">
        <v>15510</v>
      </c>
      <c r="G499" s="1403">
        <v>1.6964999999999999</v>
      </c>
      <c r="H499" s="1405">
        <v>0.14096238999999999</v>
      </c>
      <c r="I499" s="1405">
        <v>3.2765999999999998E-5</v>
      </c>
      <c r="J499" s="1406">
        <v>5.9536999999999995</v>
      </c>
    </row>
    <row r="500" spans="2:10" x14ac:dyDescent="0.25">
      <c r="B500" s="1403" t="s">
        <v>911</v>
      </c>
      <c r="C500" s="1404">
        <v>2095</v>
      </c>
      <c r="D500" s="1403">
        <v>1209000</v>
      </c>
      <c r="E500" s="1405">
        <v>1202000</v>
      </c>
      <c r="F500" s="1406">
        <v>1052000</v>
      </c>
      <c r="G500" s="1403">
        <v>17.969000000000001</v>
      </c>
      <c r="H500" s="1405">
        <v>0.164128</v>
      </c>
      <c r="I500" s="1405">
        <v>2.9025999999999998E-4</v>
      </c>
      <c r="J500" s="1406">
        <v>22.988</v>
      </c>
    </row>
    <row r="501" spans="2:10" x14ac:dyDescent="0.25">
      <c r="B501" s="1403" t="s">
        <v>909</v>
      </c>
      <c r="C501" s="1404">
        <v>2095</v>
      </c>
      <c r="D501" s="1403">
        <v>1585000</v>
      </c>
      <c r="E501" s="1405">
        <v>696300</v>
      </c>
      <c r="F501" s="1406">
        <v>286000</v>
      </c>
      <c r="G501" s="1403">
        <v>38.049999999999997</v>
      </c>
      <c r="H501" s="1405">
        <v>0.1118</v>
      </c>
      <c r="I501" s="1405">
        <v>2.5350000000000001E-2</v>
      </c>
      <c r="J501" s="1406">
        <v>45.19</v>
      </c>
    </row>
    <row r="502" spans="2:10" x14ac:dyDescent="0.25">
      <c r="B502" s="1403" t="s">
        <v>912</v>
      </c>
      <c r="C502" s="1404">
        <v>2095</v>
      </c>
      <c r="D502" s="1403">
        <v>1249000</v>
      </c>
      <c r="E502" s="1405">
        <v>1242000</v>
      </c>
      <c r="F502" s="1406">
        <v>1078000</v>
      </c>
      <c r="G502" s="1403">
        <v>23.84</v>
      </c>
      <c r="H502" s="1405">
        <v>0.16985799999999998</v>
      </c>
      <c r="I502" s="1405">
        <v>3.7813000000000001E-4</v>
      </c>
      <c r="J502" s="1406">
        <v>29.157000000000004</v>
      </c>
    </row>
    <row r="503" spans="2:10" x14ac:dyDescent="0.25">
      <c r="B503" s="1403" t="s">
        <v>1080</v>
      </c>
      <c r="C503" s="1404">
        <v>2095</v>
      </c>
      <c r="D503" s="1403">
        <v>1190000</v>
      </c>
      <c r="E503" s="1405">
        <v>51590</v>
      </c>
      <c r="F503" s="1406">
        <v>29220</v>
      </c>
      <c r="G503" s="1403">
        <v>3.7582</v>
      </c>
      <c r="H503" s="1405">
        <v>8.4366999999999984E-3</v>
      </c>
      <c r="I503" s="1405">
        <v>-3.8261190000000002E-3</v>
      </c>
      <c r="J503" s="1406">
        <v>3.0054000000000003</v>
      </c>
    </row>
    <row r="504" spans="2:10" x14ac:dyDescent="0.25">
      <c r="B504" s="1403" t="s">
        <v>815</v>
      </c>
      <c r="C504" s="1404">
        <v>2095</v>
      </c>
      <c r="D504" s="1403">
        <v>1190000</v>
      </c>
      <c r="E504" s="1405">
        <v>51590</v>
      </c>
      <c r="F504" s="1406">
        <v>29220</v>
      </c>
      <c r="G504" s="1403">
        <v>3.7582</v>
      </c>
      <c r="H504" s="1405">
        <v>8.4366999999999984E-3</v>
      </c>
      <c r="I504" s="1405">
        <v>-3.8261190000000002E-3</v>
      </c>
      <c r="J504" s="1406">
        <v>3.0054000000000003</v>
      </c>
    </row>
    <row r="505" spans="2:10" x14ac:dyDescent="0.25">
      <c r="B505" s="1403" t="s">
        <v>824</v>
      </c>
      <c r="C505" s="1404">
        <v>2095</v>
      </c>
      <c r="D505" s="1403">
        <v>1190000</v>
      </c>
      <c r="E505" s="1405">
        <v>51590</v>
      </c>
      <c r="F505" s="1406">
        <v>29220</v>
      </c>
      <c r="G505" s="1403">
        <v>3.7582</v>
      </c>
      <c r="H505" s="1405">
        <v>8.4366999999999984E-3</v>
      </c>
      <c r="I505" s="1405">
        <v>-3.8261190000000002E-3</v>
      </c>
      <c r="J505" s="1406">
        <v>3.0054000000000003</v>
      </c>
    </row>
    <row r="506" spans="2:10" ht="13" thickBot="1" x14ac:dyDescent="0.3">
      <c r="B506" s="1407" t="s">
        <v>1087</v>
      </c>
      <c r="C506" s="1408">
        <v>2095</v>
      </c>
      <c r="D506" s="1407">
        <v>1384000</v>
      </c>
      <c r="E506" s="1409">
        <v>1383000</v>
      </c>
      <c r="F506" s="1410">
        <v>5034</v>
      </c>
      <c r="G506" s="1407">
        <v>78.571100000000001</v>
      </c>
      <c r="H506" s="1409">
        <v>0.27494000000000002</v>
      </c>
      <c r="I506" s="1409">
        <v>2.3304000000000003E-3</v>
      </c>
      <c r="J506" s="1410">
        <v>87.594300000000004</v>
      </c>
    </row>
    <row r="507" spans="2:10" x14ac:dyDescent="0.25">
      <c r="B507" s="1399" t="s">
        <v>1084</v>
      </c>
      <c r="C507" s="1400">
        <v>2100</v>
      </c>
      <c r="D507" s="1399">
        <v>1092000</v>
      </c>
      <c r="E507" s="1401">
        <v>1092000</v>
      </c>
      <c r="F507" s="1402">
        <v>3971</v>
      </c>
      <c r="G507" s="1399">
        <v>5.7390999999999996</v>
      </c>
      <c r="H507" s="1401">
        <v>0.18462200000000001</v>
      </c>
      <c r="I507" s="1401">
        <v>8.61E-4</v>
      </c>
      <c r="J507" s="1402">
        <v>11.5648</v>
      </c>
    </row>
    <row r="508" spans="2:10" x14ac:dyDescent="0.25">
      <c r="B508" s="1403" t="s">
        <v>283</v>
      </c>
      <c r="C508" s="1404">
        <v>2100</v>
      </c>
      <c r="D508" s="1403">
        <v>1092000</v>
      </c>
      <c r="E508" s="1405">
        <v>1092000</v>
      </c>
      <c r="F508" s="1406">
        <v>3971</v>
      </c>
      <c r="G508" s="1403">
        <v>5.7390999999999996</v>
      </c>
      <c r="H508" s="1405">
        <v>0.18462200000000001</v>
      </c>
      <c r="I508" s="1405">
        <v>8.61E-4</v>
      </c>
      <c r="J508" s="1406">
        <v>11.5648</v>
      </c>
    </row>
    <row r="509" spans="2:10" x14ac:dyDescent="0.25">
      <c r="B509" s="1403" t="s">
        <v>1085</v>
      </c>
      <c r="C509" s="1404">
        <v>2100</v>
      </c>
      <c r="D509" s="1403">
        <v>1092000</v>
      </c>
      <c r="E509" s="1405">
        <v>1092000</v>
      </c>
      <c r="F509" s="1406">
        <v>3971</v>
      </c>
      <c r="G509" s="1403">
        <v>5.7390999999999996</v>
      </c>
      <c r="H509" s="1405">
        <v>0.18462200000000001</v>
      </c>
      <c r="I509" s="1405">
        <v>8.61E-4</v>
      </c>
      <c r="J509" s="1406">
        <v>11.5648</v>
      </c>
    </row>
    <row r="510" spans="2:10" x14ac:dyDescent="0.25">
      <c r="B510" s="1403" t="s">
        <v>681</v>
      </c>
      <c r="C510" s="1404">
        <v>2100</v>
      </c>
      <c r="D510" s="1403">
        <v>1092000</v>
      </c>
      <c r="E510" s="1405">
        <v>1092000</v>
      </c>
      <c r="F510" s="1406">
        <v>3971</v>
      </c>
      <c r="G510" s="1403">
        <v>5.7390999999999996</v>
      </c>
      <c r="H510" s="1405">
        <v>0.18462200000000001</v>
      </c>
      <c r="I510" s="1405">
        <v>8.61E-4</v>
      </c>
      <c r="J510" s="1406">
        <v>11.5648</v>
      </c>
    </row>
    <row r="511" spans="2:10" x14ac:dyDescent="0.25">
      <c r="B511" s="1403" t="s">
        <v>682</v>
      </c>
      <c r="C511" s="1404">
        <v>2100</v>
      </c>
      <c r="D511" s="1403">
        <v>-1185000</v>
      </c>
      <c r="E511" s="1405">
        <v>0</v>
      </c>
      <c r="F511" s="1406">
        <v>0</v>
      </c>
      <c r="G511" s="1403">
        <v>-85.800000000000011</v>
      </c>
      <c r="H511" s="1405">
        <v>0.54700000000000004</v>
      </c>
      <c r="I511" s="1405">
        <v>-1.8286999999999999E-3</v>
      </c>
      <c r="J511" s="1406">
        <v>-70.08</v>
      </c>
    </row>
    <row r="512" spans="2:10" x14ac:dyDescent="0.25">
      <c r="B512" s="1403" t="s">
        <v>683</v>
      </c>
      <c r="C512" s="1404">
        <v>2100</v>
      </c>
      <c r="D512" s="1403">
        <v>1721000</v>
      </c>
      <c r="E512" s="1405">
        <v>1293000</v>
      </c>
      <c r="F512" s="1406">
        <v>15050</v>
      </c>
      <c r="G512" s="1403">
        <v>125.08</v>
      </c>
      <c r="H512" s="1405">
        <v>0.20477100000000001</v>
      </c>
      <c r="I512" s="1405">
        <v>1.7827000000000001E-3</v>
      </c>
      <c r="J512" s="1406">
        <v>129.82</v>
      </c>
    </row>
    <row r="513" spans="2:10" x14ac:dyDescent="0.25">
      <c r="B513" s="1403" t="s">
        <v>698</v>
      </c>
      <c r="C513" s="1404">
        <v>2100</v>
      </c>
      <c r="D513" s="1403">
        <v>1721000</v>
      </c>
      <c r="E513" s="1405">
        <v>1293000</v>
      </c>
      <c r="F513" s="1406">
        <v>15050</v>
      </c>
      <c r="G513" s="1403">
        <v>125.08</v>
      </c>
      <c r="H513" s="1405">
        <v>0.20477100000000001</v>
      </c>
      <c r="I513" s="1405">
        <v>1.7827000000000001E-3</v>
      </c>
      <c r="J513" s="1406">
        <v>129.82</v>
      </c>
    </row>
    <row r="514" spans="2:10" x14ac:dyDescent="0.25">
      <c r="B514" s="1403" t="s">
        <v>684</v>
      </c>
      <c r="C514" s="1404">
        <v>2100</v>
      </c>
      <c r="D514" s="1403">
        <v>1721000</v>
      </c>
      <c r="E514" s="1405">
        <v>1293000</v>
      </c>
      <c r="F514" s="1406">
        <v>15050</v>
      </c>
      <c r="G514" s="1403">
        <v>125.08</v>
      </c>
      <c r="H514" s="1405">
        <v>0.20477100000000001</v>
      </c>
      <c r="I514" s="1405">
        <v>1.7827000000000001E-3</v>
      </c>
      <c r="J514" s="1406">
        <v>129.82</v>
      </c>
    </row>
    <row r="515" spans="2:10" x14ac:dyDescent="0.25">
      <c r="B515" s="1403" t="s">
        <v>1086</v>
      </c>
      <c r="C515" s="1404">
        <v>2100</v>
      </c>
      <c r="D515" s="1403">
        <v>1022000</v>
      </c>
      <c r="E515" s="1405">
        <v>1021000</v>
      </c>
      <c r="F515" s="1406">
        <v>15510</v>
      </c>
      <c r="G515" s="1403">
        <v>1.6964999999999999</v>
      </c>
      <c r="H515" s="1405">
        <v>0.14096238999999999</v>
      </c>
      <c r="I515" s="1405">
        <v>3.2765999999999998E-5</v>
      </c>
      <c r="J515" s="1406">
        <v>5.9536999999999995</v>
      </c>
    </row>
    <row r="516" spans="2:10" x14ac:dyDescent="0.25">
      <c r="B516" s="1403" t="s">
        <v>716</v>
      </c>
      <c r="C516" s="1404">
        <v>2100</v>
      </c>
      <c r="D516" s="1403">
        <v>1022000</v>
      </c>
      <c r="E516" s="1405">
        <v>1021000</v>
      </c>
      <c r="F516" s="1406">
        <v>15510</v>
      </c>
      <c r="G516" s="1403">
        <v>1.6964999999999999</v>
      </c>
      <c r="H516" s="1405">
        <v>0.14096238999999999</v>
      </c>
      <c r="I516" s="1405">
        <v>3.2765999999999998E-5</v>
      </c>
      <c r="J516" s="1406">
        <v>5.9536999999999995</v>
      </c>
    </row>
    <row r="517" spans="2:10" x14ac:dyDescent="0.25">
      <c r="B517" s="1403" t="s">
        <v>717</v>
      </c>
      <c r="C517" s="1404">
        <v>2100</v>
      </c>
      <c r="D517" s="1403">
        <v>1022000</v>
      </c>
      <c r="E517" s="1405">
        <v>1021000</v>
      </c>
      <c r="F517" s="1406">
        <v>15510</v>
      </c>
      <c r="G517" s="1403">
        <v>1.6964999999999999</v>
      </c>
      <c r="H517" s="1405">
        <v>0.14096238999999999</v>
      </c>
      <c r="I517" s="1405">
        <v>3.2765999999999998E-5</v>
      </c>
      <c r="J517" s="1406">
        <v>5.9536999999999995</v>
      </c>
    </row>
    <row r="518" spans="2:10" x14ac:dyDescent="0.25">
      <c r="B518" s="1403" t="s">
        <v>911</v>
      </c>
      <c r="C518" s="1404">
        <v>2100</v>
      </c>
      <c r="D518" s="1403">
        <v>1209000</v>
      </c>
      <c r="E518" s="1405">
        <v>1202000</v>
      </c>
      <c r="F518" s="1406">
        <v>1052000</v>
      </c>
      <c r="G518" s="1403">
        <v>17.969000000000001</v>
      </c>
      <c r="H518" s="1405">
        <v>0.164128</v>
      </c>
      <c r="I518" s="1405">
        <v>2.9025999999999998E-4</v>
      </c>
      <c r="J518" s="1406">
        <v>22.988</v>
      </c>
    </row>
    <row r="519" spans="2:10" x14ac:dyDescent="0.25">
      <c r="B519" s="1403" t="s">
        <v>909</v>
      </c>
      <c r="C519" s="1404">
        <v>2100</v>
      </c>
      <c r="D519" s="1403">
        <v>1585000</v>
      </c>
      <c r="E519" s="1405">
        <v>696300</v>
      </c>
      <c r="F519" s="1406">
        <v>286000</v>
      </c>
      <c r="G519" s="1403">
        <v>38.049999999999997</v>
      </c>
      <c r="H519" s="1405">
        <v>0.1118</v>
      </c>
      <c r="I519" s="1405">
        <v>2.5350000000000001E-2</v>
      </c>
      <c r="J519" s="1406">
        <v>45.19</v>
      </c>
    </row>
    <row r="520" spans="2:10" x14ac:dyDescent="0.25">
      <c r="B520" s="1403" t="s">
        <v>912</v>
      </c>
      <c r="C520" s="1404">
        <v>2100</v>
      </c>
      <c r="D520" s="1403">
        <v>1249000</v>
      </c>
      <c r="E520" s="1405">
        <v>1242000</v>
      </c>
      <c r="F520" s="1406">
        <v>1078000</v>
      </c>
      <c r="G520" s="1403">
        <v>23.84</v>
      </c>
      <c r="H520" s="1405">
        <v>0.16985799999999998</v>
      </c>
      <c r="I520" s="1405">
        <v>3.7813000000000001E-4</v>
      </c>
      <c r="J520" s="1406">
        <v>29.157000000000004</v>
      </c>
    </row>
    <row r="521" spans="2:10" x14ac:dyDescent="0.25">
      <c r="B521" s="1403" t="s">
        <v>1080</v>
      </c>
      <c r="C521" s="1404">
        <v>2100</v>
      </c>
      <c r="D521" s="1403">
        <v>1190000</v>
      </c>
      <c r="E521" s="1405">
        <v>51590</v>
      </c>
      <c r="F521" s="1406">
        <v>29220</v>
      </c>
      <c r="G521" s="1403">
        <v>3.7582</v>
      </c>
      <c r="H521" s="1405">
        <v>8.4366999999999984E-3</v>
      </c>
      <c r="I521" s="1405">
        <v>-3.8261190000000002E-3</v>
      </c>
      <c r="J521" s="1406">
        <v>3.0054000000000003</v>
      </c>
    </row>
    <row r="522" spans="2:10" x14ac:dyDescent="0.25">
      <c r="B522" s="1403" t="s">
        <v>815</v>
      </c>
      <c r="C522" s="1404">
        <v>2100</v>
      </c>
      <c r="D522" s="1403">
        <v>1190000</v>
      </c>
      <c r="E522" s="1405">
        <v>51590</v>
      </c>
      <c r="F522" s="1406">
        <v>29220</v>
      </c>
      <c r="G522" s="1403">
        <v>3.7582</v>
      </c>
      <c r="H522" s="1405">
        <v>8.4366999999999984E-3</v>
      </c>
      <c r="I522" s="1405">
        <v>-3.8261190000000002E-3</v>
      </c>
      <c r="J522" s="1406">
        <v>3.0054000000000003</v>
      </c>
    </row>
    <row r="523" spans="2:10" x14ac:dyDescent="0.25">
      <c r="B523" s="1403" t="s">
        <v>824</v>
      </c>
      <c r="C523" s="1404">
        <v>2100</v>
      </c>
      <c r="D523" s="1403">
        <v>1190000</v>
      </c>
      <c r="E523" s="1405">
        <v>51590</v>
      </c>
      <c r="F523" s="1406">
        <v>29220</v>
      </c>
      <c r="G523" s="1403">
        <v>3.7582</v>
      </c>
      <c r="H523" s="1405">
        <v>8.4366999999999984E-3</v>
      </c>
      <c r="I523" s="1405">
        <v>-3.8261190000000002E-3</v>
      </c>
      <c r="J523" s="1406">
        <v>3.0054000000000003</v>
      </c>
    </row>
    <row r="524" spans="2:10" ht="13" thickBot="1" x14ac:dyDescent="0.3">
      <c r="B524" s="1407" t="s">
        <v>1087</v>
      </c>
      <c r="C524" s="1408">
        <v>2100</v>
      </c>
      <c r="D524" s="1407">
        <v>1384000</v>
      </c>
      <c r="E524" s="1409">
        <v>1383000</v>
      </c>
      <c r="F524" s="1410">
        <v>5034</v>
      </c>
      <c r="G524" s="1407">
        <v>78.571100000000001</v>
      </c>
      <c r="H524" s="1409">
        <v>0.27494000000000002</v>
      </c>
      <c r="I524" s="1409">
        <v>2.3304000000000003E-3</v>
      </c>
      <c r="J524" s="1410">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A11" sqref="A11:G57"/>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560"/>
      <c r="B12" s="1759"/>
      <c r="C12" s="1760"/>
      <c r="D12" s="1760"/>
      <c r="E12" s="1760"/>
      <c r="F12" s="1760"/>
      <c r="G12" s="1760"/>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84">
        <f>'Cash Flow Analysis'!B65</f>
        <v>1</v>
      </c>
      <c r="B14" s="1562">
        <f>IF(B13="","",IF('Cash Flow Analysis'!$B$31=0,"N/A",IF(A14=1,1,IF(A13=debt_period,"",B13+1))))</f>
        <v>1</v>
      </c>
      <c r="C14" s="1087">
        <f ca="1">IF(OR(A14="",B14="",B14="N/A"),"",IF(B14=1,-'Cash Flow Analysis'!G65,IF(B14="N/A",0,G13)))</f>
        <v>61803675.633103885</v>
      </c>
      <c r="D14" s="1087">
        <f ca="1">IF(debt_period=0,
E14+F14,
IF(OR(A14="",B14="",B14="N/A"),"",IF(B14=1,((debt_interest*(1+debt_interest)^debt_period)/((1+debt_interest)^debt_period-1))*(-'Cash Flow Analysis'!G65),IF(G13=0,"",D13))))</f>
        <v>2286735.9984248434</v>
      </c>
      <c r="E14" s="1087">
        <f t="shared" ref="E14:E57" ca="1" si="0">IF(OR(A14="",B14="",B14="N/A"),"",C14*debt_interest)</f>
        <v>2286735.9984248434</v>
      </c>
      <c r="F14" s="1087">
        <f>IF(debt_period=0,
IF(B14=(anal_period+construct),0,0),
IF(OR(A14="",B14="",B14="N/A"),"",D14-E14))</f>
        <v>0</v>
      </c>
      <c r="G14" s="1563">
        <f t="shared" ref="G14:G57" ca="1" si="1">IF(OR(A14="",B14="",B14="N/A"),"",C14-F14)</f>
        <v>61803675.633103885</v>
      </c>
    </row>
    <row r="15" spans="1:12" s="53" customFormat="1" ht="15" customHeight="1" x14ac:dyDescent="0.25">
      <c r="A15" s="1084">
        <f>'Cash Flow Analysis'!B66</f>
        <v>2</v>
      </c>
      <c r="B15" s="1562">
        <f>IF(B14="","",IF('Cash Flow Analysis'!$B$31=0,"N/A",IF(A15=1,1,IF(A14=debt_period,"",B14+1))))</f>
        <v>2</v>
      </c>
      <c r="C15" s="1087">
        <f ca="1">IF(OR(A15="",B15="",B15="N/A"),"",IF(B15=1,-'Cash Flow Analysis'!G66,IF(B15="N/A",0,G14)))</f>
        <v>61803675.633103885</v>
      </c>
      <c r="D15" s="1087">
        <f ca="1">IF(debt_period=0,
E15+F15,
IF(OR(A15="",B15="",B15="N/A"),"",IF(B15=1,((debt_interest*(1+debt_interest)^debt_period)/((1+debt_interest)^debt_period-1))*(-'Cash Flow Analysis'!G66),IF(G14=0,"",D14))))</f>
        <v>2286735.9984248434</v>
      </c>
      <c r="E15" s="1087">
        <f t="shared" ca="1" si="0"/>
        <v>2286735.9984248434</v>
      </c>
      <c r="F15" s="1087">
        <f>IF(debt_period=0,
IF(B15=(anal_period+construct),C14,0),
IF(OR(A15="",B15="",B15="N/A"),"",D15-E15))</f>
        <v>0</v>
      </c>
      <c r="G15" s="1563">
        <f t="shared" ca="1" si="1"/>
        <v>61803675.633103885</v>
      </c>
    </row>
    <row r="16" spans="1:12" s="53" customFormat="1" ht="15" customHeight="1" x14ac:dyDescent="0.25">
      <c r="A16" s="1084">
        <f>'Cash Flow Analysis'!B67</f>
        <v>3</v>
      </c>
      <c r="B16" s="1562">
        <f>IF(B15="","",IF('Cash Flow Analysis'!$B$31=0,"N/A",IF(A16=1,1,IF(A15=debt_period,"",B15+1))))</f>
        <v>3</v>
      </c>
      <c r="C16" s="1087">
        <f ca="1">IF(OR(A16="",B16="",B16="N/A"),"",IF(B16=1,-'Cash Flow Analysis'!G67,IF(B16="N/A",0,G15)))</f>
        <v>61803675.633103885</v>
      </c>
      <c r="D16" s="1087">
        <f ca="1">IF(debt_period=0,
E16+F16,
IF(OR(A16="",B16="",B16="N/A"),"",IF(B16=1,((debt_interest*(1+debt_interest)^debt_period)/((1+debt_interest)^debt_period-1))*(-'Cash Flow Analysis'!G67),IF(G15=0,"",D15))))</f>
        <v>2286735.9984248434</v>
      </c>
      <c r="E16" s="1087">
        <f t="shared" ca="1" si="0"/>
        <v>2286735.9984248434</v>
      </c>
      <c r="F16" s="1087">
        <f t="shared" ref="F16:F57" si="2">IF(debt_period=0,
IF(B16=(anal_period+construct),C16,0),
IF(OR(A16="",B16="",B16="N/A"),"",D16-E16))</f>
        <v>0</v>
      </c>
      <c r="G16" s="1563">
        <f t="shared" ca="1" si="1"/>
        <v>61803675.633103885</v>
      </c>
    </row>
    <row r="17" spans="1:7" s="53" customFormat="1" ht="15" customHeight="1" x14ac:dyDescent="0.25">
      <c r="A17" s="1084">
        <f>'Cash Flow Analysis'!B68</f>
        <v>4</v>
      </c>
      <c r="B17" s="1562">
        <f>IF(B16="","",IF('Cash Flow Analysis'!$B$31=0,"N/A",IF(A17=1,1,IF(A16=debt_period,"",B16+1))))</f>
        <v>4</v>
      </c>
      <c r="C17" s="1087">
        <f ca="1">IF(OR(A17="",B17="",B17="N/A"),"",IF(B17=1,-'Cash Flow Analysis'!G68,IF(B17="N/A",0,G16)))</f>
        <v>61803675.633103885</v>
      </c>
      <c r="D17" s="1087">
        <f ca="1">IF(debt_period=0,
E17+F17,
IF(OR(A17="",B17="",B17="N/A"),"",IF(B17=1,((debt_interest*(1+debt_interest)^debt_period)/((1+debt_interest)^debt_period-1))*(-'Cash Flow Analysis'!G68),IF(G16=0,"",D16))))</f>
        <v>2286735.9984248434</v>
      </c>
      <c r="E17" s="1087">
        <f t="shared" ca="1" si="0"/>
        <v>2286735.9984248434</v>
      </c>
      <c r="F17" s="1087">
        <f t="shared" si="2"/>
        <v>0</v>
      </c>
      <c r="G17" s="1563">
        <f t="shared" ca="1" si="1"/>
        <v>61803675.633103885</v>
      </c>
    </row>
    <row r="18" spans="1:7" s="53" customFormat="1" ht="15" customHeight="1" x14ac:dyDescent="0.25">
      <c r="A18" s="1084">
        <f>'Cash Flow Analysis'!B69</f>
        <v>5</v>
      </c>
      <c r="B18" s="1562">
        <f>IF(B17="","",IF('Cash Flow Analysis'!$B$31=0,"N/A",IF(A18=1,1,IF(A17=debt_period,"",B17+1))))</f>
        <v>5</v>
      </c>
      <c r="C18" s="1087">
        <f ca="1">IF(OR(A18="",B18="",B18="N/A"),"",IF(B18=1,-'Cash Flow Analysis'!G69,IF(B18="N/A",0,G17)))</f>
        <v>61803675.633103885</v>
      </c>
      <c r="D18" s="1087">
        <f ca="1">IF(debt_period=0,
E18+F18,
IF(OR(A18="",B18="",B18="N/A"),"",IF(B18=1,((debt_interest*(1+debt_interest)^debt_period)/((1+debt_interest)^debt_period-1))*(-'Cash Flow Analysis'!G69),IF(G17=0,"",D17))))</f>
        <v>2286735.9984248434</v>
      </c>
      <c r="E18" s="1087">
        <f t="shared" ca="1" si="0"/>
        <v>2286735.9984248434</v>
      </c>
      <c r="F18" s="1087">
        <f t="shared" si="2"/>
        <v>0</v>
      </c>
      <c r="G18" s="1563">
        <f t="shared" ca="1" si="1"/>
        <v>61803675.633103885</v>
      </c>
    </row>
    <row r="19" spans="1:7" s="53" customFormat="1" ht="15" customHeight="1" x14ac:dyDescent="0.25">
      <c r="A19" s="1084">
        <f>'Cash Flow Analysis'!B70</f>
        <v>6</v>
      </c>
      <c r="B19" s="1562">
        <f>IF(B18="","",IF('Cash Flow Analysis'!$B$31=0,"N/A",IF(A19=1,1,IF(A18=debt_period,"",B18+1))))</f>
        <v>6</v>
      </c>
      <c r="C19" s="1087">
        <f ca="1">IF(OR(A19="",B19="",B19="N/A"),"",IF(B19=1,-'Cash Flow Analysis'!G70,IF(B19="N/A",0,G18)))</f>
        <v>61803675.633103885</v>
      </c>
      <c r="D19" s="1087">
        <f ca="1">IF(debt_period=0,
E19+F19,
IF(OR(A19="",B19="",B19="N/A"),"",IF(B19=1,((debt_interest*(1+debt_interest)^debt_period)/((1+debt_interest)^debt_period-1))*(-'Cash Flow Analysis'!G70),IF(G18=0,"",D18))))</f>
        <v>2286735.9984248434</v>
      </c>
      <c r="E19" s="1087">
        <f t="shared" ca="1" si="0"/>
        <v>2286735.9984248434</v>
      </c>
      <c r="F19" s="1087">
        <f t="shared" si="2"/>
        <v>0</v>
      </c>
      <c r="G19" s="1563">
        <f t="shared" ca="1" si="1"/>
        <v>61803675.633103885</v>
      </c>
    </row>
    <row r="20" spans="1:7" s="53" customFormat="1" ht="15" customHeight="1" x14ac:dyDescent="0.25">
      <c r="A20" s="1084">
        <f>'Cash Flow Analysis'!B71</f>
        <v>7</v>
      </c>
      <c r="B20" s="1562">
        <f>IF(B19="","",IF('Cash Flow Analysis'!$B$31=0,"N/A",IF(A20=1,1,IF(A19=debt_period,"",B19+1))))</f>
        <v>7</v>
      </c>
      <c r="C20" s="1087">
        <f ca="1">IF(OR(A20="",B20="",B20="N/A"),"",IF(B20=1,-'Cash Flow Analysis'!G71,IF(B20="N/A",0,G19)))</f>
        <v>61803675.633103885</v>
      </c>
      <c r="D20" s="1087">
        <f ca="1">IF(debt_period=0,
E20+F20,
IF(OR(A20="",B20="",B20="N/A"),"",IF(B20=1,((debt_interest*(1+debt_interest)^debt_period)/((1+debt_interest)^debt_period-1))*(-'Cash Flow Analysis'!G71),IF(G19=0,"",D19))))</f>
        <v>2286735.9984248434</v>
      </c>
      <c r="E20" s="1087">
        <f t="shared" ca="1" si="0"/>
        <v>2286735.9984248434</v>
      </c>
      <c r="F20" s="1087">
        <f t="shared" si="2"/>
        <v>0</v>
      </c>
      <c r="G20" s="1563">
        <f t="shared" ca="1" si="1"/>
        <v>61803675.633103885</v>
      </c>
    </row>
    <row r="21" spans="1:7" s="53" customFormat="1" ht="15" customHeight="1" x14ac:dyDescent="0.25">
      <c r="A21" s="1084">
        <f>'Cash Flow Analysis'!B72</f>
        <v>8</v>
      </c>
      <c r="B21" s="1562">
        <f>IF(B20="","",IF('Cash Flow Analysis'!$B$31=0,"N/A",IF(A21=1,1,IF(A20=debt_period,"",B20+1))))</f>
        <v>8</v>
      </c>
      <c r="C21" s="1087">
        <f ca="1">IF(OR(A21="",B21="",B21="N/A"),"",IF(B21=1,-'Cash Flow Analysis'!G72,IF(B21="N/A",0,G20)))</f>
        <v>61803675.633103885</v>
      </c>
      <c r="D21" s="1087">
        <f ca="1">IF(debt_period=0,
E21+F21,
IF(OR(A21="",B21="",B21="N/A"),"",IF(B21=1,((debt_interest*(1+debt_interest)^debt_period)/((1+debt_interest)^debt_period-1))*(-'Cash Flow Analysis'!G72),IF(G20=0,"",D20))))</f>
        <v>2286735.9984248434</v>
      </c>
      <c r="E21" s="1087">
        <f t="shared" ca="1" si="0"/>
        <v>2286735.9984248434</v>
      </c>
      <c r="F21" s="1087">
        <f t="shared" si="2"/>
        <v>0</v>
      </c>
      <c r="G21" s="1563">
        <f t="shared" ca="1" si="1"/>
        <v>61803675.633103885</v>
      </c>
    </row>
    <row r="22" spans="1:7" s="53" customFormat="1" ht="15" customHeight="1" x14ac:dyDescent="0.25">
      <c r="A22" s="1084">
        <f>'Cash Flow Analysis'!B73</f>
        <v>9</v>
      </c>
      <c r="B22" s="1562">
        <f>IF(B21="","",IF('Cash Flow Analysis'!$B$31=0,"N/A",IF(A22=1,1,IF(A21=debt_period,"",B21+1))))</f>
        <v>9</v>
      </c>
      <c r="C22" s="1087">
        <f ca="1">IF(OR(A22="",B22="",B22="N/A"),"",IF(B22=1,-'Cash Flow Analysis'!G73,IF(B22="N/A",0,G21)))</f>
        <v>61803675.633103885</v>
      </c>
      <c r="D22" s="1087">
        <f ca="1">IF(debt_period=0,
E22+F22,
IF(OR(A22="",B22="",B22="N/A"),"",IF(B22=1,((debt_interest*(1+debt_interest)^debt_period)/((1+debt_interest)^debt_period-1))*(-'Cash Flow Analysis'!G73),IF(G21=0,"",D21))))</f>
        <v>2286735.9984248434</v>
      </c>
      <c r="E22" s="1087">
        <f t="shared" ca="1" si="0"/>
        <v>2286735.9984248434</v>
      </c>
      <c r="F22" s="1087">
        <f t="shared" si="2"/>
        <v>0</v>
      </c>
      <c r="G22" s="1563">
        <f t="shared" ca="1" si="1"/>
        <v>61803675.633103885</v>
      </c>
    </row>
    <row r="23" spans="1:7" s="53" customFormat="1" ht="15" customHeight="1" x14ac:dyDescent="0.25">
      <c r="A23" s="1084">
        <f>'Cash Flow Analysis'!B74</f>
        <v>10</v>
      </c>
      <c r="B23" s="1562">
        <f>IF(B22="","",IF('Cash Flow Analysis'!$B$31=0,"N/A",IF(A23=1,1,IF(A22=debt_period,"",B22+1))))</f>
        <v>10</v>
      </c>
      <c r="C23" s="1087">
        <f ca="1">IF(OR(A23="",B23="",B23="N/A"),"",IF(B23=1,-'Cash Flow Analysis'!G74,IF(B23="N/A",0,G22)))</f>
        <v>61803675.633103885</v>
      </c>
      <c r="D23" s="1087">
        <f ca="1">IF(debt_period=0,
E23+F23,
IF(OR(A23="",B23="",B23="N/A"),"",IF(B23=1,((debt_interest*(1+debt_interest)^debt_period)/((1+debt_interest)^debt_period-1))*(-'Cash Flow Analysis'!G74),IF(G22=0,"",D22))))</f>
        <v>2286735.9984248434</v>
      </c>
      <c r="E23" s="1087">
        <f t="shared" ca="1" si="0"/>
        <v>2286735.9984248434</v>
      </c>
      <c r="F23" s="1087">
        <f t="shared" si="2"/>
        <v>0</v>
      </c>
      <c r="G23" s="1563">
        <f t="shared" ca="1" si="1"/>
        <v>61803675.633103885</v>
      </c>
    </row>
    <row r="24" spans="1:7" s="53" customFormat="1" ht="15" customHeight="1" x14ac:dyDescent="0.25">
      <c r="A24" s="1084">
        <f>'Cash Flow Analysis'!B75</f>
        <v>11</v>
      </c>
      <c r="B24" s="1562">
        <f>IF(B23="","",IF('Cash Flow Analysis'!$B$31=0,"N/A",IF(A24=1,1,IF(A23=debt_period,"",B23+1))))</f>
        <v>11</v>
      </c>
      <c r="C24" s="1087">
        <f ca="1">IF(OR(A24="",B24="",B24="N/A"),"",IF(B24=1,-'Cash Flow Analysis'!G75,IF(B24="N/A",0,G23)))</f>
        <v>61803675.633103885</v>
      </c>
      <c r="D24" s="1087">
        <f ca="1">IF(debt_period=0,
E24+F24,
IF(OR(A24="",B24="",B24="N/A"),"",IF(B24=1,((debt_interest*(1+debt_interest)^debt_period)/((1+debt_interest)^debt_period-1))*(-'Cash Flow Analysis'!G75),IF(G23=0,"",D23))))</f>
        <v>2286735.9984248434</v>
      </c>
      <c r="E24" s="1087">
        <f t="shared" ca="1" si="0"/>
        <v>2286735.9984248434</v>
      </c>
      <c r="F24" s="1087">
        <f t="shared" si="2"/>
        <v>0</v>
      </c>
      <c r="G24" s="1563">
        <f t="shared" ca="1" si="1"/>
        <v>61803675.633103885</v>
      </c>
    </row>
    <row r="25" spans="1:7" s="53" customFormat="1" ht="15" customHeight="1" x14ac:dyDescent="0.25">
      <c r="A25" s="1084">
        <f>'Cash Flow Analysis'!B76</f>
        <v>12</v>
      </c>
      <c r="B25" s="1562">
        <f>IF(B24="","",IF('Cash Flow Analysis'!$B$31=0,"N/A",IF(A25=1,1,IF(A24=debt_period,"",B24+1))))</f>
        <v>12</v>
      </c>
      <c r="C25" s="1087">
        <f ca="1">IF(OR(A25="",B25="",B25="N/A"),"",IF(B25=1,-'Cash Flow Analysis'!G76,IF(B25="N/A",0,G24)))</f>
        <v>61803675.633103885</v>
      </c>
      <c r="D25" s="1087">
        <f ca="1">IF(debt_period=0,
E25+F25,
IF(OR(A25="",B25="",B25="N/A"),"",IF(B25=1,((debt_interest*(1+debt_interest)^debt_period)/((1+debt_interest)^debt_period-1))*(-'Cash Flow Analysis'!G76),IF(G24=0,"",D24))))</f>
        <v>2286735.9984248434</v>
      </c>
      <c r="E25" s="1087">
        <f t="shared" ca="1" si="0"/>
        <v>2286735.9984248434</v>
      </c>
      <c r="F25" s="1087">
        <f t="shared" si="2"/>
        <v>0</v>
      </c>
      <c r="G25" s="1563">
        <f t="shared" ca="1" si="1"/>
        <v>61803675.633103885</v>
      </c>
    </row>
    <row r="26" spans="1:7" s="53" customFormat="1" ht="15" customHeight="1" x14ac:dyDescent="0.25">
      <c r="A26" s="1084">
        <f>'Cash Flow Analysis'!B77</f>
        <v>13</v>
      </c>
      <c r="B26" s="1562">
        <f>IF(B25="","",IF('Cash Flow Analysis'!$B$31=0,"N/A",IF(A26=1,1,IF(A25=debt_period,"",B25+1))))</f>
        <v>13</v>
      </c>
      <c r="C26" s="1087">
        <f ca="1">IF(OR(A26="",B26="",B26="N/A"),"",IF(B26=1,-'Cash Flow Analysis'!G77,IF(B26="N/A",0,G25)))</f>
        <v>61803675.633103885</v>
      </c>
      <c r="D26" s="1087">
        <f ca="1">IF(debt_period=0,
E26+F26,
IF(OR(A26="",B26="",B26="N/A"),"",IF(B26=1,((debt_interest*(1+debt_interest)^debt_period)/((1+debt_interest)^debt_period-1))*(-'Cash Flow Analysis'!G77),IF(G25=0,"",D25))))</f>
        <v>2286735.9984248434</v>
      </c>
      <c r="E26" s="1087">
        <f t="shared" ca="1" si="0"/>
        <v>2286735.9984248434</v>
      </c>
      <c r="F26" s="1087">
        <f t="shared" si="2"/>
        <v>0</v>
      </c>
      <c r="G26" s="1563">
        <f t="shared" ca="1" si="1"/>
        <v>61803675.633103885</v>
      </c>
    </row>
    <row r="27" spans="1:7" s="53" customFormat="1" ht="15" customHeight="1" x14ac:dyDescent="0.25">
      <c r="A27" s="1084">
        <f>'Cash Flow Analysis'!B78</f>
        <v>14</v>
      </c>
      <c r="B27" s="1562">
        <f>IF(B26="","",IF('Cash Flow Analysis'!$B$31=0,"N/A",IF(A27=1,1,IF(A26=debt_period,"",B26+1))))</f>
        <v>14</v>
      </c>
      <c r="C27" s="1087">
        <f ca="1">IF(OR(A27="",B27="",B27="N/A"),"",IF(B27=1,-'Cash Flow Analysis'!G78,IF(B27="N/A",0,G26)))</f>
        <v>61803675.633103885</v>
      </c>
      <c r="D27" s="1087">
        <f ca="1">IF(debt_period=0,
E27+F27,
IF(OR(A27="",B27="",B27="N/A"),"",IF(B27=1,((debt_interest*(1+debt_interest)^debt_period)/((1+debt_interest)^debt_period-1))*(-'Cash Flow Analysis'!G78),IF(G26=0,"",D26))))</f>
        <v>2286735.9984248434</v>
      </c>
      <c r="E27" s="1087">
        <f t="shared" ca="1" si="0"/>
        <v>2286735.9984248434</v>
      </c>
      <c r="F27" s="1087">
        <f t="shared" si="2"/>
        <v>0</v>
      </c>
      <c r="G27" s="1563">
        <f t="shared" ca="1" si="1"/>
        <v>61803675.633103885</v>
      </c>
    </row>
    <row r="28" spans="1:7" s="53" customFormat="1" ht="15" customHeight="1" x14ac:dyDescent="0.25">
      <c r="A28" s="1084">
        <f>'Cash Flow Analysis'!B79</f>
        <v>15</v>
      </c>
      <c r="B28" s="1562">
        <f>IF(B27="","",IF('Cash Flow Analysis'!$B$31=0,"N/A",IF(A28=1,1,IF(A27=debt_period,"",B27+1))))</f>
        <v>15</v>
      </c>
      <c r="C28" s="1087">
        <f ca="1">IF(OR(A28="",B28="",B28="N/A"),"",IF(B28=1,-'Cash Flow Analysis'!G79,IF(B28="N/A",0,G27)))</f>
        <v>61803675.633103885</v>
      </c>
      <c r="D28" s="1087">
        <f ca="1">IF(debt_period=0,
E28+F28,
IF(OR(A28="",B28="",B28="N/A"),"",IF(B28=1,((debt_interest*(1+debt_interest)^debt_period)/((1+debt_interest)^debt_period-1))*(-'Cash Flow Analysis'!G79),IF(G27=0,"",D27))))</f>
        <v>2286735.9984248434</v>
      </c>
      <c r="E28" s="1087">
        <f t="shared" ca="1" si="0"/>
        <v>2286735.9984248434</v>
      </c>
      <c r="F28" s="1087">
        <f t="shared" si="2"/>
        <v>0</v>
      </c>
      <c r="G28" s="1563">
        <f t="shared" ca="1" si="1"/>
        <v>61803675.633103885</v>
      </c>
    </row>
    <row r="29" spans="1:7" s="53" customFormat="1" ht="15" customHeight="1" x14ac:dyDescent="0.25">
      <c r="A29" s="1084">
        <f>'Cash Flow Analysis'!B80</f>
        <v>16</v>
      </c>
      <c r="B29" s="1562">
        <f>IF(B28="","",IF('Cash Flow Analysis'!$B$31=0,"N/A",IF(A29=1,1,IF(A28=debt_period,"",B28+1))))</f>
        <v>16</v>
      </c>
      <c r="C29" s="1087">
        <f ca="1">IF(OR(A29="",B29="",B29="N/A"),"",IF(B29=1,-'Cash Flow Analysis'!G80,IF(B29="N/A",0,G28)))</f>
        <v>61803675.633103885</v>
      </c>
      <c r="D29" s="1087">
        <f ca="1">IF(debt_period=0,
E29+F29,
IF(OR(A29="",B29="",B29="N/A"),"",IF(B29=1,((debt_interest*(1+debt_interest)^debt_period)/((1+debt_interest)^debt_period-1))*(-'Cash Flow Analysis'!G80),IF(G28=0,"",D28))))</f>
        <v>2286735.9984248434</v>
      </c>
      <c r="E29" s="1087">
        <f t="shared" ca="1" si="0"/>
        <v>2286735.9984248434</v>
      </c>
      <c r="F29" s="1087">
        <f t="shared" si="2"/>
        <v>0</v>
      </c>
      <c r="G29" s="1563">
        <f t="shared" ca="1" si="1"/>
        <v>61803675.633103885</v>
      </c>
    </row>
    <row r="30" spans="1:7" s="53" customFormat="1" ht="15" customHeight="1" x14ac:dyDescent="0.25">
      <c r="A30" s="1084">
        <f>'Cash Flow Analysis'!B81</f>
        <v>17</v>
      </c>
      <c r="B30" s="1562">
        <f>IF(B29="","",IF('Cash Flow Analysis'!$B$31=0,"N/A",IF(A30=1,1,IF(A29=debt_period,"",B29+1))))</f>
        <v>17</v>
      </c>
      <c r="C30" s="1087">
        <f ca="1">IF(OR(A30="",B30="",B30="N/A"),"",IF(B30=1,-'Cash Flow Analysis'!G81,IF(B30="N/A",0,G29)))</f>
        <v>61803675.633103885</v>
      </c>
      <c r="D30" s="1087">
        <f ca="1">IF(debt_period=0,
E30+F30,
IF(OR(A30="",B30="",B30="N/A"),"",IF(B30=1,((debt_interest*(1+debt_interest)^debt_period)/((1+debt_interest)^debt_period-1))*(-'Cash Flow Analysis'!G81),IF(G29=0,"",D29))))</f>
        <v>2286735.9984248434</v>
      </c>
      <c r="E30" s="1087">
        <f t="shared" ca="1" si="0"/>
        <v>2286735.9984248434</v>
      </c>
      <c r="F30" s="1087">
        <f t="shared" si="2"/>
        <v>0</v>
      </c>
      <c r="G30" s="1563">
        <f t="shared" ca="1" si="1"/>
        <v>61803675.633103885</v>
      </c>
    </row>
    <row r="31" spans="1:7" s="53" customFormat="1" ht="15" customHeight="1" x14ac:dyDescent="0.25">
      <c r="A31" s="1084">
        <f>'Cash Flow Analysis'!B82</f>
        <v>18</v>
      </c>
      <c r="B31" s="1562">
        <f>IF(B30="","",IF('Cash Flow Analysis'!$B$31=0,"N/A",IF(A31=1,1,IF(A30=debt_period,"",B30+1))))</f>
        <v>18</v>
      </c>
      <c r="C31" s="1087">
        <f ca="1">IF(OR(A31="",B31="",B31="N/A"),"",IF(B31=1,-'Cash Flow Analysis'!G82,IF(B31="N/A",0,G30)))</f>
        <v>61803675.633103885</v>
      </c>
      <c r="D31" s="1087">
        <f ca="1">IF(debt_period=0,
E31+F31,
IF(OR(A31="",B31="",B31="N/A"),"",IF(B31=1,((debt_interest*(1+debt_interest)^debt_period)/((1+debt_interest)^debt_period-1))*(-'Cash Flow Analysis'!G82),IF(G30=0,"",D30))))</f>
        <v>2286735.9984248434</v>
      </c>
      <c r="E31" s="1087">
        <f t="shared" ca="1" si="0"/>
        <v>2286735.9984248434</v>
      </c>
      <c r="F31" s="1087">
        <f t="shared" si="2"/>
        <v>0</v>
      </c>
      <c r="G31" s="1563">
        <f t="shared" ca="1" si="1"/>
        <v>61803675.633103885</v>
      </c>
    </row>
    <row r="32" spans="1:7" s="53" customFormat="1" ht="15" customHeight="1" x14ac:dyDescent="0.25">
      <c r="A32" s="1084">
        <f>'Cash Flow Analysis'!B83</f>
        <v>19</v>
      </c>
      <c r="B32" s="1562">
        <f>IF(B31="","",IF('Cash Flow Analysis'!$B$31=0,"N/A",IF(A32=1,1,IF(A31=debt_period,"",B31+1))))</f>
        <v>19</v>
      </c>
      <c r="C32" s="1087">
        <f ca="1">IF(OR(A32="",B32="",B32="N/A"),"",IF(B32=1,-'Cash Flow Analysis'!G83,IF(B32="N/A",0,G31)))</f>
        <v>61803675.633103885</v>
      </c>
      <c r="D32" s="1087">
        <f ca="1">IF(debt_period=0,
E32+F32,
IF(OR(A32="",B32="",B32="N/A"),"",IF(B32=1,((debt_interest*(1+debt_interest)^debt_period)/((1+debt_interest)^debt_period-1))*(-'Cash Flow Analysis'!G83),IF(G31=0,"",D31))))</f>
        <v>2286735.9984248434</v>
      </c>
      <c r="E32" s="1087">
        <f t="shared" ca="1" si="0"/>
        <v>2286735.9984248434</v>
      </c>
      <c r="F32" s="1087">
        <f t="shared" si="2"/>
        <v>0</v>
      </c>
      <c r="G32" s="1563">
        <f t="shared" ca="1" si="1"/>
        <v>61803675.633103885</v>
      </c>
    </row>
    <row r="33" spans="1:7" s="53" customFormat="1" ht="15" customHeight="1" x14ac:dyDescent="0.25">
      <c r="A33" s="1084">
        <f>'Cash Flow Analysis'!B84</f>
        <v>20</v>
      </c>
      <c r="B33" s="1562">
        <f>IF(B32="","",IF('Cash Flow Analysis'!$B$31=0,"N/A",IF(A33=1,1,IF(A32=debt_period,"",B32+1))))</f>
        <v>20</v>
      </c>
      <c r="C33" s="1087">
        <f ca="1">IF(OR(A33="",B33="",B33="N/A"),"",IF(B33=1,-'Cash Flow Analysis'!G84,IF(B33="N/A",0,G32)))</f>
        <v>61803675.633103885</v>
      </c>
      <c r="D33" s="1087">
        <f ca="1">IF(debt_period=0,
E33+F33,
IF(OR(A33="",B33="",B33="N/A"),"",IF(B33=1,((debt_interest*(1+debt_interest)^debt_period)/((1+debt_interest)^debt_period-1))*(-'Cash Flow Analysis'!G84),IF(G32=0,"",D32))))</f>
        <v>2286735.9984248434</v>
      </c>
      <c r="E33" s="1087">
        <f t="shared" ca="1" si="0"/>
        <v>2286735.9984248434</v>
      </c>
      <c r="F33" s="1087">
        <f t="shared" si="2"/>
        <v>0</v>
      </c>
      <c r="G33" s="1563">
        <f t="shared" ca="1" si="1"/>
        <v>61803675.633103885</v>
      </c>
    </row>
    <row r="34" spans="1:7" s="53" customFormat="1" ht="15" customHeight="1" x14ac:dyDescent="0.25">
      <c r="A34" s="1084">
        <f>'Cash Flow Analysis'!B85</f>
        <v>21</v>
      </c>
      <c r="B34" s="1562">
        <f>IF(B33="","",IF('Cash Flow Analysis'!$B$31=0,"N/A",IF(A34=1,1,IF(A33=debt_period,"",B33+1))))</f>
        <v>21</v>
      </c>
      <c r="C34" s="1087">
        <f ca="1">IF(OR(A34="",B34="",B34="N/A"),"",IF(B34=1,-'Cash Flow Analysis'!G85,IF(B34="N/A",0,G33)))</f>
        <v>61803675.633103885</v>
      </c>
      <c r="D34" s="1087">
        <f ca="1">IF(debt_period=0,
E34+F34,
IF(OR(A34="",B34="",B34="N/A"),"",IF(B34=1,((debt_interest*(1+debt_interest)^debt_period)/((1+debt_interest)^debt_period-1))*(-'Cash Flow Analysis'!G85),IF(G33=0,"",D33))))</f>
        <v>2286735.9984248434</v>
      </c>
      <c r="E34" s="1087">
        <f t="shared" ca="1" si="0"/>
        <v>2286735.9984248434</v>
      </c>
      <c r="F34" s="1087">
        <f t="shared" si="2"/>
        <v>0</v>
      </c>
      <c r="G34" s="1563">
        <f t="shared" ca="1" si="1"/>
        <v>61803675.633103885</v>
      </c>
    </row>
    <row r="35" spans="1:7" s="53" customFormat="1" ht="15" customHeight="1" x14ac:dyDescent="0.25">
      <c r="A35" s="1084">
        <f>'Cash Flow Analysis'!B86</f>
        <v>22</v>
      </c>
      <c r="B35" s="1562">
        <f>IF(B34="","",IF('Cash Flow Analysis'!$B$31=0,"N/A",IF(A35=1,1,IF(A34=debt_period,"",B34+1))))</f>
        <v>22</v>
      </c>
      <c r="C35" s="1087">
        <f ca="1">IF(OR(A35="",B35="",B35="N/A"),"",IF(B35=1,-'Cash Flow Analysis'!G86,IF(B35="N/A",0,G34)))</f>
        <v>61803675.633103885</v>
      </c>
      <c r="D35" s="1087">
        <f ca="1">IF(debt_period=0,
E35+F35,
IF(OR(A35="",B35="",B35="N/A"),"",IF(B35=1,((debt_interest*(1+debt_interest)^debt_period)/((1+debt_interest)^debt_period-1))*(-'Cash Flow Analysis'!G86),IF(G34=0,"",D34))))</f>
        <v>2286735.9984248434</v>
      </c>
      <c r="E35" s="1087">
        <f t="shared" ca="1" si="0"/>
        <v>2286735.9984248434</v>
      </c>
      <c r="F35" s="1087">
        <f t="shared" si="2"/>
        <v>0</v>
      </c>
      <c r="G35" s="1563">
        <f t="shared" ca="1" si="1"/>
        <v>61803675.633103885</v>
      </c>
    </row>
    <row r="36" spans="1:7" s="53" customFormat="1" ht="15" customHeight="1" x14ac:dyDescent="0.25">
      <c r="A36" s="1084">
        <f>'Cash Flow Analysis'!B87</f>
        <v>23</v>
      </c>
      <c r="B36" s="1562">
        <f>IF(B35="","",IF('Cash Flow Analysis'!$B$31=0,"N/A",IF(A36=1,1,IF(A35=debt_period,"",B35+1))))</f>
        <v>23</v>
      </c>
      <c r="C36" s="1087">
        <f ca="1">IF(OR(A36="",B36="",B36="N/A"),"",IF(B36=1,-'Cash Flow Analysis'!G87,IF(B36="N/A",0,G35)))</f>
        <v>61803675.633103885</v>
      </c>
      <c r="D36" s="1087">
        <f ca="1">IF(debt_period=0,
E36+F36,
IF(OR(A36="",B36="",B36="N/A"),"",IF(B36=1,((debt_interest*(1+debt_interest)^debt_period)/((1+debt_interest)^debt_period-1))*(-'Cash Flow Analysis'!G87),IF(G35=0,"",D35))))</f>
        <v>2286735.9984248434</v>
      </c>
      <c r="E36" s="1087">
        <f t="shared" ca="1" si="0"/>
        <v>2286735.9984248434</v>
      </c>
      <c r="F36" s="1087">
        <f t="shared" si="2"/>
        <v>0</v>
      </c>
      <c r="G36" s="1563">
        <f t="shared" ca="1" si="1"/>
        <v>61803675.633103885</v>
      </c>
    </row>
    <row r="37" spans="1:7" s="53" customFormat="1" ht="15" customHeight="1" x14ac:dyDescent="0.25">
      <c r="A37" s="1084">
        <f>'Cash Flow Analysis'!B88</f>
        <v>24</v>
      </c>
      <c r="B37" s="1562">
        <f>IF(B36="","",IF('Cash Flow Analysis'!$B$31=0,"N/A",IF(A37=1,1,IF(A36=debt_period,"",B36+1))))</f>
        <v>24</v>
      </c>
      <c r="C37" s="1087">
        <f ca="1">IF(OR(A37="",B37="",B37="N/A"),"",IF(B37=1,-'Cash Flow Analysis'!G88,IF(B37="N/A",0,G36)))</f>
        <v>61803675.633103885</v>
      </c>
      <c r="D37" s="1087">
        <f ca="1">IF(debt_period=0,
E37+F37,
IF(OR(A37="",B37="",B37="N/A"),"",IF(B37=1,((debt_interest*(1+debt_interest)^debt_period)/((1+debt_interest)^debt_period-1))*(-'Cash Flow Analysis'!G88),IF(G36=0,"",D36))))</f>
        <v>2286735.9984248434</v>
      </c>
      <c r="E37" s="1087">
        <f t="shared" ca="1" si="0"/>
        <v>2286735.9984248434</v>
      </c>
      <c r="F37" s="1087">
        <f t="shared" si="2"/>
        <v>0</v>
      </c>
      <c r="G37" s="1563">
        <f t="shared" ca="1" si="1"/>
        <v>61803675.633103885</v>
      </c>
    </row>
    <row r="38" spans="1:7" s="53" customFormat="1" ht="15" customHeight="1" x14ac:dyDescent="0.25">
      <c r="A38" s="1084">
        <f>'Cash Flow Analysis'!B89</f>
        <v>25</v>
      </c>
      <c r="B38" s="1562">
        <f>IF(B37="","",IF('Cash Flow Analysis'!$B$31=0,"N/A",IF(A38=1,1,IF(A37=debt_period,"",B37+1))))</f>
        <v>25</v>
      </c>
      <c r="C38" s="1087">
        <f ca="1">IF(OR(A38="",B38="",B38="N/A"),"",IF(B38=1,-'Cash Flow Analysis'!G89,IF(B38="N/A",0,G37)))</f>
        <v>61803675.633103885</v>
      </c>
      <c r="D38" s="1087">
        <f ca="1">IF(debt_period=0,
E38+F38,
IF(OR(A38="",B38="",B38="N/A"),"",IF(B38=1,((debt_interest*(1+debt_interest)^debt_period)/((1+debt_interest)^debt_period-1))*(-'Cash Flow Analysis'!G89),IF(G37=0,"",D37))))</f>
        <v>2286735.9984248434</v>
      </c>
      <c r="E38" s="1087">
        <f t="shared" ca="1" si="0"/>
        <v>2286735.9984248434</v>
      </c>
      <c r="F38" s="1087">
        <f t="shared" si="2"/>
        <v>0</v>
      </c>
      <c r="G38" s="1563">
        <f t="shared" ca="1" si="1"/>
        <v>61803675.633103885</v>
      </c>
    </row>
    <row r="39" spans="1:7" s="53" customFormat="1" ht="15" customHeight="1" x14ac:dyDescent="0.25">
      <c r="A39" s="1084">
        <f>'Cash Flow Analysis'!B90</f>
        <v>26</v>
      </c>
      <c r="B39" s="1562">
        <f>IF(B38="","",IF('Cash Flow Analysis'!$B$31=0,"N/A",IF(A39=1,1,IF(A38=debt_period,"",B38+1))))</f>
        <v>26</v>
      </c>
      <c r="C39" s="1087">
        <f ca="1">IF(OR(A39="",B39="",B39="N/A"),"",IF(B39=1,-'Cash Flow Analysis'!G90,IF(B39="N/A",0,G38)))</f>
        <v>61803675.633103885</v>
      </c>
      <c r="D39" s="1087">
        <f ca="1">IF(debt_period=0,
E39+F39,
IF(OR(A39="",B39="",B39="N/A"),"",IF(B39=1,((debt_interest*(1+debt_interest)^debt_period)/((1+debt_interest)^debt_period-1))*(-'Cash Flow Analysis'!G90),IF(G38=0,"",D38))))</f>
        <v>2286735.9984248434</v>
      </c>
      <c r="E39" s="1087">
        <f t="shared" ca="1" si="0"/>
        <v>2286735.9984248434</v>
      </c>
      <c r="F39" s="1087">
        <f t="shared" si="2"/>
        <v>0</v>
      </c>
      <c r="G39" s="1563">
        <f t="shared" ca="1" si="1"/>
        <v>61803675.633103885</v>
      </c>
    </row>
    <row r="40" spans="1:7" s="53" customFormat="1" ht="15" customHeight="1" x14ac:dyDescent="0.25">
      <c r="A40" s="1084">
        <f>'Cash Flow Analysis'!B91</f>
        <v>27</v>
      </c>
      <c r="B40" s="1562">
        <f>IF(B39="","",IF('Cash Flow Analysis'!$B$31=0,"N/A",IF(A40=1,1,IF(A39=debt_period,"",B39+1))))</f>
        <v>27</v>
      </c>
      <c r="C40" s="1087">
        <f ca="1">IF(OR(A40="",B40="",B40="N/A"),"",IF(B40=1,-'Cash Flow Analysis'!G91,IF(B40="N/A",0,G39)))</f>
        <v>61803675.633103885</v>
      </c>
      <c r="D40" s="1087">
        <f ca="1">IF(debt_period=0,
E40+F40,
IF(OR(A40="",B40="",B40="N/A"),"",IF(B40=1,((debt_interest*(1+debt_interest)^debt_period)/((1+debt_interest)^debt_period-1))*(-'Cash Flow Analysis'!G91),IF(G39=0,"",D39))))</f>
        <v>2286735.9984248434</v>
      </c>
      <c r="E40" s="1087">
        <f t="shared" ca="1" si="0"/>
        <v>2286735.9984248434</v>
      </c>
      <c r="F40" s="1087">
        <f t="shared" si="2"/>
        <v>0</v>
      </c>
      <c r="G40" s="1563">
        <f t="shared" ca="1" si="1"/>
        <v>61803675.633103885</v>
      </c>
    </row>
    <row r="41" spans="1:7" s="53" customFormat="1" ht="15" customHeight="1" x14ac:dyDescent="0.25">
      <c r="A41" s="1084">
        <f>'Cash Flow Analysis'!B92</f>
        <v>28</v>
      </c>
      <c r="B41" s="1562">
        <f>IF(B40="","",IF('Cash Flow Analysis'!$B$31=0,"N/A",IF(A41=1,1,IF(A40=debt_period,"",B40+1))))</f>
        <v>28</v>
      </c>
      <c r="C41" s="1087">
        <f ca="1">IF(OR(A41="",B41="",B41="N/A"),"",IF(B41=1,-'Cash Flow Analysis'!G92,IF(B41="N/A",0,G40)))</f>
        <v>61803675.633103885</v>
      </c>
      <c r="D41" s="1087">
        <f ca="1">IF(debt_period=0,
E41+F41,
IF(OR(A41="",B41="",B41="N/A"),"",IF(B41=1,((debt_interest*(1+debt_interest)^debt_period)/((1+debt_interest)^debt_period-1))*(-'Cash Flow Analysis'!G92),IF(G40=0,"",D40))))</f>
        <v>2286735.9984248434</v>
      </c>
      <c r="E41" s="1087">
        <f t="shared" ca="1" si="0"/>
        <v>2286735.9984248434</v>
      </c>
      <c r="F41" s="1087">
        <f t="shared" si="2"/>
        <v>0</v>
      </c>
      <c r="G41" s="1563">
        <f t="shared" ca="1" si="1"/>
        <v>61803675.633103885</v>
      </c>
    </row>
    <row r="42" spans="1:7" s="53" customFormat="1" ht="15" customHeight="1" x14ac:dyDescent="0.25">
      <c r="A42" s="1084">
        <f>'Cash Flow Analysis'!B93</f>
        <v>29</v>
      </c>
      <c r="B42" s="1562">
        <f>IF(B41="","",IF('Cash Flow Analysis'!$B$31=0,"N/A",IF(A42=1,1,IF(A41=debt_period,"",B41+1))))</f>
        <v>29</v>
      </c>
      <c r="C42" s="1087">
        <f ca="1">IF(OR(A42="",B42="",B42="N/A"),"",IF(B42=1,-'Cash Flow Analysis'!G93,IF(B42="N/A",0,G41)))</f>
        <v>61803675.633103885</v>
      </c>
      <c r="D42" s="1087">
        <f ca="1">IF(debt_period=0,
E42+F42,
IF(OR(A42="",B42="",B42="N/A"),"",IF(B42=1,((debt_interest*(1+debt_interest)^debt_period)/((1+debt_interest)^debt_period-1))*(-'Cash Flow Analysis'!G93),IF(G41=0,"",D41))))</f>
        <v>2286735.9984248434</v>
      </c>
      <c r="E42" s="1087">
        <f t="shared" ca="1" si="0"/>
        <v>2286735.9984248434</v>
      </c>
      <c r="F42" s="1087">
        <f t="shared" si="2"/>
        <v>0</v>
      </c>
      <c r="G42" s="1563">
        <f t="shared" ca="1" si="1"/>
        <v>61803675.633103885</v>
      </c>
    </row>
    <row r="43" spans="1:7" s="53" customFormat="1" ht="15" customHeight="1" x14ac:dyDescent="0.25">
      <c r="A43" s="1084">
        <f>'Cash Flow Analysis'!B94</f>
        <v>30</v>
      </c>
      <c r="B43" s="1562">
        <f>IF(B42="","",IF('Cash Flow Analysis'!$B$31=0,"N/A",IF(A43=1,1,IF(A42=debt_period,"",B42+1))))</f>
        <v>30</v>
      </c>
      <c r="C43" s="1087">
        <f ca="1">IF(OR(A43="",B43="",B43="N/A"),"",IF(B43=1,-'Cash Flow Analysis'!G94,IF(B43="N/A",0,G42)))</f>
        <v>61803675.633103885</v>
      </c>
      <c r="D43" s="1087">
        <f ca="1">IF(debt_period=0,
E43+F43,
IF(OR(A43="",B43="",B43="N/A"),"",IF(B43=1,((debt_interest*(1+debt_interest)^debt_period)/((1+debt_interest)^debt_period-1))*(-'Cash Flow Analysis'!G94),IF(G42=0,"",D42))))</f>
        <v>2286735.9984248434</v>
      </c>
      <c r="E43" s="1087">
        <f t="shared" ca="1" si="0"/>
        <v>2286735.9984248434</v>
      </c>
      <c r="F43" s="1087">
        <f t="shared" si="2"/>
        <v>0</v>
      </c>
      <c r="G43" s="1563">
        <f t="shared" ca="1" si="1"/>
        <v>61803675.633103885</v>
      </c>
    </row>
    <row r="44" spans="1:7" s="53" customFormat="1" ht="15" customHeight="1" x14ac:dyDescent="0.25">
      <c r="A44" s="1084">
        <f>'Cash Flow Analysis'!B95</f>
        <v>31</v>
      </c>
      <c r="B44" s="1562">
        <f>IF(B43="","",IF('Cash Flow Analysis'!$B$31=0,"N/A",IF(A44=1,1,IF(A43=debt_period,"",B43+1))))</f>
        <v>31</v>
      </c>
      <c r="C44" s="1087">
        <f ca="1">IF(OR(A44="",B44="",B44="N/A"),"",IF(B44=1,-'Cash Flow Analysis'!G95,IF(B44="N/A",0,G43)))</f>
        <v>61803675.633103885</v>
      </c>
      <c r="D44" s="1087">
        <f ca="1">IF(debt_period=0,
E44+F44,
IF(OR(A44="",B44="",B44="N/A"),"",IF(B44=1,((debt_interest*(1+debt_interest)^debt_period)/((1+debt_interest)^debt_period-1))*(-'Cash Flow Analysis'!G95),IF(G43=0,"",D43))))</f>
        <v>2286735.9984248434</v>
      </c>
      <c r="E44" s="1087">
        <f t="shared" ca="1" si="0"/>
        <v>2286735.9984248434</v>
      </c>
      <c r="F44" s="1087">
        <f t="shared" si="2"/>
        <v>0</v>
      </c>
      <c r="G44" s="1563">
        <f t="shared" ca="1" si="1"/>
        <v>61803675.633103885</v>
      </c>
    </row>
    <row r="45" spans="1:7" s="53" customFormat="1" ht="15" customHeight="1" x14ac:dyDescent="0.25">
      <c r="A45" s="1084">
        <f>'Cash Flow Analysis'!B96</f>
        <v>32</v>
      </c>
      <c r="B45" s="1562">
        <f>IF(B44="","",IF('Cash Flow Analysis'!$B$31=0,"N/A",IF(A45=1,1,IF(A44=debt_period,"",B44+1))))</f>
        <v>32</v>
      </c>
      <c r="C45" s="1087">
        <f ca="1">IF(OR(A45="",B45="",B45="N/A"),"",IF(B45=1,-'Cash Flow Analysis'!G96,IF(B45="N/A",0,G44)))</f>
        <v>61803675.633103885</v>
      </c>
      <c r="D45" s="1087">
        <f ca="1">IF(debt_period=0,
E45+F45,
IF(OR(A45="",B45="",B45="N/A"),"",IF(B45=1,((debt_interest*(1+debt_interest)^debt_period)/((1+debt_interest)^debt_period-1))*(-'Cash Flow Analysis'!G96),IF(G44=0,"",D44))))</f>
        <v>2286735.9984248434</v>
      </c>
      <c r="E45" s="1087">
        <f t="shared" ca="1" si="0"/>
        <v>2286735.9984248434</v>
      </c>
      <c r="F45" s="1087">
        <f t="shared" si="2"/>
        <v>0</v>
      </c>
      <c r="G45" s="1563">
        <f t="shared" ca="1" si="1"/>
        <v>61803675.633103885</v>
      </c>
    </row>
    <row r="46" spans="1:7" s="53" customFormat="1" ht="15" customHeight="1" x14ac:dyDescent="0.25">
      <c r="A46" s="1084">
        <f>'Cash Flow Analysis'!B97</f>
        <v>33</v>
      </c>
      <c r="B46" s="1562">
        <f>IF(B45="","",IF('Cash Flow Analysis'!$B$31=0,"N/A",IF(A46=1,1,IF(A45=debt_period,"",B45+1))))</f>
        <v>33</v>
      </c>
      <c r="C46" s="1087">
        <f ca="1">IF(OR(A46="",B46="",B46="N/A"),"",IF(B46=1,-'Cash Flow Analysis'!G97,IF(B46="N/A",0,G45)))</f>
        <v>61803675.633103885</v>
      </c>
      <c r="D46" s="1087">
        <f ca="1">IF(debt_period=0,
E46+F46,
IF(OR(A46="",B46="",B46="N/A"),"",IF(B46=1,((debt_interest*(1+debt_interest)^debt_period)/((1+debt_interest)^debt_period-1))*(-'Cash Flow Analysis'!G97),IF(G45=0,"",D45))))</f>
        <v>2286735.9984248434</v>
      </c>
      <c r="E46" s="1087">
        <f t="shared" ca="1" si="0"/>
        <v>2286735.9984248434</v>
      </c>
      <c r="F46" s="1087">
        <f t="shared" si="2"/>
        <v>0</v>
      </c>
      <c r="G46" s="1563">
        <f t="shared" ca="1" si="1"/>
        <v>61803675.633103885</v>
      </c>
    </row>
    <row r="47" spans="1:7" s="53" customFormat="1" ht="15" customHeight="1" x14ac:dyDescent="0.25">
      <c r="A47" s="1084">
        <f>'Cash Flow Analysis'!B98</f>
        <v>34</v>
      </c>
      <c r="B47" s="1562">
        <f>IF(B46="","",IF('Cash Flow Analysis'!$B$31=0,"N/A",IF(A47=1,1,IF(A46=debt_period,"",B46+1))))</f>
        <v>34</v>
      </c>
      <c r="C47" s="1087">
        <f ca="1">IF(OR(A47="",B47="",B47="N/A"),"",IF(B47=1,-'Cash Flow Analysis'!G98,IF(B47="N/A",0,G46)))</f>
        <v>61803675.633103885</v>
      </c>
      <c r="D47" s="1087">
        <f ca="1">IF(debt_period=0,
E47+F47,
IF(OR(A47="",B47="",B47="N/A"),"",IF(B47=1,((debt_interest*(1+debt_interest)^debt_period)/((1+debt_interest)^debt_period-1))*(-'Cash Flow Analysis'!G98),IF(G46=0,"",D46))))</f>
        <v>2286735.9984248434</v>
      </c>
      <c r="E47" s="1087">
        <f t="shared" ca="1" si="0"/>
        <v>2286735.9984248434</v>
      </c>
      <c r="F47" s="1087">
        <f t="shared" si="2"/>
        <v>0</v>
      </c>
      <c r="G47" s="1563">
        <f t="shared" ca="1" si="1"/>
        <v>61803675.633103885</v>
      </c>
    </row>
    <row r="48" spans="1:7" s="53" customFormat="1" ht="15" customHeight="1" x14ac:dyDescent="0.25">
      <c r="A48" s="1084">
        <f>'Cash Flow Analysis'!B99</f>
        <v>35</v>
      </c>
      <c r="B48" s="1562">
        <f>IF(B47="","",IF('Cash Flow Analysis'!$B$31=0,"N/A",IF(A48=1,1,IF(A47=debt_period,"",B47+1))))</f>
        <v>35</v>
      </c>
      <c r="C48" s="1087">
        <f ca="1">IF(OR(A48="",B48="",B48="N/A"),"",IF(B48=1,-'Cash Flow Analysis'!G99,IF(B48="N/A",0,G47)))</f>
        <v>61803675.633103885</v>
      </c>
      <c r="D48" s="1087">
        <f ca="1">IF(debt_period=0,
E48+F48,
IF(OR(A48="",B48="",B48="N/A"),"",IF(B48=1,((debt_interest*(1+debt_interest)^debt_period)/((1+debt_interest)^debt_period-1))*(-'Cash Flow Analysis'!G99),IF(G47=0,"",D47))))</f>
        <v>2286735.9984248434</v>
      </c>
      <c r="E48" s="1087">
        <f t="shared" ca="1" si="0"/>
        <v>2286735.9984248434</v>
      </c>
      <c r="F48" s="1087">
        <f t="shared" si="2"/>
        <v>0</v>
      </c>
      <c r="G48" s="1563">
        <f t="shared" ca="1" si="1"/>
        <v>61803675.633103885</v>
      </c>
    </row>
    <row r="49" spans="1:7" s="53" customFormat="1" ht="15" customHeight="1" x14ac:dyDescent="0.25">
      <c r="A49" s="1084">
        <f>'Cash Flow Analysis'!B100</f>
        <v>36</v>
      </c>
      <c r="B49" s="1562">
        <f>IF(B48="","",IF('Cash Flow Analysis'!$B$31=0,"N/A",IF(A49=1,1,IF(A48=debt_period,"",B48+1))))</f>
        <v>36</v>
      </c>
      <c r="C49" s="1087">
        <f ca="1">IF(OR(A49="",B49="",B49="N/A"),"",IF(B49=1,-'Cash Flow Analysis'!G100,IF(B49="N/A",0,G48)))</f>
        <v>61803675.633103885</v>
      </c>
      <c r="D49" s="1087">
        <f ca="1">IF(debt_period=0,
E49+F49,
IF(OR(A49="",B49="",B49="N/A"),"",IF(B49=1,((debt_interest*(1+debt_interest)^debt_period)/((1+debt_interest)^debt_period-1))*(-'Cash Flow Analysis'!G100),IF(G48=0,"",D48))))</f>
        <v>2286735.9984248434</v>
      </c>
      <c r="E49" s="1087">
        <f t="shared" ca="1" si="0"/>
        <v>2286735.9984248434</v>
      </c>
      <c r="F49" s="1087">
        <f t="shared" si="2"/>
        <v>0</v>
      </c>
      <c r="G49" s="1563">
        <f t="shared" ca="1" si="1"/>
        <v>61803675.633103885</v>
      </c>
    </row>
    <row r="50" spans="1:7" s="53" customFormat="1" ht="15" customHeight="1" x14ac:dyDescent="0.25">
      <c r="A50" s="1084">
        <f>'Cash Flow Analysis'!B101</f>
        <v>37</v>
      </c>
      <c r="B50" s="1562">
        <f>IF(B49="","",IF('Cash Flow Analysis'!$B$31=0,"N/A",IF(A50=1,1,IF(A49=debt_period,"",B49+1))))</f>
        <v>37</v>
      </c>
      <c r="C50" s="1087">
        <f ca="1">IF(OR(A50="",B50="",B50="N/A"),"",IF(B50=1,-'Cash Flow Analysis'!G101,IF(B50="N/A",0,G49)))</f>
        <v>61803675.633103885</v>
      </c>
      <c r="D50" s="1087">
        <f ca="1">IF(debt_period=0,
E50+F50,
IF(OR(A50="",B50="",B50="N/A"),"",IF(B50=1,((debt_interest*(1+debt_interest)^debt_period)/((1+debt_interest)^debt_period-1))*(-'Cash Flow Analysis'!G101),IF(G49=0,"",D49))))</f>
        <v>2286735.9984248434</v>
      </c>
      <c r="E50" s="1087">
        <f t="shared" ca="1" si="0"/>
        <v>2286735.9984248434</v>
      </c>
      <c r="F50" s="1087">
        <f t="shared" si="2"/>
        <v>0</v>
      </c>
      <c r="G50" s="1563">
        <f t="shared" ca="1" si="1"/>
        <v>61803675.633103885</v>
      </c>
    </row>
    <row r="51" spans="1:7" s="53" customFormat="1" ht="15" customHeight="1" x14ac:dyDescent="0.25">
      <c r="A51" s="1084">
        <f>'Cash Flow Analysis'!B102</f>
        <v>38</v>
      </c>
      <c r="B51" s="1562">
        <f>IF(B50="","",IF('Cash Flow Analysis'!$B$31=0,"N/A",IF(A51=1,1,IF(A50=debt_period,"",B50+1))))</f>
        <v>38</v>
      </c>
      <c r="C51" s="1087">
        <f ca="1">IF(OR(A51="",B51="",B51="N/A"),"",IF(B51=1,-'Cash Flow Analysis'!G102,IF(B51="N/A",0,G50)))</f>
        <v>61803675.633103885</v>
      </c>
      <c r="D51" s="1087">
        <f ca="1">IF(debt_period=0,
E51+F51,
IF(OR(A51="",B51="",B51="N/A"),"",IF(B51=1,((debt_interest*(1+debt_interest)^debt_period)/((1+debt_interest)^debt_period-1))*(-'Cash Flow Analysis'!G102),IF(G50=0,"",D50))))</f>
        <v>2286735.9984248434</v>
      </c>
      <c r="E51" s="1087">
        <f t="shared" ca="1" si="0"/>
        <v>2286735.9984248434</v>
      </c>
      <c r="F51" s="1087">
        <f t="shared" si="2"/>
        <v>0</v>
      </c>
      <c r="G51" s="1563">
        <f t="shared" ca="1" si="1"/>
        <v>61803675.633103885</v>
      </c>
    </row>
    <row r="52" spans="1:7" s="53" customFormat="1" ht="15" customHeight="1" x14ac:dyDescent="0.25">
      <c r="A52" s="1084">
        <f>'Cash Flow Analysis'!B103</f>
        <v>39</v>
      </c>
      <c r="B52" s="1562">
        <f>IF(B51="","",IF('Cash Flow Analysis'!$B$31=0,"N/A",IF(A52=1,1,IF(A51=debt_period,"",B51+1))))</f>
        <v>39</v>
      </c>
      <c r="C52" s="1087">
        <f ca="1">IF(OR(A52="",B52="",B52="N/A"),"",IF(B52=1,-'Cash Flow Analysis'!G103,IF(B52="N/A",0,G51)))</f>
        <v>61803675.633103885</v>
      </c>
      <c r="D52" s="1087">
        <f ca="1">IF(debt_period=0,
E52+F52,
IF(OR(A52="",B52="",B52="N/A"),"",IF(B52=1,((debt_interest*(1+debt_interest)^debt_period)/((1+debt_interest)^debt_period-1))*(-'Cash Flow Analysis'!G103),IF(G51=0,"",D51))))</f>
        <v>2286735.9984248434</v>
      </c>
      <c r="E52" s="1087">
        <f t="shared" ca="1" si="0"/>
        <v>2286735.9984248434</v>
      </c>
      <c r="F52" s="1087">
        <f t="shared" si="2"/>
        <v>0</v>
      </c>
      <c r="G52" s="1563">
        <f t="shared" ca="1" si="1"/>
        <v>61803675.633103885</v>
      </c>
    </row>
    <row r="53" spans="1:7" s="53" customFormat="1" ht="15" customHeight="1" x14ac:dyDescent="0.25">
      <c r="A53" s="1084">
        <f>'Cash Flow Analysis'!B104</f>
        <v>40</v>
      </c>
      <c r="B53" s="1562">
        <f>IF(B52="","",IF('Cash Flow Analysis'!$B$31=0,"N/A",IF(A53=1,1,IF(A52=debt_period,"",B52+1))))</f>
        <v>40</v>
      </c>
      <c r="C53" s="1087">
        <f ca="1">IF(OR(A53="",B53="",B53="N/A"),"",IF(B53=1,-'Cash Flow Analysis'!G104,IF(B53="N/A",0,G52)))</f>
        <v>61803675.633103885</v>
      </c>
      <c r="D53" s="1087">
        <f ca="1">IF(debt_period=0,
E53+F53,
IF(OR(A53="",B53="",B53="N/A"),"",IF(B53=1,((debt_interest*(1+debt_interest)^debt_period)/((1+debt_interest)^debt_period-1))*(-'Cash Flow Analysis'!G104),IF(G52=0,"",D52))))</f>
        <v>2286735.9984248434</v>
      </c>
      <c r="E53" s="1087">
        <f t="shared" ca="1" si="0"/>
        <v>2286735.9984248434</v>
      </c>
      <c r="F53" s="1087">
        <f t="shared" si="2"/>
        <v>0</v>
      </c>
      <c r="G53" s="1563">
        <f t="shared" ca="1" si="1"/>
        <v>61803675.633103885</v>
      </c>
    </row>
    <row r="54" spans="1:7" s="53" customFormat="1" ht="15" customHeight="1" x14ac:dyDescent="0.25">
      <c r="A54" s="1084">
        <f>'Cash Flow Analysis'!B105</f>
        <v>41</v>
      </c>
      <c r="B54" s="1562">
        <f>IF(B53="","",IF('Cash Flow Analysis'!$B$31=0,"N/A",IF(A54=1,1,IF(A53=debt_period,"",B53+1))))</f>
        <v>41</v>
      </c>
      <c r="C54" s="1087">
        <f ca="1">IF(OR(A54="",B54="",B54="N/A"),"",IF(B54=1,-'Cash Flow Analysis'!G105,IF(B54="N/A",0,G53)))</f>
        <v>61803675.633103885</v>
      </c>
      <c r="D54" s="1087">
        <f ca="1">IF(debt_period=0,
E54+F54,
IF(OR(A54="",B54="",B54="N/A"),"",IF(B54=1,((debt_interest*(1+debt_interest)^debt_period)/((1+debt_interest)^debt_period-1))*(-'Cash Flow Analysis'!G105),IF(G53=0,"",D53))))</f>
        <v>64090411.631528728</v>
      </c>
      <c r="E54" s="1087">
        <f t="shared" ca="1" si="0"/>
        <v>2286735.9984248434</v>
      </c>
      <c r="F54" s="1087">
        <f t="shared" ca="1" si="2"/>
        <v>61803675.633103885</v>
      </c>
      <c r="G54" s="1563">
        <f t="shared" ca="1" si="1"/>
        <v>0</v>
      </c>
    </row>
    <row r="55" spans="1:7" s="53" customFormat="1" ht="15" customHeight="1" x14ac:dyDescent="0.25">
      <c r="A55" s="1084" t="str">
        <f>'Cash Flow Analysis'!B106</f>
        <v/>
      </c>
      <c r="B55" s="1562">
        <f>IF(B54="","",IF('Cash Flow Analysis'!$B$31=0,"N/A",IF(A55=1,1,IF(A54=debt_period,"",B54+1))))</f>
        <v>42</v>
      </c>
      <c r="C55" s="1087" t="str">
        <f>IF(OR(A55="",B55="",B55="N/A"),"",IF(B55=1,-'Cash Flow Analysis'!G106,IF(B55="N/A",0,G54)))</f>
        <v/>
      </c>
      <c r="D55" s="1087" t="e">
        <f>IF(debt_period=0,
E55+F55,
IF(OR(A55="",B55="",B55="N/A"),"",IF(B55=1,((debt_interest*(1+debt_interest)^debt_period)/((1+debt_interest)^debt_period-1))*(-'Cash Flow Analysis'!G106),IF(G54=0,"",D54))))</f>
        <v>#VALUE!</v>
      </c>
      <c r="E55" s="1087" t="str">
        <f t="shared" si="0"/>
        <v/>
      </c>
      <c r="F55" s="1087">
        <f t="shared" si="2"/>
        <v>0</v>
      </c>
      <c r="G55" s="1563" t="str">
        <f t="shared" si="1"/>
        <v/>
      </c>
    </row>
    <row r="56" spans="1:7" s="53" customFormat="1" ht="15" customHeight="1" x14ac:dyDescent="0.25">
      <c r="A56" s="1084" t="str">
        <f>'Cash Flow Analysis'!B107</f>
        <v/>
      </c>
      <c r="B56" s="1562">
        <f>IF(B55="","",IF('Cash Flow Analysis'!$B$31=0,"N/A",IF(A56=1,1,IF(A55=debt_period,"",B55+1))))</f>
        <v>43</v>
      </c>
      <c r="C56" s="1087" t="str">
        <f>IF(OR(A56="",B56="",B56="N/A"),"",IF(B56=1,-'Cash Flow Analysis'!G107,IF(B56="N/A",0,G55)))</f>
        <v/>
      </c>
      <c r="D56" s="1087" t="e">
        <f>IF(debt_period=0,
E56+F56,
IF(OR(A56="",B56="",B56="N/A"),"",IF(B56=1,((debt_interest*(1+debt_interest)^debt_period)/((1+debt_interest)^debt_period-1))*(-'Cash Flow Analysis'!G107),IF(G55=0,"",D55))))</f>
        <v>#VALUE!</v>
      </c>
      <c r="E56" s="1087" t="str">
        <f t="shared" si="0"/>
        <v/>
      </c>
      <c r="F56" s="1087">
        <f t="shared" si="2"/>
        <v>0</v>
      </c>
      <c r="G56" s="1563" t="str">
        <f t="shared" si="1"/>
        <v/>
      </c>
    </row>
    <row r="57" spans="1:7" s="53" customFormat="1" ht="15" customHeight="1" thickBot="1" x14ac:dyDescent="0.3">
      <c r="A57" s="1564" t="str">
        <f>'Cash Flow Analysis'!B108</f>
        <v/>
      </c>
      <c r="B57" s="1565">
        <f>IF(B56="","",IF('Cash Flow Analysis'!$B$31=0,"N/A",IF(A57=1,1,IF(A56=debt_period,"",B56+1))))</f>
        <v>44</v>
      </c>
      <c r="C57" s="1566" t="str">
        <f>IF(OR(A57="",B57="",B57="N/A"),"",IF(B57=1,-'Cash Flow Analysis'!G108,IF(B57="N/A",0,G56)))</f>
        <v/>
      </c>
      <c r="D57" s="1566" t="str">
        <f>IF(F57=0,E57,
IF(OR(A57="",B57="",B57="N/A"),"",IF(B57=1,((debt_interest*(1+debt_interest)^debt_period)/((1+debt_interest)^debt_period-1))*(-'Cash Flow Analysis'!G108),IF(G56=0,"",D56))))</f>
        <v/>
      </c>
      <c r="E57" s="1566" t="str">
        <f t="shared" si="0"/>
        <v/>
      </c>
      <c r="F57" s="1566">
        <f t="shared" si="2"/>
        <v>0</v>
      </c>
      <c r="G57" s="1567"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761" t="s">
        <v>49</v>
      </c>
      <c r="D13" s="1761"/>
      <c r="E13" s="1761"/>
      <c r="F13" s="1761"/>
      <c r="G13" s="1761"/>
      <c r="H13" s="1762"/>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103006126.05517314</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-1</v>
      </c>
      <c r="B49" s="1081">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1</v>
      </c>
      <c r="B50" s="1082">
        <f ca="1">IF(A50="","",IF(A50&lt;1,0,IF(A50=1,$B$44-'Cash Flow Analysis'!I66,-'Cash Flow Analysis'!I66)))</f>
        <v>103530942.26742426</v>
      </c>
      <c r="C50" s="108">
        <f t="shared" ref="C50:W50" ca="1" si="4">IF($B$50="","",IF(AND($B$42="Straight Line",C48&lt;=depr_length),$B$50/depr_length,IF(AND($B$42="MACRS",C48&lt;=depr_length+1),$B$50*INDEX(MACRS_Table,MATCH(C48,recovery_year,0),MATCH($B$43,recovery_period,0)),"")))</f>
        <v>3882410.3350284095</v>
      </c>
      <c r="D50" s="109">
        <f t="shared" ca="1" si="4"/>
        <v>7473898.7222853573</v>
      </c>
      <c r="E50" s="109">
        <f t="shared" ca="1" si="4"/>
        <v>6912761.0151959173</v>
      </c>
      <c r="F50" s="109">
        <f t="shared" ca="1" si="4"/>
        <v>6395106.3038587961</v>
      </c>
      <c r="G50" s="109">
        <f t="shared" ca="1" si="4"/>
        <v>5914722.731737948</v>
      </c>
      <c r="H50" s="109">
        <f t="shared" ca="1" si="4"/>
        <v>5471610.2988333721</v>
      </c>
      <c r="I50" s="109">
        <f t="shared" ca="1" si="4"/>
        <v>5060592.4580316972</v>
      </c>
      <c r="J50" s="109">
        <f t="shared" ca="1" si="4"/>
        <v>4681669.2093329253</v>
      </c>
      <c r="K50" s="109">
        <f t="shared" ca="1" si="4"/>
        <v>4619550.6439724704</v>
      </c>
      <c r="L50" s="109">
        <f t="shared" ca="1" si="4"/>
        <v>4618515.3345497958</v>
      </c>
      <c r="M50" s="109">
        <f t="shared" ca="1" si="4"/>
        <v>4619550.6439724704</v>
      </c>
      <c r="N50" s="109">
        <f t="shared" ca="1" si="4"/>
        <v>4618515.3345497958</v>
      </c>
      <c r="O50" s="109">
        <f t="shared" ca="1" si="4"/>
        <v>4619550.6439724704</v>
      </c>
      <c r="P50" s="109">
        <f t="shared" ca="1" si="4"/>
        <v>4618515.3345497958</v>
      </c>
      <c r="Q50" s="109">
        <f t="shared" ca="1" si="4"/>
        <v>4619550.6439724704</v>
      </c>
      <c r="R50" s="109">
        <f t="shared" ca="1" si="4"/>
        <v>4618515.3345497958</v>
      </c>
      <c r="S50" s="109">
        <f t="shared" ca="1" si="4"/>
        <v>4619550.6439724704</v>
      </c>
      <c r="T50" s="109">
        <f t="shared" ca="1" si="4"/>
        <v>4618515.3345497958</v>
      </c>
      <c r="U50" s="109">
        <f t="shared" ca="1" si="4"/>
        <v>4619550.6439724704</v>
      </c>
      <c r="V50" s="109">
        <f t="shared" ca="1" si="4"/>
        <v>4618515.3345497958</v>
      </c>
      <c r="W50" s="110">
        <f t="shared" ca="1" si="4"/>
        <v>2309775.3219862352</v>
      </c>
      <c r="X50" s="107">
        <f t="shared" ca="1" si="3"/>
        <v>103530942.26742427</v>
      </c>
    </row>
    <row r="51" spans="1:24" ht="15" customHeight="1" x14ac:dyDescent="0.25">
      <c r="A51" s="75">
        <f>IF('Cash Flow Analysis'!C67="","",'Cash Flow Analysis'!C67)</f>
        <v>2</v>
      </c>
      <c r="B51" s="1082">
        <f ca="1">IF(A51="","",IF(A51&lt;1,0,IF(A51=1,$B$44-'Cash Flow Analysis'!I67,-'Cash Flow Analysis'!I67)))</f>
        <v>534787.72028387804</v>
      </c>
      <c r="C51" s="108">
        <f t="shared" ref="C51:W51" ca="1" si="5">IF($B$51="","",IF(AND($B$42="Straight Line",C48&lt;=depr_length),$B$51/depr_length,IF(AND($B$42="MACRS",C48&lt;=depr_length+1),$B$51*INDEX(MACRS_Table,MATCH(C48,recovery_year,0),MATCH($B$43,recovery_period,0)),"")))</f>
        <v>20054.539510645427</v>
      </c>
      <c r="D51" s="109">
        <f t="shared" ca="1" si="5"/>
        <v>38606.325527293156</v>
      </c>
      <c r="E51" s="109">
        <f t="shared" ca="1" si="5"/>
        <v>35707.776083354533</v>
      </c>
      <c r="F51" s="109">
        <f t="shared" ca="1" si="5"/>
        <v>33033.837481935145</v>
      </c>
      <c r="G51" s="109">
        <f t="shared" ca="1" si="5"/>
        <v>30552.422459817953</v>
      </c>
      <c r="H51" s="109">
        <f t="shared" ca="1" si="5"/>
        <v>28263.531017002955</v>
      </c>
      <c r="I51" s="109">
        <f t="shared" ca="1" si="5"/>
        <v>26140.423767475957</v>
      </c>
      <c r="J51" s="109">
        <f t="shared" ca="1" si="5"/>
        <v>24183.100711236966</v>
      </c>
      <c r="K51" s="109">
        <f t="shared" ca="1" si="5"/>
        <v>23862.228079066637</v>
      </c>
      <c r="L51" s="109">
        <f t="shared" ca="1" si="5"/>
        <v>23856.880201863798</v>
      </c>
      <c r="M51" s="109">
        <f t="shared" ca="1" si="5"/>
        <v>23862.228079066637</v>
      </c>
      <c r="N51" s="109">
        <f t="shared" ca="1" si="5"/>
        <v>23856.880201863798</v>
      </c>
      <c r="O51" s="109">
        <f t="shared" ca="1" si="5"/>
        <v>23862.228079066637</v>
      </c>
      <c r="P51" s="109">
        <f t="shared" ca="1" si="5"/>
        <v>23856.880201863798</v>
      </c>
      <c r="Q51" s="109">
        <f t="shared" ca="1" si="5"/>
        <v>23862.228079066637</v>
      </c>
      <c r="R51" s="109">
        <f t="shared" ca="1" si="5"/>
        <v>23856.880201863798</v>
      </c>
      <c r="S51" s="109">
        <f t="shared" ca="1" si="5"/>
        <v>23862.228079066637</v>
      </c>
      <c r="T51" s="109">
        <f t="shared" ca="1" si="5"/>
        <v>23856.880201863798</v>
      </c>
      <c r="U51" s="109">
        <f t="shared" ca="1" si="5"/>
        <v>23862.228079066637</v>
      </c>
      <c r="V51" s="109">
        <f t="shared" ca="1" si="5"/>
        <v>23856.880201863798</v>
      </c>
      <c r="W51" s="110">
        <f t="shared" ca="1" si="5"/>
        <v>11931.114039533319</v>
      </c>
      <c r="X51" s="107">
        <f t="shared" ca="1" si="3"/>
        <v>534787.72028387804</v>
      </c>
    </row>
    <row r="52" spans="1:24" ht="15" customHeight="1" x14ac:dyDescent="0.25">
      <c r="A52" s="75">
        <f>IF('Cash Flow Analysis'!C68="","",'Cash Flow Analysis'!C68)</f>
        <v>3</v>
      </c>
      <c r="B52" s="1082">
        <f ca="1">IF(A52="","",IF(A52&lt;1,0,IF(A52=1,$B$44-'Cash Flow Analysis'!I68,-'Cash Flow Analysis'!I68)))</f>
        <v>544948.68696927174</v>
      </c>
      <c r="C52" s="108">
        <f t="shared" ref="C52:W52" ca="1" si="6">IF($B$52="","",IF(AND($B$42="Straight Line",C48&lt;=depr_length),$B$52/depr_length,IF(AND($B$42="MACRS",C48&lt;=depr_length+1),$B$52*INDEX(MACRS_Table,MATCH(C48,recovery_year,0),MATCH($B$43,recovery_period,0)),"")))</f>
        <v>20435.575761347689</v>
      </c>
      <c r="D52" s="109">
        <f t="shared" ca="1" si="6"/>
        <v>39339.845712311726</v>
      </c>
      <c r="E52" s="109">
        <f t="shared" ca="1" si="6"/>
        <v>36386.223828938273</v>
      </c>
      <c r="F52" s="109">
        <f t="shared" ca="1" si="6"/>
        <v>33661.480394091916</v>
      </c>
      <c r="G52" s="109">
        <f t="shared" ca="1" si="6"/>
        <v>31132.918486554496</v>
      </c>
      <c r="H52" s="109">
        <f t="shared" ca="1" si="6"/>
        <v>28800.538106326014</v>
      </c>
      <c r="I52" s="109">
        <f t="shared" ca="1" si="6"/>
        <v>26637.091819058001</v>
      </c>
      <c r="J52" s="109">
        <f t="shared" ca="1" si="6"/>
        <v>24642.57962475047</v>
      </c>
      <c r="K52" s="109">
        <f t="shared" ca="1" si="6"/>
        <v>24315.610412568905</v>
      </c>
      <c r="L52" s="109">
        <f t="shared" ca="1" si="6"/>
        <v>24310.160925699212</v>
      </c>
      <c r="M52" s="109">
        <f t="shared" ca="1" si="6"/>
        <v>24315.610412568905</v>
      </c>
      <c r="N52" s="109">
        <f t="shared" ca="1" si="6"/>
        <v>24310.160925699212</v>
      </c>
      <c r="O52" s="109">
        <f t="shared" ca="1" si="6"/>
        <v>24315.610412568905</v>
      </c>
      <c r="P52" s="109">
        <f t="shared" ca="1" si="6"/>
        <v>24310.160925699212</v>
      </c>
      <c r="Q52" s="109">
        <f t="shared" ca="1" si="6"/>
        <v>24315.610412568905</v>
      </c>
      <c r="R52" s="109">
        <f t="shared" ca="1" si="6"/>
        <v>24310.160925699212</v>
      </c>
      <c r="S52" s="109">
        <f t="shared" ca="1" si="6"/>
        <v>24315.610412568905</v>
      </c>
      <c r="T52" s="109">
        <f t="shared" ca="1" si="6"/>
        <v>24310.160925699212</v>
      </c>
      <c r="U52" s="109">
        <f t="shared" ca="1" si="6"/>
        <v>24315.610412568905</v>
      </c>
      <c r="V52" s="109">
        <f t="shared" ca="1" si="6"/>
        <v>24310.160925699212</v>
      </c>
      <c r="W52" s="110">
        <f t="shared" ca="1" si="6"/>
        <v>12157.805206284453</v>
      </c>
      <c r="X52" s="107">
        <f t="shared" ca="1" si="3"/>
        <v>544948.68696927186</v>
      </c>
    </row>
    <row r="53" spans="1:24" ht="15" customHeight="1" x14ac:dyDescent="0.25">
      <c r="A53" s="75">
        <f>IF('Cash Flow Analysis'!C69="","",'Cash Flow Analysis'!C69)</f>
        <v>4</v>
      </c>
      <c r="B53" s="1082">
        <f ca="1">IF(A53="","",IF(A53&lt;1,0,IF(A53=1,$B$44-'Cash Flow Analysis'!I69,-'Cash Flow Analysis'!I69)))</f>
        <v>555302.71202168788</v>
      </c>
      <c r="C53" s="108">
        <f t="shared" ref="C53:W53" ca="1" si="7">IF($B$53="","",IF(AND($B$42="Straight Line",C48&lt;=depr_length),$B$53/depr_length,IF(AND($B$42="MACRS",C48&lt;=depr_length+1),$B$53*INDEX(MACRS_Table,MATCH(C48,recovery_year,0),MATCH($B$43,recovery_period,0)),"")))</f>
        <v>20823.851700813295</v>
      </c>
      <c r="D53" s="109">
        <f t="shared" ca="1" si="7"/>
        <v>40087.302780845654</v>
      </c>
      <c r="E53" s="109">
        <f t="shared" ca="1" si="7"/>
        <v>37077.562081688098</v>
      </c>
      <c r="F53" s="109">
        <f t="shared" ca="1" si="7"/>
        <v>34301.048521579658</v>
      </c>
      <c r="G53" s="109">
        <f t="shared" ca="1" si="7"/>
        <v>31724.443937799027</v>
      </c>
      <c r="H53" s="109">
        <f t="shared" ca="1" si="7"/>
        <v>29347.748330346207</v>
      </c>
      <c r="I53" s="109">
        <f t="shared" ca="1" si="7"/>
        <v>27143.196563620102</v>
      </c>
      <c r="J53" s="109">
        <f t="shared" ca="1" si="7"/>
        <v>25110.788637620728</v>
      </c>
      <c r="K53" s="109">
        <f t="shared" ca="1" si="7"/>
        <v>24777.607010407712</v>
      </c>
      <c r="L53" s="109">
        <f t="shared" ca="1" si="7"/>
        <v>24772.053983287497</v>
      </c>
      <c r="M53" s="109">
        <f t="shared" ca="1" si="7"/>
        <v>24777.607010407712</v>
      </c>
      <c r="N53" s="109">
        <f t="shared" ca="1" si="7"/>
        <v>24772.053983287497</v>
      </c>
      <c r="O53" s="109">
        <f t="shared" ca="1" si="7"/>
        <v>24777.607010407712</v>
      </c>
      <c r="P53" s="109">
        <f t="shared" ca="1" si="7"/>
        <v>24772.053983287497</v>
      </c>
      <c r="Q53" s="109">
        <f t="shared" ca="1" si="7"/>
        <v>24777.607010407712</v>
      </c>
      <c r="R53" s="109">
        <f t="shared" ca="1" si="7"/>
        <v>24772.053983287497</v>
      </c>
      <c r="S53" s="109">
        <f t="shared" ca="1" si="7"/>
        <v>24777.607010407712</v>
      </c>
      <c r="T53" s="109">
        <f t="shared" ca="1" si="7"/>
        <v>24772.053983287497</v>
      </c>
      <c r="U53" s="109">
        <f t="shared" ca="1" si="7"/>
        <v>24777.607010407712</v>
      </c>
      <c r="V53" s="109">
        <f t="shared" ca="1" si="7"/>
        <v>24772.053983287497</v>
      </c>
      <c r="W53" s="110">
        <f t="shared" ca="1" si="7"/>
        <v>12388.803505203856</v>
      </c>
      <c r="X53" s="107">
        <f t="shared" ca="1" si="3"/>
        <v>555302.71202168777</v>
      </c>
    </row>
    <row r="54" spans="1:24" ht="15" customHeight="1" x14ac:dyDescent="0.25">
      <c r="A54" s="75">
        <f>IF('Cash Flow Analysis'!C70="","",'Cash Flow Analysis'!C70)</f>
        <v>5</v>
      </c>
      <c r="B54" s="1082">
        <f ca="1">IF(A54="","",IF(A54&lt;1,0,IF(A54=1,$B$44-'Cash Flow Analysis'!I70,-'Cash Flow Analysis'!I70)))</f>
        <v>565853.46355009999</v>
      </c>
      <c r="C54" s="108">
        <f t="shared" ref="C54:W54" ca="1" si="8">IF($B$54="","",IF(AND($B$42="Straight Line",C48&lt;=depr_length),$B$54/depr_length,IF(AND($B$42="MACRS",C48&lt;=depr_length+1),$B$54*INDEX(MACRS_Table,MATCH(C48,recovery_year,0),MATCH($B$43,recovery_period,0)),"")))</f>
        <v>21219.504883128749</v>
      </c>
      <c r="D54" s="109">
        <f t="shared" ca="1" si="8"/>
        <v>40848.961533681722</v>
      </c>
      <c r="E54" s="109">
        <f t="shared" ca="1" si="8"/>
        <v>37782.035761240171</v>
      </c>
      <c r="F54" s="109">
        <f t="shared" ca="1" si="8"/>
        <v>34952.768443489673</v>
      </c>
      <c r="G54" s="109">
        <f t="shared" ca="1" si="8"/>
        <v>32327.208372617213</v>
      </c>
      <c r="H54" s="109">
        <f t="shared" ca="1" si="8"/>
        <v>29905.355548622785</v>
      </c>
      <c r="I54" s="109">
        <f t="shared" ca="1" si="8"/>
        <v>27658.917298328888</v>
      </c>
      <c r="J54" s="109">
        <f t="shared" ca="1" si="8"/>
        <v>25587.893621735522</v>
      </c>
      <c r="K54" s="109">
        <f t="shared" ca="1" si="8"/>
        <v>25248.381543605461</v>
      </c>
      <c r="L54" s="109">
        <f t="shared" ca="1" si="8"/>
        <v>25242.723008969959</v>
      </c>
      <c r="M54" s="109">
        <f t="shared" ca="1" si="8"/>
        <v>25248.381543605461</v>
      </c>
      <c r="N54" s="109">
        <f t="shared" ca="1" si="8"/>
        <v>25242.723008969959</v>
      </c>
      <c r="O54" s="109">
        <f t="shared" ca="1" si="8"/>
        <v>25248.381543605461</v>
      </c>
      <c r="P54" s="109">
        <f t="shared" ca="1" si="8"/>
        <v>25242.723008969959</v>
      </c>
      <c r="Q54" s="109">
        <f t="shared" ca="1" si="8"/>
        <v>25248.381543605461</v>
      </c>
      <c r="R54" s="109">
        <f t="shared" ca="1" si="8"/>
        <v>25242.723008969959</v>
      </c>
      <c r="S54" s="109">
        <f t="shared" ca="1" si="8"/>
        <v>25248.381543605461</v>
      </c>
      <c r="T54" s="109">
        <f t="shared" ca="1" si="8"/>
        <v>25242.723008969959</v>
      </c>
      <c r="U54" s="109">
        <f t="shared" ca="1" si="8"/>
        <v>25248.381543605461</v>
      </c>
      <c r="V54" s="109">
        <f t="shared" ca="1" si="8"/>
        <v>25242.723008969959</v>
      </c>
      <c r="W54" s="110">
        <f t="shared" ca="1" si="8"/>
        <v>12624.190771802731</v>
      </c>
      <c r="X54" s="107">
        <f t="shared" ca="1" si="3"/>
        <v>565853.46355009999</v>
      </c>
    </row>
    <row r="55" spans="1:24" ht="15" customHeight="1" x14ac:dyDescent="0.25">
      <c r="A55" s="75">
        <f>IF('Cash Flow Analysis'!C71="","",'Cash Flow Analysis'!C71)</f>
        <v>6</v>
      </c>
      <c r="B55" s="1082">
        <f ca="1">IF(A55="","",IF(A55&lt;1,0,IF(A55=1,$B$44-'Cash Flow Analysis'!I71,-'Cash Flow Analysis'!I71)))</f>
        <v>576604.67935755174</v>
      </c>
      <c r="C55" s="108">
        <f t="shared" ref="C55:W55" ca="1" si="9">IF($B$55="","",IF(AND($B$42="Straight Line",C48&lt;=depr_length),$B$55/depr_length,IF(AND($B$42="MACRS",C48&lt;=depr_length+1),$B$55*INDEX(MACRS_Table,MATCH(C48,recovery_year,0),MATCH($B$43,recovery_period,0)),"")))</f>
        <v>21622.675475908189</v>
      </c>
      <c r="D55" s="109">
        <f t="shared" ca="1" si="9"/>
        <v>41625.091802821662</v>
      </c>
      <c r="E55" s="109">
        <f t="shared" ca="1" si="9"/>
        <v>38499.894440703727</v>
      </c>
      <c r="F55" s="109">
        <f t="shared" ca="1" si="9"/>
        <v>35616.871043915969</v>
      </c>
      <c r="G55" s="109">
        <f t="shared" ca="1" si="9"/>
        <v>32941.425331696933</v>
      </c>
      <c r="H55" s="109">
        <f t="shared" ca="1" si="9"/>
        <v>30473.557304046612</v>
      </c>
      <c r="I55" s="109">
        <f t="shared" ca="1" si="9"/>
        <v>28184.43672699713</v>
      </c>
      <c r="J55" s="109">
        <f t="shared" ca="1" si="9"/>
        <v>26074.063600548492</v>
      </c>
      <c r="K55" s="109">
        <f t="shared" ca="1" si="9"/>
        <v>25728.100792933958</v>
      </c>
      <c r="L55" s="109">
        <f t="shared" ca="1" si="9"/>
        <v>25722.334746140383</v>
      </c>
      <c r="M55" s="109">
        <f t="shared" ca="1" si="9"/>
        <v>25728.100792933958</v>
      </c>
      <c r="N55" s="109">
        <f t="shared" ca="1" si="9"/>
        <v>25722.334746140383</v>
      </c>
      <c r="O55" s="109">
        <f t="shared" ca="1" si="9"/>
        <v>25728.100792933958</v>
      </c>
      <c r="P55" s="109">
        <f t="shared" ca="1" si="9"/>
        <v>25722.334746140383</v>
      </c>
      <c r="Q55" s="109">
        <f t="shared" ca="1" si="9"/>
        <v>25728.100792933958</v>
      </c>
      <c r="R55" s="109">
        <f t="shared" ca="1" si="9"/>
        <v>25722.334746140383</v>
      </c>
      <c r="S55" s="109">
        <f t="shared" ca="1" si="9"/>
        <v>25728.100792933958</v>
      </c>
      <c r="T55" s="109">
        <f t="shared" ca="1" si="9"/>
        <v>25722.334746140383</v>
      </c>
      <c r="U55" s="109">
        <f t="shared" ca="1" si="9"/>
        <v>25728.100792933958</v>
      </c>
      <c r="V55" s="109">
        <f t="shared" ca="1" si="9"/>
        <v>25722.334746140383</v>
      </c>
      <c r="W55" s="110">
        <f t="shared" ca="1" si="9"/>
        <v>12864.050396466979</v>
      </c>
      <c r="X55" s="107">
        <f t="shared" ca="1" si="3"/>
        <v>576604.67935755185</v>
      </c>
    </row>
    <row r="56" spans="1:24" ht="15" customHeight="1" x14ac:dyDescent="0.25">
      <c r="A56" s="75">
        <f>IF('Cash Flow Analysis'!C72="","",'Cash Flow Analysis'!C72)</f>
        <v>7</v>
      </c>
      <c r="B56" s="1082">
        <f ca="1">IF(A56="","",IF(A56&lt;1,0,IF(A56=1,$B$44-'Cash Flow Analysis'!I72,-'Cash Flow Analysis'!I72)))</f>
        <v>587560.16826534527</v>
      </c>
      <c r="C56" s="108">
        <f t="shared" ref="C56:W56" ca="1" si="10">IF($B$56="","",IF(AND($B$42="Straight Line",C48&lt;=depr_length),$B$56/depr_length,IF(AND($B$42="MACRS",C48&lt;=depr_length+1),$B$56*INDEX(MACRS_Table,MATCH(C48,recovery_year,0),MATCH($B$43,recovery_period,0)),"")))</f>
        <v>22033.506309950448</v>
      </c>
      <c r="D56" s="109">
        <f t="shared" ca="1" si="10"/>
        <v>42415.968547075281</v>
      </c>
      <c r="E56" s="109">
        <f t="shared" ca="1" si="10"/>
        <v>39231.392435077105</v>
      </c>
      <c r="F56" s="109">
        <f t="shared" ca="1" si="10"/>
        <v>36293.591593750374</v>
      </c>
      <c r="G56" s="109">
        <f t="shared" ca="1" si="10"/>
        <v>33567.312412999177</v>
      </c>
      <c r="H56" s="109">
        <f t="shared" ca="1" si="10"/>
        <v>31052.554892823497</v>
      </c>
      <c r="I56" s="109">
        <f t="shared" ca="1" si="10"/>
        <v>28719.941024810076</v>
      </c>
      <c r="J56" s="109">
        <f t="shared" ca="1" si="10"/>
        <v>26569.470808958915</v>
      </c>
      <c r="K56" s="109">
        <f t="shared" ca="1" si="10"/>
        <v>26216.934707999706</v>
      </c>
      <c r="L56" s="109">
        <f t="shared" ca="1" si="10"/>
        <v>26211.05910631705</v>
      </c>
      <c r="M56" s="109">
        <f t="shared" ca="1" si="10"/>
        <v>26216.934707999706</v>
      </c>
      <c r="N56" s="109">
        <f t="shared" ca="1" si="10"/>
        <v>26211.05910631705</v>
      </c>
      <c r="O56" s="109">
        <f t="shared" ca="1" si="10"/>
        <v>26216.934707999706</v>
      </c>
      <c r="P56" s="109">
        <f t="shared" ca="1" si="10"/>
        <v>26211.05910631705</v>
      </c>
      <c r="Q56" s="109">
        <f t="shared" ca="1" si="10"/>
        <v>26216.934707999706</v>
      </c>
      <c r="R56" s="109">
        <f t="shared" ca="1" si="10"/>
        <v>26211.05910631705</v>
      </c>
      <c r="S56" s="109">
        <f t="shared" ca="1" si="10"/>
        <v>26216.934707999706</v>
      </c>
      <c r="T56" s="109">
        <f t="shared" ca="1" si="10"/>
        <v>26211.05910631705</v>
      </c>
      <c r="U56" s="109">
        <f t="shared" ca="1" si="10"/>
        <v>26216.934707999706</v>
      </c>
      <c r="V56" s="109">
        <f t="shared" ca="1" si="10"/>
        <v>26211.05910631705</v>
      </c>
      <c r="W56" s="110">
        <f t="shared" ca="1" si="10"/>
        <v>13108.467353999853</v>
      </c>
      <c r="X56" s="107">
        <f t="shared" ca="1" si="3"/>
        <v>587560.16826534527</v>
      </c>
    </row>
    <row r="57" spans="1:24" ht="15" customHeight="1" x14ac:dyDescent="0.25">
      <c r="A57" s="75">
        <f>IF('Cash Flow Analysis'!C73="","",'Cash Flow Analysis'!C73)</f>
        <v>8</v>
      </c>
      <c r="B57" s="1082">
        <f ca="1">IF(A57="","",IF(A57&lt;1,0,IF(A57=1,$B$44-'Cash Flow Analysis'!I73,-'Cash Flow Analysis'!I73)))</f>
        <v>598723.81146238686</v>
      </c>
      <c r="C57" s="108">
        <f t="shared" ref="C57:W57" ca="1" si="11">IF($B$57="","",IF(AND($B$42="Straight Line",C48&lt;=depr_length),$B$57/depr_length,IF(AND($B$42="MACRS",C48&lt;=depr_length+1),$B$57*INDEX(MACRS_Table,MATCH(C48,recovery_year,0),MATCH($B$43,recovery_period,0)),"")))</f>
        <v>22452.142929839505</v>
      </c>
      <c r="D57" s="109">
        <f t="shared" ca="1" si="11"/>
        <v>43221.871949469707</v>
      </c>
      <c r="E57" s="109">
        <f t="shared" ca="1" si="11"/>
        <v>39976.788891343567</v>
      </c>
      <c r="F57" s="109">
        <f t="shared" ca="1" si="11"/>
        <v>36983.169834031636</v>
      </c>
      <c r="G57" s="109">
        <f t="shared" ca="1" si="11"/>
        <v>34205.091348846159</v>
      </c>
      <c r="H57" s="109">
        <f t="shared" ca="1" si="11"/>
        <v>31642.553435787147</v>
      </c>
      <c r="I57" s="109">
        <f t="shared" ca="1" si="11"/>
        <v>29265.61990428147</v>
      </c>
      <c r="J57" s="109">
        <f t="shared" ca="1" si="11"/>
        <v>27074.290754329137</v>
      </c>
      <c r="K57" s="109">
        <f t="shared" ca="1" si="11"/>
        <v>26715.056467451701</v>
      </c>
      <c r="L57" s="109">
        <f t="shared" ca="1" si="11"/>
        <v>26709.069229337078</v>
      </c>
      <c r="M57" s="109">
        <f t="shared" ca="1" si="11"/>
        <v>26715.056467451701</v>
      </c>
      <c r="N57" s="109">
        <f t="shared" ca="1" si="11"/>
        <v>26709.069229337078</v>
      </c>
      <c r="O57" s="109">
        <f t="shared" ca="1" si="11"/>
        <v>26715.056467451701</v>
      </c>
      <c r="P57" s="109">
        <f t="shared" ca="1" si="11"/>
        <v>26709.069229337078</v>
      </c>
      <c r="Q57" s="109">
        <f t="shared" ca="1" si="11"/>
        <v>26715.056467451701</v>
      </c>
      <c r="R57" s="109">
        <f t="shared" ca="1" si="11"/>
        <v>26709.069229337078</v>
      </c>
      <c r="S57" s="109">
        <f t="shared" ca="1" si="11"/>
        <v>26715.056467451701</v>
      </c>
      <c r="T57" s="109">
        <f t="shared" ca="1" si="11"/>
        <v>26709.069229337078</v>
      </c>
      <c r="U57" s="109">
        <f t="shared" ca="1" si="11"/>
        <v>26715.056467451701</v>
      </c>
      <c r="V57" s="109">
        <f t="shared" ca="1" si="11"/>
        <v>26709.069229337078</v>
      </c>
      <c r="W57" s="110">
        <f t="shared" ca="1" si="11"/>
        <v>13357.52823372585</v>
      </c>
      <c r="X57" s="107">
        <f t="shared" ca="1" si="3"/>
        <v>598723.81146238674</v>
      </c>
    </row>
    <row r="58" spans="1:24" ht="15" customHeight="1" x14ac:dyDescent="0.25">
      <c r="A58" s="75">
        <f>IF('Cash Flow Analysis'!C74="","",'Cash Flow Analysis'!C74)</f>
        <v>9</v>
      </c>
      <c r="B58" s="1082">
        <f ca="1">IF(A58="","",IF(A58&lt;1,0,IF(A58=1,$B$44-'Cash Flow Analysis'!I74,-'Cash Flow Analysis'!I74)))</f>
        <v>610099.56388017209</v>
      </c>
      <c r="C58" s="108">
        <f t="shared" ref="C58:W58" ca="1" si="12">IF($B$58="","",IF(AND($B$42="Straight Line",C48&lt;=depr_length),$B$58/depr_length,IF(AND($B$42="MACRS",C48&lt;=depr_length+1),$B$58*INDEX(MACRS_Table,MATCH(C48,recovery_year,0),MATCH($B$43,recovery_period,0)),"")))</f>
        <v>22878.733645506454</v>
      </c>
      <c r="D58" s="109">
        <f t="shared" ca="1" si="12"/>
        <v>44043.087516509629</v>
      </c>
      <c r="E58" s="109">
        <f t="shared" ca="1" si="12"/>
        <v>40736.347880279085</v>
      </c>
      <c r="F58" s="109">
        <f t="shared" ca="1" si="12"/>
        <v>37685.850060878227</v>
      </c>
      <c r="G58" s="109">
        <f t="shared" ca="1" si="12"/>
        <v>34854.988084474229</v>
      </c>
      <c r="H58" s="109">
        <f t="shared" ca="1" si="12"/>
        <v>32243.761951067096</v>
      </c>
      <c r="I58" s="109">
        <f t="shared" ca="1" si="12"/>
        <v>29821.666682462812</v>
      </c>
      <c r="J58" s="109">
        <f t="shared" ca="1" si="12"/>
        <v>27588.702278661385</v>
      </c>
      <c r="K58" s="109">
        <f t="shared" ca="1" si="12"/>
        <v>27222.64254033328</v>
      </c>
      <c r="L58" s="109">
        <f t="shared" ca="1" si="12"/>
        <v>27216.541544694475</v>
      </c>
      <c r="M58" s="109">
        <f t="shared" ca="1" si="12"/>
        <v>27222.64254033328</v>
      </c>
      <c r="N58" s="109">
        <f t="shared" ca="1" si="12"/>
        <v>27216.541544694475</v>
      </c>
      <c r="O58" s="109">
        <f t="shared" ca="1" si="12"/>
        <v>27222.64254033328</v>
      </c>
      <c r="P58" s="109">
        <f t="shared" ca="1" si="12"/>
        <v>27216.541544694475</v>
      </c>
      <c r="Q58" s="109">
        <f t="shared" ca="1" si="12"/>
        <v>27222.64254033328</v>
      </c>
      <c r="R58" s="109">
        <f t="shared" ca="1" si="12"/>
        <v>27216.541544694475</v>
      </c>
      <c r="S58" s="109">
        <f t="shared" ca="1" si="12"/>
        <v>27222.64254033328</v>
      </c>
      <c r="T58" s="109">
        <f t="shared" ca="1" si="12"/>
        <v>27216.541544694475</v>
      </c>
      <c r="U58" s="109">
        <f t="shared" ca="1" si="12"/>
        <v>27222.64254033328</v>
      </c>
      <c r="V58" s="109">
        <f t="shared" ca="1" si="12"/>
        <v>27216.541544694475</v>
      </c>
      <c r="W58" s="110">
        <f t="shared" ca="1" si="12"/>
        <v>13611.32127016664</v>
      </c>
      <c r="X58" s="107">
        <f t="shared" ca="1" si="3"/>
        <v>610099.56388017198</v>
      </c>
    </row>
    <row r="59" spans="1:24" ht="15" customHeight="1" x14ac:dyDescent="0.25">
      <c r="A59" s="75">
        <f>IF('Cash Flow Analysis'!C75="","",'Cash Flow Analysis'!C75)</f>
        <v>10</v>
      </c>
      <c r="B59" s="1082">
        <f ca="1">IF(A59="","",IF(A59&lt;1,0,IF(A59=1,$B$44-'Cash Flow Analysis'!I75,-'Cash Flow Analysis'!I75)))</f>
        <v>621691.4555938954</v>
      </c>
      <c r="C59" s="108">
        <f t="shared" ref="C59:W59" ca="1" si="13">IF($B$59="","",IF(AND($B$42="Straight Line",C48&lt;=depr_length),$B$59/depr_length,IF(AND($B$42="MACRS",C48&lt;=depr_length+1),$B$59*INDEX(MACRS_Table,MATCH(C48,recovery_year,0),MATCH($B$43,recovery_period,0)),"")))</f>
        <v>23313.429584771078</v>
      </c>
      <c r="D59" s="109">
        <f t="shared" ca="1" si="13"/>
        <v>44879.906179323312</v>
      </c>
      <c r="E59" s="109">
        <f t="shared" ca="1" si="13"/>
        <v>41510.338490004397</v>
      </c>
      <c r="F59" s="109">
        <f t="shared" ca="1" si="13"/>
        <v>38401.881212034918</v>
      </c>
      <c r="G59" s="109">
        <f t="shared" ca="1" si="13"/>
        <v>35517.232858079245</v>
      </c>
      <c r="H59" s="109">
        <f t="shared" ca="1" si="13"/>
        <v>32856.393428137373</v>
      </c>
      <c r="I59" s="109">
        <f t="shared" ca="1" si="13"/>
        <v>30388.278349429605</v>
      </c>
      <c r="J59" s="109">
        <f t="shared" ca="1" si="13"/>
        <v>28112.887621955953</v>
      </c>
      <c r="K59" s="109">
        <f t="shared" ca="1" si="13"/>
        <v>27739.872748599613</v>
      </c>
      <c r="L59" s="109">
        <f t="shared" ca="1" si="13"/>
        <v>27733.655834043671</v>
      </c>
      <c r="M59" s="109">
        <f t="shared" ca="1" si="13"/>
        <v>27739.872748599613</v>
      </c>
      <c r="N59" s="109">
        <f t="shared" ca="1" si="13"/>
        <v>27733.655834043671</v>
      </c>
      <c r="O59" s="109">
        <f t="shared" ca="1" si="13"/>
        <v>27739.872748599613</v>
      </c>
      <c r="P59" s="109">
        <f t="shared" ca="1" si="13"/>
        <v>27733.655834043671</v>
      </c>
      <c r="Q59" s="109">
        <f t="shared" ca="1" si="13"/>
        <v>27739.872748599613</v>
      </c>
      <c r="R59" s="109">
        <f t="shared" ca="1" si="13"/>
        <v>27733.655834043671</v>
      </c>
      <c r="S59" s="109">
        <f t="shared" ca="1" si="13"/>
        <v>27739.872748599613</v>
      </c>
      <c r="T59" s="109">
        <f t="shared" ca="1" si="13"/>
        <v>27733.655834043671</v>
      </c>
      <c r="U59" s="109">
        <f t="shared" ca="1" si="13"/>
        <v>27739.872748599613</v>
      </c>
      <c r="V59" s="109">
        <f t="shared" ca="1" si="13"/>
        <v>27733.655834043671</v>
      </c>
      <c r="W59" s="110">
        <f t="shared" ca="1" si="13"/>
        <v>13869.936374299807</v>
      </c>
      <c r="X59" s="107">
        <f t="shared" ca="1" si="3"/>
        <v>621691.4555938954</v>
      </c>
    </row>
    <row r="60" spans="1:24" ht="15" customHeight="1" x14ac:dyDescent="0.25">
      <c r="A60" s="75">
        <f>IF('Cash Flow Analysis'!C76="","",'Cash Flow Analysis'!C76)</f>
        <v>11</v>
      </c>
      <c r="B60" s="1082">
        <f ca="1">IF(A60="","",IF(A60&lt;1,0,IF(A60=1,$B$44-'Cash Flow Analysis'!I76,-'Cash Flow Analysis'!I76)))</f>
        <v>11493565.191824684</v>
      </c>
      <c r="C60" s="108">
        <f t="shared" ref="C60:W60" ca="1" si="14">IF($B$60="","",IF(AND($B$42="Straight Line",C48&lt;=depr_length),$B$60/depr_length,IF(AND($B$42="MACRS",C48&lt;=depr_length+1),$B$60*INDEX(MACRS_Table,MATCH(C48,recovery_year,0),MATCH($B$43,recovery_period,0)),"")))</f>
        <v>431008.69469342561</v>
      </c>
      <c r="D60" s="109">
        <f t="shared" ca="1" si="14"/>
        <v>829720.47119782399</v>
      </c>
      <c r="E60" s="109">
        <f t="shared" ca="1" si="14"/>
        <v>767425.34785813408</v>
      </c>
      <c r="F60" s="109">
        <f t="shared" ca="1" si="14"/>
        <v>709957.52189901075</v>
      </c>
      <c r="G60" s="109">
        <f t="shared" ca="1" si="14"/>
        <v>656627.37940894417</v>
      </c>
      <c r="H60" s="109">
        <f t="shared" ca="1" si="14"/>
        <v>607434.92038793454</v>
      </c>
      <c r="I60" s="109">
        <f t="shared" ca="1" si="14"/>
        <v>561805.46657639055</v>
      </c>
      <c r="J60" s="109">
        <f t="shared" ca="1" si="14"/>
        <v>519739.01797431224</v>
      </c>
      <c r="K60" s="109">
        <f t="shared" ca="1" si="14"/>
        <v>512842.8788592174</v>
      </c>
      <c r="L60" s="109">
        <f t="shared" ca="1" si="14"/>
        <v>512727.9432072991</v>
      </c>
      <c r="M60" s="109">
        <f t="shared" ca="1" si="14"/>
        <v>512842.8788592174</v>
      </c>
      <c r="N60" s="109">
        <f t="shared" ca="1" si="14"/>
        <v>512727.9432072991</v>
      </c>
      <c r="O60" s="109">
        <f t="shared" ca="1" si="14"/>
        <v>512842.8788592174</v>
      </c>
      <c r="P60" s="109">
        <f t="shared" ca="1" si="14"/>
        <v>512727.9432072991</v>
      </c>
      <c r="Q60" s="109">
        <f t="shared" ca="1" si="14"/>
        <v>512842.8788592174</v>
      </c>
      <c r="R60" s="109">
        <f t="shared" ca="1" si="14"/>
        <v>512727.9432072991</v>
      </c>
      <c r="S60" s="109">
        <f t="shared" ca="1" si="14"/>
        <v>512842.8788592174</v>
      </c>
      <c r="T60" s="109">
        <f t="shared" ca="1" si="14"/>
        <v>512727.9432072991</v>
      </c>
      <c r="U60" s="109">
        <f t="shared" ca="1" si="14"/>
        <v>512842.8788592174</v>
      </c>
      <c r="V60" s="109">
        <f t="shared" ca="1" si="14"/>
        <v>512727.9432072991</v>
      </c>
      <c r="W60" s="110">
        <f t="shared" ca="1" si="14"/>
        <v>256421.4394296087</v>
      </c>
      <c r="X60" s="107">
        <f t="shared" ca="1" si="3"/>
        <v>11493565.191824688</v>
      </c>
    </row>
    <row r="61" spans="1:24" ht="15" customHeight="1" x14ac:dyDescent="0.25">
      <c r="A61" s="75">
        <f>IF('Cash Flow Analysis'!C77="","",'Cash Flow Analysis'!C77)</f>
        <v>12</v>
      </c>
      <c r="B61" s="1082">
        <f ca="1">IF(A61="","",IF(A61&lt;1,0,IF(A61=1,$B$44-'Cash Flow Analysis'!I77,-'Cash Flow Analysis'!I77)))</f>
        <v>645540.16152193281</v>
      </c>
      <c r="C61" s="108">
        <f t="shared" ref="C61:W61" ca="1" si="15">IF($B$61="","",IF(AND($B$42="Straight Line",C48&lt;=depr_length),$B$61/depr_length,IF(AND($B$42="MACRS",C48&lt;=depr_length+1),$B$61*INDEX(MACRS_Table,MATCH(C48,recovery_year,0),MATCH($B$43,recovery_period,0)),"")))</f>
        <v>24207.756057072478</v>
      </c>
      <c r="D61" s="109">
        <f t="shared" ca="1" si="15"/>
        <v>46601.544260268332</v>
      </c>
      <c r="E61" s="109">
        <f t="shared" ca="1" si="15"/>
        <v>43102.716584819449</v>
      </c>
      <c r="F61" s="109">
        <f t="shared" ca="1" si="15"/>
        <v>39875.015777209788</v>
      </c>
      <c r="G61" s="109">
        <f t="shared" ca="1" si="15"/>
        <v>36879.709427748021</v>
      </c>
      <c r="H61" s="109">
        <f t="shared" ca="1" si="15"/>
        <v>34116.797536434147</v>
      </c>
      <c r="I61" s="109">
        <f t="shared" ca="1" si="15"/>
        <v>31554.003095192074</v>
      </c>
      <c r="J61" s="109">
        <f t="shared" ca="1" si="15"/>
        <v>29191.326104021802</v>
      </c>
      <c r="K61" s="109">
        <f t="shared" ca="1" si="15"/>
        <v>28804.00200710864</v>
      </c>
      <c r="L61" s="109">
        <f t="shared" ca="1" si="15"/>
        <v>28797.546605493422</v>
      </c>
      <c r="M61" s="109">
        <f t="shared" ca="1" si="15"/>
        <v>28804.00200710864</v>
      </c>
      <c r="N61" s="109">
        <f t="shared" ca="1" si="15"/>
        <v>28797.546605493422</v>
      </c>
      <c r="O61" s="109">
        <f t="shared" ca="1" si="15"/>
        <v>28804.00200710864</v>
      </c>
      <c r="P61" s="109">
        <f t="shared" ca="1" si="15"/>
        <v>28797.546605493422</v>
      </c>
      <c r="Q61" s="109">
        <f t="shared" ca="1" si="15"/>
        <v>28804.00200710864</v>
      </c>
      <c r="R61" s="109">
        <f t="shared" ca="1" si="15"/>
        <v>28797.546605493422</v>
      </c>
      <c r="S61" s="109">
        <f t="shared" ca="1" si="15"/>
        <v>28804.00200710864</v>
      </c>
      <c r="T61" s="109">
        <f t="shared" ca="1" si="15"/>
        <v>28797.546605493422</v>
      </c>
      <c r="U61" s="109">
        <f t="shared" ca="1" si="15"/>
        <v>28804.00200710864</v>
      </c>
      <c r="V61" s="109">
        <f t="shared" ca="1" si="15"/>
        <v>28797.546605493422</v>
      </c>
      <c r="W61" s="110">
        <f t="shared" ca="1" si="15"/>
        <v>14402.00100355432</v>
      </c>
      <c r="X61" s="107">
        <f t="shared" ca="1" si="3"/>
        <v>645540.16152193269</v>
      </c>
    </row>
    <row r="62" spans="1:24" ht="15" customHeight="1" x14ac:dyDescent="0.25">
      <c r="A62" s="75">
        <f>IF('Cash Flow Analysis'!C78="","",'Cash Flow Analysis'!C78)</f>
        <v>13</v>
      </c>
      <c r="B62" s="1082">
        <f ca="1">IF(A62="","",IF(A62&lt;1,0,IF(A62=1,$B$44-'Cash Flow Analysis'!I78,-'Cash Flow Analysis'!I78)))</f>
        <v>657805.42459084943</v>
      </c>
      <c r="C62" s="108">
        <f t="shared" ref="C62:W62" ca="1" si="16">IF($B$62="","",IF(AND($B$42="Straight Line",C48&lt;=depr_length),$B$62/depr_length,IF(AND($B$42="MACRS",C48&lt;=depr_length+1),$B$62*INDEX(MACRS_Table,MATCH(C48,recovery_year,0),MATCH($B$43,recovery_period,0)),"")))</f>
        <v>24667.703422156854</v>
      </c>
      <c r="D62" s="109">
        <f t="shared" ca="1" si="16"/>
        <v>47486.973601213424</v>
      </c>
      <c r="E62" s="109">
        <f t="shared" ca="1" si="16"/>
        <v>43921.668199931017</v>
      </c>
      <c r="F62" s="109">
        <f t="shared" ca="1" si="16"/>
        <v>40632.641076976768</v>
      </c>
      <c r="G62" s="109">
        <f t="shared" ca="1" si="16"/>
        <v>37580.423906875229</v>
      </c>
      <c r="H62" s="109">
        <f t="shared" ca="1" si="16"/>
        <v>34765.016689626391</v>
      </c>
      <c r="I62" s="109">
        <f t="shared" ca="1" si="16"/>
        <v>32153.52915400072</v>
      </c>
      <c r="J62" s="109">
        <f t="shared" ca="1" si="16"/>
        <v>29745.961299998213</v>
      </c>
      <c r="K62" s="109">
        <f t="shared" ca="1" si="16"/>
        <v>29351.2780452437</v>
      </c>
      <c r="L62" s="109">
        <f t="shared" ca="1" si="16"/>
        <v>29344.699990997789</v>
      </c>
      <c r="M62" s="109">
        <f t="shared" ca="1" si="16"/>
        <v>29351.2780452437</v>
      </c>
      <c r="N62" s="109">
        <f t="shared" ca="1" si="16"/>
        <v>29344.699990997789</v>
      </c>
      <c r="O62" s="109">
        <f t="shared" ca="1" si="16"/>
        <v>29351.2780452437</v>
      </c>
      <c r="P62" s="109">
        <f t="shared" ca="1" si="16"/>
        <v>29344.699990997789</v>
      </c>
      <c r="Q62" s="109">
        <f t="shared" ca="1" si="16"/>
        <v>29351.2780452437</v>
      </c>
      <c r="R62" s="109">
        <f t="shared" ca="1" si="16"/>
        <v>29344.699990997789</v>
      </c>
      <c r="S62" s="109">
        <f t="shared" ca="1" si="16"/>
        <v>29351.2780452437</v>
      </c>
      <c r="T62" s="109">
        <f t="shared" ca="1" si="16"/>
        <v>29344.699990997789</v>
      </c>
      <c r="U62" s="109">
        <f t="shared" ca="1" si="16"/>
        <v>29351.2780452437</v>
      </c>
      <c r="V62" s="109">
        <f t="shared" ca="1" si="16"/>
        <v>29344.699990997789</v>
      </c>
      <c r="W62" s="110">
        <f t="shared" ca="1" si="16"/>
        <v>14675.63902262185</v>
      </c>
      <c r="X62" s="107">
        <f t="shared" ca="1" si="3"/>
        <v>657805.42459084932</v>
      </c>
    </row>
    <row r="63" spans="1:24" ht="15" customHeight="1" x14ac:dyDescent="0.25">
      <c r="A63" s="75">
        <f>IF('Cash Flow Analysis'!C79="","",'Cash Flow Analysis'!C79)</f>
        <v>14</v>
      </c>
      <c r="B63" s="1082">
        <f ca="1">IF(A63="","",IF(A63&lt;1,0,IF(A63=1,$B$44-'Cash Flow Analysis'!I79,-'Cash Flow Analysis'!I79)))</f>
        <v>670303.7276580754</v>
      </c>
      <c r="C63" s="108">
        <f t="shared" ref="C63:W63" ca="1" si="17">IF($B$63="","",IF(AND($B$42="Straight Line",C48&lt;=depr_length),$B$63/depr_length,IF(AND($B$42="MACRS",C48&lt;=depr_length+1),$B$63*INDEX(MACRS_Table,MATCH(C48,recovery_year,0),MATCH($B$43,recovery_period,0)),"")))</f>
        <v>25136.389787177828</v>
      </c>
      <c r="D63" s="109">
        <f t="shared" ca="1" si="17"/>
        <v>48389.226099636464</v>
      </c>
      <c r="E63" s="109">
        <f t="shared" ca="1" si="17"/>
        <v>44756.179895729692</v>
      </c>
      <c r="F63" s="109">
        <f t="shared" ca="1" si="17"/>
        <v>41404.661257439315</v>
      </c>
      <c r="G63" s="109">
        <f t="shared" ca="1" si="17"/>
        <v>38294.451961105849</v>
      </c>
      <c r="H63" s="109">
        <f t="shared" ca="1" si="17"/>
        <v>35425.552006729282</v>
      </c>
      <c r="I63" s="109">
        <f t="shared" ca="1" si="17"/>
        <v>32764.446207926725</v>
      </c>
      <c r="J63" s="109">
        <f t="shared" ca="1" si="17"/>
        <v>30311.134564698172</v>
      </c>
      <c r="K63" s="109">
        <f t="shared" ca="1" si="17"/>
        <v>29908.952328103325</v>
      </c>
      <c r="L63" s="109">
        <f t="shared" ca="1" si="17"/>
        <v>29902.249290826741</v>
      </c>
      <c r="M63" s="109">
        <f t="shared" ca="1" si="17"/>
        <v>29908.952328103325</v>
      </c>
      <c r="N63" s="109">
        <f t="shared" ca="1" si="17"/>
        <v>29902.249290826741</v>
      </c>
      <c r="O63" s="109">
        <f t="shared" ca="1" si="17"/>
        <v>29908.952328103325</v>
      </c>
      <c r="P63" s="109">
        <f t="shared" ca="1" si="17"/>
        <v>29902.249290826741</v>
      </c>
      <c r="Q63" s="109">
        <f t="shared" ca="1" si="17"/>
        <v>29908.952328103325</v>
      </c>
      <c r="R63" s="109">
        <f t="shared" ca="1" si="17"/>
        <v>29902.249290826741</v>
      </c>
      <c r="S63" s="109">
        <f t="shared" ca="1" si="17"/>
        <v>29908.952328103325</v>
      </c>
      <c r="T63" s="109">
        <f t="shared" ca="1" si="17"/>
        <v>29902.249290826741</v>
      </c>
      <c r="U63" s="109">
        <f t="shared" ca="1" si="17"/>
        <v>29908.952328103325</v>
      </c>
      <c r="V63" s="109">
        <f t="shared" ca="1" si="17"/>
        <v>29902.249290826741</v>
      </c>
      <c r="W63" s="110">
        <f t="shared" ca="1" si="17"/>
        <v>14954.476164051663</v>
      </c>
      <c r="X63" s="107">
        <f t="shared" ca="1" si="3"/>
        <v>670303.7276580754</v>
      </c>
    </row>
    <row r="64" spans="1:24" ht="15" customHeight="1" x14ac:dyDescent="0.25">
      <c r="A64" s="75">
        <f>IF('Cash Flow Analysis'!C80="","",'Cash Flow Analysis'!C80)</f>
        <v>15</v>
      </c>
      <c r="B64" s="1082">
        <f ca="1">IF(A64="","",IF(A64&lt;1,0,IF(A64=1,$B$44-'Cash Flow Analysis'!I80,-'Cash Flow Analysis'!I80)))</f>
        <v>683039.49848357902</v>
      </c>
      <c r="C64" s="108">
        <f t="shared" ref="C64:W64" ca="1" si="18">IF($B$64="","",IF(AND($B$42="Straight Line",C48&lt;=depr_length),$B$64/depr_length,IF(AND($B$42="MACRS",C48&lt;=depr_length+1),$B$64*INDEX(MACRS_Table,MATCH(C48,recovery_year,0),MATCH($B$43,recovery_period,0)),"")))</f>
        <v>25613.981193134212</v>
      </c>
      <c r="D64" s="109">
        <f t="shared" ca="1" si="18"/>
        <v>49308.621395529575</v>
      </c>
      <c r="E64" s="109">
        <f t="shared" ca="1" si="18"/>
        <v>45606.547313748568</v>
      </c>
      <c r="F64" s="109">
        <f t="shared" ca="1" si="18"/>
        <v>42191.349821330674</v>
      </c>
      <c r="G64" s="109">
        <f t="shared" ca="1" si="18"/>
        <v>39022.046548366867</v>
      </c>
      <c r="H64" s="109">
        <f t="shared" ca="1" si="18"/>
        <v>36098.637494857154</v>
      </c>
      <c r="I64" s="109">
        <f t="shared" ca="1" si="18"/>
        <v>33386.970685877342</v>
      </c>
      <c r="J64" s="109">
        <f t="shared" ca="1" si="18"/>
        <v>30887.046121427447</v>
      </c>
      <c r="K64" s="109">
        <f t="shared" ca="1" si="18"/>
        <v>30477.222422337298</v>
      </c>
      <c r="L64" s="109">
        <f t="shared" ca="1" si="18"/>
        <v>30470.392027352456</v>
      </c>
      <c r="M64" s="109">
        <f t="shared" ca="1" si="18"/>
        <v>30477.222422337298</v>
      </c>
      <c r="N64" s="109">
        <f t="shared" ca="1" si="18"/>
        <v>30470.392027352456</v>
      </c>
      <c r="O64" s="109">
        <f t="shared" ca="1" si="18"/>
        <v>30477.222422337298</v>
      </c>
      <c r="P64" s="109">
        <f t="shared" ca="1" si="18"/>
        <v>30470.392027352456</v>
      </c>
      <c r="Q64" s="109">
        <f t="shared" ca="1" si="18"/>
        <v>30477.222422337298</v>
      </c>
      <c r="R64" s="109">
        <f t="shared" ca="1" si="18"/>
        <v>30470.392027352456</v>
      </c>
      <c r="S64" s="109">
        <f t="shared" ca="1" si="18"/>
        <v>30477.222422337298</v>
      </c>
      <c r="T64" s="109">
        <f t="shared" ca="1" si="18"/>
        <v>30470.392027352456</v>
      </c>
      <c r="U64" s="109">
        <f t="shared" ca="1" si="18"/>
        <v>30477.222422337298</v>
      </c>
      <c r="V64" s="109">
        <f t="shared" ca="1" si="18"/>
        <v>30470.392027352456</v>
      </c>
      <c r="W64" s="110">
        <f t="shared" ca="1" si="18"/>
        <v>15238.611211168649</v>
      </c>
      <c r="X64" s="107">
        <f t="shared" ca="1" si="3"/>
        <v>683039.49848357902</v>
      </c>
    </row>
    <row r="65" spans="1:24" ht="15" customHeight="1" x14ac:dyDescent="0.25">
      <c r="A65" s="75">
        <f>IF('Cash Flow Analysis'!C81="","",'Cash Flow Analysis'!C81)</f>
        <v>16</v>
      </c>
      <c r="B65" s="1082">
        <f ca="1">IF(A65="","",IF(A65&lt;1,0,IF(A65=1,$B$44-'Cash Flow Analysis'!I81,-'Cash Flow Analysis'!I81)))</f>
        <v>696017.24895476701</v>
      </c>
      <c r="C65" s="108">
        <f t="shared" ref="C65:W65" ca="1" si="19">IF($B$65="","",IF(AND($B$42="Straight Line",C48&lt;=depr_length),$B$65/depr_length,IF(AND($B$42="MACRS",C48&lt;=depr_length+1),$B$65*INDEX(MACRS_Table,MATCH(C48,recovery_year,0),MATCH($B$43,recovery_period,0)),"")))</f>
        <v>26100.646835803764</v>
      </c>
      <c r="D65" s="109">
        <f t="shared" ca="1" si="19"/>
        <v>50245.485202044634</v>
      </c>
      <c r="E65" s="109">
        <f t="shared" ca="1" si="19"/>
        <v>46473.071712709789</v>
      </c>
      <c r="F65" s="109">
        <f t="shared" ca="1" si="19"/>
        <v>42992.985467935956</v>
      </c>
      <c r="G65" s="109">
        <f t="shared" ca="1" si="19"/>
        <v>39763.465432785837</v>
      </c>
      <c r="H65" s="109">
        <f t="shared" ca="1" si="19"/>
        <v>36784.511607259439</v>
      </c>
      <c r="I65" s="109">
        <f t="shared" ca="1" si="19"/>
        <v>34021.323128909011</v>
      </c>
      <c r="J65" s="109">
        <f t="shared" ca="1" si="19"/>
        <v>31473.899997734567</v>
      </c>
      <c r="K65" s="109">
        <f t="shared" ca="1" si="19"/>
        <v>31056.289648361704</v>
      </c>
      <c r="L65" s="109">
        <f t="shared" ca="1" si="19"/>
        <v>31049.329475872153</v>
      </c>
      <c r="M65" s="109">
        <f t="shared" ca="1" si="19"/>
        <v>31056.289648361704</v>
      </c>
      <c r="N65" s="109">
        <f t="shared" ca="1" si="19"/>
        <v>31049.329475872153</v>
      </c>
      <c r="O65" s="109">
        <f t="shared" ca="1" si="19"/>
        <v>31056.289648361704</v>
      </c>
      <c r="P65" s="109">
        <f t="shared" ca="1" si="19"/>
        <v>31049.329475872153</v>
      </c>
      <c r="Q65" s="109">
        <f t="shared" ca="1" si="19"/>
        <v>31056.289648361704</v>
      </c>
      <c r="R65" s="109">
        <f t="shared" ca="1" si="19"/>
        <v>31049.329475872153</v>
      </c>
      <c r="S65" s="109">
        <f t="shared" ca="1" si="19"/>
        <v>31056.289648361704</v>
      </c>
      <c r="T65" s="109">
        <f t="shared" ca="1" si="19"/>
        <v>31049.329475872153</v>
      </c>
      <c r="U65" s="109">
        <f t="shared" ca="1" si="19"/>
        <v>31056.289648361704</v>
      </c>
      <c r="V65" s="109">
        <f t="shared" ca="1" si="19"/>
        <v>31049.329475872153</v>
      </c>
      <c r="W65" s="110">
        <f t="shared" ca="1" si="19"/>
        <v>15528.144824180852</v>
      </c>
      <c r="X65" s="107">
        <f t="shared" ca="1" si="3"/>
        <v>696017.2489547669</v>
      </c>
    </row>
    <row r="66" spans="1:24" ht="15" customHeight="1" x14ac:dyDescent="0.25">
      <c r="A66" s="75">
        <f>IF('Cash Flow Analysis'!C82="","",'Cash Flow Analysis'!C82)</f>
        <v>17</v>
      </c>
      <c r="B66" s="1082">
        <f ca="1">IF(A66="","",IF(A66&lt;1,0,IF(A66=1,$B$44-'Cash Flow Analysis'!I82,-'Cash Flow Analysis'!I82)))</f>
        <v>709241.57668490754</v>
      </c>
      <c r="C66" s="108">
        <f t="shared" ref="C66:W66" ca="1" si="20">IF($B$66="","",IF(AND($B$42="Straight Line",C48&lt;=depr_length),$B$66/depr_length,IF(AND($B$42="MACRS",C48&lt;=depr_length+1),$B$66*INDEX(MACRS_Table,MATCH(C48,recovery_year,0),MATCH($B$43,recovery_period,0)),"")))</f>
        <v>26596.559125684031</v>
      </c>
      <c r="D66" s="109">
        <f t="shared" ca="1" si="20"/>
        <v>51200.149420883477</v>
      </c>
      <c r="E66" s="109">
        <f t="shared" ca="1" si="20"/>
        <v>47356.060075251276</v>
      </c>
      <c r="F66" s="109">
        <f t="shared" ca="1" si="20"/>
        <v>43809.852191826736</v>
      </c>
      <c r="G66" s="109">
        <f t="shared" ca="1" si="20"/>
        <v>40518.971276008771</v>
      </c>
      <c r="H66" s="109">
        <f t="shared" ca="1" si="20"/>
        <v>37483.417327797368</v>
      </c>
      <c r="I66" s="109">
        <f t="shared" ca="1" si="20"/>
        <v>34667.728268358282</v>
      </c>
      <c r="J66" s="109">
        <f t="shared" ca="1" si="20"/>
        <v>32071.90409769152</v>
      </c>
      <c r="K66" s="109">
        <f t="shared" ca="1" si="20"/>
        <v>31646.359151680575</v>
      </c>
      <c r="L66" s="109">
        <f t="shared" ca="1" si="20"/>
        <v>31639.266735913723</v>
      </c>
      <c r="M66" s="109">
        <f t="shared" ca="1" si="20"/>
        <v>31646.359151680575</v>
      </c>
      <c r="N66" s="109">
        <f t="shared" ca="1" si="20"/>
        <v>31639.266735913723</v>
      </c>
      <c r="O66" s="109">
        <f t="shared" ca="1" si="20"/>
        <v>31646.359151680575</v>
      </c>
      <c r="P66" s="109">
        <f t="shared" ca="1" si="20"/>
        <v>31639.266735913723</v>
      </c>
      <c r="Q66" s="109">
        <f t="shared" ca="1" si="20"/>
        <v>31646.359151680575</v>
      </c>
      <c r="R66" s="109">
        <f t="shared" ca="1" si="20"/>
        <v>31639.266735913723</v>
      </c>
      <c r="S66" s="109">
        <f t="shared" ca="1" si="20"/>
        <v>31646.359151680575</v>
      </c>
      <c r="T66" s="109">
        <f t="shared" ca="1" si="20"/>
        <v>31639.266735913723</v>
      </c>
      <c r="U66" s="109">
        <f t="shared" ca="1" si="20"/>
        <v>31646.359151680575</v>
      </c>
      <c r="V66" s="109">
        <f t="shared" ca="1" si="20"/>
        <v>31639.266735913723</v>
      </c>
      <c r="W66" s="110">
        <f t="shared" ca="1" si="20"/>
        <v>15823.179575840288</v>
      </c>
      <c r="X66" s="107">
        <f t="shared" ca="1" si="3"/>
        <v>709241.57668490754</v>
      </c>
    </row>
    <row r="67" spans="1:24" ht="15" customHeight="1" x14ac:dyDescent="0.25">
      <c r="A67" s="75">
        <f>IF('Cash Flow Analysis'!C83="","",'Cash Flow Analysis'!C83)</f>
        <v>18</v>
      </c>
      <c r="B67" s="1082">
        <f ca="1">IF(A67="","",IF(A67&lt;1,0,IF(A67=1,$B$44-'Cash Flow Analysis'!I83,-'Cash Flow Analysis'!I83)))</f>
        <v>722717.16664192069</v>
      </c>
      <c r="C67" s="108">
        <f t="shared" ref="C67:W67" ca="1" si="21">IF($B$67="","",IF(AND($B$42="Straight Line",C48&lt;=depr_length),$B$67/depr_length,IF(AND($B$42="MACRS",C48&lt;=depr_length+1),$B$67*INDEX(MACRS_Table,MATCH(C48,recovery_year,0),MATCH($B$43,recovery_period,0)),"")))</f>
        <v>27101.893749072024</v>
      </c>
      <c r="D67" s="109">
        <f t="shared" ca="1" si="21"/>
        <v>52172.952259880258</v>
      </c>
      <c r="E67" s="109">
        <f t="shared" ca="1" si="21"/>
        <v>48255.825216681042</v>
      </c>
      <c r="F67" s="109">
        <f t="shared" ca="1" si="21"/>
        <v>44642.239383471438</v>
      </c>
      <c r="G67" s="109">
        <f t="shared" ca="1" si="21"/>
        <v>41288.831730252932</v>
      </c>
      <c r="H67" s="109">
        <f t="shared" ca="1" si="21"/>
        <v>38195.602257025508</v>
      </c>
      <c r="I67" s="109">
        <f t="shared" ca="1" si="21"/>
        <v>35326.415105457083</v>
      </c>
      <c r="J67" s="109">
        <f t="shared" ca="1" si="21"/>
        <v>32681.270275547657</v>
      </c>
      <c r="K67" s="109">
        <f t="shared" ca="1" si="21"/>
        <v>32247.639975562503</v>
      </c>
      <c r="L67" s="109">
        <f t="shared" ca="1" si="21"/>
        <v>32240.412803896081</v>
      </c>
      <c r="M67" s="109">
        <f t="shared" ca="1" si="21"/>
        <v>32247.639975562503</v>
      </c>
      <c r="N67" s="109">
        <f t="shared" ca="1" si="21"/>
        <v>32240.412803896081</v>
      </c>
      <c r="O67" s="109">
        <f t="shared" ca="1" si="21"/>
        <v>32247.639975562503</v>
      </c>
      <c r="P67" s="109">
        <f t="shared" ca="1" si="21"/>
        <v>32240.412803896081</v>
      </c>
      <c r="Q67" s="109">
        <f t="shared" ca="1" si="21"/>
        <v>32247.639975562503</v>
      </c>
      <c r="R67" s="109">
        <f t="shared" ca="1" si="21"/>
        <v>32240.412803896081</v>
      </c>
      <c r="S67" s="109">
        <f t="shared" ca="1" si="21"/>
        <v>32247.639975562503</v>
      </c>
      <c r="T67" s="109">
        <f t="shared" ca="1" si="21"/>
        <v>32240.412803896081</v>
      </c>
      <c r="U67" s="109">
        <f t="shared" ca="1" si="21"/>
        <v>32247.639975562503</v>
      </c>
      <c r="V67" s="109">
        <f t="shared" ca="1" si="21"/>
        <v>32240.412803896081</v>
      </c>
      <c r="W67" s="110">
        <f t="shared" ca="1" si="21"/>
        <v>16123.819987781251</v>
      </c>
      <c r="X67" s="107">
        <f t="shared" ca="1" si="3"/>
        <v>722717.16664192069</v>
      </c>
    </row>
    <row r="68" spans="1:24" ht="15" customHeight="1" x14ac:dyDescent="0.25">
      <c r="A68" s="75">
        <f>IF('Cash Flow Analysis'!C84="","",'Cash Flow Analysis'!C84)</f>
        <v>19</v>
      </c>
      <c r="B68" s="1082">
        <f ca="1">IF(A68="","",IF(A68&lt;1,0,IF(A68=1,$B$44-'Cash Flow Analysis'!I84,-'Cash Flow Analysis'!I84)))</f>
        <v>736448.79280811711</v>
      </c>
      <c r="C68" s="108">
        <f t="shared" ref="C68:W68" ca="1" si="22">IF($B$68="","",IF(AND($B$42="Straight Line",C48&lt;=depr_length),$B$68/depr_length,IF(AND($B$42="MACRS",C48&lt;=depr_length+1),$B$68*INDEX(MACRS_Table,MATCH(C48,recovery_year,0),MATCH($B$43,recovery_period,0)),"")))</f>
        <v>27616.829730304391</v>
      </c>
      <c r="D68" s="109">
        <f t="shared" ca="1" si="22"/>
        <v>53164.238352817978</v>
      </c>
      <c r="E68" s="109">
        <f t="shared" ca="1" si="22"/>
        <v>49172.685895797978</v>
      </c>
      <c r="F68" s="109">
        <f t="shared" ca="1" si="22"/>
        <v>45490.441931757392</v>
      </c>
      <c r="G68" s="109">
        <f t="shared" ca="1" si="22"/>
        <v>42073.319533127731</v>
      </c>
      <c r="H68" s="109">
        <f t="shared" ca="1" si="22"/>
        <v>38921.318699908988</v>
      </c>
      <c r="I68" s="109">
        <f t="shared" ca="1" si="22"/>
        <v>35997.616992460768</v>
      </c>
      <c r="J68" s="109">
        <f t="shared" ca="1" si="22"/>
        <v>33302.214410783061</v>
      </c>
      <c r="K68" s="109">
        <f t="shared" ca="1" si="22"/>
        <v>32860.345135098185</v>
      </c>
      <c r="L68" s="109">
        <f t="shared" ca="1" si="22"/>
        <v>32852.980647170101</v>
      </c>
      <c r="M68" s="109">
        <f t="shared" ca="1" si="22"/>
        <v>32860.345135098185</v>
      </c>
      <c r="N68" s="109">
        <f t="shared" ca="1" si="22"/>
        <v>32852.980647170101</v>
      </c>
      <c r="O68" s="109">
        <f t="shared" ca="1" si="22"/>
        <v>32860.345135098185</v>
      </c>
      <c r="P68" s="109">
        <f t="shared" ca="1" si="22"/>
        <v>32852.980647170101</v>
      </c>
      <c r="Q68" s="109">
        <f t="shared" ca="1" si="22"/>
        <v>32860.345135098185</v>
      </c>
      <c r="R68" s="109">
        <f t="shared" ca="1" si="22"/>
        <v>32852.980647170101</v>
      </c>
      <c r="S68" s="109">
        <f t="shared" ca="1" si="22"/>
        <v>32860.345135098185</v>
      </c>
      <c r="T68" s="109">
        <f t="shared" ca="1" si="22"/>
        <v>32852.980647170101</v>
      </c>
      <c r="U68" s="109">
        <f t="shared" ca="1" si="22"/>
        <v>32860.345135098185</v>
      </c>
      <c r="V68" s="109">
        <f t="shared" ca="1" si="22"/>
        <v>32852.980647170101</v>
      </c>
      <c r="W68" s="110">
        <f t="shared" ca="1" si="22"/>
        <v>16430.172567549092</v>
      </c>
      <c r="X68" s="107">
        <f t="shared" ca="1" si="3"/>
        <v>736448.79280811711</v>
      </c>
    </row>
    <row r="69" spans="1:24" ht="15" customHeight="1" x14ac:dyDescent="0.25">
      <c r="A69" s="75">
        <f>IF('Cash Flow Analysis'!C85="","",'Cash Flow Analysis'!C85)</f>
        <v>20</v>
      </c>
      <c r="B69" s="1082">
        <f ca="1">IF(A69="","",IF(A69&lt;1,0,IF(A69=1,$B$44-'Cash Flow Analysis'!I85,-'Cash Flow Analysis'!I85)))</f>
        <v>750441.31987147138</v>
      </c>
      <c r="C69" s="108">
        <f t="shared" ref="C69:W69" ca="1" si="23">IF($B$69="","",IF(AND($B$42="Straight Line",C48&lt;=depr_length),$B$69/depr_length,IF(AND($B$42="MACRS",C48&lt;=depr_length+1),$B$69*INDEX(MACRS_Table,MATCH(C48,recovery_year,0),MATCH($B$43,recovery_period,0)),"")))</f>
        <v>28141.549495180177</v>
      </c>
      <c r="D69" s="109">
        <f t="shared" ca="1" si="23"/>
        <v>54174.358881521519</v>
      </c>
      <c r="E69" s="109">
        <f t="shared" ca="1" si="23"/>
        <v>50106.966927818139</v>
      </c>
      <c r="F69" s="109">
        <f t="shared" ca="1" si="23"/>
        <v>46354.760328460783</v>
      </c>
      <c r="G69" s="109">
        <f t="shared" ca="1" si="23"/>
        <v>42872.712604257162</v>
      </c>
      <c r="H69" s="109">
        <f t="shared" ca="1" si="23"/>
        <v>39660.823755207261</v>
      </c>
      <c r="I69" s="109">
        <f t="shared" ca="1" si="23"/>
        <v>36681.571715317521</v>
      </c>
      <c r="J69" s="109">
        <f t="shared" ca="1" si="23"/>
        <v>33934.956484587936</v>
      </c>
      <c r="K69" s="109">
        <f t="shared" ca="1" si="23"/>
        <v>33484.691692665052</v>
      </c>
      <c r="L69" s="109">
        <f t="shared" ca="1" si="23"/>
        <v>33477.187279466336</v>
      </c>
      <c r="M69" s="109">
        <f t="shared" ca="1" si="23"/>
        <v>33484.691692665052</v>
      </c>
      <c r="N69" s="109">
        <f t="shared" ca="1" si="23"/>
        <v>33477.187279466336</v>
      </c>
      <c r="O69" s="109">
        <f t="shared" ca="1" si="23"/>
        <v>33484.691692665052</v>
      </c>
      <c r="P69" s="109">
        <f t="shared" ca="1" si="23"/>
        <v>33477.187279466336</v>
      </c>
      <c r="Q69" s="109">
        <f t="shared" ca="1" si="23"/>
        <v>33484.691692665052</v>
      </c>
      <c r="R69" s="109">
        <f t="shared" ca="1" si="23"/>
        <v>33477.187279466336</v>
      </c>
      <c r="S69" s="109">
        <f t="shared" ca="1" si="23"/>
        <v>33484.691692665052</v>
      </c>
      <c r="T69" s="109">
        <f t="shared" ca="1" si="23"/>
        <v>33477.187279466336</v>
      </c>
      <c r="U69" s="109">
        <f t="shared" ca="1" si="23"/>
        <v>33484.691692665052</v>
      </c>
      <c r="V69" s="109">
        <f t="shared" ca="1" si="23"/>
        <v>33477.187279466336</v>
      </c>
      <c r="W69" s="110">
        <f t="shared" ca="1" si="23"/>
        <v>16742.345846332526</v>
      </c>
      <c r="X69" s="107">
        <f t="shared" ca="1" si="3"/>
        <v>750441.31987147138</v>
      </c>
    </row>
    <row r="70" spans="1:24" ht="15" customHeight="1" x14ac:dyDescent="0.25">
      <c r="A70" s="75">
        <f>IF('Cash Flow Analysis'!C86="","",'Cash Flow Analysis'!C86)</f>
        <v>21</v>
      </c>
      <c r="B70" s="1082">
        <f ca="1">IF(A70="","",IF(A70&lt;1,0,IF(A70=1,$B$44-'Cash Flow Analysis'!I86,-'Cash Flow Analysis'!I86)))</f>
        <v>13873837.504075246</v>
      </c>
      <c r="C70" s="108">
        <f t="shared" ref="C70:W70" ca="1" si="24">IF($B$70="","",IF(AND($B$42="Straight Line",C48&lt;=depr_length),$B$70/depr_length,IF(AND($B$42="MACRS",C48&lt;=depr_length+1),$B$70*INDEX(MACRS_Table,MATCH(C48,recovery_year,0),MATCH($B$43,recovery_period,0)),"")))</f>
        <v>520268.90640282171</v>
      </c>
      <c r="D70" s="109">
        <f t="shared" ca="1" si="24"/>
        <v>1001552.329419192</v>
      </c>
      <c r="E70" s="109">
        <f t="shared" ca="1" si="24"/>
        <v>926356.13014710415</v>
      </c>
      <c r="F70" s="109">
        <f t="shared" ca="1" si="24"/>
        <v>856986.94262672798</v>
      </c>
      <c r="G70" s="109">
        <f t="shared" ca="1" si="24"/>
        <v>792612.33660781884</v>
      </c>
      <c r="H70" s="109">
        <f t="shared" ca="1" si="24"/>
        <v>733232.31209037674</v>
      </c>
      <c r="I70" s="109">
        <f t="shared" ca="1" si="24"/>
        <v>678153.17719919805</v>
      </c>
      <c r="J70" s="109">
        <f t="shared" ca="1" si="24"/>
        <v>627374.93193428265</v>
      </c>
      <c r="K70" s="109">
        <f t="shared" ca="1" si="24"/>
        <v>619050.62943183747</v>
      </c>
      <c r="L70" s="109">
        <f t="shared" ca="1" si="24"/>
        <v>618911.89105679665</v>
      </c>
      <c r="M70" s="109">
        <f t="shared" ca="1" si="24"/>
        <v>619050.62943183747</v>
      </c>
      <c r="N70" s="109">
        <f t="shared" ca="1" si="24"/>
        <v>618911.89105679665</v>
      </c>
      <c r="O70" s="109">
        <f t="shared" ca="1" si="24"/>
        <v>619050.62943183747</v>
      </c>
      <c r="P70" s="109">
        <f t="shared" ca="1" si="24"/>
        <v>618911.89105679665</v>
      </c>
      <c r="Q70" s="109">
        <f t="shared" ca="1" si="24"/>
        <v>619050.62943183747</v>
      </c>
      <c r="R70" s="109">
        <f t="shared" ca="1" si="24"/>
        <v>618911.89105679665</v>
      </c>
      <c r="S70" s="109">
        <f t="shared" ca="1" si="24"/>
        <v>619050.62943183747</v>
      </c>
      <c r="T70" s="109">
        <f t="shared" ca="1" si="24"/>
        <v>618911.89105679665</v>
      </c>
      <c r="U70" s="109">
        <f t="shared" ca="1" si="24"/>
        <v>619050.62943183747</v>
      </c>
      <c r="V70" s="109">
        <f t="shared" ca="1" si="24"/>
        <v>618911.89105679665</v>
      </c>
      <c r="W70" s="110">
        <f t="shared" ca="1" si="24"/>
        <v>309525.31471591874</v>
      </c>
      <c r="X70" s="107">
        <f t="shared" ca="1" si="3"/>
        <v>13873837.504075246</v>
      </c>
    </row>
    <row r="71" spans="1:24" ht="15" customHeight="1" x14ac:dyDescent="0.25">
      <c r="A71" s="75">
        <f>IF('Cash Flow Analysis'!C87="","",'Cash Flow Analysis'!C87)</f>
        <v>22</v>
      </c>
      <c r="B71" s="1082">
        <f ca="1">IF(A71="","",IF(A71&lt;1,0,IF(A71=1,$B$44-'Cash Flow Analysis'!I87,-'Cash Flow Analysis'!I87)))</f>
        <v>779228.99934306077</v>
      </c>
      <c r="C71" s="108">
        <f t="shared" ref="C71:W71" ca="1" si="25">IF($B$71="","",IF(AND($B$42="Straight Line",C48&lt;=depr_length),$B$71/depr_length,IF(AND($B$42="MACRS",C48&lt;=depr_length+1),$B$71*INDEX(MACRS_Table,MATCH(C48,recovery_year,0),MATCH($B$43,recovery_period,0)),"")))</f>
        <v>29221.087475364777</v>
      </c>
      <c r="D71" s="109">
        <f t="shared" ca="1" si="25"/>
        <v>56252.541462575558</v>
      </c>
      <c r="E71" s="109">
        <f t="shared" ca="1" si="25"/>
        <v>52029.120286136167</v>
      </c>
      <c r="F71" s="109">
        <f t="shared" ca="1" si="25"/>
        <v>48132.975289420865</v>
      </c>
      <c r="G71" s="109">
        <f t="shared" ca="1" si="25"/>
        <v>44517.352732469059</v>
      </c>
      <c r="H71" s="109">
        <f t="shared" ca="1" si="25"/>
        <v>41182.252615280762</v>
      </c>
      <c r="I71" s="109">
        <f t="shared" ca="1" si="25"/>
        <v>38088.71348788881</v>
      </c>
      <c r="J71" s="109">
        <f t="shared" ca="1" si="25"/>
        <v>35236.735350293209</v>
      </c>
      <c r="K71" s="109">
        <f t="shared" ca="1" si="25"/>
        <v>34769.197950687369</v>
      </c>
      <c r="L71" s="109">
        <f t="shared" ca="1" si="25"/>
        <v>34761.405660693941</v>
      </c>
      <c r="M71" s="109">
        <f t="shared" ca="1" si="25"/>
        <v>34769.197950687369</v>
      </c>
      <c r="N71" s="109">
        <f t="shared" ca="1" si="25"/>
        <v>34761.405660693941</v>
      </c>
      <c r="O71" s="109">
        <f t="shared" ca="1" si="25"/>
        <v>34769.197950687369</v>
      </c>
      <c r="P71" s="109">
        <f t="shared" ca="1" si="25"/>
        <v>34761.405660693941</v>
      </c>
      <c r="Q71" s="109">
        <f t="shared" ca="1" si="25"/>
        <v>34769.197950687369</v>
      </c>
      <c r="R71" s="109">
        <f t="shared" ca="1" si="25"/>
        <v>34761.405660693941</v>
      </c>
      <c r="S71" s="109">
        <f t="shared" ca="1" si="25"/>
        <v>34769.197950687369</v>
      </c>
      <c r="T71" s="109">
        <f t="shared" ca="1" si="25"/>
        <v>34761.405660693941</v>
      </c>
      <c r="U71" s="109">
        <f t="shared" ca="1" si="25"/>
        <v>34769.197950687369</v>
      </c>
      <c r="V71" s="109">
        <f t="shared" ca="1" si="25"/>
        <v>34761.405660693941</v>
      </c>
      <c r="W71" s="110">
        <f t="shared" ca="1" si="25"/>
        <v>17384.598975343684</v>
      </c>
      <c r="X71" s="107">
        <f t="shared" ca="1" si="3"/>
        <v>779228.99934306066</v>
      </c>
    </row>
    <row r="72" spans="1:24" ht="15" customHeight="1" x14ac:dyDescent="0.25">
      <c r="A72" s="75">
        <f>IF('Cash Flow Analysis'!C88="","",'Cash Flow Analysis'!C88)</f>
        <v>23</v>
      </c>
      <c r="B72" s="1082">
        <f ca="1">IF(A72="","",IF(A72&lt;1,0,IF(A72=1,$B$44-'Cash Flow Analysis'!I88,-'Cash Flow Analysis'!I88)))</f>
        <v>794034.35033057898</v>
      </c>
      <c r="C72" s="108">
        <f t="shared" ref="C72:W72" ca="1" si="26">IF($B$72="","",IF(AND($B$42="Straight Line",C48&lt;=depr_length),$B$72/depr_length,IF(AND($B$42="MACRS",C48&lt;=depr_length+1),$B$72*INDEX(MACRS_Table,MATCH(C48,recovery_year,0),MATCH($B$43,recovery_period,0)),"")))</f>
        <v>29776.28813739671</v>
      </c>
      <c r="D72" s="109">
        <f t="shared" ca="1" si="26"/>
        <v>57321.339750364503</v>
      </c>
      <c r="E72" s="109">
        <f t="shared" ca="1" si="26"/>
        <v>53017.673571572755</v>
      </c>
      <c r="F72" s="109">
        <f t="shared" ca="1" si="26"/>
        <v>49047.50181991986</v>
      </c>
      <c r="G72" s="109">
        <f t="shared" ca="1" si="26"/>
        <v>45363.182434385977</v>
      </c>
      <c r="H72" s="109">
        <f t="shared" ca="1" si="26"/>
        <v>41964.715414971099</v>
      </c>
      <c r="I72" s="109">
        <f t="shared" ca="1" si="26"/>
        <v>38812.399044158701</v>
      </c>
      <c r="J72" s="109">
        <f t="shared" ca="1" si="26"/>
        <v>35906.233321948785</v>
      </c>
      <c r="K72" s="109">
        <f t="shared" ca="1" si="26"/>
        <v>35429.812711750434</v>
      </c>
      <c r="L72" s="109">
        <f t="shared" ca="1" si="26"/>
        <v>35421.872368247125</v>
      </c>
      <c r="M72" s="109">
        <f t="shared" ca="1" si="26"/>
        <v>35429.812711750434</v>
      </c>
      <c r="N72" s="109">
        <f t="shared" ca="1" si="26"/>
        <v>35421.872368247125</v>
      </c>
      <c r="O72" s="109">
        <f t="shared" ca="1" si="26"/>
        <v>35429.812711750434</v>
      </c>
      <c r="P72" s="109">
        <f t="shared" ca="1" si="26"/>
        <v>35421.872368247125</v>
      </c>
      <c r="Q72" s="109">
        <f t="shared" ca="1" si="26"/>
        <v>35429.812711750434</v>
      </c>
      <c r="R72" s="109">
        <f t="shared" ca="1" si="26"/>
        <v>35421.872368247125</v>
      </c>
      <c r="S72" s="109">
        <f t="shared" ca="1" si="26"/>
        <v>35429.812711750434</v>
      </c>
      <c r="T72" s="109">
        <f t="shared" ca="1" si="26"/>
        <v>35421.872368247125</v>
      </c>
      <c r="U72" s="109">
        <f t="shared" ca="1" si="26"/>
        <v>35429.812711750434</v>
      </c>
      <c r="V72" s="109">
        <f t="shared" ca="1" si="26"/>
        <v>35421.872368247125</v>
      </c>
      <c r="W72" s="110">
        <f t="shared" ca="1" si="26"/>
        <v>17714.906355875217</v>
      </c>
      <c r="X72" s="107">
        <f t="shared" ca="1" si="3"/>
        <v>794034.35033057886</v>
      </c>
    </row>
    <row r="73" spans="1:24" ht="15" customHeight="1" x14ac:dyDescent="0.25">
      <c r="A73" s="75">
        <f>IF('Cash Flow Analysis'!C89="","",'Cash Flow Analysis'!C89)</f>
        <v>24</v>
      </c>
      <c r="B73" s="1082">
        <f ca="1">IF(A73="","",IF(A73&lt;1,0,IF(A73=1,$B$44-'Cash Flow Analysis'!I89,-'Cash Flow Analysis'!I89)))</f>
        <v>809121.00298685988</v>
      </c>
      <c r="C73" s="108">
        <f t="shared" ref="C73:W73" ca="1" si="27">IF($B$73="","",IF(AND($B$42="Straight Line",C48&lt;=depr_length),$B$73/depr_length,IF(AND($B$42="MACRS",C48&lt;=depr_length+1),$B$73*INDEX(MACRS_Table,MATCH(C48,recovery_year,0),MATCH($B$43,recovery_period,0)),"")))</f>
        <v>30342.037612007243</v>
      </c>
      <c r="D73" s="109">
        <f t="shared" ca="1" si="27"/>
        <v>58410.445205621421</v>
      </c>
      <c r="E73" s="109">
        <f t="shared" ca="1" si="27"/>
        <v>54025.009369432628</v>
      </c>
      <c r="F73" s="109">
        <f t="shared" ca="1" si="27"/>
        <v>49979.404354498336</v>
      </c>
      <c r="G73" s="109">
        <f t="shared" ca="1" si="27"/>
        <v>46225.082900639303</v>
      </c>
      <c r="H73" s="109">
        <f t="shared" ca="1" si="27"/>
        <v>42762.045007855544</v>
      </c>
      <c r="I73" s="109">
        <f t="shared" ca="1" si="27"/>
        <v>39549.834625997712</v>
      </c>
      <c r="J73" s="109">
        <f t="shared" ca="1" si="27"/>
        <v>36588.451755065806</v>
      </c>
      <c r="K73" s="109">
        <f t="shared" ca="1" si="27"/>
        <v>36102.979153273685</v>
      </c>
      <c r="L73" s="109">
        <f t="shared" ca="1" si="27"/>
        <v>36094.887943243819</v>
      </c>
      <c r="M73" s="109">
        <f t="shared" ca="1" si="27"/>
        <v>36102.979153273685</v>
      </c>
      <c r="N73" s="109">
        <f t="shared" ca="1" si="27"/>
        <v>36094.887943243819</v>
      </c>
      <c r="O73" s="109">
        <f t="shared" ca="1" si="27"/>
        <v>36102.979153273685</v>
      </c>
      <c r="P73" s="109">
        <f t="shared" ca="1" si="27"/>
        <v>36094.887943243819</v>
      </c>
      <c r="Q73" s="109">
        <f t="shared" ca="1" si="27"/>
        <v>36102.979153273685</v>
      </c>
      <c r="R73" s="109">
        <f t="shared" ca="1" si="27"/>
        <v>36094.887943243819</v>
      </c>
      <c r="S73" s="109">
        <f t="shared" ca="1" si="27"/>
        <v>36102.979153273685</v>
      </c>
      <c r="T73" s="109">
        <f t="shared" ca="1" si="27"/>
        <v>36094.887943243819</v>
      </c>
      <c r="U73" s="109">
        <f t="shared" ca="1" si="27"/>
        <v>36102.979153273685</v>
      </c>
      <c r="V73" s="109">
        <f t="shared" ca="1" si="27"/>
        <v>36094.887943243819</v>
      </c>
      <c r="W73" s="110">
        <f t="shared" ca="1" si="27"/>
        <v>18051.489576636843</v>
      </c>
      <c r="X73" s="107">
        <f t="shared" ca="1" si="3"/>
        <v>809121.00298685976</v>
      </c>
    </row>
    <row r="74" spans="1:24" ht="15" customHeight="1" x14ac:dyDescent="0.25">
      <c r="A74" s="75">
        <f>IF('Cash Flow Analysis'!C90="","",'Cash Flow Analysis'!C90)</f>
        <v>25</v>
      </c>
      <c r="B74" s="1082">
        <f ca="1">IF(A74="","",IF(A74&lt;1,0,IF(A74=1,$B$44-'Cash Flow Analysis'!I90,-'Cash Flow Analysis'!I90)))</f>
        <v>824494.30204361025</v>
      </c>
      <c r="C74" s="108">
        <f t="shared" ref="C74:W74" ca="1" si="28">IF($B$74="","",IF(AND($B$42="Straight Line",C48&lt;=depr_length),$B$74/depr_length,IF(AND($B$42="MACRS",C48&lt;=depr_length+1),$B$74*INDEX(MACRS_Table,MATCH(C48,recovery_year,0),MATCH($B$43,recovery_period,0)),"")))</f>
        <v>30918.536326635382</v>
      </c>
      <c r="D74" s="109">
        <f t="shared" ca="1" si="28"/>
        <v>59520.243664528229</v>
      </c>
      <c r="E74" s="109">
        <f t="shared" ca="1" si="28"/>
        <v>55051.484547451852</v>
      </c>
      <c r="F74" s="109">
        <f t="shared" ca="1" si="28"/>
        <v>50929.013037233803</v>
      </c>
      <c r="G74" s="109">
        <f t="shared" ca="1" si="28"/>
        <v>47103.359475751451</v>
      </c>
      <c r="H74" s="109">
        <f t="shared" ca="1" si="28"/>
        <v>43574.523863004804</v>
      </c>
      <c r="I74" s="109">
        <f t="shared" ca="1" si="28"/>
        <v>40301.281483891667</v>
      </c>
      <c r="J74" s="109">
        <f t="shared" ca="1" si="28"/>
        <v>37283.632338412055</v>
      </c>
      <c r="K74" s="109">
        <f t="shared" ca="1" si="28"/>
        <v>36788.935757185893</v>
      </c>
      <c r="L74" s="109">
        <f t="shared" ca="1" si="28"/>
        <v>36780.690814165449</v>
      </c>
      <c r="M74" s="109">
        <f t="shared" ca="1" si="28"/>
        <v>36788.935757185893</v>
      </c>
      <c r="N74" s="109">
        <f t="shared" ca="1" si="28"/>
        <v>36780.690814165449</v>
      </c>
      <c r="O74" s="109">
        <f t="shared" ca="1" si="28"/>
        <v>36788.935757185893</v>
      </c>
      <c r="P74" s="109">
        <f t="shared" ca="1" si="28"/>
        <v>36780.690814165449</v>
      </c>
      <c r="Q74" s="109">
        <f t="shared" ca="1" si="28"/>
        <v>36788.935757185893</v>
      </c>
      <c r="R74" s="109">
        <f t="shared" ca="1" si="28"/>
        <v>36780.690814165449</v>
      </c>
      <c r="S74" s="109">
        <f t="shared" ca="1" si="28"/>
        <v>36788.935757185893</v>
      </c>
      <c r="T74" s="109">
        <f t="shared" ca="1" si="28"/>
        <v>36780.690814165449</v>
      </c>
      <c r="U74" s="109">
        <f t="shared" ca="1" si="28"/>
        <v>36788.935757185893</v>
      </c>
      <c r="V74" s="109">
        <f t="shared" ca="1" si="28"/>
        <v>36780.690814165449</v>
      </c>
      <c r="W74" s="110">
        <f t="shared" ca="1" si="28"/>
        <v>18394.467878592946</v>
      </c>
      <c r="X74" s="107">
        <f t="shared" ca="1" si="3"/>
        <v>824494.30204361014</v>
      </c>
    </row>
    <row r="75" spans="1:24" ht="15" customHeight="1" x14ac:dyDescent="0.25">
      <c r="A75" s="75">
        <f>IF('Cash Flow Analysis'!C91="","",'Cash Flow Analysis'!C91)</f>
        <v>26</v>
      </c>
      <c r="B75" s="1082">
        <f ca="1">IF(A75="","",IF(A75&lt;1,0,IF(A75=1,$B$44-'Cash Flow Analysis'!I91,-'Cash Flow Analysis'!I91)))</f>
        <v>840159.69378243876</v>
      </c>
      <c r="C75" s="108">
        <f t="shared" ref="C75:W75" ca="1" si="29">IF($B$75="","",IF(AND($B$42="Straight Line",C48&lt;=depr_length),$B$75/depr_length,IF(AND($B$42="MACRS",C48&lt;=depr_length+1),$B$75*INDEX(MACRS_Table,MATCH(C48,recovery_year,0),MATCH($B$43,recovery_period,0)),"")))</f>
        <v>31505.988516841451</v>
      </c>
      <c r="D75" s="109">
        <f t="shared" ca="1" si="29"/>
        <v>60651.128294154259</v>
      </c>
      <c r="E75" s="109">
        <f t="shared" ca="1" si="29"/>
        <v>56097.462753853433</v>
      </c>
      <c r="F75" s="109">
        <f t="shared" ca="1" si="29"/>
        <v>51896.664284941238</v>
      </c>
      <c r="G75" s="109">
        <f t="shared" ca="1" si="29"/>
        <v>47998.323305790727</v>
      </c>
      <c r="H75" s="109">
        <f t="shared" ca="1" si="29"/>
        <v>44402.439816401886</v>
      </c>
      <c r="I75" s="109">
        <f t="shared" ca="1" si="29"/>
        <v>41067.005832085604</v>
      </c>
      <c r="J75" s="109">
        <f t="shared" ca="1" si="29"/>
        <v>37992.021352841883</v>
      </c>
      <c r="K75" s="109">
        <f t="shared" ca="1" si="29"/>
        <v>37487.925536572417</v>
      </c>
      <c r="L75" s="109">
        <f t="shared" ca="1" si="29"/>
        <v>37479.523939634593</v>
      </c>
      <c r="M75" s="109">
        <f t="shared" ca="1" si="29"/>
        <v>37487.925536572417</v>
      </c>
      <c r="N75" s="109">
        <f t="shared" ca="1" si="29"/>
        <v>37479.523939634593</v>
      </c>
      <c r="O75" s="109">
        <f t="shared" ca="1" si="29"/>
        <v>37487.925536572417</v>
      </c>
      <c r="P75" s="109">
        <f t="shared" ca="1" si="29"/>
        <v>37479.523939634593</v>
      </c>
      <c r="Q75" s="109">
        <f t="shared" ca="1" si="29"/>
        <v>37487.925536572417</v>
      </c>
      <c r="R75" s="109">
        <f t="shared" ca="1" si="29"/>
        <v>37479.523939634593</v>
      </c>
      <c r="S75" s="109">
        <f t="shared" ca="1" si="29"/>
        <v>37487.925536572417</v>
      </c>
      <c r="T75" s="109">
        <f t="shared" ca="1" si="29"/>
        <v>37479.523939634593</v>
      </c>
      <c r="U75" s="109">
        <f t="shared" ca="1" si="29"/>
        <v>37487.925536572417</v>
      </c>
      <c r="V75" s="109">
        <f t="shared" ca="1" si="29"/>
        <v>37479.523939634593</v>
      </c>
      <c r="W75" s="110">
        <f t="shared" ca="1" si="29"/>
        <v>18743.962768286208</v>
      </c>
      <c r="X75" s="107">
        <f t="shared" ca="1" si="3"/>
        <v>840159.69378243887</v>
      </c>
    </row>
    <row r="76" spans="1:24" ht="15" customHeight="1" x14ac:dyDescent="0.25">
      <c r="A76" s="75">
        <f>IF('Cash Flow Analysis'!C92="","",'Cash Flow Analysis'!C92)</f>
        <v>27</v>
      </c>
      <c r="B76" s="1082">
        <f ca="1">IF(A76="","",IF(A76&lt;1,0,IF(A76=1,$B$44-'Cash Flow Analysis'!I92,-'Cash Flow Analysis'!I92)))</f>
        <v>856122.72796430509</v>
      </c>
      <c r="C76" s="108">
        <f t="shared" ref="C76:W76" ca="1" si="30">IF($B$76="","",IF(AND($B$42="Straight Line",C48&lt;=depr_length),$B$76/depr_length,IF(AND($B$42="MACRS",C48&lt;=depr_length+1),$B$76*INDEX(MACRS_Table,MATCH(C48,recovery_year,0),MATCH($B$43,recovery_period,0)),"")))</f>
        <v>32104.602298661441</v>
      </c>
      <c r="D76" s="109">
        <f t="shared" ca="1" si="30"/>
        <v>61803.499731743184</v>
      </c>
      <c r="E76" s="109">
        <f t="shared" ca="1" si="30"/>
        <v>57163.314546176647</v>
      </c>
      <c r="F76" s="109">
        <f t="shared" ca="1" si="30"/>
        <v>52882.700906355123</v>
      </c>
      <c r="G76" s="109">
        <f t="shared" ca="1" si="30"/>
        <v>48910.29144860075</v>
      </c>
      <c r="H76" s="109">
        <f t="shared" ca="1" si="30"/>
        <v>45246.086172913521</v>
      </c>
      <c r="I76" s="109">
        <f t="shared" ca="1" si="30"/>
        <v>41847.278942895231</v>
      </c>
      <c r="J76" s="109">
        <f t="shared" ca="1" si="30"/>
        <v>38713.869758545879</v>
      </c>
      <c r="K76" s="109">
        <f t="shared" ca="1" si="30"/>
        <v>38200.196121767294</v>
      </c>
      <c r="L76" s="109">
        <f t="shared" ca="1" si="30"/>
        <v>38191.634894487644</v>
      </c>
      <c r="M76" s="109">
        <f t="shared" ca="1" si="30"/>
        <v>38200.196121767294</v>
      </c>
      <c r="N76" s="109">
        <f t="shared" ca="1" si="30"/>
        <v>38191.634894487644</v>
      </c>
      <c r="O76" s="109">
        <f t="shared" ca="1" si="30"/>
        <v>38200.196121767294</v>
      </c>
      <c r="P76" s="109">
        <f t="shared" ca="1" si="30"/>
        <v>38191.634894487644</v>
      </c>
      <c r="Q76" s="109">
        <f t="shared" ca="1" si="30"/>
        <v>38200.196121767294</v>
      </c>
      <c r="R76" s="109">
        <f t="shared" ca="1" si="30"/>
        <v>38191.634894487644</v>
      </c>
      <c r="S76" s="109">
        <f t="shared" ca="1" si="30"/>
        <v>38200.196121767294</v>
      </c>
      <c r="T76" s="109">
        <f t="shared" ca="1" si="30"/>
        <v>38191.634894487644</v>
      </c>
      <c r="U76" s="109">
        <f t="shared" ca="1" si="30"/>
        <v>38200.196121767294</v>
      </c>
      <c r="V76" s="109">
        <f t="shared" ca="1" si="30"/>
        <v>38191.634894487644</v>
      </c>
      <c r="W76" s="110">
        <f t="shared" ca="1" si="30"/>
        <v>19100.098060883647</v>
      </c>
      <c r="X76" s="107">
        <f t="shared" ca="1" si="3"/>
        <v>856122.7279643052</v>
      </c>
    </row>
    <row r="77" spans="1:24" ht="15" customHeight="1" x14ac:dyDescent="0.25">
      <c r="A77" s="75">
        <f>IF('Cash Flow Analysis'!C93="","",'Cash Flow Analysis'!C93)</f>
        <v>28</v>
      </c>
      <c r="B77" s="1082">
        <f ca="1">IF(A77="","",IF(A77&lt;1,0,IF(A77=1,$B$44-'Cash Flow Analysis'!I93,-'Cash Flow Analysis'!I93)))</f>
        <v>872389.05979562679</v>
      </c>
      <c r="C77" s="108">
        <f t="shared" ref="C77:W77" ca="1" si="31">IF($B$77="","",IF(AND($B$42="Straight Line",C48&lt;=depr_length),$B$77/depr_length,IF(AND($B$42="MACRS",C48&lt;=depr_length+1),$B$77*INDEX(MACRS_Table,MATCH(C48,recovery_year,0),MATCH($B$43,recovery_period,0)),"")))</f>
        <v>32714.589742336004</v>
      </c>
      <c r="D77" s="109">
        <f t="shared" ca="1" si="31"/>
        <v>62977.766226646301</v>
      </c>
      <c r="E77" s="109">
        <f t="shared" ca="1" si="31"/>
        <v>58249.417522553995</v>
      </c>
      <c r="F77" s="109">
        <f t="shared" ca="1" si="31"/>
        <v>53887.472223575867</v>
      </c>
      <c r="G77" s="109">
        <f t="shared" ca="1" si="31"/>
        <v>49839.586986124159</v>
      </c>
      <c r="H77" s="109">
        <f t="shared" ca="1" si="31"/>
        <v>46105.761810198877</v>
      </c>
      <c r="I77" s="109">
        <f t="shared" ca="1" si="31"/>
        <v>42642.377242810238</v>
      </c>
      <c r="J77" s="109">
        <f t="shared" ca="1" si="31"/>
        <v>39449.433283958249</v>
      </c>
      <c r="K77" s="109">
        <f t="shared" ca="1" si="31"/>
        <v>38925.999848080864</v>
      </c>
      <c r="L77" s="109">
        <f t="shared" ca="1" si="31"/>
        <v>38917.275957482911</v>
      </c>
      <c r="M77" s="109">
        <f t="shared" ca="1" si="31"/>
        <v>38925.999848080864</v>
      </c>
      <c r="N77" s="109">
        <f t="shared" ca="1" si="31"/>
        <v>38917.275957482911</v>
      </c>
      <c r="O77" s="109">
        <f t="shared" ca="1" si="31"/>
        <v>38925.999848080864</v>
      </c>
      <c r="P77" s="109">
        <f t="shared" ca="1" si="31"/>
        <v>38917.275957482911</v>
      </c>
      <c r="Q77" s="109">
        <f t="shared" ca="1" si="31"/>
        <v>38925.999848080864</v>
      </c>
      <c r="R77" s="109">
        <f t="shared" ca="1" si="31"/>
        <v>38917.275957482911</v>
      </c>
      <c r="S77" s="109">
        <f t="shared" ca="1" si="31"/>
        <v>38925.999848080864</v>
      </c>
      <c r="T77" s="109">
        <f t="shared" ca="1" si="31"/>
        <v>38917.275957482911</v>
      </c>
      <c r="U77" s="109">
        <f t="shared" ca="1" si="31"/>
        <v>38925.999848080864</v>
      </c>
      <c r="V77" s="109">
        <f t="shared" ca="1" si="31"/>
        <v>38917.275957482911</v>
      </c>
      <c r="W77" s="110">
        <f t="shared" ca="1" si="31"/>
        <v>19462.999924040432</v>
      </c>
      <c r="X77" s="107">
        <f t="shared" ca="1" si="3"/>
        <v>872389.05979562679</v>
      </c>
    </row>
    <row r="78" spans="1:24" ht="15" customHeight="1" x14ac:dyDescent="0.25">
      <c r="A78" s="75">
        <f>IF('Cash Flow Analysis'!C94="","",'Cash Flow Analysis'!C94)</f>
        <v>29</v>
      </c>
      <c r="B78" s="1082">
        <f ca="1">IF(A78="","",IF(A78&lt;1,0,IF(A78=1,$B$44-'Cash Flow Analysis'!I94,-'Cash Flow Analysis'!I94)))</f>
        <v>888964.45193174353</v>
      </c>
      <c r="C78" s="108">
        <f t="shared" ref="C78:W78" ca="1" si="32">IF($B$78="","",IF(AND($B$42="Straight Line",C48&lt;=depr_length),$B$78/depr_length,IF(AND($B$42="MACRS",C48&lt;=depr_length+1),$B$78*INDEX(MACRS_Table,MATCH(C48,recovery_year,0),MATCH($B$43,recovery_period,0)),"")))</f>
        <v>33336.166947440383</v>
      </c>
      <c r="D78" s="109">
        <f t="shared" ca="1" si="32"/>
        <v>64174.343784952573</v>
      </c>
      <c r="E78" s="109">
        <f t="shared" ca="1" si="32"/>
        <v>59356.156455482509</v>
      </c>
      <c r="F78" s="109">
        <f t="shared" ca="1" si="32"/>
        <v>54911.334195823794</v>
      </c>
      <c r="G78" s="109">
        <f t="shared" ca="1" si="32"/>
        <v>50786.539138860506</v>
      </c>
      <c r="H78" s="109">
        <f t="shared" ca="1" si="32"/>
        <v>46981.771284592643</v>
      </c>
      <c r="I78" s="109">
        <f t="shared" ca="1" si="32"/>
        <v>43452.582410423624</v>
      </c>
      <c r="J78" s="109">
        <f t="shared" ca="1" si="32"/>
        <v>40198.972516353446</v>
      </c>
      <c r="K78" s="109">
        <f t="shared" ca="1" si="32"/>
        <v>39665.593845194395</v>
      </c>
      <c r="L78" s="109">
        <f t="shared" ca="1" si="32"/>
        <v>39656.704200675078</v>
      </c>
      <c r="M78" s="109">
        <f t="shared" ca="1" si="32"/>
        <v>39665.593845194395</v>
      </c>
      <c r="N78" s="109">
        <f t="shared" ca="1" si="32"/>
        <v>39656.704200675078</v>
      </c>
      <c r="O78" s="109">
        <f t="shared" ca="1" si="32"/>
        <v>39665.593845194395</v>
      </c>
      <c r="P78" s="109">
        <f t="shared" ca="1" si="32"/>
        <v>39656.704200675078</v>
      </c>
      <c r="Q78" s="109">
        <f t="shared" ca="1" si="32"/>
        <v>39665.593845194395</v>
      </c>
      <c r="R78" s="109">
        <f t="shared" ca="1" si="32"/>
        <v>39656.704200675078</v>
      </c>
      <c r="S78" s="109">
        <f t="shared" ca="1" si="32"/>
        <v>39665.593845194395</v>
      </c>
      <c r="T78" s="109">
        <f t="shared" ca="1" si="32"/>
        <v>39656.704200675078</v>
      </c>
      <c r="U78" s="109">
        <f t="shared" ca="1" si="32"/>
        <v>39665.593845194395</v>
      </c>
      <c r="V78" s="109">
        <f t="shared" ca="1" si="32"/>
        <v>39656.704200675078</v>
      </c>
      <c r="W78" s="110">
        <f t="shared" ca="1" si="32"/>
        <v>19832.796922597197</v>
      </c>
      <c r="X78" s="107">
        <f t="shared" ca="1" si="3"/>
        <v>888964.45193174388</v>
      </c>
    </row>
    <row r="79" spans="1:24" ht="15" customHeight="1" x14ac:dyDescent="0.25">
      <c r="A79" s="75">
        <f>IF('Cash Flow Analysis'!C95="","",'Cash Flow Analysis'!C95)</f>
        <v>30</v>
      </c>
      <c r="B79" s="1082">
        <f ca="1">IF(A79="","",IF(A79&lt;1,0,IF(A79=1,$B$44-'Cash Flow Analysis'!I95,-'Cash Flow Analysis'!I95)))</f>
        <v>905854.77651844663</v>
      </c>
      <c r="C79" s="108">
        <f t="shared" ref="C79:W79" ca="1" si="33">IF($B$79="","",IF(AND($B$42="Straight Line",C48&lt;=depr_length),$B$79/depr_length,IF(AND($B$42="MACRS",C48&lt;=depr_length+1),$B$79*INDEX(MACRS_Table,MATCH(C48,recovery_year,0),MATCH($B$43,recovery_period,0)),"")))</f>
        <v>33969.554119441746</v>
      </c>
      <c r="D79" s="109">
        <f t="shared" ca="1" si="33"/>
        <v>65393.656316866669</v>
      </c>
      <c r="E79" s="109">
        <f t="shared" ca="1" si="33"/>
        <v>60483.923428136681</v>
      </c>
      <c r="F79" s="109">
        <f t="shared" ca="1" si="33"/>
        <v>55954.649545544446</v>
      </c>
      <c r="G79" s="109">
        <f t="shared" ca="1" si="33"/>
        <v>51751.483382498853</v>
      </c>
      <c r="H79" s="109">
        <f t="shared" ca="1" si="33"/>
        <v>47874.424938999902</v>
      </c>
      <c r="I79" s="109">
        <f t="shared" ca="1" si="33"/>
        <v>44278.181476221675</v>
      </c>
      <c r="J79" s="109">
        <f t="shared" ca="1" si="33"/>
        <v>40962.752994164162</v>
      </c>
      <c r="K79" s="109">
        <f t="shared" ca="1" si="33"/>
        <v>40419.240128253092</v>
      </c>
      <c r="L79" s="109">
        <f t="shared" ca="1" si="33"/>
        <v>40410.181580487901</v>
      </c>
      <c r="M79" s="109">
        <f t="shared" ca="1" si="33"/>
        <v>40419.240128253092</v>
      </c>
      <c r="N79" s="109">
        <f t="shared" ca="1" si="33"/>
        <v>40410.181580487901</v>
      </c>
      <c r="O79" s="109">
        <f t="shared" ca="1" si="33"/>
        <v>40419.240128253092</v>
      </c>
      <c r="P79" s="109">
        <f t="shared" ca="1" si="33"/>
        <v>40410.181580487901</v>
      </c>
      <c r="Q79" s="109">
        <f t="shared" ca="1" si="33"/>
        <v>40419.240128253092</v>
      </c>
      <c r="R79" s="109">
        <f t="shared" ca="1" si="33"/>
        <v>40410.181580487901</v>
      </c>
      <c r="S79" s="109">
        <f t="shared" ca="1" si="33"/>
        <v>40419.240128253092</v>
      </c>
      <c r="T79" s="109">
        <f t="shared" ca="1" si="33"/>
        <v>40410.181580487901</v>
      </c>
      <c r="U79" s="109">
        <f t="shared" ca="1" si="33"/>
        <v>40419.240128253092</v>
      </c>
      <c r="V79" s="109">
        <f t="shared" ca="1" si="33"/>
        <v>40410.181580487901</v>
      </c>
      <c r="W79" s="110">
        <f t="shared" ca="1" si="33"/>
        <v>20209.620064126546</v>
      </c>
      <c r="X79" s="107">
        <f t="shared" ca="1" si="3"/>
        <v>905854.77651844663</v>
      </c>
    </row>
    <row r="80" spans="1:24" ht="15" customHeight="1" x14ac:dyDescent="0.25">
      <c r="A80" s="75">
        <f>IF('Cash Flow Analysis'!C96="","",'Cash Flow Analysis'!C96)</f>
        <v>31</v>
      </c>
      <c r="B80" s="1082">
        <f ca="1">IF(A80="","",IF(A80&lt;1,0,IF(A80=1,$B$44-'Cash Flow Analysis'!I96,-'Cash Flow Analysis'!I96)))</f>
        <v>16747054.884797394</v>
      </c>
      <c r="C80" s="108">
        <f t="shared" ref="C80:W80" ca="1" si="34">IF($B$80="","",IF(AND($B$42="Straight Line",C48&lt;=depr_length),$B$80/depr_length,IF(AND($B$42="MACRS",C48&lt;=depr_length+1),$B$80*INDEX(MACRS_Table,MATCH(C48,recovery_year,0),MATCH($B$43,recovery_period,0)),"")))</f>
        <v>628014.55817990226</v>
      </c>
      <c r="D80" s="109">
        <f t="shared" ca="1" si="34"/>
        <v>1208969.8921335239</v>
      </c>
      <c r="E80" s="109">
        <f t="shared" ca="1" si="34"/>
        <v>1118200.8546579219</v>
      </c>
      <c r="F80" s="109">
        <f t="shared" ca="1" si="34"/>
        <v>1034465.580233935</v>
      </c>
      <c r="G80" s="109">
        <f t="shared" ca="1" si="34"/>
        <v>956759.2455684751</v>
      </c>
      <c r="H80" s="109">
        <f t="shared" ca="1" si="34"/>
        <v>885081.85066154227</v>
      </c>
      <c r="I80" s="109">
        <f t="shared" ca="1" si="34"/>
        <v>818596.04276889667</v>
      </c>
      <c r="J80" s="109">
        <f t="shared" ca="1" si="34"/>
        <v>757301.82189053821</v>
      </c>
      <c r="K80" s="109">
        <f t="shared" ca="1" si="34"/>
        <v>747253.58895965968</v>
      </c>
      <c r="L80" s="109">
        <f t="shared" ca="1" si="34"/>
        <v>747086.11841081176</v>
      </c>
      <c r="M80" s="109">
        <f t="shared" ca="1" si="34"/>
        <v>747253.58895965968</v>
      </c>
      <c r="N80" s="109">
        <f t="shared" ca="1" si="34"/>
        <v>747086.11841081176</v>
      </c>
      <c r="O80" s="109">
        <f t="shared" ca="1" si="34"/>
        <v>747253.58895965968</v>
      </c>
      <c r="P80" s="109">
        <f t="shared" ca="1" si="34"/>
        <v>747086.11841081176</v>
      </c>
      <c r="Q80" s="109">
        <f t="shared" ca="1" si="34"/>
        <v>747253.58895965968</v>
      </c>
      <c r="R80" s="109">
        <f t="shared" ca="1" si="34"/>
        <v>747086.11841081176</v>
      </c>
      <c r="S80" s="109">
        <f t="shared" ca="1" si="34"/>
        <v>747253.58895965968</v>
      </c>
      <c r="T80" s="109">
        <f t="shared" ca="1" si="34"/>
        <v>747086.11841081176</v>
      </c>
      <c r="U80" s="109">
        <f t="shared" ca="1" si="34"/>
        <v>747253.58895965968</v>
      </c>
      <c r="V80" s="109">
        <f t="shared" ca="1" si="34"/>
        <v>747086.11841081176</v>
      </c>
      <c r="W80" s="110">
        <f t="shared" ca="1" si="34"/>
        <v>373626.79447982984</v>
      </c>
      <c r="X80" s="107">
        <f t="shared" ca="1" si="3"/>
        <v>16747054.884797392</v>
      </c>
    </row>
    <row r="81" spans="1:24" ht="15" customHeight="1" x14ac:dyDescent="0.25">
      <c r="A81" s="75">
        <f>IF('Cash Flow Analysis'!C97="","",'Cash Flow Analysis'!C97)</f>
        <v>32</v>
      </c>
      <c r="B81" s="1082">
        <f ca="1">IF(A81="","",IF(A81&lt;1,0,IF(A81=1,$B$44-'Cash Flow Analysis'!I97,-'Cash Flow Analysis'!I97)))</f>
        <v>940604.27160047088</v>
      </c>
      <c r="C81" s="108">
        <f t="shared" ref="C81:W81" ca="1" si="35">IF($B$81="","",IF(AND($B$42="Straight Line",C48&lt;=depr_length),$B$81/depr_length,IF(AND($B$42="MACRS",C48&lt;=depr_length+1),$B$81*INDEX(MACRS_Table,MATCH(C48,recovery_year,0),MATCH($B$43,recovery_period,0)),"")))</f>
        <v>35272.660185017659</v>
      </c>
      <c r="D81" s="109">
        <f t="shared" ca="1" si="35"/>
        <v>67902.222366838003</v>
      </c>
      <c r="E81" s="109">
        <f t="shared" ca="1" si="35"/>
        <v>62804.147214763434</v>
      </c>
      <c r="F81" s="109">
        <f t="shared" ca="1" si="35"/>
        <v>58101.125856761086</v>
      </c>
      <c r="G81" s="109">
        <f t="shared" ca="1" si="35"/>
        <v>53736.722036534899</v>
      </c>
      <c r="H81" s="109">
        <f t="shared" ca="1" si="35"/>
        <v>49710.935754084887</v>
      </c>
      <c r="I81" s="109">
        <f t="shared" ca="1" si="35"/>
        <v>45976.736795831013</v>
      </c>
      <c r="J81" s="109">
        <f t="shared" ca="1" si="35"/>
        <v>42534.1251617733</v>
      </c>
      <c r="K81" s="109">
        <f t="shared" ca="1" si="35"/>
        <v>41969.762598813009</v>
      </c>
      <c r="L81" s="109">
        <f t="shared" ca="1" si="35"/>
        <v>41960.356556097002</v>
      </c>
      <c r="M81" s="109">
        <f t="shared" ca="1" si="35"/>
        <v>41969.762598813009</v>
      </c>
      <c r="N81" s="109">
        <f t="shared" ca="1" si="35"/>
        <v>41960.356556097002</v>
      </c>
      <c r="O81" s="109">
        <f t="shared" ca="1" si="35"/>
        <v>41969.762598813009</v>
      </c>
      <c r="P81" s="109">
        <f t="shared" ca="1" si="35"/>
        <v>41960.356556097002</v>
      </c>
      <c r="Q81" s="109">
        <f t="shared" ca="1" si="35"/>
        <v>41969.762598813009</v>
      </c>
      <c r="R81" s="109">
        <f t="shared" ca="1" si="35"/>
        <v>41960.356556097002</v>
      </c>
      <c r="S81" s="109">
        <f t="shared" ca="1" si="35"/>
        <v>41969.762598813009</v>
      </c>
      <c r="T81" s="109">
        <f t="shared" ca="1" si="35"/>
        <v>41960.356556097002</v>
      </c>
      <c r="U81" s="109">
        <f t="shared" ca="1" si="35"/>
        <v>41969.762598813009</v>
      </c>
      <c r="V81" s="109">
        <f t="shared" ca="1" si="35"/>
        <v>41960.356556097002</v>
      </c>
      <c r="W81" s="110">
        <f t="shared" ca="1" si="35"/>
        <v>20984.881299406505</v>
      </c>
      <c r="X81" s="107">
        <f t="shared" ca="1" si="3"/>
        <v>940604.27160047123</v>
      </c>
    </row>
    <row r="82" spans="1:24" ht="15" customHeight="1" x14ac:dyDescent="0.25">
      <c r="A82" s="75">
        <f>IF('Cash Flow Analysis'!C98="","",'Cash Flow Analysis'!C98)</f>
        <v>33</v>
      </c>
      <c r="B82" s="1082">
        <f ca="1">IF(A82="","",IF(A82&lt;1,0,IF(A82=1,$B$44-'Cash Flow Analysis'!I98,-'Cash Flow Analysis'!I98)))</f>
        <v>958475.75276087981</v>
      </c>
      <c r="C82" s="108">
        <f t="shared" ref="C82:W82" ca="1" si="36">IF($B$82="","",IF(AND($B$42="Straight Line",C48&lt;=depr_length),$B$82/depr_length,IF(AND($B$42="MACRS",C48&lt;=depr_length+1),$B$82*INDEX(MACRS_Table,MATCH(C48,recovery_year,0),MATCH($B$43,recovery_period,0)),"")))</f>
        <v>35942.840728532989</v>
      </c>
      <c r="D82" s="109">
        <f t="shared" ca="1" si="36"/>
        <v>69192.364591807913</v>
      </c>
      <c r="E82" s="109">
        <f t="shared" ca="1" si="36"/>
        <v>63997.426011843942</v>
      </c>
      <c r="F82" s="109">
        <f t="shared" ca="1" si="36"/>
        <v>59205.047248039547</v>
      </c>
      <c r="G82" s="109">
        <f t="shared" ca="1" si="36"/>
        <v>54757.719755229067</v>
      </c>
      <c r="H82" s="109">
        <f t="shared" ca="1" si="36"/>
        <v>50655.443533412501</v>
      </c>
      <c r="I82" s="109">
        <f t="shared" ca="1" si="36"/>
        <v>46850.294794951806</v>
      </c>
      <c r="J82" s="109">
        <f t="shared" ca="1" si="36"/>
        <v>43342.273539846989</v>
      </c>
      <c r="K82" s="109">
        <f t="shared" ca="1" si="36"/>
        <v>42767.188088190458</v>
      </c>
      <c r="L82" s="109">
        <f t="shared" ca="1" si="36"/>
        <v>42757.603330662845</v>
      </c>
      <c r="M82" s="109">
        <f t="shared" ca="1" si="36"/>
        <v>42767.188088190458</v>
      </c>
      <c r="N82" s="109">
        <f t="shared" ca="1" si="36"/>
        <v>42757.603330662845</v>
      </c>
      <c r="O82" s="109">
        <f t="shared" ca="1" si="36"/>
        <v>42767.188088190458</v>
      </c>
      <c r="P82" s="109">
        <f t="shared" ca="1" si="36"/>
        <v>42757.603330662845</v>
      </c>
      <c r="Q82" s="109">
        <f t="shared" ca="1" si="36"/>
        <v>42767.188088190458</v>
      </c>
      <c r="R82" s="109">
        <f t="shared" ca="1" si="36"/>
        <v>42757.603330662845</v>
      </c>
      <c r="S82" s="109">
        <f t="shared" ca="1" si="36"/>
        <v>42767.188088190458</v>
      </c>
      <c r="T82" s="109">
        <f t="shared" ca="1" si="36"/>
        <v>42757.603330662845</v>
      </c>
      <c r="U82" s="109">
        <f t="shared" ca="1" si="36"/>
        <v>42767.188088190458</v>
      </c>
      <c r="V82" s="109">
        <f t="shared" ca="1" si="36"/>
        <v>42757.603330662845</v>
      </c>
      <c r="W82" s="110">
        <f t="shared" ca="1" si="36"/>
        <v>21383.594044095229</v>
      </c>
      <c r="X82" s="107">
        <f t="shared" ca="1" si="3"/>
        <v>958475.75276087981</v>
      </c>
    </row>
    <row r="83" spans="1:24" ht="15" customHeight="1" x14ac:dyDescent="0.25">
      <c r="A83" s="75">
        <f>IF('Cash Flow Analysis'!C99="","",'Cash Flow Analysis'!C99)</f>
        <v>34</v>
      </c>
      <c r="B83" s="1082">
        <f ca="1">IF(A83="","",IF(A83&lt;1,0,IF(A83=1,$B$44-'Cash Flow Analysis'!I99,-'Cash Flow Analysis'!I99)))</f>
        <v>976686.79206333635</v>
      </c>
      <c r="C83" s="108">
        <f t="shared" ref="C83:W83" ca="1" si="37">IF($B$83="","",IF(AND($B$42="Straight Line",C48&lt;=depr_length),$B$83/depr_length,IF(AND($B$42="MACRS",C48&lt;=depr_length+1),$B$83*INDEX(MACRS_Table,MATCH(C48,recovery_year,0),MATCH($B$43,recovery_period,0)),"")))</f>
        <v>36625.75470237511</v>
      </c>
      <c r="D83" s="109">
        <f t="shared" ca="1" si="37"/>
        <v>70507.01951905225</v>
      </c>
      <c r="E83" s="109">
        <f t="shared" ca="1" si="37"/>
        <v>65213.377106068961</v>
      </c>
      <c r="F83" s="109">
        <f t="shared" ca="1" si="37"/>
        <v>60329.943145752288</v>
      </c>
      <c r="G83" s="109">
        <f t="shared" ca="1" si="37"/>
        <v>55798.116430578404</v>
      </c>
      <c r="H83" s="109">
        <f t="shared" ca="1" si="37"/>
        <v>51617.896960547325</v>
      </c>
      <c r="I83" s="109">
        <f t="shared" ca="1" si="37"/>
        <v>47740.45039605588</v>
      </c>
      <c r="J83" s="109">
        <f t="shared" ca="1" si="37"/>
        <v>44165.776737104075</v>
      </c>
      <c r="K83" s="109">
        <f t="shared" ca="1" si="37"/>
        <v>43579.764661866066</v>
      </c>
      <c r="L83" s="109">
        <f t="shared" ca="1" si="37"/>
        <v>43569.997793945433</v>
      </c>
      <c r="M83" s="109">
        <f t="shared" ca="1" si="37"/>
        <v>43579.764661866066</v>
      </c>
      <c r="N83" s="109">
        <f t="shared" ca="1" si="37"/>
        <v>43569.997793945433</v>
      </c>
      <c r="O83" s="109">
        <f t="shared" ca="1" si="37"/>
        <v>43579.764661866066</v>
      </c>
      <c r="P83" s="109">
        <f t="shared" ca="1" si="37"/>
        <v>43569.997793945433</v>
      </c>
      <c r="Q83" s="109">
        <f t="shared" ca="1" si="37"/>
        <v>43579.764661866066</v>
      </c>
      <c r="R83" s="109">
        <f t="shared" ca="1" si="37"/>
        <v>43569.997793945433</v>
      </c>
      <c r="S83" s="109">
        <f t="shared" ca="1" si="37"/>
        <v>43579.764661866066</v>
      </c>
      <c r="T83" s="109">
        <f t="shared" ca="1" si="37"/>
        <v>43569.997793945433</v>
      </c>
      <c r="U83" s="109">
        <f t="shared" ca="1" si="37"/>
        <v>43579.764661866066</v>
      </c>
      <c r="V83" s="109">
        <f t="shared" ca="1" si="37"/>
        <v>43569.997793945433</v>
      </c>
      <c r="W83" s="110">
        <f t="shared" ca="1" si="37"/>
        <v>21789.882330933033</v>
      </c>
      <c r="X83" s="107">
        <f t="shared" ca="1" si="3"/>
        <v>976686.79206333624</v>
      </c>
    </row>
    <row r="84" spans="1:24" ht="15" customHeight="1" x14ac:dyDescent="0.25">
      <c r="A84" s="75">
        <f>IF('Cash Flow Analysis'!C100="","",'Cash Flow Analysis'!C100)</f>
        <v>35</v>
      </c>
      <c r="B84" s="1082">
        <f ca="1">IF(A84="","",IF(A84&lt;1,0,IF(A84=1,$B$44-'Cash Flow Analysis'!I100,-'Cash Flow Analysis'!I100)))</f>
        <v>995243.84111253975</v>
      </c>
      <c r="C84" s="108">
        <f t="shared" ref="C84:W84" ca="1" si="38">IF($B$84="","",IF(AND($B$42="Straight Line",C48&lt;=depr_length),$B$84/depr_length,IF(AND($B$42="MACRS",C48&lt;=depr_length+1),$B$84*INDEX(MACRS_Table,MATCH(C48,recovery_year,0),MATCH($B$43,recovery_period,0)),"")))</f>
        <v>37321.644041720239</v>
      </c>
      <c r="D84" s="109">
        <f t="shared" ca="1" si="38"/>
        <v>71846.652889914243</v>
      </c>
      <c r="E84" s="109">
        <f t="shared" ca="1" si="38"/>
        <v>66452.431271084279</v>
      </c>
      <c r="F84" s="109">
        <f t="shared" ca="1" si="38"/>
        <v>61476.212065521577</v>
      </c>
      <c r="G84" s="109">
        <f t="shared" ca="1" si="38"/>
        <v>56858.280642759397</v>
      </c>
      <c r="H84" s="109">
        <f t="shared" ca="1" si="38"/>
        <v>52598.637002797725</v>
      </c>
      <c r="I84" s="109">
        <f t="shared" ca="1" si="38"/>
        <v>48647.51895358094</v>
      </c>
      <c r="J84" s="109">
        <f t="shared" ca="1" si="38"/>
        <v>45004.926495109052</v>
      </c>
      <c r="K84" s="109">
        <f t="shared" ca="1" si="38"/>
        <v>44407.780190441525</v>
      </c>
      <c r="L84" s="109">
        <f t="shared" ca="1" si="38"/>
        <v>44397.827752030396</v>
      </c>
      <c r="M84" s="109">
        <f t="shared" ca="1" si="38"/>
        <v>44407.780190441525</v>
      </c>
      <c r="N84" s="109">
        <f t="shared" ca="1" si="38"/>
        <v>44397.827752030396</v>
      </c>
      <c r="O84" s="109">
        <f t="shared" ca="1" si="38"/>
        <v>44407.780190441525</v>
      </c>
      <c r="P84" s="109">
        <f t="shared" ca="1" si="38"/>
        <v>44397.827752030396</v>
      </c>
      <c r="Q84" s="109">
        <f t="shared" ca="1" si="38"/>
        <v>44407.780190441525</v>
      </c>
      <c r="R84" s="109">
        <f t="shared" ca="1" si="38"/>
        <v>44397.827752030396</v>
      </c>
      <c r="S84" s="109">
        <f t="shared" ca="1" si="38"/>
        <v>44407.780190441525</v>
      </c>
      <c r="T84" s="109">
        <f t="shared" ca="1" si="38"/>
        <v>44397.827752030396</v>
      </c>
      <c r="U84" s="109">
        <f t="shared" ca="1" si="38"/>
        <v>44407.780190441525</v>
      </c>
      <c r="V84" s="109">
        <f t="shared" ca="1" si="38"/>
        <v>44397.827752030396</v>
      </c>
      <c r="W84" s="110">
        <f t="shared" ca="1" si="38"/>
        <v>22203.890095220762</v>
      </c>
      <c r="X84" s="107">
        <f t="shared" ca="1" si="3"/>
        <v>995243.84111253999</v>
      </c>
    </row>
    <row r="85" spans="1:24" ht="15" customHeight="1" x14ac:dyDescent="0.25">
      <c r="A85" s="75">
        <f>IF('Cash Flow Analysis'!C101="","",'Cash Flow Analysis'!C101)</f>
        <v>36</v>
      </c>
      <c r="B85" s="1082">
        <f ca="1">IF(A85="","",IF(A85&lt;1,0,IF(A85=1,$B$44-'Cash Flow Analysis'!I101,-'Cash Flow Analysis'!I101)))</f>
        <v>1014153.4740936781</v>
      </c>
      <c r="C85" s="108">
        <f t="shared" ref="C85:W85" ca="1" si="39">IF($B$85="","",IF(AND($B$42="Straight Line",C48&lt;=depr_length),$B$85/depr_length,IF(AND($B$42="MACRS",C48&lt;=depr_length+1),$B$85*INDEX(MACRS_Table,MATCH(C48,recovery_year,0),MATCH($B$43,recovery_period,0)),"")))</f>
        <v>38030.755278512923</v>
      </c>
      <c r="D85" s="109">
        <f t="shared" ca="1" si="39"/>
        <v>73211.739294822619</v>
      </c>
      <c r="E85" s="109">
        <f t="shared" ca="1" si="39"/>
        <v>67715.027465234874</v>
      </c>
      <c r="F85" s="109">
        <f t="shared" ca="1" si="39"/>
        <v>62644.260094766491</v>
      </c>
      <c r="G85" s="109">
        <f t="shared" ca="1" si="39"/>
        <v>57938.58797497183</v>
      </c>
      <c r="H85" s="109">
        <f t="shared" ca="1" si="39"/>
        <v>53598.011105850885</v>
      </c>
      <c r="I85" s="109">
        <f t="shared" ca="1" si="39"/>
        <v>49571.821813698982</v>
      </c>
      <c r="J85" s="109">
        <f t="shared" ca="1" si="39"/>
        <v>45860.020098516128</v>
      </c>
      <c r="K85" s="109">
        <f t="shared" ca="1" si="39"/>
        <v>45251.528014059913</v>
      </c>
      <c r="L85" s="109">
        <f t="shared" ca="1" si="39"/>
        <v>45241.386479318971</v>
      </c>
      <c r="M85" s="109">
        <f t="shared" ca="1" si="39"/>
        <v>45251.528014059913</v>
      </c>
      <c r="N85" s="109">
        <f t="shared" ca="1" si="39"/>
        <v>45241.386479318971</v>
      </c>
      <c r="O85" s="109">
        <f t="shared" ca="1" si="39"/>
        <v>45251.528014059913</v>
      </c>
      <c r="P85" s="109">
        <f t="shared" ca="1" si="39"/>
        <v>45241.386479318971</v>
      </c>
      <c r="Q85" s="109">
        <f t="shared" ca="1" si="39"/>
        <v>45251.528014059913</v>
      </c>
      <c r="R85" s="109">
        <f t="shared" ca="1" si="39"/>
        <v>45241.386479318971</v>
      </c>
      <c r="S85" s="109">
        <f t="shared" ca="1" si="39"/>
        <v>45251.528014059913</v>
      </c>
      <c r="T85" s="109">
        <f t="shared" ca="1" si="39"/>
        <v>45241.386479318971</v>
      </c>
      <c r="U85" s="109">
        <f t="shared" ca="1" si="39"/>
        <v>45251.528014059913</v>
      </c>
      <c r="V85" s="109">
        <f t="shared" ca="1" si="39"/>
        <v>45241.386479318971</v>
      </c>
      <c r="W85" s="110">
        <f t="shared" ca="1" si="39"/>
        <v>22625.764007029957</v>
      </c>
      <c r="X85" s="107">
        <f t="shared" ca="1" si="3"/>
        <v>1014153.4740936777</v>
      </c>
    </row>
    <row r="86" spans="1:24" ht="15" customHeight="1" x14ac:dyDescent="0.25">
      <c r="A86" s="75">
        <f>IF('Cash Flow Analysis'!C102="","",'Cash Flow Analysis'!C102)</f>
        <v>37</v>
      </c>
      <c r="B86" s="1082">
        <f ca="1">IF(A86="","",IF(A86&lt;1,0,IF(A86=1,$B$44-'Cash Flow Analysis'!I102,-'Cash Flow Analysis'!I102)))</f>
        <v>1033422.3901014578</v>
      </c>
      <c r="C86" s="108">
        <f t="shared" ref="C86:W86" ca="1" si="40">IF($B$86="","",IF(AND($B$42="Straight Line",C48&lt;=depr_length),$B$86/depr_length,IF(AND($B$42="MACRS",C48&lt;=depr_length+1),$B$86*INDEX(MACRS_Table,MATCH(C48,recovery_year,0),MATCH($B$43,recovery_period,0)),"")))</f>
        <v>38753.339628804664</v>
      </c>
      <c r="D86" s="109">
        <f t="shared" ca="1" si="40"/>
        <v>74602.762341424241</v>
      </c>
      <c r="E86" s="109">
        <f t="shared" ca="1" si="40"/>
        <v>69001.612987074332</v>
      </c>
      <c r="F86" s="109">
        <f t="shared" ca="1" si="40"/>
        <v>63834.501036567046</v>
      </c>
      <c r="G86" s="109">
        <f t="shared" ca="1" si="40"/>
        <v>59039.421146496286</v>
      </c>
      <c r="H86" s="109">
        <f t="shared" ca="1" si="40"/>
        <v>54616.373316862046</v>
      </c>
      <c r="I86" s="109">
        <f t="shared" ca="1" si="40"/>
        <v>50513.686428159257</v>
      </c>
      <c r="J86" s="109">
        <f t="shared" ca="1" si="40"/>
        <v>46731.360480387928</v>
      </c>
      <c r="K86" s="109">
        <f t="shared" ca="1" si="40"/>
        <v>46111.307046327049</v>
      </c>
      <c r="L86" s="109">
        <f t="shared" ca="1" si="40"/>
        <v>46100.972822426033</v>
      </c>
      <c r="M86" s="109">
        <f t="shared" ca="1" si="40"/>
        <v>46111.307046327049</v>
      </c>
      <c r="N86" s="109">
        <f t="shared" ca="1" si="40"/>
        <v>46100.972822426033</v>
      </c>
      <c r="O86" s="109">
        <f t="shared" ca="1" si="40"/>
        <v>46111.307046327049</v>
      </c>
      <c r="P86" s="109">
        <f t="shared" ca="1" si="40"/>
        <v>46100.972822426033</v>
      </c>
      <c r="Q86" s="109">
        <f t="shared" ca="1" si="40"/>
        <v>46111.307046327049</v>
      </c>
      <c r="R86" s="109">
        <f t="shared" ca="1" si="40"/>
        <v>46100.972822426033</v>
      </c>
      <c r="S86" s="109">
        <f t="shared" ca="1" si="40"/>
        <v>46111.307046327049</v>
      </c>
      <c r="T86" s="109">
        <f t="shared" ca="1" si="40"/>
        <v>46100.972822426033</v>
      </c>
      <c r="U86" s="109">
        <f t="shared" ca="1" si="40"/>
        <v>46111.307046327049</v>
      </c>
      <c r="V86" s="109">
        <f t="shared" ca="1" si="40"/>
        <v>46100.972822426033</v>
      </c>
      <c r="W86" s="110">
        <f t="shared" ca="1" si="40"/>
        <v>23055.653523163524</v>
      </c>
      <c r="X86" s="107">
        <f t="shared" ca="1" si="3"/>
        <v>1033422.3901014576</v>
      </c>
    </row>
    <row r="87" spans="1:24" ht="15" customHeight="1" x14ac:dyDescent="0.25">
      <c r="A87" s="75">
        <f>IF('Cash Flow Analysis'!C103="","",'Cash Flow Analysis'!C103)</f>
        <v>38</v>
      </c>
      <c r="B87" s="1082">
        <f ca="1">IF(A87="","",IF(A87&lt;1,0,IF(A87=1,$B$44-'Cash Flow Analysis'!I103,-'Cash Flow Analysis'!I103)))</f>
        <v>1053057.4155133853</v>
      </c>
      <c r="C87" s="108">
        <f t="shared" ref="C87:W87" ca="1" si="41">IF($B$87="","",IF(AND($B$42="Straight Line",C48&lt;=depr_length),$B$87/depr_length,IF(AND($B$42="MACRS",C48&lt;=depr_length+1),$B$87*INDEX(MACRS_Table,MATCH(C48,recovery_year,0),MATCH($B$43,recovery_period,0)),"")))</f>
        <v>39489.653081751945</v>
      </c>
      <c r="D87" s="109">
        <f t="shared" ca="1" si="41"/>
        <v>76020.214825911287</v>
      </c>
      <c r="E87" s="109">
        <f t="shared" ca="1" si="41"/>
        <v>70312.643633828731</v>
      </c>
      <c r="F87" s="109">
        <f t="shared" ca="1" si="41"/>
        <v>65047.35655626181</v>
      </c>
      <c r="G87" s="109">
        <f t="shared" ca="1" si="41"/>
        <v>60161.170148279707</v>
      </c>
      <c r="H87" s="109">
        <f t="shared" ca="1" si="41"/>
        <v>55654.084409882416</v>
      </c>
      <c r="I87" s="109">
        <f t="shared" ca="1" si="41"/>
        <v>51473.446470294271</v>
      </c>
      <c r="J87" s="109">
        <f t="shared" ca="1" si="41"/>
        <v>47619.256329515287</v>
      </c>
      <c r="K87" s="109">
        <f t="shared" ca="1" si="41"/>
        <v>46987.42188020725</v>
      </c>
      <c r="L87" s="109">
        <f t="shared" ca="1" si="41"/>
        <v>46976.891306052115</v>
      </c>
      <c r="M87" s="109">
        <f t="shared" ca="1" si="41"/>
        <v>46987.42188020725</v>
      </c>
      <c r="N87" s="109">
        <f t="shared" ca="1" si="41"/>
        <v>46976.891306052115</v>
      </c>
      <c r="O87" s="109">
        <f t="shared" ca="1" si="41"/>
        <v>46987.42188020725</v>
      </c>
      <c r="P87" s="109">
        <f t="shared" ca="1" si="41"/>
        <v>46976.891306052115</v>
      </c>
      <c r="Q87" s="109">
        <f t="shared" ca="1" si="41"/>
        <v>46987.42188020725</v>
      </c>
      <c r="R87" s="109">
        <f t="shared" ca="1" si="41"/>
        <v>46976.891306052115</v>
      </c>
      <c r="S87" s="109">
        <f t="shared" ca="1" si="41"/>
        <v>46987.42188020725</v>
      </c>
      <c r="T87" s="109">
        <f t="shared" ca="1" si="41"/>
        <v>46976.891306052115</v>
      </c>
      <c r="U87" s="109">
        <f t="shared" ca="1" si="41"/>
        <v>46987.42188020725</v>
      </c>
      <c r="V87" s="109">
        <f t="shared" ca="1" si="41"/>
        <v>46976.891306052115</v>
      </c>
      <c r="W87" s="110">
        <f t="shared" ca="1" si="41"/>
        <v>23493.710940103625</v>
      </c>
      <c r="X87" s="107">
        <f t="shared" ca="1" si="3"/>
        <v>1053057.4155133853</v>
      </c>
    </row>
    <row r="88" spans="1:24" ht="15" customHeight="1" x14ac:dyDescent="0.25">
      <c r="A88" s="75">
        <f>IF('Cash Flow Analysis'!C104="","",'Cash Flow Analysis'!C104)</f>
        <v>39</v>
      </c>
      <c r="B88" s="1082">
        <f ca="1">IF(A88="","",IF(A88&lt;1,0,IF(A88=1,$B$44-'Cash Flow Analysis'!I104,-'Cash Flow Analysis'!I104)))</f>
        <v>1073065.5064081398</v>
      </c>
      <c r="C88" s="108">
        <f t="shared" ref="C88:W88" ca="1" si="42">IF($B$88="","",IF(AND($B$42="Straight Line",C48&lt;=depr_length),$B$88/depr_length,IF(AND($B$42="MACRS",C48&lt;=depr_length+1),$B$88*INDEX(MACRS_Table,MATCH(C48,recovery_year,0),MATCH($B$43,recovery_period,0)),"")))</f>
        <v>40239.956490305245</v>
      </c>
      <c r="D88" s="109">
        <f t="shared" ca="1" si="42"/>
        <v>77464.59890760362</v>
      </c>
      <c r="E88" s="109">
        <f t="shared" ca="1" si="42"/>
        <v>71648.583862871499</v>
      </c>
      <c r="F88" s="109">
        <f t="shared" ca="1" si="42"/>
        <v>66283.256330830802</v>
      </c>
      <c r="G88" s="109">
        <f t="shared" ca="1" si="42"/>
        <v>61304.232381097027</v>
      </c>
      <c r="H88" s="109">
        <f t="shared" ca="1" si="42"/>
        <v>56711.512013670188</v>
      </c>
      <c r="I88" s="109">
        <f t="shared" ca="1" si="42"/>
        <v>52451.441953229878</v>
      </c>
      <c r="J88" s="109">
        <f t="shared" ca="1" si="42"/>
        <v>48524.022199776089</v>
      </c>
      <c r="K88" s="109">
        <f t="shared" ca="1" si="42"/>
        <v>47880.182895931197</v>
      </c>
      <c r="L88" s="109">
        <f t="shared" ca="1" si="42"/>
        <v>47869.452240867111</v>
      </c>
      <c r="M88" s="109">
        <f t="shared" ca="1" si="42"/>
        <v>47880.182895931197</v>
      </c>
      <c r="N88" s="109">
        <f t="shared" ca="1" si="42"/>
        <v>47869.452240867111</v>
      </c>
      <c r="O88" s="109">
        <f t="shared" ca="1" si="42"/>
        <v>47880.182895931197</v>
      </c>
      <c r="P88" s="109">
        <f t="shared" ca="1" si="42"/>
        <v>47869.452240867111</v>
      </c>
      <c r="Q88" s="109">
        <f t="shared" ca="1" si="42"/>
        <v>47880.182895931197</v>
      </c>
      <c r="R88" s="109">
        <f t="shared" ca="1" si="42"/>
        <v>47869.452240867111</v>
      </c>
      <c r="S88" s="109">
        <f t="shared" ca="1" si="42"/>
        <v>47880.182895931197</v>
      </c>
      <c r="T88" s="109">
        <f t="shared" ca="1" si="42"/>
        <v>47869.452240867111</v>
      </c>
      <c r="U88" s="109">
        <f t="shared" ca="1" si="42"/>
        <v>47880.182895931197</v>
      </c>
      <c r="V88" s="109">
        <f t="shared" ca="1" si="42"/>
        <v>47869.452240867111</v>
      </c>
      <c r="W88" s="110">
        <f t="shared" ca="1" si="42"/>
        <v>23940.091447965598</v>
      </c>
      <c r="X88" s="107">
        <f t="shared" ca="1" si="3"/>
        <v>1073065.5064081396</v>
      </c>
    </row>
    <row r="89" spans="1:24" ht="15" customHeight="1" x14ac:dyDescent="0.25">
      <c r="A89" s="75">
        <f>IF('Cash Flow Analysis'!C105="","",'Cash Flow Analysis'!C105)</f>
        <v>40</v>
      </c>
      <c r="B89" s="1082">
        <f ca="1">IF(A89="","",IF(A89&lt;1,0,IF(A89=1,$B$44-'Cash Flow Analysis'!I105,-'Cash Flow Analysis'!I105)))</f>
        <v>1093453.7510298945</v>
      </c>
      <c r="C89" s="108">
        <f t="shared" ref="C89:W89" ca="1" si="43">IF($B$89="","",IF(AND($B$42="Straight Line",C48&lt;=depr_length),$B$89/depr_length,IF(AND($B$42="MACRS",C48&lt;=depr_length+1),$B$89*INDEX(MACRS_Table,MATCH(C48,recovery_year,0),MATCH($B$43,recovery_period,0)),"")))</f>
        <v>41004.515663621038</v>
      </c>
      <c r="D89" s="109">
        <f t="shared" ca="1" si="43"/>
        <v>78936.426286848087</v>
      </c>
      <c r="E89" s="109">
        <f t="shared" ca="1" si="43"/>
        <v>73009.906956266044</v>
      </c>
      <c r="F89" s="109">
        <f t="shared" ca="1" si="43"/>
        <v>67542.638201116584</v>
      </c>
      <c r="G89" s="109">
        <f t="shared" ca="1" si="43"/>
        <v>62469.012796337869</v>
      </c>
      <c r="H89" s="109">
        <f t="shared" ca="1" si="43"/>
        <v>57789.030741929921</v>
      </c>
      <c r="I89" s="109">
        <f t="shared" ca="1" si="43"/>
        <v>53448.019350341237</v>
      </c>
      <c r="J89" s="109">
        <f t="shared" ca="1" si="43"/>
        <v>49445.978621571834</v>
      </c>
      <c r="K89" s="109">
        <f t="shared" ca="1" si="43"/>
        <v>48789.90637095389</v>
      </c>
      <c r="L89" s="109">
        <f t="shared" ca="1" si="43"/>
        <v>48778.971833443589</v>
      </c>
      <c r="M89" s="109">
        <f t="shared" ca="1" si="43"/>
        <v>48789.90637095389</v>
      </c>
      <c r="N89" s="109">
        <f t="shared" ca="1" si="43"/>
        <v>48778.971833443589</v>
      </c>
      <c r="O89" s="109">
        <f t="shared" ca="1" si="43"/>
        <v>48789.90637095389</v>
      </c>
      <c r="P89" s="109">
        <f t="shared" ca="1" si="43"/>
        <v>48778.971833443589</v>
      </c>
      <c r="Q89" s="109">
        <f t="shared" ca="1" si="43"/>
        <v>48789.90637095389</v>
      </c>
      <c r="R89" s="109">
        <f t="shared" ca="1" si="43"/>
        <v>48778.971833443589</v>
      </c>
      <c r="S89" s="109">
        <f t="shared" ca="1" si="43"/>
        <v>48789.90637095389</v>
      </c>
      <c r="T89" s="109">
        <f t="shared" ca="1" si="43"/>
        <v>48778.971833443589</v>
      </c>
      <c r="U89" s="109">
        <f t="shared" ca="1" si="43"/>
        <v>48789.90637095389</v>
      </c>
      <c r="V89" s="109">
        <f t="shared" ca="1" si="43"/>
        <v>48778.971833443589</v>
      </c>
      <c r="W89" s="110">
        <f t="shared" ca="1" si="43"/>
        <v>24394.953185476945</v>
      </c>
      <c r="X89" s="107">
        <f t="shared" ca="1" si="3"/>
        <v>1093453.7510298947</v>
      </c>
    </row>
    <row r="90" spans="1:24" ht="15" customHeight="1" x14ac:dyDescent="0.25">
      <c r="A90" s="75" t="str">
        <f>IF('Cash Flow Analysis'!C106="","",'Cash Flow Analysis'!C106)</f>
        <v/>
      </c>
      <c r="B90" s="1082"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5">
      <c r="A91" s="75" t="str">
        <f>IF('Cash Flow Analysis'!C107="","",'Cash Flow Analysis'!C107)</f>
        <v/>
      </c>
      <c r="B91" s="1082"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3">
      <c r="A92" s="79" t="str">
        <f>IF('Cash Flow Analysis'!C108="","",'Cash Flow Analysis'!C108)</f>
        <v/>
      </c>
      <c r="B92" s="1082"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-1</v>
      </c>
      <c r="B97" s="109">
        <f>C49</f>
        <v>0</v>
      </c>
      <c r="C97" s="119">
        <f t="shared" ref="C97:C140" si="47">IF(A97="",B97,0)</f>
        <v>0</v>
      </c>
    </row>
    <row r="98" spans="1:3" ht="15" customHeight="1" x14ac:dyDescent="0.25">
      <c r="A98" s="94">
        <f>IF('Cash Flow Analysis'!C66="","",'Cash Flow Analysis'!C66)</f>
        <v>1</v>
      </c>
      <c r="B98" s="109">
        <f ca="1">SUM(D49,C50)</f>
        <v>3882410.3350284095</v>
      </c>
      <c r="C98" s="119">
        <f t="shared" si="47"/>
        <v>0</v>
      </c>
    </row>
    <row r="99" spans="1:3" ht="15" customHeight="1" x14ac:dyDescent="0.25">
      <c r="A99" s="94">
        <f>IF('Cash Flow Analysis'!C67="","",'Cash Flow Analysis'!C67)</f>
        <v>2</v>
      </c>
      <c r="B99" s="109">
        <f ca="1">SUM(E49,D50,C51)</f>
        <v>7493953.2617960023</v>
      </c>
      <c r="C99" s="119">
        <f t="shared" si="47"/>
        <v>0</v>
      </c>
    </row>
    <row r="100" spans="1:3" ht="15" customHeight="1" x14ac:dyDescent="0.25">
      <c r="A100" s="94">
        <f>IF('Cash Flow Analysis'!C68="","",'Cash Flow Analysis'!C68)</f>
        <v>3</v>
      </c>
      <c r="B100" s="109">
        <f ca="1">SUM(F49,E50,D51,C52)</f>
        <v>6971802.916484559</v>
      </c>
      <c r="C100" s="119">
        <f t="shared" si="47"/>
        <v>0</v>
      </c>
    </row>
    <row r="101" spans="1:3" ht="15" customHeight="1" x14ac:dyDescent="0.25">
      <c r="A101" s="94">
        <f>IF('Cash Flow Analysis'!C69="","",'Cash Flow Analysis'!C69)</f>
        <v>4</v>
      </c>
      <c r="B101" s="109">
        <f ca="1">SUM(G49,F50,E51,D52,C53)</f>
        <v>6490977.777355276</v>
      </c>
      <c r="C101" s="119">
        <f t="shared" si="47"/>
        <v>0</v>
      </c>
    </row>
    <row r="102" spans="1:3" ht="15" customHeight="1" x14ac:dyDescent="0.25">
      <c r="A102" s="94">
        <f>IF('Cash Flow Analysis'!C70="","",'Cash Flow Analysis'!C70)</f>
        <v>5</v>
      </c>
      <c r="B102" s="109">
        <f ca="1">SUM(H49,G50,F51,E52,D53,C54)</f>
        <v>6045449.6007127957</v>
      </c>
      <c r="C102" s="119">
        <f t="shared" si="47"/>
        <v>0</v>
      </c>
    </row>
    <row r="103" spans="1:3" ht="15" customHeight="1" x14ac:dyDescent="0.25">
      <c r="A103" s="94">
        <f>IF('Cash Flow Analysis'!C71="","",'Cash Flow Analysis'!C71)</f>
        <v>6</v>
      </c>
      <c r="B103" s="109">
        <f ca="1">SUM(I49,H50,G51,F52,E53,D54,C55)</f>
        <v>5635373.400778559</v>
      </c>
      <c r="C103" s="119">
        <f t="shared" si="47"/>
        <v>0</v>
      </c>
    </row>
    <row r="104" spans="1:3" ht="15" customHeight="1" x14ac:dyDescent="0.25">
      <c r="A104" s="94">
        <f>IF('Cash Flow Analysis'!C72="","",'Cash Flow Analysis'!C72)</f>
        <v>7</v>
      </c>
      <c r="B104" s="109">
        <f ca="1">SUM(J49,I50,H51,G52,F53,E54,D55,C56)</f>
        <v>5255730.5899308454</v>
      </c>
      <c r="C104" s="119">
        <f t="shared" si="47"/>
        <v>0</v>
      </c>
    </row>
    <row r="105" spans="1:3" ht="15" customHeight="1" x14ac:dyDescent="0.25">
      <c r="A105" s="94">
        <f>IF('Cash Flow Analysis'!C73="","",'Cash Flow Analysis'!C73)</f>
        <v>8</v>
      </c>
      <c r="B105" s="109">
        <f ca="1">SUM(K49,J50,I51,H52,G53,F54,E55,D56,C57)</f>
        <v>4906655.389505635</v>
      </c>
      <c r="C105" s="119">
        <f t="shared" si="47"/>
        <v>0</v>
      </c>
    </row>
    <row r="106" spans="1:3" ht="15" customHeight="1" x14ac:dyDescent="0.25">
      <c r="A106" s="94">
        <f>IF('Cash Flow Analysis'!C74="","",'Cash Flow Analysis'!C74)</f>
        <v>9</v>
      </c>
      <c r="B106" s="109">
        <f ca="1">SUM(L49,K50,J51,I52,H53,G54,F55,E56,D57,C58)</f>
        <v>4872994.6622796971</v>
      </c>
      <c r="C106" s="119">
        <f t="shared" si="47"/>
        <v>0</v>
      </c>
    </row>
    <row r="107" spans="1:3" ht="15" customHeight="1" x14ac:dyDescent="0.25">
      <c r="A107" s="94">
        <f>IF('Cash Flow Analysis'!C75="","",'Cash Flow Analysis'!C75)</f>
        <v>10</v>
      </c>
      <c r="B107" s="109">
        <f ca="1">SUM(M49,L50,K51,J52,I53,H54,G55,F56,E57,D58,C59)</f>
        <v>4900637.0172839286</v>
      </c>
      <c r="C107" s="119">
        <f t="shared" si="47"/>
        <v>0</v>
      </c>
    </row>
    <row r="108" spans="1:3" ht="15" customHeight="1" x14ac:dyDescent="0.25">
      <c r="A108" s="94">
        <f>IF('Cash Flow Analysis'!C76="","",'Cash Flow Analysis'!C76)</f>
        <v>11</v>
      </c>
      <c r="B108" s="109">
        <f ca="1">SUM(N49,M50,L51,K52,J53,I54,H55,G56,F57,E58,D59,C60)</f>
        <v>5338141.8288269583</v>
      </c>
      <c r="C108" s="119">
        <f t="shared" si="47"/>
        <v>0</v>
      </c>
    </row>
    <row r="109" spans="1:3" ht="15" customHeight="1" x14ac:dyDescent="0.25">
      <c r="A109" s="94">
        <f>IF('Cash Flow Analysis'!C77="","",'Cash Flow Analysis'!C77)</f>
        <v>12</v>
      </c>
      <c r="B109" s="109">
        <f ca="1">SUM(O49,N50,M51,L52,K53,J54,I55,H56,G57,F58,E59,D60,C61)</f>
        <v>5743619.7229611501</v>
      </c>
      <c r="C109" s="119">
        <f t="shared" si="47"/>
        <v>0</v>
      </c>
    </row>
    <row r="110" spans="1:3" ht="15" customHeight="1" x14ac:dyDescent="0.25">
      <c r="A110" s="94">
        <f>IF('Cash Flow Analysis'!C78="","",'Cash Flow Analysis'!C78)</f>
        <v>13</v>
      </c>
      <c r="B110" s="109">
        <f ca="1">SUM(P49,O50,N51,M52,L53,K54,J55,I56,H57,G58,F59,E60,D61,C62)</f>
        <v>5716131.5930120116</v>
      </c>
      <c r="C110" s="119">
        <f t="shared" si="47"/>
        <v>0</v>
      </c>
    </row>
    <row r="111" spans="1:3" ht="15" customHeight="1" x14ac:dyDescent="0.25">
      <c r="A111" s="94">
        <f>IF('Cash Flow Analysis'!C79="","",'Cash Flow Analysis'!C79)</f>
        <v>14</v>
      </c>
      <c r="B111" s="109">
        <f ca="1">SUM(Q49,P50,O51,N52,M53,L54,K55,J56,I57,H58,G59,F60,E61,D62,C63)</f>
        <v>5691715.8417614819</v>
      </c>
      <c r="C111" s="119">
        <f t="shared" si="47"/>
        <v>0</v>
      </c>
    </row>
    <row r="112" spans="1:3" ht="15" customHeight="1" x14ac:dyDescent="0.25">
      <c r="A112" s="94">
        <f>IF('Cash Flow Analysis'!C80="","",'Cash Flow Analysis'!C80)</f>
        <v>15</v>
      </c>
      <c r="B112" s="109">
        <f ca="1">SUM(R49,Q50,P51,O52,N53,M54,L55,K56,J57,I58,H59,G60,F61,E62,D63,C64)</f>
        <v>5673862.4611117234</v>
      </c>
      <c r="C112" s="119">
        <f t="shared" si="47"/>
        <v>0</v>
      </c>
    </row>
    <row r="113" spans="1:3" ht="15" customHeight="1" x14ac:dyDescent="0.25">
      <c r="A113" s="94">
        <f>IF('Cash Flow Analysis'!C81="","",'Cash Flow Analysis'!C81)</f>
        <v>16</v>
      </c>
      <c r="B113" s="109">
        <f ca="1">SUM(S49,R50,Q51,P52,O53,N54,M55,L56,K57,J58,I59,H60,G61,F62,E63,D64,C65)</f>
        <v>5658451.9695884557</v>
      </c>
      <c r="C113" s="119">
        <f t="shared" si="47"/>
        <v>0</v>
      </c>
    </row>
    <row r="114" spans="1:3" ht="15" customHeight="1" x14ac:dyDescent="0.25">
      <c r="A114" s="94">
        <f>IF('Cash Flow Analysis'!C82="","",'Cash Flow Analysis'!C82)</f>
        <v>17</v>
      </c>
      <c r="B114" s="109">
        <f ca="1">SUM(T49,S50,R51,Q52,P53,O54,N55,M56,L57,K58,J59,I60,H61,G62,F63,E64,D65,C66)</f>
        <v>5649083.3798781801</v>
      </c>
      <c r="C114" s="119">
        <f t="shared" si="47"/>
        <v>0</v>
      </c>
    </row>
    <row r="115" spans="1:3" ht="15" customHeight="1" x14ac:dyDescent="0.25">
      <c r="A115" s="94">
        <f>IF('Cash Flow Analysis'!C83="","",'Cash Flow Analysis'!C83)</f>
        <v>18</v>
      </c>
      <c r="B115" s="109">
        <f ca="1">SUM(U49,T50,S51,R52,Q53,P54,O55,N56,M57,L58,K59,J60,I61,H62,G63,F64,E65,D66,C67)</f>
        <v>5641637.6386581697</v>
      </c>
      <c r="C115" s="119">
        <f t="shared" si="47"/>
        <v>0</v>
      </c>
    </row>
    <row r="116" spans="1:3" ht="15" customHeight="1" x14ac:dyDescent="0.25">
      <c r="A116" s="94">
        <f>IF('Cash Flow Analysis'!C84="","",'Cash Flow Analysis'!C84)</f>
        <v>19</v>
      </c>
      <c r="B116" s="109">
        <f ca="1">SUM(V49,U50,T51,S52,R53,Q54,P55,O56,N57,M58,L59,K60,J61,I62,H63,G64,F65,E66,D67,C68)</f>
        <v>5670122.3673773576</v>
      </c>
      <c r="C116" s="119">
        <f t="shared" si="47"/>
        <v>0</v>
      </c>
    </row>
    <row r="117" spans="1:3" ht="15" customHeight="1" x14ac:dyDescent="0.25">
      <c r="A117" s="94">
        <f>IF('Cash Flow Analysis'!C85="","",'Cash Flow Analysis'!C85)</f>
        <v>20</v>
      </c>
      <c r="B117" s="109">
        <f t="shared" ref="B117:B140" ca="1" si="48">SUM(W49,V50,U51,T52,S53,R54,Q55,P56,O57,N58,M59,L60,K61,J62,I63,H64,G65,F66,E67,D68,C69)</f>
        <v>5703594.6051404169</v>
      </c>
      <c r="C117" s="119">
        <f t="shared" si="47"/>
        <v>0</v>
      </c>
    </row>
    <row r="118" spans="1:3" ht="15" customHeight="1" x14ac:dyDescent="0.25">
      <c r="A118" s="94">
        <f>IF('Cash Flow Analysis'!C86="","",'Cash Flow Analysis'!C86)</f>
        <v>21</v>
      </c>
      <c r="B118" s="109">
        <f t="shared" ca="1" si="48"/>
        <v>3921824.3673928259</v>
      </c>
      <c r="C118" s="119">
        <f t="shared" si="47"/>
        <v>0</v>
      </c>
    </row>
    <row r="119" spans="1:3" ht="15" customHeight="1" x14ac:dyDescent="0.25">
      <c r="A119" s="94">
        <f>IF('Cash Flow Analysis'!C87="","",'Cash Flow Analysis'!C87)</f>
        <v>22</v>
      </c>
      <c r="B119" s="109">
        <f t="shared" ca="1" si="48"/>
        <v>2090709.2772406351</v>
      </c>
      <c r="C119" s="119">
        <f t="shared" si="47"/>
        <v>0</v>
      </c>
    </row>
    <row r="120" spans="1:3" ht="15" customHeight="1" x14ac:dyDescent="0.25">
      <c r="A120" s="94">
        <f>IF('Cash Flow Analysis'!C88="","",'Cash Flow Analysis'!C88)</f>
        <v>23</v>
      </c>
      <c r="B120" s="109">
        <f t="shared" ca="1" si="48"/>
        <v>2032304.3231459334</v>
      </c>
      <c r="C120" s="119">
        <f t="shared" si="47"/>
        <v>0</v>
      </c>
    </row>
    <row r="121" spans="1:3" ht="15" customHeight="1" x14ac:dyDescent="0.25">
      <c r="A121" s="94">
        <f>IF('Cash Flow Analysis'!C89="","",'Cash Flow Analysis'!C89)</f>
        <v>24</v>
      </c>
      <c r="B121" s="109">
        <f t="shared" ca="1" si="48"/>
        <v>1979426.2271659444</v>
      </c>
      <c r="C121" s="119">
        <f t="shared" si="47"/>
        <v>0</v>
      </c>
    </row>
    <row r="122" spans="1:3" ht="15" customHeight="1" x14ac:dyDescent="0.25">
      <c r="A122" s="94">
        <f>IF('Cash Flow Analysis'!C90="","",'Cash Flow Analysis'!C90)</f>
        <v>25</v>
      </c>
      <c r="B122" s="109">
        <f t="shared" ca="1" si="48"/>
        <v>1931727.3697046132</v>
      </c>
      <c r="C122" s="119">
        <f t="shared" si="47"/>
        <v>0</v>
      </c>
    </row>
    <row r="123" spans="1:3" ht="15" customHeight="1" x14ac:dyDescent="0.25">
      <c r="A123" s="94">
        <f>IF('Cash Flow Analysis'!C91="","",'Cash Flow Analysis'!C91)</f>
        <v>26</v>
      </c>
      <c r="B123" s="109">
        <f t="shared" ca="1" si="48"/>
        <v>1888777.9605038976</v>
      </c>
      <c r="C123" s="119">
        <f t="shared" si="47"/>
        <v>0</v>
      </c>
    </row>
    <row r="124" spans="1:3" ht="15" customHeight="1" x14ac:dyDescent="0.25">
      <c r="A124" s="94">
        <f>IF('Cash Flow Analysis'!C92="","",'Cash Flow Analysis'!C92)</f>
        <v>27</v>
      </c>
      <c r="B124" s="109">
        <f t="shared" ca="1" si="48"/>
        <v>1850361.6449755977</v>
      </c>
      <c r="C124" s="119">
        <f t="shared" si="47"/>
        <v>0</v>
      </c>
    </row>
    <row r="125" spans="1:3" ht="15" customHeight="1" x14ac:dyDescent="0.25">
      <c r="A125" s="94">
        <f>IF('Cash Flow Analysis'!C93="","",'Cash Flow Analysis'!C93)</f>
        <v>28</v>
      </c>
      <c r="B125" s="109">
        <f t="shared" ca="1" si="48"/>
        <v>1816048.809790503</v>
      </c>
      <c r="C125" s="119">
        <f t="shared" si="47"/>
        <v>0</v>
      </c>
    </row>
    <row r="126" spans="1:3" ht="15" customHeight="1" x14ac:dyDescent="0.25">
      <c r="A126" s="94">
        <f>IF('Cash Flow Analysis'!C94="","",'Cash Flow Analysis'!C94)</f>
        <v>29</v>
      </c>
      <c r="B126" s="109">
        <f t="shared" ca="1" si="48"/>
        <v>1822328.866488443</v>
      </c>
      <c r="C126" s="119">
        <f t="shared" si="47"/>
        <v>0</v>
      </c>
    </row>
    <row r="127" spans="1:3" ht="15" customHeight="1" x14ac:dyDescent="0.25">
      <c r="A127" s="94">
        <f>IF('Cash Flow Analysis'!C95="","",'Cash Flow Analysis'!C95)</f>
        <v>30</v>
      </c>
      <c r="B127" s="109">
        <f t="shared" ca="1" si="48"/>
        <v>1836392.8150923636</v>
      </c>
      <c r="C127" s="119">
        <f t="shared" si="47"/>
        <v>0</v>
      </c>
    </row>
    <row r="128" spans="1:3" ht="15" customHeight="1" x14ac:dyDescent="0.25">
      <c r="A128" s="94">
        <f>IF('Cash Flow Analysis'!C96="","",'Cash Flow Analysis'!C96)</f>
        <v>31</v>
      </c>
      <c r="B128" s="109">
        <f t="shared" ca="1" si="48"/>
        <v>2202319.5251235925</v>
      </c>
      <c r="C128" s="119">
        <f t="shared" si="47"/>
        <v>0</v>
      </c>
    </row>
    <row r="129" spans="1:3" ht="15" customHeight="1" x14ac:dyDescent="0.25">
      <c r="A129" s="94">
        <f>IF('Cash Flow Analysis'!C97="","",'Cash Flow Analysis'!C97)</f>
        <v>32</v>
      </c>
      <c r="B129" s="109">
        <f t="shared" ca="1" si="48"/>
        <v>2523686.9758507228</v>
      </c>
      <c r="C129" s="119">
        <f t="shared" si="47"/>
        <v>0</v>
      </c>
    </row>
    <row r="130" spans="1:3" ht="15" customHeight="1" x14ac:dyDescent="0.25">
      <c r="A130" s="94">
        <f>IF('Cash Flow Analysis'!C98="","",'Cash Flow Analysis'!C98)</f>
        <v>33</v>
      </c>
      <c r="B130" s="109">
        <f t="shared" ca="1" si="48"/>
        <v>2453186.5846301443</v>
      </c>
      <c r="C130" s="119">
        <f t="shared" si="47"/>
        <v>0</v>
      </c>
    </row>
    <row r="131" spans="1:3" ht="15" customHeight="1" x14ac:dyDescent="0.25">
      <c r="A131" s="94">
        <f>IF('Cash Flow Analysis'!C99="","",'Cash Flow Analysis'!C99)</f>
        <v>34</v>
      </c>
      <c r="B131" s="109">
        <f t="shared" ca="1" si="48"/>
        <v>2389357.6421821495</v>
      </c>
      <c r="C131" s="119">
        <f t="shared" si="47"/>
        <v>0</v>
      </c>
    </row>
    <row r="132" spans="1:3" ht="15" customHeight="1" x14ac:dyDescent="0.25">
      <c r="A132" s="94">
        <f>IF('Cash Flow Analysis'!C100="","",'Cash Flow Analysis'!C100)</f>
        <v>35</v>
      </c>
      <c r="B132" s="109">
        <f t="shared" ca="1" si="48"/>
        <v>2331780.5382545297</v>
      </c>
      <c r="C132" s="119">
        <f t="shared" si="47"/>
        <v>0</v>
      </c>
    </row>
    <row r="133" spans="1:3" ht="15" customHeight="1" x14ac:dyDescent="0.25">
      <c r="A133" s="94">
        <f>IF('Cash Flow Analysis'!C101="","",'Cash Flow Analysis'!C101)</f>
        <v>36</v>
      </c>
      <c r="B133" s="109">
        <f t="shared" ca="1" si="48"/>
        <v>2279936.4747109916</v>
      </c>
      <c r="C133" s="119">
        <f t="shared" si="47"/>
        <v>0</v>
      </c>
    </row>
    <row r="134" spans="1:3" ht="15" customHeight="1" x14ac:dyDescent="0.25">
      <c r="A134" s="94">
        <f>IF('Cash Flow Analysis'!C102="","",'Cash Flow Analysis'!C102)</f>
        <v>37</v>
      </c>
      <c r="B134" s="109">
        <f t="shared" ca="1" si="48"/>
        <v>2233564.2907759305</v>
      </c>
      <c r="C134" s="119">
        <f t="shared" si="47"/>
        <v>0</v>
      </c>
    </row>
    <row r="135" spans="1:3" ht="15" customHeight="1" x14ac:dyDescent="0.25">
      <c r="A135" s="94">
        <f>IF('Cash Flow Analysis'!C103="","",'Cash Flow Analysis'!C103)</f>
        <v>38</v>
      </c>
      <c r="B135" s="109">
        <f t="shared" ca="1" si="48"/>
        <v>2192145.4018831491</v>
      </c>
      <c r="C135" s="119">
        <f t="shared" si="47"/>
        <v>0</v>
      </c>
    </row>
    <row r="136" spans="1:3" ht="15" customHeight="1" x14ac:dyDescent="0.25">
      <c r="A136" s="94">
        <f>IF('Cash Flow Analysis'!C104="","",'Cash Flow Analysis'!C104)</f>
        <v>39</v>
      </c>
      <c r="B136" s="109">
        <f t="shared" ca="1" si="48"/>
        <v>2199726.033714043</v>
      </c>
      <c r="C136" s="119">
        <f t="shared" si="47"/>
        <v>0</v>
      </c>
    </row>
    <row r="137" spans="1:3" ht="15" customHeight="1" x14ac:dyDescent="0.25">
      <c r="A137" s="94">
        <f>IF('Cash Flow Analysis'!C105="","",'Cash Flow Analysis'!C105)</f>
        <v>40</v>
      </c>
      <c r="B137" s="109">
        <f t="shared" ca="1" si="48"/>
        <v>2216702.5709624896</v>
      </c>
      <c r="C137" s="119">
        <f t="shared" si="47"/>
        <v>0</v>
      </c>
    </row>
    <row r="138" spans="1:3" ht="15" customHeight="1" x14ac:dyDescent="0.25">
      <c r="A138" s="94" t="str">
        <f>IF('Cash Flow Analysis'!C106="","",'Cash Flow Analysis'!C106)</f>
        <v/>
      </c>
      <c r="B138" s="109">
        <f t="shared" ca="1" si="48"/>
        <v>1900337.3564863205</v>
      </c>
      <c r="C138" s="119">
        <f t="shared" ca="1" si="47"/>
        <v>1900337.3564863205</v>
      </c>
    </row>
    <row r="139" spans="1:3" ht="15" customHeight="1" x14ac:dyDescent="0.25">
      <c r="A139" s="94" t="str">
        <f>IF('Cash Flow Analysis'!C107="","",'Cash Flow Analysis'!C107)</f>
        <v/>
      </c>
      <c r="B139" s="109">
        <f t="shared" ca="1" si="48"/>
        <v>1544412.3499822996</v>
      </c>
      <c r="C139" s="119">
        <f t="shared" ca="1" si="47"/>
        <v>1544412.3499822996</v>
      </c>
    </row>
    <row r="140" spans="1:3" ht="15" customHeight="1" thickBot="1" x14ac:dyDescent="0.3">
      <c r="A140" s="120" t="str">
        <f>IF('Cash Flow Analysis'!C108="","",'Cash Flow Analysis'!C108)</f>
        <v/>
      </c>
      <c r="B140" s="121">
        <f t="shared" ca="1" si="48"/>
        <v>1486105.0746079774</v>
      </c>
      <c r="C140" s="122">
        <f t="shared" ca="1" si="47"/>
        <v>1486105.0746079774</v>
      </c>
    </row>
    <row r="141" spans="1:3" ht="15" customHeight="1" thickTop="1" thickBot="1" x14ac:dyDescent="0.35">
      <c r="A141" s="123" t="s">
        <v>62</v>
      </c>
      <c r="B141" s="124">
        <f ca="1">SUM(B97:B140)</f>
        <v>162065508.84013668</v>
      </c>
      <c r="C141" s="125">
        <f ca="1">SUM(C97:C140)</f>
        <v>4930854.781076598</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763" t="s">
        <v>63</v>
      </c>
      <c r="B144" s="1764"/>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1431941.6215278055</v>
      </c>
    </row>
    <row r="147" spans="1:2" ht="15" customHeight="1" x14ac:dyDescent="0.25">
      <c r="A147" s="94">
        <v>2</v>
      </c>
      <c r="B147" s="110">
        <f ca="1">SUM(E92,F91,G90,H89,I88,J87,K86,L85,M84,N83,O82,P81,Q80,R79,S78,T77,U76,V75,W74)</f>
        <v>1382238.5734618152</v>
      </c>
    </row>
    <row r="148" spans="1:2" ht="15" customHeight="1" x14ac:dyDescent="0.25">
      <c r="A148" s="94">
        <v>3</v>
      </c>
      <c r="B148" s="110">
        <f ca="1">SUM(F92,G91,H90,I89,J88,K87,L86,M85,N84,O83,P82,Q81,R80,S79,T78,U77,V76,W75)</f>
        <v>1336040.5828607774</v>
      </c>
    </row>
    <row r="149" spans="1:2" ht="15" customHeight="1" x14ac:dyDescent="0.25">
      <c r="A149" s="94">
        <v>4</v>
      </c>
      <c r="B149" s="110">
        <f ca="1">SUM(G92,H91,I90,J89,K88,L87,M86,N85,O84,P83,Q82,R81,S80,T79,U78,V77,W76)</f>
        <v>1293707.8073815838</v>
      </c>
    </row>
    <row r="150" spans="1:2" ht="15" customHeight="1" x14ac:dyDescent="0.25">
      <c r="A150" s="94">
        <v>5</v>
      </c>
      <c r="B150" s="110">
        <f ca="1">SUM(H92,I91,J90,K89,L88,M87,N86,O85,P84,Q83,R82,S81,T80,U79,V78,W77)</f>
        <v>1254329.3023356667</v>
      </c>
    </row>
    <row r="151" spans="1:2" ht="15" customHeight="1" x14ac:dyDescent="0.25">
      <c r="A151" s="94">
        <v>6</v>
      </c>
      <c r="B151" s="110">
        <f ca="1">SUM(I92,J91,K90,L89,M88,N87,O86,P85,Q84,R83,S82,T81,U80,V79,W78)</f>
        <v>1215190.629652492</v>
      </c>
    </row>
    <row r="152" spans="1:2" ht="15" customHeight="1" x14ac:dyDescent="0.25">
      <c r="A152" s="94">
        <v>7</v>
      </c>
      <c r="B152" s="110">
        <f ca="1">SUM(J92,K91,L90,M89,N88,O87,P86,Q85,R84,S83,T82,U81,V80,W79)</f>
        <v>1174999.9781468248</v>
      </c>
    </row>
    <row r="153" spans="1:2" ht="15" customHeight="1" x14ac:dyDescent="0.25">
      <c r="A153" s="94">
        <v>8</v>
      </c>
      <c r="B153" s="110">
        <f ca="1">SUM(K92,L91,M90,N89,O88,P87,Q86,R85,S84,T83,U82,V81,W80)</f>
        <v>781320.85666957707</v>
      </c>
    </row>
    <row r="154" spans="1:2" ht="15" customHeight="1" x14ac:dyDescent="0.25">
      <c r="A154" s="94">
        <v>9</v>
      </c>
      <c r="B154" s="110">
        <f ca="1">SUM(L92,M91,N90,O89,P88,Q87,R86,S85,T84,U83,V82,W81)</f>
        <v>386719.35837247997</v>
      </c>
    </row>
    <row r="155" spans="1:2" ht="15" customHeight="1" x14ac:dyDescent="0.25">
      <c r="A155" s="94">
        <v>10</v>
      </c>
      <c r="B155" s="110">
        <f ca="1">SUM(M92,N91,O90,P89,Q88,R87,S86,T85,U84,V83,W82)</f>
        <v>344350.1115895551</v>
      </c>
    </row>
    <row r="156" spans="1:2" ht="15" customHeight="1" x14ac:dyDescent="0.25">
      <c r="A156" s="94">
        <v>11</v>
      </c>
      <c r="B156" s="110">
        <f ca="1">SUM(N92,O91,P90,Q89,R88,S87,T86,U85,V84,W83)</f>
        <v>301186.99141147756</v>
      </c>
    </row>
    <row r="157" spans="1:2" ht="15" customHeight="1" x14ac:dyDescent="0.25">
      <c r="A157" s="94">
        <v>12</v>
      </c>
      <c r="B157" s="110">
        <f ca="1">SUM(O92,P91,Q90,R89,S88,T87,U86,V85,W84)</f>
        <v>257192.62965629366</v>
      </c>
    </row>
    <row r="158" spans="1:2" ht="15" customHeight="1" x14ac:dyDescent="0.25">
      <c r="A158" s="94">
        <v>13</v>
      </c>
      <c r="B158" s="110">
        <f ca="1">SUM(P92,Q91,R90,S89,T88,U87,V86,W85)</f>
        <v>212373.51732148425</v>
      </c>
    </row>
    <row r="159" spans="1:2" ht="15" customHeight="1" x14ac:dyDescent="0.25">
      <c r="A159" s="94">
        <v>14</v>
      </c>
      <c r="B159" s="110">
        <f ca="1">SUM(Q92,R91,S90,T89,U88,V87,W86)</f>
        <v>166691.69955859042</v>
      </c>
    </row>
    <row r="160" spans="1:2" ht="15" customHeight="1" x14ac:dyDescent="0.25">
      <c r="A160" s="94">
        <v>15</v>
      </c>
      <c r="B160" s="110">
        <f ca="1">SUM(R92,S91,T90,U89,V88,W87)</f>
        <v>120153.06955192462</v>
      </c>
    </row>
    <row r="161" spans="1:2" ht="15" customHeight="1" x14ac:dyDescent="0.25">
      <c r="A161" s="94">
        <v>16</v>
      </c>
      <c r="B161" s="110">
        <f ca="1">SUM(S92,T91,U90,V89,W88)</f>
        <v>72719.06328140918</v>
      </c>
    </row>
    <row r="162" spans="1:2" ht="15" customHeight="1" x14ac:dyDescent="0.25">
      <c r="A162" s="94">
        <v>17</v>
      </c>
      <c r="B162" s="110">
        <f ca="1">SUM(T92,U91,V90,W89)</f>
        <v>24394.953185476945</v>
      </c>
    </row>
    <row r="163" spans="1:2" ht="15" customHeight="1" x14ac:dyDescent="0.25">
      <c r="A163" s="94">
        <v>18</v>
      </c>
      <c r="B163" s="110">
        <f>SUM(U92,V91,W90)</f>
        <v>0</v>
      </c>
    </row>
    <row r="164" spans="1:2" ht="15" customHeight="1" x14ac:dyDescent="0.25">
      <c r="A164" s="94">
        <v>19</v>
      </c>
      <c r="B164" s="110">
        <f>SUM(V92,W91)</f>
        <v>0</v>
      </c>
    </row>
    <row r="165" spans="1:2" ht="15" customHeight="1" thickBot="1" x14ac:dyDescent="0.3">
      <c r="A165" s="96">
        <v>20</v>
      </c>
      <c r="B165" s="97">
        <f>SUM(W92)</f>
        <v>0</v>
      </c>
    </row>
    <row r="166" spans="1:2" ht="14" thickTop="1" thickBot="1" x14ac:dyDescent="0.35">
      <c r="A166" s="123" t="s">
        <v>62</v>
      </c>
      <c r="B166" s="132">
        <f ca="1">SUM(B146:B165)</f>
        <v>11755550.745965231</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849</v>
      </c>
      <c r="B6" t="s">
        <v>1007</v>
      </c>
      <c r="C6">
        <v>2.6852999999999998E-2</v>
      </c>
      <c r="D6" t="s">
        <v>645</v>
      </c>
      <c r="E6" t="s">
        <v>709</v>
      </c>
    </row>
    <row r="7" spans="1:5" x14ac:dyDescent="0.25">
      <c r="A7" t="s">
        <v>857</v>
      </c>
      <c r="B7" t="s">
        <v>268</v>
      </c>
      <c r="C7">
        <f>1/2.205</f>
        <v>0.45351473922902491</v>
      </c>
      <c r="D7" t="s">
        <v>646</v>
      </c>
    </row>
    <row r="8" spans="1:5" x14ac:dyDescent="0.25">
      <c r="A8" t="s">
        <v>914</v>
      </c>
      <c r="B8" t="s">
        <v>1007</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1073</v>
      </c>
      <c r="C16">
        <f>H2_LHV_MJ_p_kg/1000</f>
        <v>0.12021163829516093</v>
      </c>
    </row>
    <row r="17" spans="1:3" x14ac:dyDescent="0.25">
      <c r="A17" t="s">
        <v>300</v>
      </c>
      <c r="B17" t="s">
        <v>296</v>
      </c>
      <c r="C17">
        <v>2.9308323563892143E-4</v>
      </c>
    </row>
    <row r="18" spans="1:3" x14ac:dyDescent="0.25">
      <c r="A18" t="s">
        <v>1072</v>
      </c>
      <c r="B18" t="s">
        <v>1073</v>
      </c>
      <c r="C18">
        <v>1.0549999999999999</v>
      </c>
    </row>
    <row r="21" spans="1:3" ht="14" x14ac:dyDescent="0.3">
      <c r="A21" s="2" t="s">
        <v>537</v>
      </c>
      <c r="C21" s="460" t="s">
        <v>839</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863</v>
      </c>
      <c r="B29">
        <f>mmBTU_to_GJ</f>
        <v>1.0549999999999999</v>
      </c>
    </row>
    <row r="30" spans="1:3" x14ac:dyDescent="0.25">
      <c r="A30" t="s">
        <v>296</v>
      </c>
      <c r="B30">
        <f>1/MJ_to_kWh/1000</f>
        <v>3.5999999999999995E-3</v>
      </c>
    </row>
    <row r="31" spans="1:3" x14ac:dyDescent="0.25">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P4" sqref="P4:P20"/>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1090</v>
      </c>
    </row>
    <row r="2" spans="1:29" ht="13" x14ac:dyDescent="0.3">
      <c r="J2" s="1" t="s">
        <v>814</v>
      </c>
    </row>
    <row r="3" spans="1:29" ht="13" x14ac:dyDescent="0.3">
      <c r="A3" s="1" t="s">
        <v>1004</v>
      </c>
      <c r="C3" s="1" t="s">
        <v>22</v>
      </c>
      <c r="E3" s="1" t="s">
        <v>166</v>
      </c>
      <c r="G3" s="1" t="s">
        <v>11</v>
      </c>
      <c r="J3" s="972" t="s">
        <v>1116</v>
      </c>
      <c r="M3" s="1" t="s">
        <v>75</v>
      </c>
      <c r="O3" s="1" t="s">
        <v>439</v>
      </c>
      <c r="R3" s="1" t="s">
        <v>666</v>
      </c>
      <c r="T3" s="1" t="s">
        <v>434</v>
      </c>
      <c r="V3" s="1" t="s">
        <v>436</v>
      </c>
      <c r="Y3" s="1" t="s">
        <v>346</v>
      </c>
      <c r="AB3" s="1" t="s">
        <v>1065</v>
      </c>
    </row>
    <row r="4" spans="1:29" ht="13" x14ac:dyDescent="0.3">
      <c r="A4" t="s">
        <v>1005</v>
      </c>
      <c r="C4" t="s">
        <v>23</v>
      </c>
      <c r="E4" s="1">
        <v>100000</v>
      </c>
      <c r="G4" t="s">
        <v>324</v>
      </c>
      <c r="H4" t="s">
        <v>8</v>
      </c>
      <c r="J4" s="972" t="s">
        <v>1104</v>
      </c>
      <c r="M4" t="s">
        <v>1041</v>
      </c>
      <c r="O4" t="str">
        <f>M7</f>
        <v>ref_year</v>
      </c>
      <c r="P4">
        <v>2016</v>
      </c>
      <c r="R4" s="460" t="s">
        <v>1041</v>
      </c>
      <c r="T4">
        <v>1</v>
      </c>
      <c r="U4" t="s">
        <v>435</v>
      </c>
      <c r="V4" t="s">
        <v>417</v>
      </c>
      <c r="W4">
        <v>1.1000000000000001</v>
      </c>
      <c r="Y4" t="s">
        <v>339</v>
      </c>
      <c r="Z4">
        <v>0.9</v>
      </c>
      <c r="AB4" t="s">
        <v>27</v>
      </c>
      <c r="AC4" s="460" t="s">
        <v>825</v>
      </c>
    </row>
    <row r="5" spans="1:29" x14ac:dyDescent="0.25">
      <c r="A5" t="s">
        <v>1006</v>
      </c>
      <c r="C5" t="s">
        <v>282</v>
      </c>
      <c r="G5" t="s">
        <v>335</v>
      </c>
      <c r="H5" t="s">
        <v>26</v>
      </c>
      <c r="J5" s="972" t="s">
        <v>1105</v>
      </c>
      <c r="M5" t="s">
        <v>8</v>
      </c>
      <c r="O5" t="str">
        <f>M18</f>
        <v>depr_type</v>
      </c>
      <c r="P5" t="s">
        <v>438</v>
      </c>
      <c r="R5" s="460" t="s">
        <v>935</v>
      </c>
      <c r="T5">
        <v>1.2</v>
      </c>
      <c r="U5" t="s">
        <v>424</v>
      </c>
      <c r="V5" t="s">
        <v>418</v>
      </c>
      <c r="W5">
        <v>1</v>
      </c>
      <c r="Y5" t="s">
        <v>340</v>
      </c>
      <c r="Z5">
        <v>0.04</v>
      </c>
      <c r="AB5" t="s">
        <v>179</v>
      </c>
      <c r="AC5" s="460" t="s">
        <v>825</v>
      </c>
    </row>
    <row r="6" spans="1:29" x14ac:dyDescent="0.25">
      <c r="G6" t="s">
        <v>373</v>
      </c>
      <c r="H6" t="s">
        <v>182</v>
      </c>
      <c r="J6" s="972" t="s">
        <v>1106</v>
      </c>
      <c r="M6" t="s">
        <v>26</v>
      </c>
      <c r="O6" t="str">
        <f>M19</f>
        <v>equity</v>
      </c>
      <c r="P6" s="1561">
        <v>0.4</v>
      </c>
      <c r="R6" s="460" t="s">
        <v>936</v>
      </c>
      <c r="V6" t="s">
        <v>419</v>
      </c>
      <c r="W6">
        <v>1.05</v>
      </c>
      <c r="Y6" t="s">
        <v>550</v>
      </c>
      <c r="Z6">
        <v>14.7</v>
      </c>
      <c r="AB6" t="s">
        <v>171</v>
      </c>
      <c r="AC6" s="460" t="s">
        <v>825</v>
      </c>
    </row>
    <row r="7" spans="1:29" ht="13" x14ac:dyDescent="0.3">
      <c r="A7" s="1" t="s">
        <v>270</v>
      </c>
      <c r="C7" s="1" t="s">
        <v>1056</v>
      </c>
      <c r="G7" t="s">
        <v>374</v>
      </c>
      <c r="H7" t="s">
        <v>10</v>
      </c>
      <c r="J7" s="1390" t="s">
        <v>1289</v>
      </c>
      <c r="M7" t="s">
        <v>1024</v>
      </c>
      <c r="O7" t="str">
        <f t="shared" ref="O7:O13" si="0">M25</f>
        <v>decom_percent</v>
      </c>
      <c r="P7">
        <v>0.1</v>
      </c>
      <c r="R7" s="460" t="s">
        <v>937</v>
      </c>
      <c r="V7" t="s">
        <v>420</v>
      </c>
      <c r="W7">
        <v>1.1000000000000001</v>
      </c>
      <c r="Y7" t="s">
        <v>961</v>
      </c>
      <c r="Z7">
        <v>0</v>
      </c>
      <c r="AB7" t="s">
        <v>173</v>
      </c>
      <c r="AC7" s="460" t="s">
        <v>825</v>
      </c>
    </row>
    <row r="8" spans="1:29" x14ac:dyDescent="0.25">
      <c r="A8" t="s">
        <v>248</v>
      </c>
      <c r="C8" t="s">
        <v>1051</v>
      </c>
      <c r="G8" t="s">
        <v>378</v>
      </c>
      <c r="H8" t="s">
        <v>181</v>
      </c>
      <c r="M8" t="s">
        <v>182</v>
      </c>
      <c r="O8" t="str">
        <f t="shared" si="0"/>
        <v>salvage_perct</v>
      </c>
      <c r="P8">
        <v>0.1</v>
      </c>
      <c r="R8" s="460" t="s">
        <v>938</v>
      </c>
      <c r="V8" t="s">
        <v>422</v>
      </c>
      <c r="W8">
        <v>1.1000000000000001</v>
      </c>
      <c r="Y8" s="305" t="s">
        <v>1269</v>
      </c>
      <c r="Z8" s="305">
        <v>1</v>
      </c>
      <c r="AB8" t="s">
        <v>29</v>
      </c>
      <c r="AC8" s="460" t="s">
        <v>825</v>
      </c>
    </row>
    <row r="9" spans="1:29" x14ac:dyDescent="0.25">
      <c r="A9" t="s">
        <v>271</v>
      </c>
      <c r="C9" t="s">
        <v>271</v>
      </c>
      <c r="G9" t="s">
        <v>379</v>
      </c>
      <c r="H9" t="s">
        <v>170</v>
      </c>
      <c r="M9" t="s">
        <v>10</v>
      </c>
      <c r="O9" t="str">
        <f t="shared" si="0"/>
        <v>inflation_rate</v>
      </c>
      <c r="P9">
        <v>1.9E-2</v>
      </c>
      <c r="R9" s="460" t="s">
        <v>939</v>
      </c>
      <c r="V9" t="s">
        <v>421</v>
      </c>
      <c r="W9">
        <v>1.3</v>
      </c>
      <c r="Y9" s="305" t="s">
        <v>345</v>
      </c>
      <c r="Z9" s="305">
        <v>100</v>
      </c>
      <c r="AB9" t="s">
        <v>159</v>
      </c>
      <c r="AC9" s="460" t="s">
        <v>825</v>
      </c>
    </row>
    <row r="10" spans="1:29" x14ac:dyDescent="0.25">
      <c r="A10" t="s">
        <v>272</v>
      </c>
      <c r="C10" t="s">
        <v>1057</v>
      </c>
      <c r="G10" t="s">
        <v>325</v>
      </c>
      <c r="H10" t="s">
        <v>18</v>
      </c>
      <c r="M10" t="s">
        <v>161</v>
      </c>
      <c r="O10" t="str">
        <f t="shared" si="0"/>
        <v>real_irr</v>
      </c>
      <c r="P10" s="1561">
        <v>0.08</v>
      </c>
      <c r="R10" s="460" t="s">
        <v>940</v>
      </c>
      <c r="V10" t="s">
        <v>423</v>
      </c>
      <c r="W10">
        <v>1.5</v>
      </c>
      <c r="Y10" s="305" t="s">
        <v>1251</v>
      </c>
      <c r="Z10" s="305">
        <v>0.75</v>
      </c>
      <c r="AB10" t="s">
        <v>169</v>
      </c>
      <c r="AC10" s="460" t="s">
        <v>825</v>
      </c>
    </row>
    <row r="11" spans="1:29" ht="13" x14ac:dyDescent="0.3">
      <c r="C11" t="s">
        <v>1070</v>
      </c>
      <c r="G11" t="s">
        <v>326</v>
      </c>
      <c r="H11" t="s">
        <v>178</v>
      </c>
      <c r="J11" s="1" t="s">
        <v>693</v>
      </c>
      <c r="K11" s="1" t="s">
        <v>694</v>
      </c>
      <c r="M11" t="s">
        <v>162</v>
      </c>
      <c r="O11" t="str">
        <f t="shared" si="0"/>
        <v>state_tax_rate</v>
      </c>
      <c r="P11">
        <v>0.06</v>
      </c>
      <c r="R11" s="460" t="s">
        <v>941</v>
      </c>
      <c r="Y11" s="305" t="s">
        <v>1252</v>
      </c>
      <c r="Z11" s="1330" t="s">
        <v>23</v>
      </c>
      <c r="AB11" t="s">
        <v>1092</v>
      </c>
      <c r="AC11" t="s">
        <v>838</v>
      </c>
    </row>
    <row r="12" spans="1:29" x14ac:dyDescent="0.25">
      <c r="C12" t="s">
        <v>272</v>
      </c>
      <c r="G12" t="s">
        <v>327</v>
      </c>
      <c r="H12" t="s">
        <v>30</v>
      </c>
      <c r="J12" s="888" t="str">
        <f>TMP_PriceTable</f>
        <v>AEO_2017_Reference_Case</v>
      </c>
      <c r="K12" t="str">
        <f>J12&amp;"_Feeds"</f>
        <v>AEO_2017_Reference_Case_Feeds</v>
      </c>
      <c r="M12" t="s">
        <v>163</v>
      </c>
      <c r="O12" t="str">
        <f t="shared" si="0"/>
        <v>fed_tax_rate</v>
      </c>
      <c r="P12" s="1561">
        <v>0.21</v>
      </c>
      <c r="R12" s="460" t="s">
        <v>942</v>
      </c>
      <c r="Y12" s="305" t="s">
        <v>1253</v>
      </c>
      <c r="Z12" s="1330" t="s">
        <v>23</v>
      </c>
      <c r="AB12" t="s">
        <v>1093</v>
      </c>
      <c r="AC12" t="s">
        <v>1061</v>
      </c>
    </row>
    <row r="13" spans="1:29" ht="13" x14ac:dyDescent="0.3">
      <c r="G13" t="s">
        <v>328</v>
      </c>
      <c r="H13" t="s">
        <v>174</v>
      </c>
      <c r="K13" s="1" t="s">
        <v>695</v>
      </c>
      <c r="M13" t="s">
        <v>164</v>
      </c>
      <c r="O13" t="str">
        <f t="shared" si="0"/>
        <v>WorkingCap</v>
      </c>
      <c r="P13">
        <v>0.15</v>
      </c>
      <c r="R13" s="460" t="s">
        <v>943</v>
      </c>
      <c r="Y13" s="305" t="s">
        <v>1254</v>
      </c>
      <c r="Z13" s="305">
        <v>0</v>
      </c>
      <c r="AB13" t="s">
        <v>1021</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5">
      <c r="A15" t="s">
        <v>191</v>
      </c>
      <c r="C15" s="776" t="s">
        <v>200</v>
      </c>
      <c r="G15" t="s">
        <v>330</v>
      </c>
      <c r="H15" t="s">
        <v>28</v>
      </c>
      <c r="M15" t="s">
        <v>170</v>
      </c>
      <c r="O15" t="s">
        <v>186</v>
      </c>
      <c r="P15">
        <v>0.02</v>
      </c>
      <c r="R15" t="s">
        <v>26</v>
      </c>
      <c r="Y15" s="1326"/>
      <c r="Z15" s="1326"/>
      <c r="AB15" t="s">
        <v>31</v>
      </c>
      <c r="AC15" t="s">
        <v>1061</v>
      </c>
    </row>
    <row r="16" spans="1:29" ht="14" x14ac:dyDescent="0.25">
      <c r="A16" t="s">
        <v>192</v>
      </c>
      <c r="C16" s="777" t="s">
        <v>201</v>
      </c>
      <c r="G16" t="s">
        <v>331</v>
      </c>
      <c r="H16" t="s">
        <v>189</v>
      </c>
      <c r="M16" t="s">
        <v>7</v>
      </c>
      <c r="O16" t="s">
        <v>177</v>
      </c>
      <c r="P16">
        <v>0</v>
      </c>
      <c r="R16" t="s">
        <v>1024</v>
      </c>
      <c r="Y16" s="1326"/>
      <c r="Z16" s="1327"/>
      <c r="AB16" t="s">
        <v>175</v>
      </c>
      <c r="AC16" t="s">
        <v>1061</v>
      </c>
    </row>
    <row r="17" spans="1:29" x14ac:dyDescent="0.25">
      <c r="A17" t="s">
        <v>243</v>
      </c>
      <c r="C17" s="833" t="s">
        <v>501</v>
      </c>
      <c r="G17" t="s">
        <v>12</v>
      </c>
      <c r="H17" t="s">
        <v>246</v>
      </c>
      <c r="M17" t="s">
        <v>24</v>
      </c>
      <c r="O17" t="s">
        <v>156</v>
      </c>
      <c r="P17">
        <v>0</v>
      </c>
      <c r="R17" t="s">
        <v>182</v>
      </c>
      <c r="AB17" t="s">
        <v>1023</v>
      </c>
      <c r="AC17" t="s">
        <v>1061</v>
      </c>
    </row>
    <row r="18" spans="1:29" x14ac:dyDescent="0.25">
      <c r="A18" t="s">
        <v>244</v>
      </c>
      <c r="C18" s="778" t="s">
        <v>1031</v>
      </c>
      <c r="G18" t="s">
        <v>117</v>
      </c>
      <c r="H18" t="s">
        <v>973</v>
      </c>
      <c r="M18" t="s">
        <v>25</v>
      </c>
      <c r="O18" t="s">
        <v>185</v>
      </c>
      <c r="P18">
        <v>0</v>
      </c>
      <c r="R18" t="s">
        <v>10</v>
      </c>
      <c r="Y18" s="1326"/>
      <c r="Z18" s="1326"/>
      <c r="AB18" t="s">
        <v>172</v>
      </c>
      <c r="AC18" t="s">
        <v>1061</v>
      </c>
    </row>
    <row r="19" spans="1:29" x14ac:dyDescent="0.25">
      <c r="A19" t="s">
        <v>245</v>
      </c>
      <c r="C19" s="477" t="s">
        <v>202</v>
      </c>
      <c r="G19" t="s">
        <v>634</v>
      </c>
      <c r="H19" t="s">
        <v>635</v>
      </c>
      <c r="M19" t="s">
        <v>247</v>
      </c>
      <c r="O19" t="s">
        <v>963</v>
      </c>
      <c r="P19">
        <v>0</v>
      </c>
      <c r="R19" t="s">
        <v>161</v>
      </c>
      <c r="Y19" s="1326"/>
      <c r="Z19" s="1326"/>
      <c r="AB19" t="s">
        <v>157</v>
      </c>
      <c r="AC19" t="s">
        <v>1060</v>
      </c>
    </row>
    <row r="20" spans="1:29" x14ac:dyDescent="0.25">
      <c r="A20" t="s">
        <v>17</v>
      </c>
      <c r="G20" t="s">
        <v>352</v>
      </c>
      <c r="H20" t="s">
        <v>1092</v>
      </c>
      <c r="M20" t="s">
        <v>13</v>
      </c>
      <c r="O20" t="s">
        <v>964</v>
      </c>
      <c r="P20">
        <v>0</v>
      </c>
      <c r="R20" t="s">
        <v>162</v>
      </c>
      <c r="Y20" s="1326"/>
      <c r="Z20" s="1326"/>
      <c r="AB20" t="s">
        <v>158</v>
      </c>
      <c r="AC20" t="s">
        <v>1061</v>
      </c>
    </row>
    <row r="21" spans="1:29" x14ac:dyDescent="0.25">
      <c r="G21" t="s">
        <v>662</v>
      </c>
      <c r="H21" t="s">
        <v>1021</v>
      </c>
      <c r="M21" t="s">
        <v>14</v>
      </c>
      <c r="R21" t="s">
        <v>163</v>
      </c>
      <c r="AB21" t="s">
        <v>187</v>
      </c>
      <c r="AC21" t="s">
        <v>1060</v>
      </c>
    </row>
    <row r="22" spans="1:29" x14ac:dyDescent="0.25">
      <c r="G22" t="s">
        <v>332</v>
      </c>
      <c r="H22" t="s">
        <v>160</v>
      </c>
      <c r="M22" t="s">
        <v>165</v>
      </c>
      <c r="R22" t="s">
        <v>164</v>
      </c>
      <c r="AB22" t="s">
        <v>280</v>
      </c>
      <c r="AC22" t="s">
        <v>1060</v>
      </c>
    </row>
    <row r="23" spans="1:29" ht="13" x14ac:dyDescent="0.3">
      <c r="A23" s="1" t="s">
        <v>837</v>
      </c>
      <c r="G23" t="s">
        <v>333</v>
      </c>
      <c r="H23" t="s">
        <v>186</v>
      </c>
      <c r="M23" t="s">
        <v>167</v>
      </c>
      <c r="R23" t="s">
        <v>181</v>
      </c>
      <c r="AB23" t="s">
        <v>188</v>
      </c>
      <c r="AC23" t="s">
        <v>1060</v>
      </c>
    </row>
    <row r="24" spans="1:29" x14ac:dyDescent="0.25">
      <c r="A24" s="460" t="s">
        <v>1060</v>
      </c>
      <c r="G24" t="s">
        <v>359</v>
      </c>
      <c r="H24" t="s">
        <v>175</v>
      </c>
      <c r="M24" t="s">
        <v>168</v>
      </c>
      <c r="R24" t="s">
        <v>170</v>
      </c>
      <c r="AB24" t="s">
        <v>180</v>
      </c>
      <c r="AC24" t="s">
        <v>1060</v>
      </c>
    </row>
    <row r="25" spans="1:29" x14ac:dyDescent="0.25">
      <c r="A25" s="460" t="s">
        <v>1061</v>
      </c>
      <c r="G25" t="s">
        <v>360</v>
      </c>
      <c r="H25" t="s">
        <v>1023</v>
      </c>
      <c r="M25" t="s">
        <v>18</v>
      </c>
      <c r="R25" t="s">
        <v>7</v>
      </c>
      <c r="AB25" t="s">
        <v>177</v>
      </c>
      <c r="AC25" t="s">
        <v>1060</v>
      </c>
    </row>
    <row r="26" spans="1:29" x14ac:dyDescent="0.25">
      <c r="A26" s="460" t="s">
        <v>838</v>
      </c>
      <c r="G26" t="s">
        <v>361</v>
      </c>
      <c r="H26" t="s">
        <v>172</v>
      </c>
      <c r="M26" t="s">
        <v>178</v>
      </c>
      <c r="R26" t="s">
        <v>24</v>
      </c>
      <c r="AB26" t="s">
        <v>156</v>
      </c>
      <c r="AC26" t="s">
        <v>1060</v>
      </c>
    </row>
    <row r="27" spans="1:29" x14ac:dyDescent="0.25">
      <c r="A27" s="460" t="s">
        <v>825</v>
      </c>
      <c r="G27" t="s">
        <v>365</v>
      </c>
      <c r="H27" t="s">
        <v>188</v>
      </c>
      <c r="M27" t="s">
        <v>30</v>
      </c>
      <c r="R27" t="s">
        <v>25</v>
      </c>
      <c r="AB27" t="s">
        <v>185</v>
      </c>
      <c r="AC27" t="s">
        <v>1060</v>
      </c>
    </row>
    <row r="28" spans="1:29" x14ac:dyDescent="0.25">
      <c r="A28">
        <v>0.1</v>
      </c>
      <c r="G28" t="s">
        <v>366</v>
      </c>
      <c r="H28" t="s">
        <v>180</v>
      </c>
      <c r="M28" t="s">
        <v>174</v>
      </c>
      <c r="R28" t="s">
        <v>247</v>
      </c>
      <c r="AB28" t="s">
        <v>1064</v>
      </c>
      <c r="AC28" t="s">
        <v>825</v>
      </c>
    </row>
    <row r="29" spans="1:29" x14ac:dyDescent="0.25">
      <c r="A29">
        <v>0.2</v>
      </c>
      <c r="G29" t="s">
        <v>999</v>
      </c>
      <c r="H29" t="s">
        <v>9</v>
      </c>
      <c r="M29" t="s">
        <v>184</v>
      </c>
      <c r="R29" t="s">
        <v>13</v>
      </c>
    </row>
    <row r="30" spans="1:29" x14ac:dyDescent="0.25">
      <c r="A30">
        <v>0.25</v>
      </c>
      <c r="G30" t="s">
        <v>834</v>
      </c>
      <c r="H30" t="s">
        <v>835</v>
      </c>
      <c r="M30" t="s">
        <v>28</v>
      </c>
      <c r="R30" t="s">
        <v>14</v>
      </c>
    </row>
    <row r="31" spans="1:29" x14ac:dyDescent="0.25">
      <c r="A31">
        <v>0.3</v>
      </c>
      <c r="G31" t="s">
        <v>1352</v>
      </c>
      <c r="H31" t="s">
        <v>1353</v>
      </c>
      <c r="M31" t="s">
        <v>189</v>
      </c>
      <c r="R31" t="s">
        <v>165</v>
      </c>
    </row>
    <row r="32" spans="1:29" x14ac:dyDescent="0.25">
      <c r="A32">
        <v>0.4</v>
      </c>
      <c r="M32" t="s">
        <v>1092</v>
      </c>
      <c r="R32" t="s">
        <v>167</v>
      </c>
    </row>
    <row r="33" spans="1:18" x14ac:dyDescent="0.25">
      <c r="A33">
        <v>0.5</v>
      </c>
      <c r="M33" t="s">
        <v>1093</v>
      </c>
      <c r="R33" t="s">
        <v>168</v>
      </c>
    </row>
    <row r="34" spans="1:18" x14ac:dyDescent="0.25">
      <c r="A34">
        <v>0.6</v>
      </c>
      <c r="M34" t="s">
        <v>1021</v>
      </c>
      <c r="R34" t="s">
        <v>18</v>
      </c>
    </row>
    <row r="35" spans="1:18" x14ac:dyDescent="0.25">
      <c r="A35">
        <v>0.7</v>
      </c>
      <c r="M35" t="s">
        <v>1022</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1023</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1092</v>
      </c>
    </row>
    <row r="50" spans="13:18" x14ac:dyDescent="0.25">
      <c r="M50" t="s">
        <v>185</v>
      </c>
      <c r="R50" t="s">
        <v>1093</v>
      </c>
    </row>
    <row r="51" spans="13:18" x14ac:dyDescent="0.25">
      <c r="M51" t="s">
        <v>9</v>
      </c>
      <c r="R51" t="s">
        <v>1021</v>
      </c>
    </row>
    <row r="52" spans="13:18" x14ac:dyDescent="0.25">
      <c r="M52" t="s">
        <v>1064</v>
      </c>
      <c r="R52" t="s">
        <v>1022</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1023</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1064</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79" t="s">
        <v>409</v>
      </c>
    </row>
    <row r="6" spans="2:2" ht="13" x14ac:dyDescent="0.3">
      <c r="B6" s="780" t="s">
        <v>204</v>
      </c>
    </row>
    <row r="7" spans="2:2" x14ac:dyDescent="0.25">
      <c r="B7" s="744"/>
    </row>
    <row r="8" spans="2:2" x14ac:dyDescent="0.25">
      <c r="B8" s="781"/>
    </row>
    <row r="9" spans="2:2" x14ac:dyDescent="0.25">
      <c r="B9" s="781"/>
    </row>
    <row r="10" spans="2:2" x14ac:dyDescent="0.25">
      <c r="B10" s="781"/>
    </row>
    <row r="11" spans="2:2" x14ac:dyDescent="0.25">
      <c r="B11" s="781"/>
    </row>
    <row r="12" spans="2:2" x14ac:dyDescent="0.25">
      <c r="B12" s="781"/>
    </row>
    <row r="13" spans="2:2" x14ac:dyDescent="0.25">
      <c r="B13" s="781"/>
    </row>
    <row r="14" spans="2:2" x14ac:dyDescent="0.25">
      <c r="B14" s="781"/>
    </row>
    <row r="15" spans="2:2" x14ac:dyDescent="0.25">
      <c r="B15" s="781"/>
    </row>
    <row r="16" spans="2:2" x14ac:dyDescent="0.25">
      <c r="B16" s="781"/>
    </row>
    <row r="17" spans="2:2" x14ac:dyDescent="0.25">
      <c r="B17" s="781"/>
    </row>
    <row r="18" spans="2:2" x14ac:dyDescent="0.25">
      <c r="B18" s="781"/>
    </row>
    <row r="19" spans="2:2" x14ac:dyDescent="0.25">
      <c r="B19" s="781"/>
    </row>
    <row r="20" spans="2:2" x14ac:dyDescent="0.25">
      <c r="B20" s="781"/>
    </row>
    <row r="21" spans="2:2" x14ac:dyDescent="0.25">
      <c r="B21" s="781"/>
    </row>
    <row r="22" spans="2:2" x14ac:dyDescent="0.25">
      <c r="B22" s="781"/>
    </row>
    <row r="23" spans="2:2" x14ac:dyDescent="0.25">
      <c r="B23" s="781"/>
    </row>
    <row r="24" spans="2:2" x14ac:dyDescent="0.25">
      <c r="B24" s="781"/>
    </row>
    <row r="25" spans="2:2" x14ac:dyDescent="0.25">
      <c r="B25" s="781"/>
    </row>
    <row r="26" spans="2:2" x14ac:dyDescent="0.25">
      <c r="B26" s="781"/>
    </row>
    <row r="27" spans="2:2" x14ac:dyDescent="0.25">
      <c r="B27" s="781"/>
    </row>
    <row r="28" spans="2:2" x14ac:dyDescent="0.25">
      <c r="B28" s="781"/>
    </row>
    <row r="29" spans="2:2" ht="13" x14ac:dyDescent="0.3">
      <c r="B29" s="782" t="s">
        <v>205</v>
      </c>
    </row>
    <row r="30" spans="2:2" x14ac:dyDescent="0.25">
      <c r="B30" s="744"/>
    </row>
    <row r="31" spans="2:2" x14ac:dyDescent="0.25">
      <c r="B31" s="209"/>
    </row>
    <row r="32" spans="2:2" x14ac:dyDescent="0.25">
      <c r="B32" s="781"/>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8382000</xdr:colOff>
                <xdr:row>3</xdr:row>
                <xdr:rowOff>25400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79" t="s">
        <v>408</v>
      </c>
    </row>
    <row r="6" spans="2:2" ht="13" x14ac:dyDescent="0.3">
      <c r="B6" s="780" t="s">
        <v>206</v>
      </c>
    </row>
    <row r="7" spans="2:2" x14ac:dyDescent="0.25">
      <c r="B7" s="744"/>
    </row>
    <row r="8" spans="2:2" x14ac:dyDescent="0.25">
      <c r="B8" s="781"/>
    </row>
    <row r="9" spans="2:2" x14ac:dyDescent="0.25">
      <c r="B9" s="781"/>
    </row>
    <row r="10" spans="2:2" ht="13" x14ac:dyDescent="0.3">
      <c r="B10" s="782" t="s">
        <v>207</v>
      </c>
    </row>
    <row r="11" spans="2:2" x14ac:dyDescent="0.25">
      <c r="B11" s="744"/>
    </row>
    <row r="12" spans="2:2" x14ac:dyDescent="0.25">
      <c r="B12" s="209"/>
    </row>
    <row r="13" spans="2:2" x14ac:dyDescent="0.25">
      <c r="B13" s="781"/>
    </row>
    <row r="14" spans="2:2" ht="13" x14ac:dyDescent="0.3">
      <c r="B14" s="782" t="s">
        <v>208</v>
      </c>
    </row>
    <row r="15" spans="2:2" x14ac:dyDescent="0.25">
      <c r="B15" s="744"/>
    </row>
    <row r="16" spans="2:2" x14ac:dyDescent="0.25">
      <c r="B16" s="781"/>
    </row>
    <row r="17" spans="2:2" x14ac:dyDescent="0.25">
      <c r="B17" s="781"/>
    </row>
    <row r="18" spans="2:2" ht="13" x14ac:dyDescent="0.3">
      <c r="B18" s="782" t="s">
        <v>209</v>
      </c>
    </row>
    <row r="19" spans="2:2" x14ac:dyDescent="0.25">
      <c r="B19" s="744"/>
    </row>
    <row r="20" spans="2:2" x14ac:dyDescent="0.25">
      <c r="B20" s="781"/>
    </row>
    <row r="21" spans="2:2" ht="13" x14ac:dyDescent="0.25">
      <c r="B21" s="783" t="s">
        <v>210</v>
      </c>
    </row>
    <row r="22" spans="2:2" x14ac:dyDescent="0.25">
      <c r="B22" s="784"/>
    </row>
    <row r="23" spans="2:2" x14ac:dyDescent="0.25">
      <c r="B23" s="744"/>
    </row>
    <row r="24" spans="2:2" x14ac:dyDescent="0.25">
      <c r="B24" s="744"/>
    </row>
    <row r="25" spans="2:2" x14ac:dyDescent="0.25">
      <c r="B25" s="744"/>
    </row>
    <row r="26" spans="2:2" x14ac:dyDescent="0.25">
      <c r="B26" s="784"/>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7112000</xdr:colOff>
                <xdr:row>3</xdr:row>
                <xdr:rowOff>25400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79" t="s">
        <v>407</v>
      </c>
    </row>
    <row r="4" spans="2:4" ht="13" thickBot="1" x14ac:dyDescent="0.3"/>
    <row r="5" spans="2:4" ht="13.5" thickTop="1" x14ac:dyDescent="0.3">
      <c r="B5" s="785" t="s">
        <v>211</v>
      </c>
      <c r="C5" s="786"/>
      <c r="D5" s="787"/>
    </row>
    <row r="6" spans="2:4" ht="13" x14ac:dyDescent="0.3">
      <c r="B6" s="788" t="s">
        <v>212</v>
      </c>
      <c r="C6" s="520"/>
      <c r="D6" s="787"/>
    </row>
    <row r="7" spans="2:4" ht="13" x14ac:dyDescent="0.3">
      <c r="B7" s="788" t="s">
        <v>213</v>
      </c>
      <c r="C7" s="520"/>
      <c r="D7" s="787"/>
    </row>
    <row r="8" spans="2:4" ht="13" x14ac:dyDescent="0.3">
      <c r="B8" s="788" t="s">
        <v>214</v>
      </c>
      <c r="C8" s="520"/>
      <c r="D8" s="787"/>
    </row>
    <row r="9" spans="2:4" ht="13" x14ac:dyDescent="0.3">
      <c r="B9" s="788" t="s">
        <v>215</v>
      </c>
      <c r="C9" s="789"/>
      <c r="D9" s="790"/>
    </row>
    <row r="10" spans="2:4" ht="13" x14ac:dyDescent="0.3">
      <c r="B10" s="788" t="s">
        <v>216</v>
      </c>
      <c r="C10" s="520"/>
      <c r="D10" s="787"/>
    </row>
    <row r="11" spans="2:4" ht="13" x14ac:dyDescent="0.3">
      <c r="B11" s="788" t="s">
        <v>217</v>
      </c>
      <c r="C11" s="791"/>
      <c r="D11" s="792"/>
    </row>
    <row r="12" spans="2:4" ht="13.5" thickBot="1" x14ac:dyDescent="0.35">
      <c r="B12" s="793" t="s">
        <v>218</v>
      </c>
      <c r="C12" s="521"/>
      <c r="D12" s="787"/>
    </row>
    <row r="13" spans="2:4" ht="14" thickTop="1" thickBot="1" x14ac:dyDescent="0.35">
      <c r="B13" s="794"/>
      <c r="C13" s="787"/>
      <c r="D13" s="795"/>
    </row>
    <row r="14" spans="2:4" ht="13.5" thickTop="1" x14ac:dyDescent="0.3">
      <c r="B14" s="785" t="s">
        <v>219</v>
      </c>
      <c r="C14" s="796"/>
      <c r="D14" s="797"/>
    </row>
    <row r="15" spans="2:4" ht="13" x14ac:dyDescent="0.3">
      <c r="B15" s="788" t="s">
        <v>220</v>
      </c>
      <c r="C15" s="798"/>
      <c r="D15" s="799"/>
    </row>
    <row r="16" spans="2:4" ht="13" x14ac:dyDescent="0.3">
      <c r="B16" s="788" t="s">
        <v>221</v>
      </c>
      <c r="C16" s="734"/>
      <c r="D16" s="797"/>
    </row>
    <row r="17" spans="2:4" ht="13" x14ac:dyDescent="0.3">
      <c r="B17" s="788" t="s">
        <v>222</v>
      </c>
      <c r="C17" s="734"/>
      <c r="D17" s="797"/>
    </row>
    <row r="18" spans="2:4" ht="13" x14ac:dyDescent="0.3">
      <c r="B18" s="788" t="s">
        <v>223</v>
      </c>
      <c r="C18" s="734"/>
      <c r="D18" s="800"/>
    </row>
    <row r="19" spans="2:4" ht="13" x14ac:dyDescent="0.3">
      <c r="B19" s="788" t="s">
        <v>224</v>
      </c>
      <c r="C19" s="734"/>
      <c r="D19" s="797"/>
    </row>
    <row r="20" spans="2:4" ht="13" x14ac:dyDescent="0.3">
      <c r="B20" s="788" t="s">
        <v>225</v>
      </c>
      <c r="C20" s="734"/>
      <c r="D20" s="797"/>
    </row>
    <row r="21" spans="2:4" ht="13" x14ac:dyDescent="0.3">
      <c r="B21" s="788" t="s">
        <v>226</v>
      </c>
      <c r="C21" s="734"/>
      <c r="D21" s="797"/>
    </row>
    <row r="22" spans="2:4" ht="26" x14ac:dyDescent="0.3">
      <c r="B22" s="801" t="s">
        <v>227</v>
      </c>
      <c r="C22" s="798"/>
      <c r="D22" s="797"/>
    </row>
    <row r="23" spans="2:4" ht="13" x14ac:dyDescent="0.3">
      <c r="B23" s="801" t="s">
        <v>228</v>
      </c>
      <c r="C23" s="734"/>
      <c r="D23" s="797"/>
    </row>
    <row r="24" spans="2:4" ht="13.5" thickBot="1" x14ac:dyDescent="0.35">
      <c r="B24" s="793" t="s">
        <v>229</v>
      </c>
      <c r="C24" s="802"/>
      <c r="D24" s="797"/>
    </row>
    <row r="25" spans="2:4" ht="14" thickTop="1" thickBot="1" x14ac:dyDescent="0.35">
      <c r="B25" s="803"/>
      <c r="C25" s="797"/>
      <c r="D25" s="797"/>
    </row>
    <row r="26" spans="2:4" ht="13.5" thickTop="1" x14ac:dyDescent="0.3">
      <c r="B26" s="1765" t="s">
        <v>230</v>
      </c>
      <c r="C26" s="1766"/>
      <c r="D26" s="1767"/>
    </row>
    <row r="27" spans="2:4" ht="13" x14ac:dyDescent="0.3">
      <c r="B27" s="804" t="s">
        <v>231</v>
      </c>
      <c r="C27" s="805" t="s">
        <v>232</v>
      </c>
      <c r="D27" s="806" t="s">
        <v>1029</v>
      </c>
    </row>
    <row r="28" spans="2:4" x14ac:dyDescent="0.25">
      <c r="B28" s="807"/>
      <c r="C28" s="808"/>
      <c r="D28" s="734"/>
    </row>
    <row r="29" spans="2:4" x14ac:dyDescent="0.25">
      <c r="B29" s="809"/>
      <c r="C29" s="808"/>
      <c r="D29" s="734"/>
    </row>
    <row r="30" spans="2:4" x14ac:dyDescent="0.25">
      <c r="B30" s="809"/>
      <c r="C30" s="808"/>
      <c r="D30" s="734"/>
    </row>
    <row r="31" spans="2:4" x14ac:dyDescent="0.25">
      <c r="B31" s="809"/>
      <c r="C31" s="808"/>
      <c r="D31" s="734"/>
    </row>
    <row r="32" spans="2:4" x14ac:dyDescent="0.25">
      <c r="B32" s="809"/>
      <c r="C32" s="808"/>
      <c r="D32" s="734"/>
    </row>
    <row r="33" spans="2:4" ht="13" thickBot="1" x14ac:dyDescent="0.3">
      <c r="B33" s="810"/>
      <c r="C33" s="811"/>
      <c r="D33" s="802"/>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1987550</xdr:colOff>
                <xdr:row>2</xdr:row>
                <xdr:rowOff>44450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d82b9494-d8c4-46c3-8d38-25b9e100fe6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from PEM Electrolysis version 3.2018</dc:title>
  <dc:subject>DOE H2A production case study for future central hydrogen production from PEM electrolysis.</dc:subject>
  <dc:creator>dsteward</dc:creator>
  <cp:lastModifiedBy>JRICKARD</cp:lastModifiedBy>
  <cp:lastPrinted>2008-09-22T17:50:40Z</cp:lastPrinted>
  <dcterms:created xsi:type="dcterms:W3CDTF">2007-03-27T19:45:13Z</dcterms:created>
  <dcterms:modified xsi:type="dcterms:W3CDTF">2018-11-27T16:36:57Z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