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05" windowWidth="15180" windowHeight="12150"/>
  </bookViews>
  <sheets>
    <sheet name="Standard Curve" sheetId="1" r:id="rId1"/>
    <sheet name="Denuder Assay" sheetId="5" r:id="rId2"/>
    <sheet name="REA Flux" sheetId="3" r:id="rId3"/>
  </sheets>
  <definedNames>
    <definedName name="meanabs">'Standard Curve'!$J$9:$J$16</definedName>
    <definedName name="_xlnm.Print_Titles" localSheetId="1">'Denuder Assay'!$A:$A</definedName>
    <definedName name="stdconc">'Standard Curve'!$A$9:$A$16</definedName>
  </definedNames>
  <calcPr calcId="125725"/>
</workbook>
</file>

<file path=xl/calcChain.xml><?xml version="1.0" encoding="utf-8"?>
<calcChain xmlns="http://schemas.openxmlformats.org/spreadsheetml/2006/main">
  <c r="J10" i="3"/>
  <c r="K10"/>
  <c r="L11"/>
  <c r="M11"/>
  <c r="L12"/>
  <c r="M12"/>
  <c r="L13"/>
  <c r="M13"/>
  <c r="L14"/>
  <c r="M14"/>
  <c r="L15"/>
  <c r="M15"/>
  <c r="L16"/>
  <c r="M16"/>
  <c r="L17"/>
  <c r="M17"/>
  <c r="L18"/>
  <c r="M18"/>
  <c r="L19"/>
  <c r="M19"/>
  <c r="L20"/>
  <c r="M20"/>
  <c r="L21"/>
  <c r="M21"/>
  <c r="L22"/>
  <c r="M22"/>
  <c r="L23"/>
  <c r="M23"/>
  <c r="L24"/>
  <c r="M24"/>
  <c r="L25"/>
  <c r="M25"/>
  <c r="L26"/>
  <c r="M26"/>
  <c r="L27"/>
  <c r="M27"/>
  <c r="L28"/>
  <c r="M28"/>
  <c r="N11"/>
  <c r="O11" s="1"/>
  <c r="N12"/>
  <c r="O12" s="1"/>
  <c r="N13"/>
  <c r="O13" s="1"/>
  <c r="N14"/>
  <c r="O14" s="1"/>
  <c r="N15"/>
  <c r="O15" s="1"/>
  <c r="N16"/>
  <c r="O16" s="1"/>
  <c r="N17"/>
  <c r="O17" s="1"/>
  <c r="N18"/>
  <c r="O18" s="1"/>
  <c r="N19"/>
  <c r="O19" s="1"/>
  <c r="N21"/>
  <c r="O21" s="1"/>
  <c r="N22"/>
  <c r="O22" s="1"/>
  <c r="N23"/>
  <c r="O23" s="1"/>
  <c r="N24"/>
  <c r="O24" s="1"/>
  <c r="N25"/>
  <c r="O25" s="1"/>
  <c r="N26"/>
  <c r="O26" s="1"/>
  <c r="N27"/>
  <c r="O27" s="1"/>
  <c r="N28"/>
  <c r="O28" s="1"/>
  <c r="K9"/>
  <c r="J9"/>
  <c r="X20" i="5"/>
  <c r="Y20" s="1"/>
  <c r="B20" i="3" s="1"/>
  <c r="X21" i="5"/>
  <c r="Y21" s="1"/>
  <c r="B21" i="3" s="1"/>
  <c r="X22" i="5"/>
  <c r="Y22" s="1"/>
  <c r="B22" i="3" s="1"/>
  <c r="X23" i="5"/>
  <c r="Y23" s="1"/>
  <c r="B23" i="3" s="1"/>
  <c r="X24" i="5"/>
  <c r="Y24" s="1"/>
  <c r="B24" i="3" s="1"/>
  <c r="X25" i="5"/>
  <c r="Y25" s="1"/>
  <c r="B25" i="3" s="1"/>
  <c r="X26" i="5"/>
  <c r="Y26" s="1"/>
  <c r="B26" i="3" s="1"/>
  <c r="X27" i="5"/>
  <c r="Y27" s="1"/>
  <c r="B27" i="3" s="1"/>
  <c r="X28" i="5"/>
  <c r="Y28" s="1"/>
  <c r="B28" i="3" s="1"/>
  <c r="X31" i="5"/>
  <c r="X32"/>
  <c r="M20"/>
  <c r="M21"/>
  <c r="M22"/>
  <c r="M23"/>
  <c r="M24"/>
  <c r="M25"/>
  <c r="M26"/>
  <c r="M27"/>
  <c r="M28"/>
  <c r="M31"/>
  <c r="M32"/>
  <c r="N20" i="3" l="1"/>
  <c r="O20" s="1"/>
  <c r="A10"/>
  <c r="A11"/>
  <c r="A12"/>
  <c r="A13"/>
  <c r="A14"/>
  <c r="A15"/>
  <c r="A16"/>
  <c r="A17"/>
  <c r="A18"/>
  <c r="A19"/>
  <c r="A20"/>
  <c r="A21"/>
  <c r="A22"/>
  <c r="A23"/>
  <c r="A24"/>
  <c r="A25"/>
  <c r="A26"/>
  <c r="A27"/>
  <c r="A28"/>
  <c r="A9"/>
  <c r="A8"/>
  <c r="V32" i="5"/>
  <c r="V31"/>
  <c r="V30"/>
  <c r="V29"/>
  <c r="V28"/>
  <c r="V27"/>
  <c r="V26"/>
  <c r="V25"/>
  <c r="V24"/>
  <c r="V23"/>
  <c r="V22"/>
  <c r="V21"/>
  <c r="V20"/>
  <c r="V19"/>
  <c r="V18"/>
  <c r="V17"/>
  <c r="V16"/>
  <c r="V15"/>
  <c r="V14"/>
  <c r="V13"/>
  <c r="V12"/>
  <c r="V11"/>
  <c r="V10"/>
  <c r="V9"/>
  <c r="S19"/>
  <c r="S20"/>
  <c r="S21"/>
  <c r="S22"/>
  <c r="S23"/>
  <c r="S24"/>
  <c r="S25"/>
  <c r="S26"/>
  <c r="S27"/>
  <c r="S28"/>
  <c r="P20"/>
  <c r="P21"/>
  <c r="P22"/>
  <c r="P23"/>
  <c r="P24"/>
  <c r="P25"/>
  <c r="P26"/>
  <c r="P27"/>
  <c r="L31"/>
  <c r="L32"/>
  <c r="L29"/>
  <c r="L30"/>
  <c r="L9"/>
  <c r="L10"/>
  <c r="L11"/>
  <c r="L12"/>
  <c r="L13"/>
  <c r="L14"/>
  <c r="L15"/>
  <c r="L16"/>
  <c r="L18"/>
  <c r="L19"/>
  <c r="L20"/>
  <c r="L21"/>
  <c r="L22"/>
  <c r="L23"/>
  <c r="L24"/>
  <c r="L25"/>
  <c r="L26"/>
  <c r="L27"/>
  <c r="L28"/>
  <c r="L17"/>
  <c r="K20"/>
  <c r="K21"/>
  <c r="K22"/>
  <c r="K23"/>
  <c r="K24"/>
  <c r="K25"/>
  <c r="K26"/>
  <c r="K27"/>
  <c r="K28"/>
  <c r="S32"/>
  <c r="P32"/>
  <c r="S31"/>
  <c r="P31"/>
  <c r="S30"/>
  <c r="P30"/>
  <c r="S29"/>
  <c r="P29"/>
  <c r="P28"/>
  <c r="P19"/>
  <c r="S18"/>
  <c r="P18"/>
  <c r="S17"/>
  <c r="P17"/>
  <c r="S16"/>
  <c r="P16"/>
  <c r="S15"/>
  <c r="P15"/>
  <c r="S14"/>
  <c r="P14"/>
  <c r="S13"/>
  <c r="P13"/>
  <c r="S12"/>
  <c r="P12"/>
  <c r="S11"/>
  <c r="P11"/>
  <c r="S10"/>
  <c r="P10"/>
  <c r="S9"/>
  <c r="P9"/>
  <c r="K12"/>
  <c r="K13"/>
  <c r="K14"/>
  <c r="K15"/>
  <c r="K16"/>
  <c r="K17"/>
  <c r="K18"/>
  <c r="K19"/>
  <c r="K29"/>
  <c r="K30"/>
  <c r="K31"/>
  <c r="K32"/>
  <c r="K9"/>
  <c r="K10"/>
  <c r="K11"/>
  <c r="L13" i="1"/>
  <c r="L14"/>
  <c r="L15"/>
  <c r="L16"/>
  <c r="L9"/>
  <c r="L10"/>
  <c r="L11"/>
  <c r="L12"/>
  <c r="K13"/>
  <c r="K14"/>
  <c r="K15"/>
  <c r="K16"/>
  <c r="K9"/>
  <c r="K10"/>
  <c r="K11"/>
  <c r="K12"/>
  <c r="J13"/>
  <c r="J14"/>
  <c r="J15"/>
  <c r="J16"/>
  <c r="J12"/>
  <c r="J9"/>
  <c r="J10"/>
  <c r="J11"/>
  <c r="W28" i="5" l="1"/>
  <c r="W29"/>
  <c r="W30"/>
  <c r="W27"/>
  <c r="W25"/>
  <c r="W23"/>
  <c r="W21"/>
  <c r="W26"/>
  <c r="W24"/>
  <c r="W22"/>
  <c r="W20"/>
  <c r="W11"/>
  <c r="W13"/>
  <c r="W15"/>
  <c r="W17"/>
  <c r="W19"/>
  <c r="W10"/>
  <c r="W12"/>
  <c r="W14"/>
  <c r="W16"/>
  <c r="W18"/>
  <c r="W9"/>
  <c r="W32"/>
  <c r="W31"/>
  <c r="E19" i="1" a="1"/>
  <c r="E19" s="1"/>
  <c r="F19" l="1"/>
  <c r="M19" i="5" s="1"/>
  <c r="M29" l="1"/>
  <c r="X29" s="1"/>
  <c r="M17"/>
  <c r="M13"/>
  <c r="M30"/>
  <c r="X30" s="1"/>
  <c r="M16"/>
  <c r="M12"/>
  <c r="M15"/>
  <c r="M11"/>
  <c r="M18"/>
  <c r="M14"/>
  <c r="M10"/>
  <c r="M9"/>
  <c r="X33" l="1"/>
  <c r="X19" s="1"/>
  <c r="Y19" s="1"/>
  <c r="B19" i="3" s="1"/>
  <c r="X11" i="5" l="1"/>
  <c r="Y11" s="1"/>
  <c r="B11" i="3" s="1"/>
  <c r="X9" i="5"/>
  <c r="Y9" s="1"/>
  <c r="B9" i="3" s="1"/>
  <c r="X10" i="5"/>
  <c r="Y10" s="1"/>
  <c r="B10" i="3" s="1"/>
  <c r="X13" i="5"/>
  <c r="Y13" s="1"/>
  <c r="B13" i="3" s="1"/>
  <c r="X16" i="5"/>
  <c r="Y16" s="1"/>
  <c r="B16" i="3" s="1"/>
  <c r="X15" i="5"/>
  <c r="Y15" s="1"/>
  <c r="B15" i="3" s="1"/>
  <c r="X18" i="5"/>
  <c r="Y18" s="1"/>
  <c r="B18" i="3" s="1"/>
  <c r="X17" i="5"/>
  <c r="Y17" s="1"/>
  <c r="B17" i="3" s="1"/>
  <c r="X12" i="5"/>
  <c r="Y12" s="1"/>
  <c r="B12" i="3" s="1"/>
  <c r="X14" i="5"/>
  <c r="Y14" s="1"/>
  <c r="B14" i="3" s="1"/>
  <c r="G9" s="1"/>
  <c r="M9" s="1"/>
  <c r="M10" l="1"/>
  <c r="G10"/>
  <c r="F9"/>
  <c r="L9" s="1"/>
  <c r="N9" s="1"/>
  <c r="O9" s="1"/>
  <c r="F10"/>
  <c r="L10" s="1"/>
  <c r="N10" l="1"/>
  <c r="O10" s="1"/>
</calcChain>
</file>

<file path=xl/sharedStrings.xml><?xml version="1.0" encoding="utf-8"?>
<sst xmlns="http://schemas.openxmlformats.org/spreadsheetml/2006/main" count="96" uniqueCount="71">
  <si>
    <t>Performed by:</t>
  </si>
  <si>
    <t>Date:</t>
  </si>
  <si>
    <t>Absorbance</t>
  </si>
  <si>
    <t>Mean</t>
  </si>
  <si>
    <t>1σ</t>
  </si>
  <si>
    <t>Std. Err.</t>
  </si>
  <si>
    <t>slope</t>
  </si>
  <si>
    <t>offset</t>
  </si>
  <si>
    <t>Concentration</t>
  </si>
  <si>
    <t>Notes:</t>
  </si>
  <si>
    <t>Linear regression</t>
  </si>
  <si>
    <t>Conc.</t>
  </si>
  <si>
    <t>Control 1</t>
  </si>
  <si>
    <t>Control 2</t>
  </si>
  <si>
    <t>Control 3</t>
  </si>
  <si>
    <t>Control 4</t>
  </si>
  <si>
    <t>A</t>
  </si>
  <si>
    <t>B</t>
  </si>
  <si>
    <t>Non-coated (7721)</t>
  </si>
  <si>
    <t>Non-coated (6914)</t>
  </si>
  <si>
    <t>Instrument:</t>
  </si>
  <si>
    <t>Tot.</t>
  </si>
  <si>
    <t>Samp.</t>
  </si>
  <si>
    <t>DF</t>
  </si>
  <si>
    <t>Isolated UP (7720) 0.750/1.0</t>
  </si>
  <si>
    <t>Isolated UP (7720) 0.1/1.0</t>
  </si>
  <si>
    <t>Simul. UP (7673) 0.1/1.0</t>
  </si>
  <si>
    <t>Simul. DN (6907) 0.1/1.0</t>
  </si>
  <si>
    <t>Simul. DN (6907) 0.75/1.0</t>
  </si>
  <si>
    <t>Backup DN (6951) 0.75/1.0</t>
  </si>
  <si>
    <t>Backup DN (6951) 0.01/1.0</t>
  </si>
  <si>
    <t>Backup UP (6915) 0.1/1.0</t>
  </si>
  <si>
    <t>Compound</t>
  </si>
  <si>
    <t>Stage 1</t>
  </si>
  <si>
    <t>Stage 2</t>
  </si>
  <si>
    <t>Isolated DN (6902) 0.1/1.0</t>
  </si>
  <si>
    <t>Control mean:</t>
  </si>
  <si>
    <t>Constituent</t>
  </si>
  <si>
    <t>volume (mL)</t>
  </si>
  <si>
    <t>Duplicate Label</t>
  </si>
  <si>
    <t>Total</t>
  </si>
  <si>
    <t>extracted</t>
  </si>
  <si>
    <t xml:space="preserve">Total </t>
  </si>
  <si>
    <t>mean</t>
  </si>
  <si>
    <t>mass (mg)</t>
  </si>
  <si>
    <t>Dilute conc.</t>
  </si>
  <si>
    <t>mean (mg/L)</t>
  </si>
  <si>
    <t>Minimum detection limit (mg/L):</t>
  </si>
  <si>
    <t>Total mass (mg)</t>
  </si>
  <si>
    <t>σ_w</t>
  </si>
  <si>
    <t>Denuder Label</t>
  </si>
  <si>
    <t>Standard</t>
  </si>
  <si>
    <t>conc. (mg/L)</t>
  </si>
  <si>
    <t>Duplicate Dilution</t>
  </si>
  <si>
    <t>Initial Prep.</t>
  </si>
  <si>
    <t>total</t>
  </si>
  <si>
    <t>(mg/L)</t>
  </si>
  <si>
    <t>Run label</t>
  </si>
  <si>
    <t>"Down"</t>
  </si>
  <si>
    <t>"Up"</t>
  </si>
  <si>
    <t>Mean flow (sLpm)</t>
  </si>
  <si>
    <t>Fraction of sampling</t>
  </si>
  <si>
    <t xml:space="preserve">"Up" </t>
  </si>
  <si>
    <t>Diff.</t>
  </si>
  <si>
    <t xml:space="preserve">Simul. </t>
  </si>
  <si>
    <t>m/s</t>
  </si>
  <si>
    <t>Duration</t>
  </si>
  <si>
    <t>(min)</t>
  </si>
  <si>
    <t>Est. flux</t>
  </si>
  <si>
    <t>mg/m^2/s</t>
  </si>
  <si>
    <t>Simul 2</t>
  </si>
</sst>
</file>

<file path=xl/styles.xml><?xml version="1.0" encoding="utf-8"?>
<styleSheet xmlns="http://schemas.openxmlformats.org/spreadsheetml/2006/main">
  <numFmts count="2">
    <numFmt numFmtId="164" formatCode="0.000"/>
    <numFmt numFmtId="165" formatCode="0.0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4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theme="0" tint="-0.24994659260841701"/>
      </bottom>
      <diagonal/>
    </border>
    <border>
      <left style="thin">
        <color indexed="64"/>
      </left>
      <right style="thin">
        <color indexed="64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indexed="64"/>
      </left>
      <right style="thin">
        <color indexed="64"/>
      </right>
      <top style="thin">
        <color theme="0" tint="-0.24994659260841701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theme="0" tint="-0.24994659260841701"/>
      </bottom>
      <diagonal/>
    </border>
    <border>
      <left/>
      <right/>
      <top style="thin">
        <color indexed="64"/>
      </top>
      <bottom style="thin">
        <color theme="0" tint="-0.24994659260841701"/>
      </bottom>
      <diagonal/>
    </border>
    <border>
      <left/>
      <right style="thin">
        <color indexed="64"/>
      </right>
      <top style="thin">
        <color indexed="64"/>
      </top>
      <bottom style="thin">
        <color theme="0" tint="-0.24994659260841701"/>
      </bottom>
      <diagonal/>
    </border>
    <border>
      <left style="thin">
        <color indexed="64"/>
      </left>
      <right/>
      <top style="thin">
        <color theme="0" tint="-0.24994659260841701"/>
      </top>
      <bottom style="thin">
        <color theme="0" tint="-0.24994659260841701"/>
      </bottom>
      <diagonal/>
    </border>
    <border>
      <left/>
      <right/>
      <top style="thin">
        <color theme="0" tint="-0.24994659260841701"/>
      </top>
      <bottom style="thin">
        <color theme="0" tint="-0.24994659260841701"/>
      </bottom>
      <diagonal/>
    </border>
    <border>
      <left/>
      <right style="thin">
        <color indexed="64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indexed="64"/>
      </left>
      <right/>
      <top style="thin">
        <color theme="0" tint="-0.24994659260841701"/>
      </top>
      <bottom style="thin">
        <color indexed="64"/>
      </bottom>
      <diagonal/>
    </border>
    <border>
      <left/>
      <right/>
      <top style="thin">
        <color theme="0" tint="-0.24994659260841701"/>
      </top>
      <bottom style="thin">
        <color indexed="64"/>
      </bottom>
      <diagonal/>
    </border>
    <border>
      <left/>
      <right style="thin">
        <color indexed="64"/>
      </right>
      <top style="thin">
        <color theme="0" tint="-0.24994659260841701"/>
      </top>
      <bottom style="thin">
        <color indexed="64"/>
      </bottom>
      <diagonal/>
    </border>
    <border>
      <left style="thin">
        <color indexed="64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indexed="64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indexed="64"/>
      </left>
      <right style="thin">
        <color theme="0" tint="-0.24994659260841701"/>
      </right>
      <top style="thin">
        <color theme="0" tint="-0.24994659260841701"/>
      </top>
      <bottom style="thin">
        <color indexed="64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indexed="64"/>
      </bottom>
      <diagonal/>
    </border>
    <border>
      <left style="thin">
        <color theme="0" tint="-0.24994659260841701"/>
      </left>
      <right style="thin">
        <color indexed="64"/>
      </right>
      <top style="thin">
        <color theme="0" tint="-0.24994659260841701"/>
      </top>
      <bottom style="thin">
        <color indexed="64"/>
      </bottom>
      <diagonal/>
    </border>
    <border>
      <left style="thin">
        <color theme="0" tint="-0.24994659260841701"/>
      </left>
      <right/>
      <top style="thin">
        <color indexed="64"/>
      </top>
      <bottom style="thin">
        <color indexed="64"/>
      </bottom>
      <diagonal/>
    </border>
    <border>
      <left style="thin">
        <color theme="0" tint="-0.24994659260841701"/>
      </left>
      <right/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24994659260841701"/>
      </left>
      <right/>
      <top style="thin">
        <color theme="0" tint="-0.24994659260841701"/>
      </top>
      <bottom style="thin">
        <color indexed="64"/>
      </bottom>
      <diagonal/>
    </border>
    <border>
      <left style="thin">
        <color indexed="64"/>
      </left>
      <right/>
      <top style="thin">
        <color theme="0" tint="-0.24994659260841701"/>
      </top>
      <bottom/>
      <diagonal/>
    </border>
    <border>
      <left style="thin">
        <color indexed="64"/>
      </left>
      <right/>
      <top/>
      <bottom style="thin">
        <color theme="0" tint="-0.24994659260841701"/>
      </bottom>
      <diagonal/>
    </border>
    <border>
      <left style="thin">
        <color indexed="64"/>
      </left>
      <right style="thin">
        <color theme="0" tint="-0.24994659260841701"/>
      </right>
      <top style="thin">
        <color theme="0" tint="-0.24994659260841701"/>
      </top>
      <bottom/>
      <diagonal/>
    </border>
    <border>
      <left style="thin">
        <color theme="0" tint="-0.24994659260841701"/>
      </left>
      <right style="thin">
        <color indexed="64"/>
      </right>
      <top style="thin">
        <color theme="0" tint="-0.24994659260841701"/>
      </top>
      <bottom/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/>
      <diagonal/>
    </border>
    <border>
      <left style="thin">
        <color indexed="64"/>
      </left>
      <right style="thin">
        <color indexed="64"/>
      </right>
      <top/>
      <bottom style="thin">
        <color theme="0" tint="-0.24994659260841701"/>
      </bottom>
      <diagonal/>
    </border>
    <border>
      <left style="thin">
        <color indexed="64"/>
      </left>
      <right style="thin">
        <color theme="0" tint="-0.24994659260841701"/>
      </right>
      <top/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indexed="64"/>
      </right>
      <top/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theme="0" tint="-0.24994659260841701"/>
      </right>
      <top/>
      <bottom style="thin">
        <color theme="0" tint="-0.24994659260841701"/>
      </bottom>
      <diagonal/>
    </border>
    <border>
      <left/>
      <right style="thin">
        <color theme="0" tint="-0.24994659260841701"/>
      </right>
      <top style="thin">
        <color indexed="64"/>
      </top>
      <bottom style="thin">
        <color indexed="64"/>
      </bottom>
      <diagonal/>
    </border>
    <border>
      <left style="thin">
        <color theme="0" tint="-0.24994659260841701"/>
      </left>
      <right/>
      <top/>
      <bottom style="thin">
        <color theme="0" tint="-0.24994659260841701"/>
      </bottom>
      <diagonal/>
    </border>
  </borders>
  <cellStyleXfs count="1">
    <xf numFmtId="0" fontId="0" fillId="0" borderId="0"/>
  </cellStyleXfs>
  <cellXfs count="150">
    <xf numFmtId="0" fontId="0" fillId="0" borderId="0" xfId="0"/>
    <xf numFmtId="0" fontId="0" fillId="0" borderId="0" xfId="0" applyAlignment="1">
      <alignment horizontal="center"/>
    </xf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0" xfId="0" applyBorder="1"/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9" xfId="0" applyBorder="1" applyAlignment="1"/>
    <xf numFmtId="0" fontId="0" fillId="0" borderId="0" xfId="0" applyBorder="1" applyAlignment="1"/>
    <xf numFmtId="0" fontId="0" fillId="0" borderId="10" xfId="0" applyBorder="1" applyAlignment="1"/>
    <xf numFmtId="0" fontId="0" fillId="0" borderId="14" xfId="0" applyBorder="1" applyAlignment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" xfId="0" applyBorder="1" applyAlignment="1">
      <alignment horizontal="center"/>
    </xf>
    <xf numFmtId="164" fontId="0" fillId="0" borderId="2" xfId="0" applyNumberFormat="1" applyBorder="1" applyAlignment="1">
      <alignment horizontal="center"/>
    </xf>
    <xf numFmtId="164" fontId="0" fillId="0" borderId="3" xfId="0" applyNumberFormat="1" applyBorder="1" applyAlignment="1">
      <alignment horizontal="center"/>
    </xf>
    <xf numFmtId="164" fontId="0" fillId="0" borderId="4" xfId="0" applyNumberFormat="1" applyBorder="1" applyAlignment="1">
      <alignment horizontal="center"/>
    </xf>
    <xf numFmtId="164" fontId="0" fillId="0" borderId="12" xfId="0" applyNumberFormat="1" applyBorder="1" applyAlignment="1">
      <alignment horizontal="center"/>
    </xf>
    <xf numFmtId="164" fontId="0" fillId="0" borderId="13" xfId="0" applyNumberFormat="1" applyBorder="1" applyAlignment="1">
      <alignment horizontal="center"/>
    </xf>
    <xf numFmtId="164" fontId="0" fillId="0" borderId="15" xfId="0" applyNumberFormat="1" applyBorder="1" applyAlignment="1">
      <alignment horizontal="center"/>
    </xf>
    <xf numFmtId="164" fontId="0" fillId="0" borderId="0" xfId="0" applyNumberFormat="1" applyAlignment="1">
      <alignment horizontal="center"/>
    </xf>
    <xf numFmtId="0" fontId="0" fillId="2" borderId="16" xfId="0" applyFill="1" applyBorder="1" applyAlignment="1" applyProtection="1">
      <alignment horizontal="center"/>
      <protection locked="0"/>
    </xf>
    <xf numFmtId="0" fontId="0" fillId="2" borderId="18" xfId="0" applyFill="1" applyBorder="1" applyProtection="1">
      <protection locked="0"/>
    </xf>
    <xf numFmtId="0" fontId="0" fillId="2" borderId="19" xfId="0" applyFill="1" applyBorder="1" applyProtection="1">
      <protection locked="0"/>
    </xf>
    <xf numFmtId="0" fontId="0" fillId="2" borderId="29" xfId="0" applyFill="1" applyBorder="1" applyAlignment="1" applyProtection="1">
      <alignment horizontal="center"/>
      <protection locked="0"/>
    </xf>
    <xf numFmtId="0" fontId="0" fillId="2" borderId="30" xfId="0" applyFill="1" applyBorder="1" applyAlignment="1" applyProtection="1">
      <alignment horizontal="center"/>
      <protection locked="0"/>
    </xf>
    <xf numFmtId="0" fontId="0" fillId="2" borderId="31" xfId="0" applyFill="1" applyBorder="1" applyAlignment="1" applyProtection="1">
      <alignment horizontal="center"/>
      <protection locked="0"/>
    </xf>
    <xf numFmtId="0" fontId="0" fillId="2" borderId="32" xfId="0" applyFill="1" applyBorder="1" applyAlignment="1" applyProtection="1">
      <alignment horizontal="center"/>
      <protection locked="0"/>
    </xf>
    <xf numFmtId="0" fontId="0" fillId="2" borderId="33" xfId="0" applyFill="1" applyBorder="1" applyAlignment="1" applyProtection="1">
      <alignment horizontal="center"/>
      <protection locked="0"/>
    </xf>
    <xf numFmtId="0" fontId="0" fillId="2" borderId="34" xfId="0" applyFill="1" applyBorder="1" applyAlignment="1" applyProtection="1">
      <alignment horizontal="center"/>
      <protection locked="0"/>
    </xf>
    <xf numFmtId="0" fontId="0" fillId="0" borderId="0" xfId="0" applyAlignment="1">
      <alignment horizontal="right"/>
    </xf>
    <xf numFmtId="0" fontId="0" fillId="2" borderId="23" xfId="0" applyFill="1" applyBorder="1" applyAlignment="1" applyProtection="1">
      <protection locked="0"/>
    </xf>
    <xf numFmtId="0" fontId="1" fillId="0" borderId="8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164" fontId="0" fillId="0" borderId="5" xfId="0" applyNumberFormat="1" applyBorder="1" applyAlignment="1">
      <alignment horizontal="center"/>
    </xf>
    <xf numFmtId="164" fontId="0" fillId="0" borderId="9" xfId="0" applyNumberFormat="1" applyBorder="1" applyAlignment="1">
      <alignment horizontal="center"/>
    </xf>
    <xf numFmtId="164" fontId="0" fillId="0" borderId="10" xfId="0" applyNumberFormat="1" applyBorder="1" applyAlignment="1">
      <alignment horizontal="center"/>
    </xf>
    <xf numFmtId="164" fontId="0" fillId="0" borderId="8" xfId="0" applyNumberFormat="1" applyBorder="1" applyAlignment="1">
      <alignment horizontal="center"/>
    </xf>
    <xf numFmtId="164" fontId="0" fillId="0" borderId="0" xfId="0" applyNumberFormat="1" applyBorder="1" applyAlignment="1">
      <alignment horizontal="center"/>
    </xf>
    <xf numFmtId="164" fontId="0" fillId="0" borderId="1" xfId="0" applyNumberFormat="1" applyBorder="1" applyAlignment="1">
      <alignment horizontal="center"/>
    </xf>
    <xf numFmtId="0" fontId="0" fillId="2" borderId="18" xfId="0" applyFill="1" applyBorder="1" applyAlignment="1" applyProtection="1">
      <alignment horizontal="center"/>
      <protection locked="0"/>
    </xf>
    <xf numFmtId="0" fontId="0" fillId="2" borderId="35" xfId="0" applyFill="1" applyBorder="1" applyAlignment="1" applyProtection="1">
      <alignment horizontal="center"/>
      <protection locked="0"/>
    </xf>
    <xf numFmtId="0" fontId="0" fillId="2" borderId="36" xfId="0" applyFill="1" applyBorder="1" applyAlignment="1" applyProtection="1">
      <alignment horizontal="center"/>
      <protection locked="0"/>
    </xf>
    <xf numFmtId="0" fontId="0" fillId="2" borderId="37" xfId="0" applyFill="1" applyBorder="1" applyAlignment="1" applyProtection="1">
      <alignment horizontal="center"/>
      <protection locked="0"/>
    </xf>
    <xf numFmtId="0" fontId="1" fillId="0" borderId="0" xfId="0" applyFont="1" applyBorder="1" applyAlignment="1">
      <alignment horizontal="center"/>
    </xf>
    <xf numFmtId="0" fontId="0" fillId="0" borderId="38" xfId="0" applyFill="1" applyBorder="1" applyProtection="1"/>
    <xf numFmtId="0" fontId="0" fillId="0" borderId="9" xfId="0" applyFill="1" applyBorder="1" applyProtection="1"/>
    <xf numFmtId="0" fontId="0" fillId="0" borderId="10" xfId="0" applyFill="1" applyBorder="1" applyProtection="1"/>
    <xf numFmtId="0" fontId="2" fillId="0" borderId="1" xfId="0" applyFont="1" applyBorder="1" applyAlignment="1">
      <alignment horizontal="center"/>
    </xf>
    <xf numFmtId="0" fontId="0" fillId="2" borderId="40" xfId="0" applyFill="1" applyBorder="1" applyAlignment="1" applyProtection="1">
      <alignment horizontal="center"/>
      <protection locked="0"/>
    </xf>
    <xf numFmtId="0" fontId="0" fillId="2" borderId="41" xfId="0" applyFill="1" applyBorder="1" applyAlignment="1" applyProtection="1">
      <alignment horizontal="center"/>
      <protection locked="0"/>
    </xf>
    <xf numFmtId="0" fontId="0" fillId="2" borderId="42" xfId="0" applyFill="1" applyBorder="1" applyAlignment="1" applyProtection="1">
      <alignment horizontal="center"/>
      <protection locked="0"/>
    </xf>
    <xf numFmtId="164" fontId="0" fillId="0" borderId="14" xfId="0" applyNumberFormat="1" applyBorder="1" applyAlignment="1">
      <alignment horizontal="center"/>
    </xf>
    <xf numFmtId="0" fontId="0" fillId="2" borderId="39" xfId="0" applyFill="1" applyBorder="1" applyAlignment="1" applyProtection="1">
      <protection locked="0"/>
    </xf>
    <xf numFmtId="0" fontId="0" fillId="2" borderId="38" xfId="0" applyFill="1" applyBorder="1" applyAlignment="1" applyProtection="1">
      <protection locked="0"/>
    </xf>
    <xf numFmtId="20" fontId="0" fillId="0" borderId="4" xfId="0" applyNumberFormat="1" applyFill="1" applyBorder="1" applyAlignment="1">
      <alignment horizontal="center"/>
    </xf>
    <xf numFmtId="165" fontId="0" fillId="0" borderId="4" xfId="0" applyNumberFormat="1" applyBorder="1" applyAlignment="1">
      <alignment horizontal="center"/>
    </xf>
    <xf numFmtId="165" fontId="0" fillId="0" borderId="3" xfId="0" applyNumberFormat="1" applyBorder="1" applyAlignment="1">
      <alignment horizontal="center"/>
    </xf>
    <xf numFmtId="165" fontId="0" fillId="0" borderId="2" xfId="0" applyNumberFormat="1" applyBorder="1" applyAlignment="1">
      <alignment horizontal="center"/>
    </xf>
    <xf numFmtId="1" fontId="0" fillId="0" borderId="3" xfId="0" applyNumberFormat="1" applyBorder="1" applyAlignment="1">
      <alignment horizontal="center"/>
    </xf>
    <xf numFmtId="1" fontId="0" fillId="0" borderId="2" xfId="0" applyNumberFormat="1" applyBorder="1" applyAlignment="1">
      <alignment horizontal="center"/>
    </xf>
    <xf numFmtId="1" fontId="0" fillId="0" borderId="1" xfId="0" applyNumberFormat="1" applyBorder="1" applyAlignment="1">
      <alignment horizontal="center"/>
    </xf>
    <xf numFmtId="165" fontId="0" fillId="2" borderId="18" xfId="0" applyNumberFormat="1" applyFill="1" applyBorder="1" applyAlignment="1" applyProtection="1">
      <alignment horizontal="center"/>
      <protection locked="0"/>
    </xf>
    <xf numFmtId="165" fontId="0" fillId="2" borderId="19" xfId="0" applyNumberFormat="1" applyFill="1" applyBorder="1" applyAlignment="1" applyProtection="1">
      <alignment horizontal="center"/>
      <protection locked="0"/>
    </xf>
    <xf numFmtId="0" fontId="0" fillId="0" borderId="8" xfId="0" applyBorder="1" applyAlignment="1"/>
    <xf numFmtId="1" fontId="0" fillId="0" borderId="4" xfId="0" applyNumberFormat="1" applyBorder="1" applyAlignment="1">
      <alignment horizontal="center"/>
    </xf>
    <xf numFmtId="2" fontId="0" fillId="2" borderId="1" xfId="0" applyNumberFormat="1" applyFill="1" applyBorder="1" applyAlignment="1" applyProtection="1">
      <alignment horizontal="center"/>
      <protection locked="0"/>
    </xf>
    <xf numFmtId="48" fontId="0" fillId="0" borderId="2" xfId="0" applyNumberFormat="1" applyBorder="1" applyAlignment="1">
      <alignment horizontal="center"/>
    </xf>
    <xf numFmtId="48" fontId="0" fillId="0" borderId="3" xfId="0" applyNumberFormat="1" applyBorder="1" applyAlignment="1">
      <alignment horizontal="center"/>
    </xf>
    <xf numFmtId="48" fontId="0" fillId="0" borderId="4" xfId="0" applyNumberFormat="1" applyBorder="1" applyAlignment="1">
      <alignment horizontal="center"/>
    </xf>
    <xf numFmtId="0" fontId="1" fillId="0" borderId="0" xfId="0" applyFont="1"/>
    <xf numFmtId="0" fontId="0" fillId="2" borderId="17" xfId="0" applyFill="1" applyBorder="1" applyAlignment="1" applyProtection="1">
      <alignment horizontal="center"/>
      <protection locked="0"/>
    </xf>
    <xf numFmtId="0" fontId="0" fillId="2" borderId="19" xfId="0" applyFill="1" applyBorder="1" applyAlignment="1" applyProtection="1">
      <alignment horizontal="center"/>
      <protection locked="0"/>
    </xf>
    <xf numFmtId="0" fontId="0" fillId="0" borderId="10" xfId="0" applyFill="1" applyBorder="1" applyAlignment="1">
      <alignment horizontal="center"/>
    </xf>
    <xf numFmtId="0" fontId="0" fillId="0" borderId="15" xfId="0" applyFill="1" applyBorder="1" applyAlignment="1">
      <alignment horizontal="center"/>
    </xf>
    <xf numFmtId="0" fontId="0" fillId="2" borderId="23" xfId="0" applyFill="1" applyBorder="1" applyAlignment="1" applyProtection="1">
      <alignment horizontal="center"/>
      <protection locked="0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2" borderId="26" xfId="0" applyFill="1" applyBorder="1" applyAlignment="1" applyProtection="1">
      <alignment horizontal="center"/>
      <protection locked="0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0" fillId="2" borderId="20" xfId="0" applyFill="1" applyBorder="1" applyAlignment="1" applyProtection="1">
      <alignment horizontal="center"/>
      <protection locked="0"/>
    </xf>
    <xf numFmtId="0" fontId="0" fillId="2" borderId="21" xfId="0" applyFill="1" applyBorder="1" applyAlignment="1" applyProtection="1">
      <alignment horizontal="center"/>
      <protection locked="0"/>
    </xf>
    <xf numFmtId="0" fontId="0" fillId="2" borderId="22" xfId="0" applyFill="1" applyBorder="1" applyAlignment="1" applyProtection="1">
      <alignment horizontal="center"/>
      <protection locked="0"/>
    </xf>
    <xf numFmtId="0" fontId="0" fillId="2" borderId="23" xfId="0" applyFill="1" applyBorder="1" applyAlignment="1" applyProtection="1">
      <alignment horizontal="center"/>
      <protection locked="0"/>
    </xf>
    <xf numFmtId="0" fontId="0" fillId="2" borderId="24" xfId="0" applyFill="1" applyBorder="1" applyAlignment="1" applyProtection="1">
      <alignment horizontal="center"/>
      <protection locked="0"/>
    </xf>
    <xf numFmtId="0" fontId="0" fillId="2" borderId="25" xfId="0" applyFill="1" applyBorder="1" applyAlignment="1" applyProtection="1">
      <alignment horizontal="center"/>
      <protection locked="0"/>
    </xf>
    <xf numFmtId="0" fontId="0" fillId="0" borderId="8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2" borderId="26" xfId="0" applyFill="1" applyBorder="1" applyAlignment="1" applyProtection="1">
      <alignment horizontal="center"/>
      <protection locked="0"/>
    </xf>
    <xf numFmtId="0" fontId="0" fillId="2" borderId="27" xfId="0" applyFill="1" applyBorder="1" applyAlignment="1" applyProtection="1">
      <alignment horizontal="center"/>
      <protection locked="0"/>
    </xf>
    <xf numFmtId="0" fontId="0" fillId="2" borderId="28" xfId="0" applyFill="1" applyBorder="1" applyAlignment="1" applyProtection="1">
      <alignment horizontal="center"/>
      <protection locked="0"/>
    </xf>
    <xf numFmtId="0" fontId="0" fillId="0" borderId="11" xfId="0" applyBorder="1" applyAlignment="1">
      <alignment horizontal="right"/>
    </xf>
    <xf numFmtId="0" fontId="0" fillId="0" borderId="12" xfId="0" applyBorder="1" applyAlignment="1">
      <alignment horizontal="right"/>
    </xf>
    <xf numFmtId="0" fontId="0" fillId="0" borderId="10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" xfId="0" applyFill="1" applyBorder="1" applyAlignment="1">
      <alignment horizontal="center"/>
    </xf>
    <xf numFmtId="164" fontId="0" fillId="2" borderId="29" xfId="0" applyNumberFormat="1" applyFill="1" applyBorder="1" applyAlignment="1" applyProtection="1">
      <alignment horizontal="center"/>
      <protection locked="0"/>
    </xf>
    <xf numFmtId="164" fontId="0" fillId="2" borderId="31" xfId="0" applyNumberFormat="1" applyFill="1" applyBorder="1" applyAlignment="1" applyProtection="1">
      <alignment horizontal="center"/>
      <protection locked="0"/>
    </xf>
    <xf numFmtId="164" fontId="0" fillId="2" borderId="32" xfId="0" applyNumberFormat="1" applyFill="1" applyBorder="1" applyAlignment="1" applyProtection="1">
      <alignment horizontal="center"/>
      <protection locked="0"/>
    </xf>
    <xf numFmtId="164" fontId="0" fillId="2" borderId="34" xfId="0" applyNumberFormat="1" applyFill="1" applyBorder="1" applyAlignment="1" applyProtection="1">
      <alignment horizontal="center"/>
      <protection locked="0"/>
    </xf>
    <xf numFmtId="165" fontId="0" fillId="2" borderId="29" xfId="0" applyNumberFormat="1" applyFill="1" applyBorder="1" applyAlignment="1" applyProtection="1">
      <alignment horizontal="center"/>
      <protection locked="0"/>
    </xf>
    <xf numFmtId="165" fontId="0" fillId="2" borderId="31" xfId="0" applyNumberFormat="1" applyFill="1" applyBorder="1" applyAlignment="1" applyProtection="1">
      <alignment horizontal="center"/>
      <protection locked="0"/>
    </xf>
    <xf numFmtId="165" fontId="0" fillId="2" borderId="32" xfId="0" applyNumberFormat="1" applyFill="1" applyBorder="1" applyAlignment="1" applyProtection="1">
      <alignment horizontal="center"/>
      <protection locked="0"/>
    </xf>
    <xf numFmtId="165" fontId="0" fillId="2" borderId="34" xfId="0" applyNumberFormat="1" applyFill="1" applyBorder="1" applyAlignment="1" applyProtection="1">
      <alignment horizontal="center"/>
      <protection locked="0"/>
    </xf>
    <xf numFmtId="2" fontId="0" fillId="2" borderId="29" xfId="0" applyNumberFormat="1" applyFill="1" applyBorder="1" applyAlignment="1" applyProtection="1">
      <alignment horizontal="center"/>
      <protection locked="0"/>
    </xf>
    <xf numFmtId="2" fontId="0" fillId="2" borderId="31" xfId="0" applyNumberFormat="1" applyFill="1" applyBorder="1" applyAlignment="1" applyProtection="1">
      <alignment horizontal="center"/>
      <protection locked="0"/>
    </xf>
    <xf numFmtId="2" fontId="0" fillId="2" borderId="32" xfId="0" applyNumberFormat="1" applyFill="1" applyBorder="1" applyAlignment="1" applyProtection="1">
      <alignment horizontal="center"/>
      <protection locked="0"/>
    </xf>
    <xf numFmtId="2" fontId="0" fillId="2" borderId="34" xfId="0" applyNumberFormat="1" applyFill="1" applyBorder="1" applyAlignment="1" applyProtection="1">
      <alignment horizontal="center"/>
      <protection locked="0"/>
    </xf>
    <xf numFmtId="2" fontId="0" fillId="0" borderId="8" xfId="0" applyNumberFormat="1" applyBorder="1" applyAlignment="1">
      <alignment horizontal="center"/>
    </xf>
    <xf numFmtId="2" fontId="0" fillId="0" borderId="12" xfId="0" applyNumberFormat="1" applyBorder="1" applyAlignment="1">
      <alignment horizontal="center"/>
    </xf>
    <xf numFmtId="2" fontId="0" fillId="0" borderId="9" xfId="0" applyNumberFormat="1" applyBorder="1" applyAlignment="1">
      <alignment horizontal="center"/>
    </xf>
    <xf numFmtId="2" fontId="0" fillId="0" borderId="13" xfId="0" applyNumberFormat="1" applyBorder="1" applyAlignment="1">
      <alignment horizontal="center"/>
    </xf>
    <xf numFmtId="2" fontId="0" fillId="0" borderId="10" xfId="0" applyNumberFormat="1" applyBorder="1" applyAlignment="1">
      <alignment horizontal="center"/>
    </xf>
    <xf numFmtId="2" fontId="0" fillId="0" borderId="15" xfId="0" applyNumberFormat="1" applyBorder="1" applyAlignment="1">
      <alignment horizontal="center"/>
    </xf>
    <xf numFmtId="2" fontId="0" fillId="0" borderId="3" xfId="0" applyNumberFormat="1" applyBorder="1" applyAlignment="1">
      <alignment horizontal="center"/>
    </xf>
    <xf numFmtId="2" fontId="0" fillId="0" borderId="4" xfId="0" applyNumberFormat="1" applyBorder="1" applyAlignment="1">
      <alignment horizontal="center"/>
    </xf>
    <xf numFmtId="2" fontId="0" fillId="0" borderId="2" xfId="0" applyNumberFormat="1" applyBorder="1" applyAlignment="1">
      <alignment horizontal="center"/>
    </xf>
    <xf numFmtId="0" fontId="0" fillId="0" borderId="4" xfId="0" applyFill="1" applyBorder="1" applyAlignment="1">
      <alignment horizontal="center"/>
    </xf>
    <xf numFmtId="0" fontId="0" fillId="2" borderId="43" xfId="0" applyFill="1" applyBorder="1" applyProtection="1">
      <protection locked="0"/>
    </xf>
    <xf numFmtId="0" fontId="0" fillId="2" borderId="39" xfId="0" applyFill="1" applyBorder="1" applyAlignment="1" applyProtection="1">
      <alignment horizontal="center"/>
      <protection locked="0"/>
    </xf>
    <xf numFmtId="165" fontId="0" fillId="2" borderId="44" xfId="0" applyNumberFormat="1" applyFill="1" applyBorder="1" applyAlignment="1" applyProtection="1">
      <alignment horizontal="center"/>
      <protection locked="0"/>
    </xf>
    <xf numFmtId="165" fontId="0" fillId="2" borderId="45" xfId="0" applyNumberFormat="1" applyFill="1" applyBorder="1" applyAlignment="1" applyProtection="1">
      <alignment horizontal="center"/>
      <protection locked="0"/>
    </xf>
    <xf numFmtId="2" fontId="0" fillId="2" borderId="44" xfId="0" applyNumberFormat="1" applyFill="1" applyBorder="1" applyAlignment="1" applyProtection="1">
      <alignment horizontal="center"/>
      <protection locked="0"/>
    </xf>
    <xf numFmtId="2" fontId="0" fillId="2" borderId="45" xfId="0" applyNumberFormat="1" applyFill="1" applyBorder="1" applyAlignment="1" applyProtection="1">
      <alignment horizontal="center"/>
      <protection locked="0"/>
    </xf>
    <xf numFmtId="164" fontId="0" fillId="2" borderId="44" xfId="0" applyNumberFormat="1" applyFill="1" applyBorder="1" applyAlignment="1" applyProtection="1">
      <alignment horizontal="center"/>
      <protection locked="0"/>
    </xf>
    <xf numFmtId="164" fontId="0" fillId="2" borderId="45" xfId="0" applyNumberFormat="1" applyFill="1" applyBorder="1" applyAlignment="1" applyProtection="1">
      <alignment horizontal="center"/>
      <protection locked="0"/>
    </xf>
    <xf numFmtId="165" fontId="0" fillId="2" borderId="43" xfId="0" applyNumberFormat="1" applyFill="1" applyBorder="1" applyAlignment="1" applyProtection="1">
      <alignment horizontal="center"/>
      <protection locked="0"/>
    </xf>
    <xf numFmtId="0" fontId="0" fillId="2" borderId="44" xfId="0" applyFill="1" applyBorder="1" applyAlignment="1" applyProtection="1">
      <alignment horizontal="center"/>
      <protection locked="0"/>
    </xf>
    <xf numFmtId="0" fontId="0" fillId="2" borderId="46" xfId="0" applyFill="1" applyBorder="1" applyAlignment="1" applyProtection="1">
      <alignment horizontal="center"/>
      <protection locked="0"/>
    </xf>
    <xf numFmtId="0" fontId="0" fillId="2" borderId="45" xfId="0" applyFill="1" applyBorder="1" applyAlignment="1" applyProtection="1">
      <alignment horizontal="center"/>
      <protection locked="0"/>
    </xf>
    <xf numFmtId="0" fontId="0" fillId="2" borderId="47" xfId="0" applyFill="1" applyBorder="1" applyAlignment="1" applyProtection="1">
      <alignment horizontal="center"/>
      <protection locked="0"/>
    </xf>
    <xf numFmtId="20" fontId="0" fillId="0" borderId="5" xfId="0" applyNumberFormat="1" applyFont="1" applyBorder="1" applyAlignment="1">
      <alignment horizontal="center"/>
    </xf>
    <xf numFmtId="20" fontId="0" fillId="0" borderId="7" xfId="0" applyNumberFormat="1" applyFont="1" applyBorder="1" applyAlignment="1">
      <alignment horizontal="center"/>
    </xf>
    <xf numFmtId="20" fontId="0" fillId="0" borderId="5" xfId="0" applyNumberFormat="1" applyBorder="1" applyAlignment="1">
      <alignment horizontal="center"/>
    </xf>
    <xf numFmtId="20" fontId="0" fillId="0" borderId="7" xfId="0" applyNumberFormat="1" applyBorder="1" applyAlignment="1">
      <alignment horizontal="center"/>
    </xf>
    <xf numFmtId="0" fontId="0" fillId="2" borderId="43" xfId="0" applyFill="1" applyBorder="1" applyAlignment="1" applyProtection="1">
      <alignment horizontal="center"/>
      <protection locked="0"/>
    </xf>
    <xf numFmtId="0" fontId="0" fillId="2" borderId="48" xfId="0" applyFill="1" applyBorder="1" applyAlignment="1" applyProtection="1">
      <alignment horizontal="center"/>
      <protection locked="0"/>
    </xf>
  </cellXfs>
  <cellStyles count="1">
    <cellStyle name="Normal" xfId="0" builtinId="0"/>
  </cellStyles>
  <dxfs count="2"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spPr>
            <a:ln w="28575">
              <a:noFill/>
            </a:ln>
          </c:spPr>
          <c:trendline>
            <c:trendlineType val="linear"/>
            <c:forward val="0.1"/>
            <c:backward val="0.1"/>
            <c:dispRSqr val="1"/>
            <c:dispEq val="1"/>
            <c:trendlineLbl>
              <c:layout>
                <c:manualLayout>
                  <c:x val="-0.19497219499923024"/>
                  <c:y val="-4.4100921925149375E-2"/>
                </c:manualLayout>
              </c:layout>
              <c:numFmt formatCode="General" sourceLinked="0"/>
              <c:spPr>
                <a:solidFill>
                  <a:sysClr val="window" lastClr="FFFFFF"/>
                </a:solidFill>
                <a:ln>
                  <a:solidFill>
                    <a:sysClr val="windowText" lastClr="000000"/>
                  </a:solidFill>
                </a:ln>
              </c:spPr>
            </c:trendlineLbl>
          </c:trendline>
          <c:errBars>
            <c:errDir val="x"/>
            <c:errBarType val="both"/>
            <c:errValType val="stdErr"/>
          </c:errBars>
          <c:errBars>
            <c:errDir val="y"/>
            <c:errBarType val="both"/>
            <c:errValType val="stdErr"/>
          </c:errBars>
          <c:xVal>
            <c:numRef>
              <c:f>'Standard Curve'!$J$9:$J$16</c:f>
              <c:numCache>
                <c:formatCode>0.000</c:formatCode>
                <c:ptCount val="8"/>
                <c:pt idx="0">
                  <c:v>-1.15E-2</c:v>
                </c:pt>
                <c:pt idx="1">
                  <c:v>0.1245</c:v>
                </c:pt>
                <c:pt idx="2">
                  <c:v>0.25650000000000001</c:v>
                </c:pt>
                <c:pt idx="3">
                  <c:v>0.53750000000000009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xVal>
          <c:yVal>
            <c:numRef>
              <c:f>'Standard Curve'!$A$9:$A$16</c:f>
              <c:numCache>
                <c:formatCode>General</c:formatCode>
                <c:ptCount val="8"/>
                <c:pt idx="0">
                  <c:v>0</c:v>
                </c:pt>
                <c:pt idx="1">
                  <c:v>0.3125</c:v>
                </c:pt>
                <c:pt idx="2">
                  <c:v>0.625</c:v>
                </c:pt>
                <c:pt idx="3">
                  <c:v>1.25</c:v>
                </c:pt>
              </c:numCache>
            </c:numRef>
          </c:yVal>
        </c:ser>
        <c:axId val="67672704"/>
        <c:axId val="80057088"/>
      </c:scatterChart>
      <c:valAx>
        <c:axId val="67672704"/>
        <c:scaling>
          <c:orientation val="minMax"/>
        </c:scaling>
        <c:axPos val="b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Absorbance</a:t>
                </a:r>
              </a:p>
            </c:rich>
          </c:tx>
          <c:layout/>
        </c:title>
        <c:numFmt formatCode="0.000" sourceLinked="1"/>
        <c:tickLblPos val="nextTo"/>
        <c:crossAx val="80057088"/>
        <c:crosses val="autoZero"/>
        <c:crossBetween val="midCat"/>
      </c:valAx>
      <c:valAx>
        <c:axId val="80057088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Concentration, mg/L</a:t>
                </a:r>
              </a:p>
            </c:rich>
          </c:tx>
          <c:layout/>
        </c:title>
        <c:numFmt formatCode="General" sourceLinked="1"/>
        <c:tickLblPos val="nextTo"/>
        <c:crossAx val="67672704"/>
        <c:crosses val="autoZero"/>
        <c:crossBetween val="midCat"/>
      </c:valAx>
    </c:plotArea>
    <c:plotVisOnly val="1"/>
  </c:chart>
  <c:printSettings>
    <c:headerFooter/>
    <c:pageMargins b="0.75000000000000022" l="0.70000000000000018" r="0.70000000000000018" t="0.75000000000000022" header="0.3000000000000001" footer="0.3000000000000001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9524</xdr:colOff>
      <xdr:row>19</xdr:row>
      <xdr:rowOff>190499</xdr:rowOff>
    </xdr:from>
    <xdr:to>
      <xdr:col>11</xdr:col>
      <xdr:colOff>600074</xdr:colOff>
      <xdr:row>37</xdr:row>
      <xdr:rowOff>180974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9"/>
  <sheetViews>
    <sheetView tabSelected="1" workbookViewId="0">
      <selection activeCell="B1" sqref="B1:L1"/>
    </sheetView>
  </sheetViews>
  <sheetFormatPr defaultRowHeight="15"/>
  <cols>
    <col min="1" max="1" width="13.85546875" bestFit="1" customWidth="1"/>
    <col min="2" max="9" width="6.7109375" customWidth="1"/>
    <col min="10" max="11" width="7.7109375" bestFit="1" customWidth="1"/>
    <col min="12" max="12" width="7.85546875" bestFit="1" customWidth="1"/>
  </cols>
  <sheetData>
    <row r="1" spans="1:12">
      <c r="A1" s="2" t="s">
        <v>0</v>
      </c>
      <c r="B1" s="88"/>
      <c r="C1" s="89"/>
      <c r="D1" s="89"/>
      <c r="E1" s="89"/>
      <c r="F1" s="89"/>
      <c r="G1" s="89"/>
      <c r="H1" s="89"/>
      <c r="I1" s="89"/>
      <c r="J1" s="89"/>
      <c r="K1" s="89"/>
      <c r="L1" s="90"/>
    </row>
    <row r="2" spans="1:12">
      <c r="A2" s="3" t="s">
        <v>1</v>
      </c>
      <c r="B2" s="91"/>
      <c r="C2" s="92"/>
      <c r="D2" s="92"/>
      <c r="E2" s="92"/>
      <c r="F2" s="92"/>
      <c r="G2" s="92"/>
      <c r="H2" s="92"/>
      <c r="I2" s="92"/>
      <c r="J2" s="92"/>
      <c r="K2" s="92"/>
      <c r="L2" s="93"/>
    </row>
    <row r="3" spans="1:12">
      <c r="A3" s="3" t="s">
        <v>20</v>
      </c>
      <c r="B3" s="91"/>
      <c r="C3" s="92"/>
      <c r="D3" s="92"/>
      <c r="E3" s="92"/>
      <c r="F3" s="92"/>
      <c r="G3" s="92"/>
      <c r="H3" s="92"/>
      <c r="I3" s="92"/>
      <c r="J3" s="92"/>
      <c r="K3" s="92"/>
      <c r="L3" s="93"/>
    </row>
    <row r="4" spans="1:12">
      <c r="A4" s="4" t="s">
        <v>9</v>
      </c>
      <c r="B4" s="100"/>
      <c r="C4" s="101"/>
      <c r="D4" s="101"/>
      <c r="E4" s="101"/>
      <c r="F4" s="101"/>
      <c r="G4" s="101"/>
      <c r="H4" s="101"/>
      <c r="I4" s="101"/>
      <c r="J4" s="101"/>
      <c r="K4" s="101"/>
      <c r="L4" s="102"/>
    </row>
    <row r="6" spans="1:12">
      <c r="B6" s="94" t="s">
        <v>39</v>
      </c>
      <c r="C6" s="95"/>
      <c r="D6" s="95"/>
      <c r="E6" s="95"/>
      <c r="F6" s="95"/>
      <c r="G6" s="95"/>
      <c r="H6" s="95"/>
      <c r="I6" s="96"/>
      <c r="J6" s="1"/>
      <c r="K6" s="1"/>
    </row>
    <row r="7" spans="1:12">
      <c r="A7" s="15" t="s">
        <v>51</v>
      </c>
      <c r="B7" s="143"/>
      <c r="C7" s="26"/>
      <c r="D7" s="26"/>
      <c r="E7" s="26"/>
      <c r="F7" s="26"/>
      <c r="G7" s="46"/>
      <c r="H7" s="46"/>
      <c r="I7" s="46"/>
      <c r="J7" s="13"/>
      <c r="K7" s="14"/>
      <c r="L7" s="14"/>
    </row>
    <row r="8" spans="1:12">
      <c r="A8" s="17" t="s">
        <v>52</v>
      </c>
      <c r="B8" s="97" t="s">
        <v>2</v>
      </c>
      <c r="C8" s="98"/>
      <c r="D8" s="98"/>
      <c r="E8" s="98"/>
      <c r="F8" s="98"/>
      <c r="G8" s="98"/>
      <c r="H8" s="98"/>
      <c r="I8" s="99"/>
      <c r="J8" s="18" t="s">
        <v>3</v>
      </c>
      <c r="K8" s="9" t="s">
        <v>4</v>
      </c>
      <c r="L8" s="18" t="s">
        <v>5</v>
      </c>
    </row>
    <row r="9" spans="1:12">
      <c r="A9" s="148">
        <v>0</v>
      </c>
      <c r="B9" s="140">
        <v>0</v>
      </c>
      <c r="C9" s="141">
        <v>-4.0000000000000001E-3</v>
      </c>
      <c r="D9" s="141">
        <v>-2.1999999999999999E-2</v>
      </c>
      <c r="E9" s="141">
        <v>-0.02</v>
      </c>
      <c r="F9" s="141"/>
      <c r="G9" s="149"/>
      <c r="H9" s="149"/>
      <c r="I9" s="142"/>
      <c r="J9" s="19">
        <f>AVERAGE($B9:$I9)</f>
        <v>-1.15E-2</v>
      </c>
      <c r="K9" s="22">
        <f t="shared" ref="K9:K11" si="0">STDEV(B9:I9)</f>
        <v>1.1120551545074851E-2</v>
      </c>
      <c r="L9" s="19">
        <f t="shared" ref="L9:L11" si="1">STDEV(B9:I9)/SQRT(COUNT(B9:I9))</f>
        <v>5.5602757725374255E-3</v>
      </c>
    </row>
    <row r="10" spans="1:12">
      <c r="A10" s="45">
        <v>0.3125</v>
      </c>
      <c r="B10" s="29">
        <v>0.123</v>
      </c>
      <c r="C10" s="30">
        <v>0.12</v>
      </c>
      <c r="D10" s="30">
        <v>0.128</v>
      </c>
      <c r="E10" s="30">
        <v>0.127</v>
      </c>
      <c r="F10" s="30"/>
      <c r="G10" s="47"/>
      <c r="H10" s="47"/>
      <c r="I10" s="31"/>
      <c r="J10" s="20">
        <f t="shared" ref="J10:J16" si="2">AVERAGE($B10:$I10)</f>
        <v>0.1245</v>
      </c>
      <c r="K10" s="23">
        <f t="shared" si="0"/>
        <v>3.6968455021364754E-3</v>
      </c>
      <c r="L10" s="20">
        <f t="shared" si="1"/>
        <v>1.8484227510682377E-3</v>
      </c>
    </row>
    <row r="11" spans="1:12">
      <c r="A11" s="45">
        <v>0.625</v>
      </c>
      <c r="B11" s="29">
        <v>0.26600000000000001</v>
      </c>
      <c r="C11" s="30">
        <v>0.26400000000000001</v>
      </c>
      <c r="D11" s="30">
        <v>0.248</v>
      </c>
      <c r="E11" s="30">
        <v>0.248</v>
      </c>
      <c r="F11" s="30"/>
      <c r="G11" s="47"/>
      <c r="H11" s="47"/>
      <c r="I11" s="31"/>
      <c r="J11" s="20">
        <f t="shared" si="2"/>
        <v>0.25650000000000001</v>
      </c>
      <c r="K11" s="23">
        <f t="shared" si="0"/>
        <v>9.8488578017961129E-3</v>
      </c>
      <c r="L11" s="20">
        <f t="shared" si="1"/>
        <v>4.9244289008980565E-3</v>
      </c>
    </row>
    <row r="12" spans="1:12">
      <c r="A12" s="45">
        <v>1.25</v>
      </c>
      <c r="B12" s="29">
        <v>0.53200000000000003</v>
      </c>
      <c r="C12" s="30">
        <v>0.53400000000000003</v>
      </c>
      <c r="D12" s="30">
        <v>0.54</v>
      </c>
      <c r="E12" s="30">
        <v>0.54400000000000004</v>
      </c>
      <c r="F12" s="30"/>
      <c r="G12" s="47"/>
      <c r="H12" s="47"/>
      <c r="I12" s="31"/>
      <c r="J12" s="20">
        <f t="shared" si="2"/>
        <v>0.53750000000000009</v>
      </c>
      <c r="K12" s="23">
        <f>STDEV(B12:I12)</f>
        <v>5.5075705472861069E-3</v>
      </c>
      <c r="L12" s="20">
        <f>STDEV(B12:I12)/SQRT(COUNT(B12:I12))</f>
        <v>2.7537852736430534E-3</v>
      </c>
    </row>
    <row r="13" spans="1:12">
      <c r="A13" s="45"/>
      <c r="B13" s="29"/>
      <c r="C13" s="30"/>
      <c r="D13" s="30"/>
      <c r="E13" s="30"/>
      <c r="F13" s="30"/>
      <c r="G13" s="47"/>
      <c r="H13" s="47"/>
      <c r="I13" s="31"/>
      <c r="J13" s="20" t="e">
        <f t="shared" si="2"/>
        <v>#DIV/0!</v>
      </c>
      <c r="K13" s="23" t="e">
        <f t="shared" ref="K13:K16" si="3">STDEV(B13:I13)</f>
        <v>#DIV/0!</v>
      </c>
      <c r="L13" s="20" t="e">
        <f t="shared" ref="L13:L16" si="4">STDEV(B13:I13)/SQRT(COUNT(B13:I13))</f>
        <v>#DIV/0!</v>
      </c>
    </row>
    <row r="14" spans="1:12">
      <c r="A14" s="45"/>
      <c r="B14" s="29"/>
      <c r="C14" s="30"/>
      <c r="D14" s="30"/>
      <c r="E14" s="30"/>
      <c r="F14" s="30"/>
      <c r="G14" s="47"/>
      <c r="H14" s="47"/>
      <c r="I14" s="31"/>
      <c r="J14" s="20" t="e">
        <f t="shared" si="2"/>
        <v>#DIV/0!</v>
      </c>
      <c r="K14" s="23" t="e">
        <f t="shared" si="3"/>
        <v>#DIV/0!</v>
      </c>
      <c r="L14" s="20" t="e">
        <f t="shared" si="4"/>
        <v>#DIV/0!</v>
      </c>
    </row>
    <row r="15" spans="1:12">
      <c r="A15" s="45"/>
      <c r="B15" s="29"/>
      <c r="C15" s="30"/>
      <c r="D15" s="30"/>
      <c r="E15" s="30"/>
      <c r="F15" s="30"/>
      <c r="G15" s="47"/>
      <c r="H15" s="47"/>
      <c r="I15" s="31"/>
      <c r="J15" s="20" t="e">
        <f t="shared" si="2"/>
        <v>#DIV/0!</v>
      </c>
      <c r="K15" s="23" t="e">
        <f t="shared" si="3"/>
        <v>#DIV/0!</v>
      </c>
      <c r="L15" s="20" t="e">
        <f t="shared" si="4"/>
        <v>#DIV/0!</v>
      </c>
    </row>
    <row r="16" spans="1:12">
      <c r="A16" s="77"/>
      <c r="B16" s="32"/>
      <c r="C16" s="33"/>
      <c r="D16" s="33"/>
      <c r="E16" s="33"/>
      <c r="F16" s="33"/>
      <c r="G16" s="48"/>
      <c r="H16" s="48"/>
      <c r="I16" s="34"/>
      <c r="J16" s="21" t="e">
        <f t="shared" si="2"/>
        <v>#DIV/0!</v>
      </c>
      <c r="K16" s="24" t="e">
        <f t="shared" si="3"/>
        <v>#DIV/0!</v>
      </c>
      <c r="L16" s="21" t="e">
        <f t="shared" si="4"/>
        <v>#DIV/0!</v>
      </c>
    </row>
    <row r="18" spans="2:10">
      <c r="E18" s="37" t="s">
        <v>6</v>
      </c>
      <c r="F18" s="38" t="s">
        <v>7</v>
      </c>
      <c r="G18" s="49"/>
      <c r="H18" s="49"/>
    </row>
    <row r="19" spans="2:10">
      <c r="B19" s="85" t="s">
        <v>10</v>
      </c>
      <c r="C19" s="86"/>
      <c r="D19" s="87"/>
      <c r="E19" s="39">
        <f t="array" aca="1" ref="E19:F19" ca="1">LINEST(OFFSET($A$9, 0, 0, COUNT($A$9:$A$16), 1), OFFSET($J$9, 0, 0, COUNT($J$9:$J$16), 1))</f>
        <v>2.2777735605571792</v>
      </c>
      <c r="F19" s="44">
        <f ca="1"/>
        <v>3.0389845143659611E-2</v>
      </c>
      <c r="G19" s="43"/>
      <c r="H19" s="43"/>
      <c r="J19" s="35"/>
    </row>
  </sheetData>
  <sheetProtection sheet="1" objects="1" scenarios="1"/>
  <mergeCells count="7">
    <mergeCell ref="B19:D19"/>
    <mergeCell ref="B1:L1"/>
    <mergeCell ref="B2:L2"/>
    <mergeCell ref="B3:L3"/>
    <mergeCell ref="B6:I6"/>
    <mergeCell ref="B8:I8"/>
    <mergeCell ref="B4:L4"/>
  </mergeCells>
  <dataValidations count="7">
    <dataValidation type="decimal" allowBlank="1" showInputMessage="1" showErrorMessage="1" errorTitle="Invalid type entered" error="Cell value must be numeric" prompt="Enter standard concentration" sqref="A9:A16">
      <formula1>-999999999</formula1>
      <formula2>999999999</formula2>
    </dataValidation>
    <dataValidation allowBlank="1" showInputMessage="1" showErrorMessage="1" prompt="Other notes" sqref="B4:L4"/>
    <dataValidation allowBlank="1" showInputMessage="1" showErrorMessage="1" prompt="Make, model, serial number, etc. of instrument used to perform absorbance measurements" sqref="B3:L3"/>
    <dataValidation allowBlank="1" showInputMessage="1" showErrorMessage="1" prompt="Date denuder assay performed" sqref="B2:L2"/>
    <dataValidation allowBlank="1" showInputMessage="1" showErrorMessage="1" prompt="Name of individual(s) performing denuder assay" sqref="B1:L1"/>
    <dataValidation allowBlank="1" showInputMessage="1" showErrorMessage="1" prompt="Enter a name for this standard duplicate." sqref="B7:I7"/>
    <dataValidation type="decimal" allowBlank="1" showInputMessage="1" showErrorMessage="1" errorTitle="Invalid type entered" error="Cell value must be numeric" prompt="Enter measured absorbance values" sqref="B9:I16">
      <formula1>-999999999</formula1>
      <formula2>999999999</formula2>
    </dataValidation>
  </dataValidations>
  <pageMargins left="0.7" right="0.7" top="0.75" bottom="0.75" header="0.3" footer="0.3"/>
  <pageSetup orientation="portrait" horizontalDpi="4294967294" verticalDpi="0" r:id="rId1"/>
  <headerFooter>
    <oddHeader>&amp;C&amp;14&amp;A</oddHeader>
    <oddFooter>&amp;L&amp;F&amp;R&amp;P/&amp;N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Y33"/>
  <sheetViews>
    <sheetView workbookViewId="0">
      <selection activeCell="C1" sqref="C1:M1"/>
    </sheetView>
  </sheetViews>
  <sheetFormatPr defaultRowHeight="15"/>
  <cols>
    <col min="1" max="1" width="28.85546875" customWidth="1"/>
    <col min="2" max="2" width="13.85546875" bestFit="1" customWidth="1"/>
    <col min="3" max="12" width="6.7109375" customWidth="1"/>
    <col min="13" max="13" width="12.28515625" bestFit="1" customWidth="1"/>
    <col min="14" max="22" width="6.7109375" customWidth="1"/>
    <col min="23" max="23" width="10.7109375" bestFit="1" customWidth="1"/>
    <col min="24" max="24" width="6.85546875" bestFit="1" customWidth="1"/>
    <col min="25" max="25" width="11.42578125" bestFit="1" customWidth="1"/>
  </cols>
  <sheetData>
    <row r="1" spans="1:25">
      <c r="B1" s="69" t="s">
        <v>0</v>
      </c>
      <c r="C1" s="88"/>
      <c r="D1" s="89"/>
      <c r="E1" s="89"/>
      <c r="F1" s="89"/>
      <c r="G1" s="89"/>
      <c r="H1" s="89"/>
      <c r="I1" s="89"/>
      <c r="J1" s="89"/>
      <c r="K1" s="89"/>
      <c r="L1" s="89"/>
      <c r="M1" s="90"/>
      <c r="N1" s="12"/>
      <c r="O1" s="6"/>
    </row>
    <row r="2" spans="1:25">
      <c r="B2" s="11" t="s">
        <v>1</v>
      </c>
      <c r="C2" s="91"/>
      <c r="D2" s="92"/>
      <c r="E2" s="92"/>
      <c r="F2" s="92"/>
      <c r="G2" s="92"/>
      <c r="H2" s="92"/>
      <c r="I2" s="92"/>
      <c r="J2" s="92"/>
      <c r="K2" s="92"/>
      <c r="L2" s="92"/>
      <c r="M2" s="93"/>
      <c r="N2" s="12"/>
      <c r="O2" s="6"/>
    </row>
    <row r="3" spans="1:25">
      <c r="B3" s="11" t="s">
        <v>20</v>
      </c>
      <c r="C3" s="91"/>
      <c r="D3" s="92"/>
      <c r="E3" s="92"/>
      <c r="F3" s="92"/>
      <c r="G3" s="92"/>
      <c r="H3" s="92"/>
      <c r="I3" s="92"/>
      <c r="J3" s="92"/>
      <c r="K3" s="92"/>
      <c r="L3" s="92"/>
      <c r="M3" s="93"/>
      <c r="N3" s="12"/>
      <c r="O3" s="6"/>
    </row>
    <row r="4" spans="1:25">
      <c r="B4" s="13" t="s">
        <v>9</v>
      </c>
      <c r="C4" s="100"/>
      <c r="D4" s="101"/>
      <c r="E4" s="101"/>
      <c r="F4" s="101"/>
      <c r="G4" s="101"/>
      <c r="H4" s="101"/>
      <c r="I4" s="101"/>
      <c r="J4" s="101"/>
      <c r="K4" s="101"/>
      <c r="L4" s="101"/>
      <c r="M4" s="102"/>
      <c r="N4" s="12"/>
      <c r="O4" s="6"/>
      <c r="U4" s="75"/>
    </row>
    <row r="6" spans="1:25">
      <c r="B6" s="15" t="s">
        <v>42</v>
      </c>
      <c r="C6" s="94" t="s">
        <v>39</v>
      </c>
      <c r="D6" s="95"/>
      <c r="E6" s="95"/>
      <c r="F6" s="95"/>
      <c r="G6" s="95"/>
      <c r="H6" s="95"/>
      <c r="I6" s="95"/>
      <c r="J6" s="96"/>
      <c r="M6" s="10"/>
      <c r="N6" s="97" t="s">
        <v>53</v>
      </c>
      <c r="O6" s="98"/>
      <c r="P6" s="98"/>
      <c r="Q6" s="98"/>
      <c r="R6" s="98"/>
      <c r="S6" s="98"/>
      <c r="T6" s="98"/>
      <c r="U6" s="98"/>
      <c r="V6" s="98"/>
      <c r="W6" s="99"/>
      <c r="X6" s="15" t="s">
        <v>11</v>
      </c>
      <c r="Y6" s="15" t="s">
        <v>37</v>
      </c>
    </row>
    <row r="7" spans="1:25">
      <c r="B7" s="16" t="s">
        <v>41</v>
      </c>
      <c r="C7" s="143" t="s">
        <v>16</v>
      </c>
      <c r="D7" s="26" t="s">
        <v>16</v>
      </c>
      <c r="E7" s="26" t="s">
        <v>17</v>
      </c>
      <c r="F7" s="26" t="s">
        <v>17</v>
      </c>
      <c r="G7" s="26"/>
      <c r="H7" s="26"/>
      <c r="I7" s="26"/>
      <c r="J7" s="46"/>
      <c r="K7" s="97" t="s">
        <v>2</v>
      </c>
      <c r="L7" s="99"/>
      <c r="M7" s="15" t="s">
        <v>45</v>
      </c>
      <c r="N7" s="105" t="s">
        <v>54</v>
      </c>
      <c r="O7" s="106"/>
      <c r="P7" s="107"/>
      <c r="Q7" s="105" t="s">
        <v>33</v>
      </c>
      <c r="R7" s="106"/>
      <c r="S7" s="107"/>
      <c r="T7" s="105" t="s">
        <v>34</v>
      </c>
      <c r="U7" s="106"/>
      <c r="V7" s="107"/>
      <c r="W7" s="16" t="s">
        <v>32</v>
      </c>
      <c r="X7" s="16" t="s">
        <v>43</v>
      </c>
      <c r="Y7" s="16" t="s">
        <v>55</v>
      </c>
    </row>
    <row r="8" spans="1:25">
      <c r="A8" s="5" t="s">
        <v>50</v>
      </c>
      <c r="B8" s="17" t="s">
        <v>38</v>
      </c>
      <c r="C8" s="97" t="s">
        <v>2</v>
      </c>
      <c r="D8" s="98"/>
      <c r="E8" s="98"/>
      <c r="F8" s="98"/>
      <c r="G8" s="98"/>
      <c r="H8" s="98"/>
      <c r="I8" s="98"/>
      <c r="J8" s="99"/>
      <c r="K8" s="7" t="s">
        <v>3</v>
      </c>
      <c r="L8" s="8" t="s">
        <v>4</v>
      </c>
      <c r="M8" s="17" t="s">
        <v>46</v>
      </c>
      <c r="N8" s="144" t="s">
        <v>22</v>
      </c>
      <c r="O8" s="145" t="s">
        <v>21</v>
      </c>
      <c r="P8" s="53" t="s">
        <v>23</v>
      </c>
      <c r="Q8" s="146" t="s">
        <v>22</v>
      </c>
      <c r="R8" s="147" t="s">
        <v>21</v>
      </c>
      <c r="S8" s="53" t="s">
        <v>23</v>
      </c>
      <c r="T8" s="146" t="s">
        <v>22</v>
      </c>
      <c r="U8" s="147" t="s">
        <v>21</v>
      </c>
      <c r="V8" s="53" t="s">
        <v>23</v>
      </c>
      <c r="W8" s="60" t="s">
        <v>23</v>
      </c>
      <c r="X8" s="21" t="s">
        <v>56</v>
      </c>
      <c r="Y8" s="60" t="s">
        <v>44</v>
      </c>
    </row>
    <row r="9" spans="1:25">
      <c r="A9" s="58" t="s">
        <v>18</v>
      </c>
      <c r="B9" s="139">
        <v>10</v>
      </c>
      <c r="C9" s="140">
        <v>6.0000000000000001E-3</v>
      </c>
      <c r="D9" s="141">
        <v>7.0000000000000001E-3</v>
      </c>
      <c r="E9" s="141">
        <v>1.7000000000000001E-2</v>
      </c>
      <c r="F9" s="141">
        <v>0.01</v>
      </c>
      <c r="G9" s="141"/>
      <c r="H9" s="141"/>
      <c r="I9" s="141"/>
      <c r="J9" s="142"/>
      <c r="K9" s="42">
        <f t="shared" ref="K9:K10" si="0">IF(COUNT($C9:$J9), AVERAGE($C9:$J9), "")</f>
        <v>0.01</v>
      </c>
      <c r="L9" s="23">
        <f t="shared" ref="L9:L28" si="1">IF(COUNT($C9:$J9)&gt;1, STDEV($C9:$J9), "")</f>
        <v>4.9665548085837804E-3</v>
      </c>
      <c r="M9" s="19">
        <f ca="1">IF(ISNUMBER(K9), (K9*'Standard Curve'!$E$19+'Standard Curve'!$F$19), "")</f>
        <v>5.3167580749231405E-2</v>
      </c>
      <c r="N9" s="140">
        <v>0.1</v>
      </c>
      <c r="O9" s="142">
        <v>10</v>
      </c>
      <c r="P9" s="25">
        <f>IF(COUNT(N9:O9), N9/O9, "")</f>
        <v>0.01</v>
      </c>
      <c r="Q9" s="140"/>
      <c r="R9" s="142"/>
      <c r="S9" s="20" t="str">
        <f>IF(COUNT(Q9:R9), Q9/R9, "")</f>
        <v/>
      </c>
      <c r="T9" s="140"/>
      <c r="U9" s="142"/>
      <c r="V9" s="20" t="str">
        <f>IF(COUNT(T9:U9), T9/U9, "")</f>
        <v/>
      </c>
      <c r="W9" s="72">
        <f>IF(ISNUMBER(P9), P9, 1)*IF(ISNUMBER(S9), S9, 1)*IF(ISNUMBER(V9), V9, 1)</f>
        <v>0.01</v>
      </c>
      <c r="X9" s="64">
        <f t="shared" ref="X9:X10" ca="1" si="2">IF(ISNUMBER(M9), M9/W9-$X$33, "")</f>
        <v>-8.086096139977986</v>
      </c>
      <c r="Y9" s="63" t="str">
        <f ca="1">IF(AND(ISNUMBER(B9), ISNUMBER(X9), X9&gt;0),B9/1000* X9, "")</f>
        <v/>
      </c>
    </row>
    <row r="10" spans="1:25">
      <c r="A10" s="36" t="s">
        <v>19</v>
      </c>
      <c r="B10" s="67">
        <v>10</v>
      </c>
      <c r="C10" s="29">
        <v>2.4E-2</v>
      </c>
      <c r="D10" s="30">
        <v>2.5999999999999999E-2</v>
      </c>
      <c r="E10" s="30">
        <v>5.0000000000000001E-3</v>
      </c>
      <c r="F10" s="30">
        <v>6.0000000000000001E-3</v>
      </c>
      <c r="G10" s="30"/>
      <c r="H10" s="30"/>
      <c r="I10" s="30"/>
      <c r="J10" s="31"/>
      <c r="K10" s="40">
        <f t="shared" si="0"/>
        <v>1.525E-2</v>
      </c>
      <c r="L10" s="23">
        <f t="shared" si="1"/>
        <v>1.1295279249904953E-2</v>
      </c>
      <c r="M10" s="20">
        <f ca="1">IF(ISNUMBER(K10), (K10*'Standard Curve'!$E$19+'Standard Curve'!$F$19), "")</f>
        <v>6.5125891942156594E-2</v>
      </c>
      <c r="N10" s="29">
        <v>0.1</v>
      </c>
      <c r="O10" s="31">
        <v>10</v>
      </c>
      <c r="P10" s="25">
        <f>IF(COUNT(N10:O10), N10/O10, "")</f>
        <v>0.01</v>
      </c>
      <c r="Q10" s="29"/>
      <c r="R10" s="31"/>
      <c r="S10" s="20" t="str">
        <f>IF(COUNT(Q10:R10), Q10/R10, "")</f>
        <v/>
      </c>
      <c r="T10" s="29"/>
      <c r="U10" s="31"/>
      <c r="V10" s="20" t="str">
        <f>IF(COUNT(T10:U10), T10/U10, "")</f>
        <v/>
      </c>
      <c r="W10" s="73">
        <f t="shared" ref="W10:W32" si="3">IF(ISNUMBER(P10), P10, 1)*IF(ISNUMBER(S10), S10, 1)*IF(ISNUMBER(V10), V10, 1)</f>
        <v>0.01</v>
      </c>
      <c r="X10" s="64">
        <f t="shared" ca="1" si="2"/>
        <v>-6.890265020685467</v>
      </c>
      <c r="Y10" s="62" t="str">
        <f ca="1">IF(AND(ISNUMBER(B10), ISNUMBER(X10), X10&gt;0),B10/1000* X10, "")</f>
        <v/>
      </c>
    </row>
    <row r="11" spans="1:25">
      <c r="A11" s="36" t="s">
        <v>35</v>
      </c>
      <c r="B11" s="67">
        <v>10</v>
      </c>
      <c r="C11" s="29">
        <v>0.23200000000000001</v>
      </c>
      <c r="D11" s="30">
        <v>0.23100000000000001</v>
      </c>
      <c r="E11" s="30">
        <v>0.25</v>
      </c>
      <c r="F11" s="30">
        <v>0.248</v>
      </c>
      <c r="G11" s="30"/>
      <c r="H11" s="30"/>
      <c r="I11" s="30"/>
      <c r="J11" s="31"/>
      <c r="K11" s="40">
        <f>IF(COUNT($C11:$J11), AVERAGE($C11:$J11), "")</f>
        <v>0.24025000000000002</v>
      </c>
      <c r="L11" s="23">
        <f t="shared" si="1"/>
        <v>1.0144785195688793E-2</v>
      </c>
      <c r="M11" s="20">
        <f ca="1">IF(ISNUMBER(K11), (K11*'Standard Curve'!$E$19+'Standard Curve'!$F$19), "")</f>
        <v>0.57762494306752199</v>
      </c>
      <c r="N11" s="29">
        <v>0.1</v>
      </c>
      <c r="O11" s="31">
        <v>10</v>
      </c>
      <c r="P11" s="25">
        <f t="shared" ref="P11:P32" si="4">IF(COUNT(N11:O11), N11/O11, "")</f>
        <v>0.01</v>
      </c>
      <c r="Q11" s="29">
        <v>0.5</v>
      </c>
      <c r="R11" s="31">
        <v>9.5</v>
      </c>
      <c r="S11" s="20">
        <f t="shared" ref="S11:S32" si="5">IF(COUNT(Q11:R11), Q11/R11, "")</f>
        <v>5.2631578947368418E-2</v>
      </c>
      <c r="T11" s="29">
        <v>0.1</v>
      </c>
      <c r="U11" s="31">
        <v>1</v>
      </c>
      <c r="V11" s="20">
        <f t="shared" ref="V11:V32" si="6">IF(COUNT(T11:U11), T11/U11, "")</f>
        <v>0.1</v>
      </c>
      <c r="W11" s="73">
        <f t="shared" si="3"/>
        <v>5.2631578947368424E-5</v>
      </c>
      <c r="X11" s="64">
        <f ca="1">IF(ISNUMBER(M11), M11/W11-$X$33, "")</f>
        <v>10961.471064068017</v>
      </c>
      <c r="Y11" s="62">
        <f t="shared" ref="Y11:Y28" ca="1" si="7">IF(AND(ISNUMBER(B11), ISNUMBER(X11), X11&gt;0),B11/1000* X11, "")</f>
        <v>109.61471064068017</v>
      </c>
    </row>
    <row r="12" spans="1:25">
      <c r="A12" s="36" t="s">
        <v>24</v>
      </c>
      <c r="B12" s="67">
        <v>10</v>
      </c>
      <c r="C12" s="29">
        <v>0.44</v>
      </c>
      <c r="D12" s="30">
        <v>0.44</v>
      </c>
      <c r="E12" s="30">
        <v>0.44</v>
      </c>
      <c r="F12" s="30">
        <v>0.436</v>
      </c>
      <c r="G12" s="30"/>
      <c r="H12" s="30"/>
      <c r="I12" s="30"/>
      <c r="J12" s="31"/>
      <c r="K12" s="40">
        <f t="shared" ref="K12:K32" si="8">IF(COUNT($C12:$J12), AVERAGE($C12:$J12), "")</f>
        <v>0.439</v>
      </c>
      <c r="L12" s="23">
        <f t="shared" si="1"/>
        <v>2.0000000000000018E-3</v>
      </c>
      <c r="M12" s="20">
        <f ca="1">IF(ISNUMBER(K12), (K12*'Standard Curve'!$E$19+'Standard Curve'!$F$19), "")</f>
        <v>1.0303324382282613</v>
      </c>
      <c r="N12" s="29">
        <v>0.1</v>
      </c>
      <c r="O12" s="31">
        <v>10</v>
      </c>
      <c r="P12" s="25">
        <f t="shared" si="4"/>
        <v>0.01</v>
      </c>
      <c r="Q12" s="29">
        <v>0.5</v>
      </c>
      <c r="R12" s="31">
        <v>9.5</v>
      </c>
      <c r="S12" s="20">
        <f t="shared" si="5"/>
        <v>5.2631578947368418E-2</v>
      </c>
      <c r="T12" s="29">
        <v>0.75</v>
      </c>
      <c r="U12" s="31">
        <v>1</v>
      </c>
      <c r="V12" s="20">
        <f t="shared" si="6"/>
        <v>0.75</v>
      </c>
      <c r="W12" s="73">
        <f t="shared" si="3"/>
        <v>3.9473684210526315E-4</v>
      </c>
      <c r="X12" s="64">
        <f t="shared" ref="X12:X28" ca="1" si="9">IF(ISNUMBER(M12), M12/W12-$X$33, "")</f>
        <v>2596.7726559633606</v>
      </c>
      <c r="Y12" s="62">
        <f t="shared" ca="1" si="7"/>
        <v>25.967726559633608</v>
      </c>
    </row>
    <row r="13" spans="1:25">
      <c r="A13" s="36" t="s">
        <v>25</v>
      </c>
      <c r="B13" s="67">
        <v>10</v>
      </c>
      <c r="C13" s="29">
        <v>5.7000000000000002E-2</v>
      </c>
      <c r="D13" s="30">
        <v>7.3999999999999996E-2</v>
      </c>
      <c r="E13" s="30">
        <v>6.5000000000000002E-2</v>
      </c>
      <c r="F13" s="30">
        <v>0.04</v>
      </c>
      <c r="G13" s="30">
        <v>3.9E-2</v>
      </c>
      <c r="H13" s="30"/>
      <c r="I13" s="30"/>
      <c r="J13" s="31"/>
      <c r="K13" s="40">
        <f t="shared" si="8"/>
        <v>5.5000000000000007E-2</v>
      </c>
      <c r="L13" s="23">
        <f t="shared" si="1"/>
        <v>1.537855649922969E-2</v>
      </c>
      <c r="M13" s="20">
        <f ca="1">IF(ISNUMBER(K13), (K13*'Standard Curve'!$E$19+'Standard Curve'!$F$19), "")</f>
        <v>0.15566739097430449</v>
      </c>
      <c r="N13" s="29">
        <v>0.1</v>
      </c>
      <c r="O13" s="31">
        <v>10</v>
      </c>
      <c r="P13" s="25">
        <f t="shared" si="4"/>
        <v>0.01</v>
      </c>
      <c r="Q13" s="29">
        <v>0.5</v>
      </c>
      <c r="R13" s="31">
        <v>9.5</v>
      </c>
      <c r="S13" s="20">
        <f t="shared" si="5"/>
        <v>5.2631578947368418E-2</v>
      </c>
      <c r="T13" s="29">
        <v>0.1</v>
      </c>
      <c r="U13" s="31">
        <v>1</v>
      </c>
      <c r="V13" s="20">
        <f t="shared" si="6"/>
        <v>0.1</v>
      </c>
      <c r="W13" s="73">
        <f t="shared" si="3"/>
        <v>5.2631578947368424E-5</v>
      </c>
      <c r="X13" s="64">
        <f t="shared" ca="1" si="9"/>
        <v>2944.2775742968838</v>
      </c>
      <c r="Y13" s="62">
        <f t="shared" ca="1" si="7"/>
        <v>29.442775742968838</v>
      </c>
    </row>
    <row r="14" spans="1:25">
      <c r="A14" s="36" t="s">
        <v>28</v>
      </c>
      <c r="B14" s="67">
        <v>10</v>
      </c>
      <c r="C14" s="29">
        <v>0.42</v>
      </c>
      <c r="D14" s="30">
        <v>0.42</v>
      </c>
      <c r="E14" s="30">
        <v>0.42</v>
      </c>
      <c r="F14" s="30">
        <v>0.42</v>
      </c>
      <c r="G14" s="30"/>
      <c r="H14" s="30"/>
      <c r="I14" s="30"/>
      <c r="J14" s="31"/>
      <c r="K14" s="40">
        <f t="shared" si="8"/>
        <v>0.42</v>
      </c>
      <c r="L14" s="23">
        <f t="shared" si="1"/>
        <v>0</v>
      </c>
      <c r="M14" s="20">
        <f ca="1">IF(ISNUMBER(K14), (K14*'Standard Curve'!$E$19+'Standard Curve'!$F$19), "")</f>
        <v>0.98705474057767484</v>
      </c>
      <c r="N14" s="29">
        <v>0.1</v>
      </c>
      <c r="O14" s="31">
        <v>10</v>
      </c>
      <c r="P14" s="25">
        <f t="shared" si="4"/>
        <v>0.01</v>
      </c>
      <c r="Q14" s="29">
        <v>0.5</v>
      </c>
      <c r="R14" s="31">
        <v>9.5</v>
      </c>
      <c r="S14" s="20">
        <f t="shared" si="5"/>
        <v>5.2631578947368418E-2</v>
      </c>
      <c r="T14" s="29">
        <v>0.75</v>
      </c>
      <c r="U14" s="31">
        <v>1</v>
      </c>
      <c r="V14" s="20">
        <f t="shared" si="6"/>
        <v>0.75</v>
      </c>
      <c r="W14" s="73">
        <f t="shared" si="3"/>
        <v>3.9473684210526315E-4</v>
      </c>
      <c r="X14" s="64">
        <f t="shared" ca="1" si="9"/>
        <v>2487.1358219152085</v>
      </c>
      <c r="Y14" s="62">
        <f t="shared" ca="1" si="7"/>
        <v>24.871358219152086</v>
      </c>
    </row>
    <row r="15" spans="1:25">
      <c r="A15" s="36" t="s">
        <v>27</v>
      </c>
      <c r="B15" s="67">
        <v>10</v>
      </c>
      <c r="C15" s="29">
        <v>3.1E-2</v>
      </c>
      <c r="D15" s="30">
        <v>3.2000000000000001E-2</v>
      </c>
      <c r="E15" s="30">
        <v>3.2000000000000001E-2</v>
      </c>
      <c r="F15" s="30">
        <v>3.2000000000000001E-2</v>
      </c>
      <c r="G15" s="30"/>
      <c r="H15" s="30"/>
      <c r="I15" s="30"/>
      <c r="J15" s="31"/>
      <c r="K15" s="40">
        <f t="shared" si="8"/>
        <v>3.175E-2</v>
      </c>
      <c r="L15" s="23">
        <f t="shared" si="1"/>
        <v>5.0000000000000044E-4</v>
      </c>
      <c r="M15" s="20">
        <f ca="1">IF(ISNUMBER(K15), (K15*'Standard Curve'!$E$19+'Standard Curve'!$F$19), "")</f>
        <v>0.10270915569135006</v>
      </c>
      <c r="N15" s="29">
        <v>0.1</v>
      </c>
      <c r="O15" s="31">
        <v>10</v>
      </c>
      <c r="P15" s="25">
        <f t="shared" si="4"/>
        <v>0.01</v>
      </c>
      <c r="Q15" s="29">
        <v>0.5</v>
      </c>
      <c r="R15" s="31">
        <v>9.5</v>
      </c>
      <c r="S15" s="20">
        <f t="shared" si="5"/>
        <v>5.2631578947368418E-2</v>
      </c>
      <c r="T15" s="29">
        <v>0.1</v>
      </c>
      <c r="U15" s="31">
        <v>1</v>
      </c>
      <c r="V15" s="20">
        <f t="shared" si="6"/>
        <v>0.1</v>
      </c>
      <c r="W15" s="73">
        <f t="shared" si="3"/>
        <v>5.2631578947368424E-5</v>
      </c>
      <c r="X15" s="64">
        <f t="shared" ca="1" si="9"/>
        <v>1938.0711039207499</v>
      </c>
      <c r="Y15" s="62">
        <f t="shared" ca="1" si="7"/>
        <v>19.380711039207501</v>
      </c>
    </row>
    <row r="16" spans="1:25">
      <c r="A16" s="36" t="s">
        <v>26</v>
      </c>
      <c r="B16" s="67">
        <v>10</v>
      </c>
      <c r="C16" s="29">
        <v>0.436</v>
      </c>
      <c r="D16" s="30">
        <v>0.438</v>
      </c>
      <c r="E16" s="30">
        <v>0.45200000000000001</v>
      </c>
      <c r="F16" s="30">
        <v>0.45200000000000001</v>
      </c>
      <c r="G16" s="30"/>
      <c r="H16" s="30"/>
      <c r="I16" s="30"/>
      <c r="J16" s="31"/>
      <c r="K16" s="40">
        <f t="shared" si="8"/>
        <v>0.44450000000000001</v>
      </c>
      <c r="L16" s="23">
        <f t="shared" si="1"/>
        <v>8.6986589004666003E-3</v>
      </c>
      <c r="M16" s="20">
        <f ca="1">IF(ISNUMBER(K16), (K16*'Standard Curve'!$E$19+'Standard Curve'!$F$19), "")</f>
        <v>1.0428601928113257</v>
      </c>
      <c r="N16" s="29">
        <v>0.1</v>
      </c>
      <c r="O16" s="31">
        <v>10</v>
      </c>
      <c r="P16" s="25">
        <f t="shared" si="4"/>
        <v>0.01</v>
      </c>
      <c r="Q16" s="29">
        <v>0.5</v>
      </c>
      <c r="R16" s="31">
        <v>9.5</v>
      </c>
      <c r="S16" s="20">
        <f t="shared" si="5"/>
        <v>5.2631578947368418E-2</v>
      </c>
      <c r="T16" s="29">
        <v>0.1</v>
      </c>
      <c r="U16" s="31">
        <v>1</v>
      </c>
      <c r="V16" s="20">
        <f t="shared" si="6"/>
        <v>0.1</v>
      </c>
      <c r="W16" s="73">
        <f t="shared" si="3"/>
        <v>5.2631578947368424E-5</v>
      </c>
      <c r="X16" s="64">
        <f t="shared" ca="1" si="9"/>
        <v>19800.940809200285</v>
      </c>
      <c r="Y16" s="62">
        <f t="shared" ca="1" si="7"/>
        <v>198.00940809200284</v>
      </c>
    </row>
    <row r="17" spans="1:25">
      <c r="A17" s="36" t="s">
        <v>29</v>
      </c>
      <c r="B17" s="67">
        <v>10</v>
      </c>
      <c r="C17" s="29">
        <v>7.3999999999999996E-2</v>
      </c>
      <c r="D17" s="30">
        <v>7.6999999999999999E-2</v>
      </c>
      <c r="E17" s="30">
        <v>8.6999999999999994E-2</v>
      </c>
      <c r="F17" s="30">
        <v>8.6999999999999994E-2</v>
      </c>
      <c r="G17" s="30"/>
      <c r="H17" s="30"/>
      <c r="I17" s="30"/>
      <c r="J17" s="31"/>
      <c r="K17" s="40">
        <f t="shared" si="8"/>
        <v>8.1249999999999989E-2</v>
      </c>
      <c r="L17" s="23">
        <f t="shared" si="1"/>
        <v>6.7515430335096955E-3</v>
      </c>
      <c r="M17" s="20">
        <f ca="1">IF(ISNUMBER(K17), (K17*'Standard Curve'!$E$19+'Standard Curve'!$F$19), "")</f>
        <v>0.21545894693893039</v>
      </c>
      <c r="N17" s="29">
        <v>0.1</v>
      </c>
      <c r="O17" s="31">
        <v>10</v>
      </c>
      <c r="P17" s="25">
        <f t="shared" si="4"/>
        <v>0.01</v>
      </c>
      <c r="Q17" s="29">
        <v>0.5</v>
      </c>
      <c r="R17" s="31">
        <v>9.5</v>
      </c>
      <c r="S17" s="20">
        <f t="shared" si="5"/>
        <v>5.2631578947368418E-2</v>
      </c>
      <c r="T17" s="29">
        <v>0.75</v>
      </c>
      <c r="U17" s="31">
        <v>1</v>
      </c>
      <c r="V17" s="20">
        <f t="shared" si="6"/>
        <v>0.75</v>
      </c>
      <c r="W17" s="73">
        <f t="shared" si="3"/>
        <v>3.9473684210526315E-4</v>
      </c>
      <c r="X17" s="64">
        <f t="shared" ca="1" si="9"/>
        <v>532.42647803038915</v>
      </c>
      <c r="Y17" s="62">
        <f t="shared" ca="1" si="7"/>
        <v>5.3242647803038912</v>
      </c>
    </row>
    <row r="18" spans="1:25">
      <c r="A18" s="36" t="s">
        <v>30</v>
      </c>
      <c r="B18" s="67">
        <v>10</v>
      </c>
      <c r="C18" s="29">
        <v>-1.6E-2</v>
      </c>
      <c r="D18" s="30">
        <v>-8.9999999999999993E-3</v>
      </c>
      <c r="E18" s="30">
        <v>-8.9999999999999993E-3</v>
      </c>
      <c r="F18" s="30">
        <v>-8.0000000000000002E-3</v>
      </c>
      <c r="G18" s="30"/>
      <c r="H18" s="30"/>
      <c r="I18" s="30"/>
      <c r="J18" s="31"/>
      <c r="K18" s="40">
        <f t="shared" si="8"/>
        <v>-1.0500000000000001E-2</v>
      </c>
      <c r="L18" s="23">
        <f t="shared" si="1"/>
        <v>3.6968455021364685E-3</v>
      </c>
      <c r="M18" s="20">
        <f ca="1">IF(ISNUMBER(K18), (K18*'Standard Curve'!$E$19+'Standard Curve'!$F$19), "")</f>
        <v>6.4732227578092293E-3</v>
      </c>
      <c r="N18" s="29">
        <v>0.1</v>
      </c>
      <c r="O18" s="31">
        <v>10</v>
      </c>
      <c r="P18" s="25">
        <f t="shared" si="4"/>
        <v>0.01</v>
      </c>
      <c r="Q18" s="29">
        <v>0.5</v>
      </c>
      <c r="R18" s="31">
        <v>9.5</v>
      </c>
      <c r="S18" s="20">
        <f t="shared" si="5"/>
        <v>5.2631578947368418E-2</v>
      </c>
      <c r="T18" s="29">
        <v>0.1</v>
      </c>
      <c r="U18" s="31">
        <v>1</v>
      </c>
      <c r="V18" s="20">
        <f t="shared" si="6"/>
        <v>0.1</v>
      </c>
      <c r="W18" s="73">
        <f t="shared" si="3"/>
        <v>5.2631578947368424E-5</v>
      </c>
      <c r="X18" s="64">
        <f t="shared" ca="1" si="9"/>
        <v>109.58837818347422</v>
      </c>
      <c r="Y18" s="62">
        <f t="shared" ca="1" si="7"/>
        <v>1.0958837818347422</v>
      </c>
    </row>
    <row r="19" spans="1:25">
      <c r="A19" s="36" t="s">
        <v>31</v>
      </c>
      <c r="B19" s="67">
        <v>10</v>
      </c>
      <c r="C19" s="29">
        <v>0.34799999999999998</v>
      </c>
      <c r="D19" s="30">
        <v>0.35</v>
      </c>
      <c r="E19" s="30">
        <v>0.34200000000000003</v>
      </c>
      <c r="F19" s="30">
        <v>0.34200000000000003</v>
      </c>
      <c r="G19" s="30"/>
      <c r="H19" s="30"/>
      <c r="I19" s="30"/>
      <c r="J19" s="31"/>
      <c r="K19" s="40">
        <f t="shared" si="8"/>
        <v>0.34550000000000003</v>
      </c>
      <c r="L19" s="23">
        <f t="shared" si="1"/>
        <v>4.1231056256176325E-3</v>
      </c>
      <c r="M19" s="20">
        <f ca="1">IF(ISNUMBER(K19), (K19*'Standard Curve'!$E$19+'Standard Curve'!$F$19), "")</f>
        <v>0.81736061031616503</v>
      </c>
      <c r="N19" s="29">
        <v>0.1</v>
      </c>
      <c r="O19" s="31">
        <v>10</v>
      </c>
      <c r="P19" s="25">
        <f t="shared" si="4"/>
        <v>0.01</v>
      </c>
      <c r="Q19" s="29">
        <v>0.5</v>
      </c>
      <c r="R19" s="31">
        <v>9.5</v>
      </c>
      <c r="S19" s="20">
        <f t="shared" si="5"/>
        <v>5.2631578947368418E-2</v>
      </c>
      <c r="T19" s="29">
        <v>0.1</v>
      </c>
      <c r="U19" s="31">
        <v>1</v>
      </c>
      <c r="V19" s="20">
        <f t="shared" si="6"/>
        <v>0.1</v>
      </c>
      <c r="W19" s="73">
        <f t="shared" si="3"/>
        <v>5.2631578947368424E-5</v>
      </c>
      <c r="X19" s="64">
        <f t="shared" ca="1" si="9"/>
        <v>15516.448741792234</v>
      </c>
      <c r="Y19" s="62">
        <f t="shared" ca="1" si="7"/>
        <v>155.16448741792235</v>
      </c>
    </row>
    <row r="20" spans="1:25">
      <c r="A20" s="59"/>
      <c r="B20" s="67"/>
      <c r="C20" s="54"/>
      <c r="D20" s="56"/>
      <c r="E20" s="56"/>
      <c r="F20" s="56"/>
      <c r="G20" s="56"/>
      <c r="H20" s="56"/>
      <c r="I20" s="56"/>
      <c r="J20" s="55"/>
      <c r="K20" s="40" t="str">
        <f t="shared" si="8"/>
        <v/>
      </c>
      <c r="L20" s="23" t="str">
        <f t="shared" si="1"/>
        <v/>
      </c>
      <c r="M20" s="20" t="str">
        <f>IF(ISNUMBER(K20), (K20*'Standard Curve'!$E$19+'Standard Curve'!$F$19), "")</f>
        <v/>
      </c>
      <c r="N20" s="54"/>
      <c r="O20" s="55"/>
      <c r="P20" s="25" t="str">
        <f t="shared" si="4"/>
        <v/>
      </c>
      <c r="Q20" s="54"/>
      <c r="R20" s="55"/>
      <c r="S20" s="20" t="str">
        <f t="shared" si="5"/>
        <v/>
      </c>
      <c r="T20" s="54"/>
      <c r="U20" s="55"/>
      <c r="V20" s="20" t="str">
        <f t="shared" si="6"/>
        <v/>
      </c>
      <c r="W20" s="73">
        <f t="shared" si="3"/>
        <v>1</v>
      </c>
      <c r="X20" s="64" t="str">
        <f t="shared" si="9"/>
        <v/>
      </c>
      <c r="Y20" s="62" t="str">
        <f t="shared" si="7"/>
        <v/>
      </c>
    </row>
    <row r="21" spans="1:25">
      <c r="A21" s="59"/>
      <c r="B21" s="67"/>
      <c r="C21" s="54"/>
      <c r="D21" s="56"/>
      <c r="E21" s="56"/>
      <c r="F21" s="56"/>
      <c r="G21" s="56"/>
      <c r="H21" s="56"/>
      <c r="I21" s="56"/>
      <c r="J21" s="55"/>
      <c r="K21" s="40" t="str">
        <f t="shared" si="8"/>
        <v/>
      </c>
      <c r="L21" s="23" t="str">
        <f t="shared" si="1"/>
        <v/>
      </c>
      <c r="M21" s="20" t="str">
        <f>IF(ISNUMBER(K21), (K21*'Standard Curve'!$E$19+'Standard Curve'!$F$19), "")</f>
        <v/>
      </c>
      <c r="N21" s="54"/>
      <c r="O21" s="55"/>
      <c r="P21" s="25" t="str">
        <f t="shared" si="4"/>
        <v/>
      </c>
      <c r="Q21" s="54"/>
      <c r="R21" s="55"/>
      <c r="S21" s="20" t="str">
        <f t="shared" si="5"/>
        <v/>
      </c>
      <c r="T21" s="54"/>
      <c r="U21" s="55"/>
      <c r="V21" s="20" t="str">
        <f t="shared" si="6"/>
        <v/>
      </c>
      <c r="W21" s="73">
        <f t="shared" si="3"/>
        <v>1</v>
      </c>
      <c r="X21" s="64" t="str">
        <f t="shared" si="9"/>
        <v/>
      </c>
      <c r="Y21" s="62" t="str">
        <f t="shared" si="7"/>
        <v/>
      </c>
    </row>
    <row r="22" spans="1:25">
      <c r="A22" s="59"/>
      <c r="B22" s="67"/>
      <c r="C22" s="54"/>
      <c r="D22" s="56"/>
      <c r="E22" s="56"/>
      <c r="F22" s="56"/>
      <c r="G22" s="56"/>
      <c r="H22" s="56"/>
      <c r="I22" s="56"/>
      <c r="J22" s="55"/>
      <c r="K22" s="40" t="str">
        <f t="shared" si="8"/>
        <v/>
      </c>
      <c r="L22" s="23" t="str">
        <f t="shared" si="1"/>
        <v/>
      </c>
      <c r="M22" s="20" t="str">
        <f>IF(ISNUMBER(K22), (K22*'Standard Curve'!$E$19+'Standard Curve'!$F$19), "")</f>
        <v/>
      </c>
      <c r="N22" s="54"/>
      <c r="O22" s="55"/>
      <c r="P22" s="25" t="str">
        <f t="shared" si="4"/>
        <v/>
      </c>
      <c r="Q22" s="54"/>
      <c r="R22" s="55"/>
      <c r="S22" s="20" t="str">
        <f t="shared" si="5"/>
        <v/>
      </c>
      <c r="T22" s="54"/>
      <c r="U22" s="55"/>
      <c r="V22" s="20" t="str">
        <f t="shared" si="6"/>
        <v/>
      </c>
      <c r="W22" s="73">
        <f t="shared" si="3"/>
        <v>1</v>
      </c>
      <c r="X22" s="64" t="str">
        <f t="shared" si="9"/>
        <v/>
      </c>
      <c r="Y22" s="62" t="str">
        <f t="shared" si="7"/>
        <v/>
      </c>
    </row>
    <row r="23" spans="1:25">
      <c r="A23" s="59"/>
      <c r="B23" s="67"/>
      <c r="C23" s="54"/>
      <c r="D23" s="56"/>
      <c r="E23" s="56"/>
      <c r="F23" s="56"/>
      <c r="G23" s="56"/>
      <c r="H23" s="56"/>
      <c r="I23" s="56"/>
      <c r="J23" s="55"/>
      <c r="K23" s="40" t="str">
        <f t="shared" si="8"/>
        <v/>
      </c>
      <c r="L23" s="23" t="str">
        <f t="shared" si="1"/>
        <v/>
      </c>
      <c r="M23" s="20" t="str">
        <f>IF(ISNUMBER(K23), (K23*'Standard Curve'!$E$19+'Standard Curve'!$F$19), "")</f>
        <v/>
      </c>
      <c r="N23" s="54"/>
      <c r="O23" s="55"/>
      <c r="P23" s="25" t="str">
        <f t="shared" si="4"/>
        <v/>
      </c>
      <c r="Q23" s="54"/>
      <c r="R23" s="55"/>
      <c r="S23" s="20" t="str">
        <f t="shared" si="5"/>
        <v/>
      </c>
      <c r="T23" s="54"/>
      <c r="U23" s="55"/>
      <c r="V23" s="20" t="str">
        <f t="shared" si="6"/>
        <v/>
      </c>
      <c r="W23" s="73">
        <f t="shared" si="3"/>
        <v>1</v>
      </c>
      <c r="X23" s="64" t="str">
        <f t="shared" si="9"/>
        <v/>
      </c>
      <c r="Y23" s="62" t="str">
        <f t="shared" si="7"/>
        <v/>
      </c>
    </row>
    <row r="24" spans="1:25">
      <c r="A24" s="59"/>
      <c r="B24" s="67"/>
      <c r="C24" s="54"/>
      <c r="D24" s="56"/>
      <c r="E24" s="56"/>
      <c r="F24" s="56"/>
      <c r="G24" s="56"/>
      <c r="H24" s="56"/>
      <c r="I24" s="56"/>
      <c r="J24" s="55"/>
      <c r="K24" s="40" t="str">
        <f t="shared" si="8"/>
        <v/>
      </c>
      <c r="L24" s="23" t="str">
        <f t="shared" si="1"/>
        <v/>
      </c>
      <c r="M24" s="20" t="str">
        <f>IF(ISNUMBER(K24), (K24*'Standard Curve'!$E$19+'Standard Curve'!$F$19), "")</f>
        <v/>
      </c>
      <c r="N24" s="54"/>
      <c r="O24" s="55"/>
      <c r="P24" s="25" t="str">
        <f t="shared" si="4"/>
        <v/>
      </c>
      <c r="Q24" s="54"/>
      <c r="R24" s="55"/>
      <c r="S24" s="20" t="str">
        <f t="shared" si="5"/>
        <v/>
      </c>
      <c r="T24" s="54"/>
      <c r="U24" s="55"/>
      <c r="V24" s="20" t="str">
        <f t="shared" si="6"/>
        <v/>
      </c>
      <c r="W24" s="73">
        <f t="shared" si="3"/>
        <v>1</v>
      </c>
      <c r="X24" s="64" t="str">
        <f t="shared" si="9"/>
        <v/>
      </c>
      <c r="Y24" s="62" t="str">
        <f t="shared" si="7"/>
        <v/>
      </c>
    </row>
    <row r="25" spans="1:25">
      <c r="A25" s="59"/>
      <c r="B25" s="67"/>
      <c r="C25" s="54"/>
      <c r="D25" s="56"/>
      <c r="E25" s="56"/>
      <c r="F25" s="56"/>
      <c r="G25" s="56"/>
      <c r="H25" s="56"/>
      <c r="I25" s="56"/>
      <c r="J25" s="55"/>
      <c r="K25" s="40" t="str">
        <f t="shared" si="8"/>
        <v/>
      </c>
      <c r="L25" s="23" t="str">
        <f t="shared" si="1"/>
        <v/>
      </c>
      <c r="M25" s="20" t="str">
        <f>IF(ISNUMBER(K25), (K25*'Standard Curve'!$E$19+'Standard Curve'!$F$19), "")</f>
        <v/>
      </c>
      <c r="N25" s="54"/>
      <c r="O25" s="55"/>
      <c r="P25" s="25" t="str">
        <f t="shared" si="4"/>
        <v/>
      </c>
      <c r="Q25" s="54"/>
      <c r="R25" s="55"/>
      <c r="S25" s="20" t="str">
        <f t="shared" si="5"/>
        <v/>
      </c>
      <c r="T25" s="54"/>
      <c r="U25" s="55"/>
      <c r="V25" s="20" t="str">
        <f t="shared" si="6"/>
        <v/>
      </c>
      <c r="W25" s="73">
        <f t="shared" si="3"/>
        <v>1</v>
      </c>
      <c r="X25" s="64" t="str">
        <f t="shared" si="9"/>
        <v/>
      </c>
      <c r="Y25" s="62" t="str">
        <f t="shared" si="7"/>
        <v/>
      </c>
    </row>
    <row r="26" spans="1:25">
      <c r="A26" s="59"/>
      <c r="B26" s="67"/>
      <c r="C26" s="54"/>
      <c r="D26" s="56"/>
      <c r="E26" s="56"/>
      <c r="F26" s="56"/>
      <c r="G26" s="56"/>
      <c r="H26" s="56"/>
      <c r="I26" s="56"/>
      <c r="J26" s="55"/>
      <c r="K26" s="40" t="str">
        <f t="shared" si="8"/>
        <v/>
      </c>
      <c r="L26" s="23" t="str">
        <f t="shared" si="1"/>
        <v/>
      </c>
      <c r="M26" s="20" t="str">
        <f>IF(ISNUMBER(K26), (K26*'Standard Curve'!$E$19+'Standard Curve'!$F$19), "")</f>
        <v/>
      </c>
      <c r="N26" s="54"/>
      <c r="O26" s="55"/>
      <c r="P26" s="25" t="str">
        <f t="shared" si="4"/>
        <v/>
      </c>
      <c r="Q26" s="54"/>
      <c r="R26" s="55"/>
      <c r="S26" s="20" t="str">
        <f t="shared" si="5"/>
        <v/>
      </c>
      <c r="T26" s="54"/>
      <c r="U26" s="55"/>
      <c r="V26" s="20" t="str">
        <f t="shared" si="6"/>
        <v/>
      </c>
      <c r="W26" s="73">
        <f t="shared" si="3"/>
        <v>1</v>
      </c>
      <c r="X26" s="64" t="str">
        <f t="shared" si="9"/>
        <v/>
      </c>
      <c r="Y26" s="62" t="str">
        <f t="shared" si="7"/>
        <v/>
      </c>
    </row>
    <row r="27" spans="1:25">
      <c r="A27" s="59"/>
      <c r="B27" s="67"/>
      <c r="C27" s="54"/>
      <c r="D27" s="56"/>
      <c r="E27" s="56"/>
      <c r="F27" s="56"/>
      <c r="G27" s="56"/>
      <c r="H27" s="56"/>
      <c r="I27" s="56"/>
      <c r="J27" s="55"/>
      <c r="K27" s="40" t="str">
        <f t="shared" si="8"/>
        <v/>
      </c>
      <c r="L27" s="23" t="str">
        <f t="shared" si="1"/>
        <v/>
      </c>
      <c r="M27" s="20" t="str">
        <f>IF(ISNUMBER(K27), (K27*'Standard Curve'!$E$19+'Standard Curve'!$F$19), "")</f>
        <v/>
      </c>
      <c r="N27" s="54"/>
      <c r="O27" s="55"/>
      <c r="P27" s="25" t="str">
        <f t="shared" si="4"/>
        <v/>
      </c>
      <c r="Q27" s="54"/>
      <c r="R27" s="55"/>
      <c r="S27" s="20" t="str">
        <f t="shared" si="5"/>
        <v/>
      </c>
      <c r="T27" s="54"/>
      <c r="U27" s="55"/>
      <c r="V27" s="20" t="str">
        <f t="shared" si="6"/>
        <v/>
      </c>
      <c r="W27" s="73">
        <f t="shared" si="3"/>
        <v>1</v>
      </c>
      <c r="X27" s="64" t="str">
        <f t="shared" si="9"/>
        <v/>
      </c>
      <c r="Y27" s="62" t="str">
        <f t="shared" si="7"/>
        <v/>
      </c>
    </row>
    <row r="28" spans="1:25">
      <c r="A28" s="36"/>
      <c r="B28" s="67"/>
      <c r="C28" s="29"/>
      <c r="D28" s="30"/>
      <c r="E28" s="30"/>
      <c r="F28" s="30"/>
      <c r="G28" s="30"/>
      <c r="H28" s="30"/>
      <c r="I28" s="30"/>
      <c r="J28" s="31"/>
      <c r="K28" s="40" t="str">
        <f t="shared" si="8"/>
        <v/>
      </c>
      <c r="L28" s="23" t="str">
        <f t="shared" si="1"/>
        <v/>
      </c>
      <c r="M28" s="20" t="str">
        <f>IF(ISNUMBER(K28), (K28*'Standard Curve'!$E$19+'Standard Curve'!$F$19), "")</f>
        <v/>
      </c>
      <c r="N28" s="54"/>
      <c r="O28" s="55"/>
      <c r="P28" s="20" t="str">
        <f t="shared" si="4"/>
        <v/>
      </c>
      <c r="Q28" s="54"/>
      <c r="R28" s="55"/>
      <c r="S28" s="20" t="str">
        <f t="shared" si="5"/>
        <v/>
      </c>
      <c r="T28" s="54"/>
      <c r="U28" s="55"/>
      <c r="V28" s="20" t="str">
        <f t="shared" si="6"/>
        <v/>
      </c>
      <c r="W28" s="73">
        <f t="shared" si="3"/>
        <v>1</v>
      </c>
      <c r="X28" s="64" t="str">
        <f t="shared" si="9"/>
        <v/>
      </c>
      <c r="Y28" s="61" t="str">
        <f t="shared" si="7"/>
        <v/>
      </c>
    </row>
    <row r="29" spans="1:25">
      <c r="A29" s="50" t="s">
        <v>12</v>
      </c>
      <c r="B29" s="67">
        <v>10</v>
      </c>
      <c r="C29" s="29">
        <v>6.6000000000000003E-2</v>
      </c>
      <c r="D29" s="30">
        <v>5.5E-2</v>
      </c>
      <c r="E29" s="30">
        <v>2.9000000000000001E-2</v>
      </c>
      <c r="F29" s="30">
        <v>2.7E-2</v>
      </c>
      <c r="G29" s="30"/>
      <c r="H29" s="30"/>
      <c r="I29" s="30"/>
      <c r="J29" s="31"/>
      <c r="K29" s="40">
        <f t="shared" si="8"/>
        <v>4.4249999999999998E-2</v>
      </c>
      <c r="L29" s="23">
        <f>IF(COUNT($C29:$J29)&gt;1, STDEV($C29:$J29), "")</f>
        <v>1.9311050377094127E-2</v>
      </c>
      <c r="M29" s="20">
        <f ca="1">IF(ISNUMBER(K29), (K29*'Standard Curve'!$E$19+'Standard Curve'!$F$19), "")</f>
        <v>0.13118132519831477</v>
      </c>
      <c r="N29" s="29">
        <v>0.1</v>
      </c>
      <c r="O29" s="31">
        <v>10</v>
      </c>
      <c r="P29" s="20">
        <f t="shared" si="4"/>
        <v>0.01</v>
      </c>
      <c r="Q29" s="29"/>
      <c r="R29" s="31"/>
      <c r="S29" s="20" t="str">
        <f t="shared" si="5"/>
        <v/>
      </c>
      <c r="T29" s="29"/>
      <c r="U29" s="31"/>
      <c r="V29" s="20" t="str">
        <f t="shared" si="6"/>
        <v/>
      </c>
      <c r="W29" s="73">
        <f t="shared" si="3"/>
        <v>0.01</v>
      </c>
      <c r="X29" s="65">
        <f ca="1">IF(ISNUMBER(M29), M29/W29, "")</f>
        <v>13.118132519831477</v>
      </c>
    </row>
    <row r="30" spans="1:25">
      <c r="A30" s="51" t="s">
        <v>13</v>
      </c>
      <c r="B30" s="67">
        <v>10</v>
      </c>
      <c r="C30" s="29">
        <v>4.1000000000000002E-2</v>
      </c>
      <c r="D30" s="30">
        <v>4.1000000000000002E-2</v>
      </c>
      <c r="E30" s="30">
        <v>5.1999999999999998E-2</v>
      </c>
      <c r="F30" s="30">
        <v>5.2999999999999999E-2</v>
      </c>
      <c r="G30" s="30"/>
      <c r="H30" s="30"/>
      <c r="I30" s="30"/>
      <c r="J30" s="31"/>
      <c r="K30" s="40">
        <f t="shared" si="8"/>
        <v>4.675E-2</v>
      </c>
      <c r="L30" s="23">
        <f>IF(COUNT($C30:$J30)&gt;1, STDEV($C30:$J30), "")</f>
        <v>6.6520673478250329E-3</v>
      </c>
      <c r="M30" s="20">
        <f ca="1">IF(ISNUMBER(K30), (K30*'Standard Curve'!$E$19+'Standard Curve'!$F$19), "")</f>
        <v>0.13687575909970773</v>
      </c>
      <c r="N30" s="29">
        <v>0.1</v>
      </c>
      <c r="O30" s="31">
        <v>10</v>
      </c>
      <c r="P30" s="43">
        <f t="shared" si="4"/>
        <v>0.01</v>
      </c>
      <c r="Q30" s="29"/>
      <c r="R30" s="31"/>
      <c r="S30" s="20" t="str">
        <f t="shared" si="5"/>
        <v/>
      </c>
      <c r="T30" s="29"/>
      <c r="U30" s="31"/>
      <c r="V30" s="20" t="str">
        <f t="shared" si="6"/>
        <v/>
      </c>
      <c r="W30" s="73">
        <f t="shared" si="3"/>
        <v>0.01</v>
      </c>
      <c r="X30" s="64">
        <f ca="1">IF(ISNUMBER(M30), M30/W30, "")</f>
        <v>13.687575909970773</v>
      </c>
    </row>
    <row r="31" spans="1:25">
      <c r="A31" s="51" t="s">
        <v>14</v>
      </c>
      <c r="B31" s="67"/>
      <c r="C31" s="29"/>
      <c r="D31" s="30"/>
      <c r="E31" s="30"/>
      <c r="F31" s="30"/>
      <c r="G31" s="30"/>
      <c r="H31" s="30"/>
      <c r="I31" s="30"/>
      <c r="J31" s="31"/>
      <c r="K31" s="40" t="str">
        <f t="shared" si="8"/>
        <v/>
      </c>
      <c r="L31" s="23" t="str">
        <f t="shared" ref="L31:L32" si="10">IF(COUNT($C31:$J31)&gt;1, STDEV($C31:$J31), "")</f>
        <v/>
      </c>
      <c r="M31" s="20" t="str">
        <f>IF(ISNUMBER(K31), (K31*'Standard Curve'!$E$19+'Standard Curve'!$F$19), "")</f>
        <v/>
      </c>
      <c r="N31" s="29"/>
      <c r="O31" s="31"/>
      <c r="P31" s="43" t="str">
        <f t="shared" si="4"/>
        <v/>
      </c>
      <c r="Q31" s="29"/>
      <c r="R31" s="31"/>
      <c r="S31" s="20" t="str">
        <f t="shared" si="5"/>
        <v/>
      </c>
      <c r="T31" s="29"/>
      <c r="U31" s="31"/>
      <c r="V31" s="20" t="str">
        <f t="shared" si="6"/>
        <v/>
      </c>
      <c r="W31" s="73">
        <f t="shared" si="3"/>
        <v>1</v>
      </c>
      <c r="X31" s="64" t="str">
        <f t="shared" ref="X31:X32" si="11">IF(ISNUMBER(M31), M31/W31, "")</f>
        <v/>
      </c>
    </row>
    <row r="32" spans="1:25">
      <c r="A32" s="52" t="s">
        <v>15</v>
      </c>
      <c r="B32" s="68"/>
      <c r="C32" s="32"/>
      <c r="D32" s="33"/>
      <c r="E32" s="33"/>
      <c r="F32" s="33"/>
      <c r="G32" s="33"/>
      <c r="H32" s="33"/>
      <c r="I32" s="33"/>
      <c r="J32" s="34"/>
      <c r="K32" s="41" t="str">
        <f t="shared" si="8"/>
        <v/>
      </c>
      <c r="L32" s="24" t="str">
        <f t="shared" si="10"/>
        <v/>
      </c>
      <c r="M32" s="21" t="str">
        <f>IF(ISNUMBER(K32), (K32*'Standard Curve'!$E$19+'Standard Curve'!$F$19), "")</f>
        <v/>
      </c>
      <c r="N32" s="32"/>
      <c r="O32" s="34"/>
      <c r="P32" s="57" t="str">
        <f t="shared" si="4"/>
        <v/>
      </c>
      <c r="Q32" s="32"/>
      <c r="R32" s="34"/>
      <c r="S32" s="21" t="str">
        <f t="shared" si="5"/>
        <v/>
      </c>
      <c r="T32" s="32"/>
      <c r="U32" s="34"/>
      <c r="V32" s="21" t="str">
        <f t="shared" si="6"/>
        <v/>
      </c>
      <c r="W32" s="74">
        <f t="shared" si="3"/>
        <v>1</v>
      </c>
      <c r="X32" s="70" t="str">
        <f t="shared" si="11"/>
        <v/>
      </c>
    </row>
    <row r="33" spans="12:24">
      <c r="L33" s="35" t="s">
        <v>47</v>
      </c>
      <c r="M33" s="71">
        <v>0.6</v>
      </c>
      <c r="V33" s="103" t="s">
        <v>36</v>
      </c>
      <c r="W33" s="104"/>
      <c r="X33" s="66">
        <f ca="1">AVERAGE(X29:X32)</f>
        <v>13.402854214901126</v>
      </c>
    </row>
  </sheetData>
  <sheetProtection sheet="1" objects="1" scenarios="1"/>
  <mergeCells count="12">
    <mergeCell ref="C1:M1"/>
    <mergeCell ref="C2:M2"/>
    <mergeCell ref="C3:M3"/>
    <mergeCell ref="C4:M4"/>
    <mergeCell ref="V33:W33"/>
    <mergeCell ref="N7:P7"/>
    <mergeCell ref="Q7:S7"/>
    <mergeCell ref="T7:V7"/>
    <mergeCell ref="N6:W6"/>
    <mergeCell ref="K7:L7"/>
    <mergeCell ref="C8:J8"/>
    <mergeCell ref="C6:J6"/>
  </mergeCells>
  <conditionalFormatting sqref="M9:M32">
    <cfRule type="cellIs" dxfId="1" priority="2" operator="lessThan">
      <formula>$M$33</formula>
    </cfRule>
  </conditionalFormatting>
  <conditionalFormatting sqref="X29:X32">
    <cfRule type="cellIs" dxfId="0" priority="1" operator="lessThan">
      <formula>0</formula>
    </cfRule>
  </conditionalFormatting>
  <dataValidations xWindow="74" yWindow="269" count="16">
    <dataValidation allowBlank="1" showInputMessage="1" showErrorMessage="1" prompt="Name of individual(s) performing denuder assay" sqref="C1"/>
    <dataValidation allowBlank="1" showInputMessage="1" showErrorMessage="1" prompt="Date denuder assay performed" sqref="C2"/>
    <dataValidation allowBlank="1" showInputMessage="1" showErrorMessage="1" prompt="Make, model, serial number, etc. of instrument used to perform absorbance measurements" sqref="C3"/>
    <dataValidation allowBlank="1" showInputMessage="1" showErrorMessage="1" prompt="Other notes" sqref="C4"/>
    <dataValidation type="decimal" allowBlank="1" showInputMessage="1" showErrorMessage="1" errorTitle="Invalid type" error="Cell value must be numeric." prompt="Total volume (mL) of stage 2 dilution_x000a__x000a_Blank = N/A" sqref="U9:U32">
      <formula1>-999999999</formula1>
      <formula2>999999999</formula2>
    </dataValidation>
    <dataValidation type="decimal" allowBlank="1" showInputMessage="1" showErrorMessage="1" errorTitle="Invalid type" error="Cell value must be numeric." prompt="Volume (mL) of stage 1 solution diluted in stage 2_x000a__x000a_Blank = N/A" sqref="T9:T32">
      <formula1>-999999999</formula1>
      <formula2>999999999</formula2>
    </dataValidation>
    <dataValidation allowBlank="1" showInputMessage="1" showErrorMessage="1" prompt="Volume (mL) of extracted solution used in initial duplicate prep." sqref="N9:N32"/>
    <dataValidation type="decimal" allowBlank="1" showInputMessage="1" showErrorMessage="1" errorTitle="Invalid type" error="Cell value must be numeric." prompt="Volume (mL) of initial prep. solution diluted in stage 1_x000a__x000a_Blank = N/A" sqref="Q9:Q32">
      <formula1>-999999999</formula1>
      <formula2>999999999</formula2>
    </dataValidation>
    <dataValidation allowBlank="1" showInputMessage="1" showErrorMessage="1" errorTitle="Invalid type entered" error="Cell value must be numeric" sqref="A29:A32"/>
    <dataValidation type="decimal" allowBlank="1" showInputMessage="1" showErrorMessage="1" errorTitle="Invalid type entered" error="Cell value must be numeric" prompt="Enter measured absorbance values" sqref="C9:J32">
      <formula1>-999999999</formula1>
      <formula2>999999999</formula2>
    </dataValidation>
    <dataValidation allowBlank="1" showInputMessage="1" showErrorMessage="1" prompt="Enter a name for this sample duplicate." sqref="C7:J7"/>
    <dataValidation allowBlank="1" showInputMessage="1" showErrorMessage="1" prompt="Enter a name for this set of duplicate samples." sqref="A9:A28"/>
    <dataValidation type="decimal" allowBlank="1" showInputMessage="1" showErrorMessage="1" errorTitle="Invalid type" error="Cell value must be numeric" prompt="Total volume (mL) extracted from denuder" sqref="B9:B32">
      <formula1>-99999999</formula1>
      <formula2>99999999</formula2>
    </dataValidation>
    <dataValidation type="decimal" allowBlank="1" showInputMessage="1" showErrorMessage="1" errorTitle="Invalid type" error="Cell value must be numeric" prompt="Enter min. detection limit indicated by test procedure. _x000a__x000a_Absorbance-derived concentrations below detection limit will appear highlighted in red. " sqref="M33">
      <formula1>-9999999</formula1>
      <formula2>9999999</formula2>
    </dataValidation>
    <dataValidation type="decimal" allowBlank="1" showInputMessage="1" showErrorMessage="1" errorTitle="Invalid type" error="Cell value must be numeric." prompt="Total volume (mL) of stage 1 dilution_x000a__x000a_Blank = N/A" sqref="R9:R32">
      <formula1>-999999999</formula1>
      <formula2>999999999</formula2>
    </dataValidation>
    <dataValidation allowBlank="1" showInputMessage="1" showErrorMessage="1" prompt="Total volume (mL) of initially prepared duplicate" sqref="O9:O32"/>
  </dataValidations>
  <pageMargins left="0.5" right="0.5" top="0.75" bottom="0.75" header="0.3" footer="0.3"/>
  <pageSetup orientation="landscape" horizontalDpi="4294967294" verticalDpi="0" r:id="rId1"/>
  <headerFooter>
    <oddHeader>&amp;C&amp;14Denuder Assay</oddHeader>
    <oddFooter>&amp;L&amp;F&amp;R&amp;P/&amp;N</oddFooter>
  </headerFooter>
  <rowBreaks count="1" manualBreakCount="1">
    <brk id="33" max="16383" man="1"/>
  </rowBreaks>
  <colBreaks count="1" manualBreakCount="1">
    <brk id="13" max="1048575" man="1"/>
  </colBreaks>
</worksheet>
</file>

<file path=xl/worksheets/sheet3.xml><?xml version="1.0" encoding="utf-8"?>
<worksheet xmlns="http://schemas.openxmlformats.org/spreadsheetml/2006/main" xmlns:r="http://schemas.openxmlformats.org/officeDocument/2006/relationships">
  <dimension ref="A4:O28"/>
  <sheetViews>
    <sheetView workbookViewId="0">
      <selection activeCell="I4" sqref="I4"/>
    </sheetView>
  </sheetViews>
  <sheetFormatPr defaultRowHeight="15"/>
  <cols>
    <col min="1" max="1" width="25.85546875" bestFit="1" customWidth="1"/>
    <col min="2" max="2" width="10" bestFit="1" customWidth="1"/>
    <col min="3" max="3" width="4.42578125" bestFit="1" customWidth="1"/>
    <col min="4" max="4" width="17.7109375" customWidth="1"/>
    <col min="5" max="5" width="8.7109375" bestFit="1" customWidth="1"/>
    <col min="6" max="7" width="7.85546875" customWidth="1"/>
    <col min="8" max="9" width="8.5703125" customWidth="1"/>
    <col min="10" max="11" width="9.85546875" customWidth="1"/>
    <col min="13" max="13" width="10.5703125" bestFit="1" customWidth="1"/>
    <col min="14" max="14" width="11.28515625" bestFit="1" customWidth="1"/>
    <col min="15" max="15" width="12.42578125" customWidth="1"/>
  </cols>
  <sheetData>
    <row r="4" spans="1:15">
      <c r="A4" s="35" t="s">
        <v>17</v>
      </c>
      <c r="B4" s="76">
        <v>0.43</v>
      </c>
    </row>
    <row r="5" spans="1:15">
      <c r="A5" s="35" t="s">
        <v>49</v>
      </c>
      <c r="B5" s="77">
        <v>0.34399999999999997</v>
      </c>
      <c r="C5" t="s">
        <v>65</v>
      </c>
    </row>
    <row r="7" spans="1:15">
      <c r="B7" s="15" t="s">
        <v>40</v>
      </c>
      <c r="E7" s="15" t="s">
        <v>66</v>
      </c>
      <c r="F7" s="94" t="s">
        <v>48</v>
      </c>
      <c r="G7" s="96"/>
      <c r="H7" s="95" t="s">
        <v>60</v>
      </c>
      <c r="I7" s="96"/>
      <c r="J7" s="97" t="s">
        <v>61</v>
      </c>
      <c r="K7" s="99"/>
      <c r="L7" s="97" t="s">
        <v>8</v>
      </c>
      <c r="M7" s="98"/>
      <c r="N7" s="99"/>
      <c r="O7" s="15" t="s">
        <v>68</v>
      </c>
    </row>
    <row r="8" spans="1:15">
      <c r="A8" s="5" t="str">
        <f>'Denuder Assay'!A8</f>
        <v>Denuder Label</v>
      </c>
      <c r="B8" s="17" t="s">
        <v>44</v>
      </c>
      <c r="D8" s="5" t="s">
        <v>57</v>
      </c>
      <c r="E8" s="17" t="s">
        <v>67</v>
      </c>
      <c r="F8" s="81" t="s">
        <v>59</v>
      </c>
      <c r="G8" s="83" t="s">
        <v>58</v>
      </c>
      <c r="H8" s="82" t="s">
        <v>59</v>
      </c>
      <c r="I8" s="83" t="s">
        <v>58</v>
      </c>
      <c r="J8" s="78" t="s">
        <v>59</v>
      </c>
      <c r="K8" s="79" t="s">
        <v>58</v>
      </c>
      <c r="L8" s="78" t="s">
        <v>62</v>
      </c>
      <c r="M8" s="79" t="s">
        <v>58</v>
      </c>
      <c r="N8" s="108" t="s">
        <v>63</v>
      </c>
      <c r="O8" s="130" t="s">
        <v>69</v>
      </c>
    </row>
    <row r="9" spans="1:15">
      <c r="A9" s="2" t="str">
        <f>IF(ISBLANK('Denuder Assay'!A9),"",'Denuder Assay'!A9)</f>
        <v>Non-coated (7721)</v>
      </c>
      <c r="B9" s="63" t="str">
        <f ca="1">'Denuder Assay'!Y9</f>
        <v/>
      </c>
      <c r="D9" s="131" t="s">
        <v>64</v>
      </c>
      <c r="E9" s="132">
        <v>3</v>
      </c>
      <c r="F9" s="133">
        <f ca="1">B16</f>
        <v>198.00940809200284</v>
      </c>
      <c r="G9" s="134">
        <f ca="1">B14</f>
        <v>24.871358219152086</v>
      </c>
      <c r="H9" s="135">
        <v>5.8</v>
      </c>
      <c r="I9" s="136">
        <v>4.5999999999999996</v>
      </c>
      <c r="J9" s="137">
        <f>2794/3045</f>
        <v>0.91756978653530374</v>
      </c>
      <c r="K9" s="138">
        <f>5/3045</f>
        <v>1.6420361247947454E-3</v>
      </c>
      <c r="L9" s="121">
        <f ca="1">F9/(E9*(H9/1000)*J9)</f>
        <v>12402.164071617932</v>
      </c>
      <c r="M9" s="122">
        <f ca="1">G9/(E9*(I9/1000)*K9)</f>
        <v>1097583.8518451899</v>
      </c>
      <c r="N9" s="129">
        <f ca="1">IFERROR(L9-M9, "")</f>
        <v>-1085181.687773572</v>
      </c>
      <c r="O9" s="63">
        <f ca="1">IF(ISNUMBER(N9), $B$4*$B$5*N9, "")</f>
        <v>-160520.07525546677</v>
      </c>
    </row>
    <row r="10" spans="1:15">
      <c r="A10" s="3" t="str">
        <f>IF(ISBLANK('Denuder Assay'!A10),"",'Denuder Assay'!A10)</f>
        <v>Non-coated (6914)</v>
      </c>
      <c r="B10" s="62" t="str">
        <f ca="1">'Denuder Assay'!Y10</f>
        <v/>
      </c>
      <c r="D10" s="27" t="s">
        <v>70</v>
      </c>
      <c r="E10" s="80">
        <v>3</v>
      </c>
      <c r="F10" s="113">
        <f ca="1">B16</f>
        <v>198.00940809200284</v>
      </c>
      <c r="G10" s="114">
        <f ca="1">B15</f>
        <v>19.380711039207501</v>
      </c>
      <c r="H10" s="135">
        <v>5.8</v>
      </c>
      <c r="I10" s="136">
        <v>4.5999999999999996</v>
      </c>
      <c r="J10" s="137">
        <f>2794/3045</f>
        <v>0.91756978653530374</v>
      </c>
      <c r="K10" s="138">
        <f>5/3045</f>
        <v>1.6420361247947454E-3</v>
      </c>
      <c r="L10" s="123">
        <f ca="1">F10/(E10*(H10/1000)*J10)</f>
        <v>12402.164071617932</v>
      </c>
      <c r="M10" s="124">
        <f ca="1">G10/(E10*(I10/1000)*K10)</f>
        <v>855279.20455633115</v>
      </c>
      <c r="N10" s="127">
        <f t="shared" ref="N10:N28" ca="1" si="0">IFERROR(L10-M10, "")</f>
        <v>-842877.04048471327</v>
      </c>
      <c r="O10" s="62">
        <f t="shared" ref="O10:O28" ca="1" si="1">IF(ISNUMBER(N10), $B$4*$B$5*N10, "")</f>
        <v>-124678.37182849878</v>
      </c>
    </row>
    <row r="11" spans="1:15">
      <c r="A11" s="3" t="str">
        <f>IF(ISBLANK('Denuder Assay'!A11),"",'Denuder Assay'!A11)</f>
        <v>Isolated DN (6902) 0.1/1.0</v>
      </c>
      <c r="B11" s="62">
        <f ca="1">'Denuder Assay'!Y11</f>
        <v>109.61471064068017</v>
      </c>
      <c r="D11" s="27"/>
      <c r="E11" s="80"/>
      <c r="F11" s="113"/>
      <c r="G11" s="114"/>
      <c r="H11" s="117"/>
      <c r="I11" s="118"/>
      <c r="J11" s="109"/>
      <c r="K11" s="110"/>
      <c r="L11" s="123" t="e">
        <f t="shared" ref="L11:L28" si="2">F11/(E11*(H11/1000)*J11)</f>
        <v>#DIV/0!</v>
      </c>
      <c r="M11" s="124" t="e">
        <f t="shared" ref="M11:M28" si="3">G11/(E11*(I11/1000)*K11)</f>
        <v>#DIV/0!</v>
      </c>
      <c r="N11" s="127" t="str">
        <f t="shared" si="0"/>
        <v/>
      </c>
      <c r="O11" s="62" t="str">
        <f t="shared" si="1"/>
        <v/>
      </c>
    </row>
    <row r="12" spans="1:15">
      <c r="A12" s="3" t="str">
        <f>IF(ISBLANK('Denuder Assay'!A12),"",'Denuder Assay'!A12)</f>
        <v>Isolated UP (7720) 0.750/1.0</v>
      </c>
      <c r="B12" s="62">
        <f ca="1">'Denuder Assay'!Y12</f>
        <v>25.967726559633608</v>
      </c>
      <c r="D12" s="27"/>
      <c r="E12" s="80"/>
      <c r="F12" s="113"/>
      <c r="G12" s="114"/>
      <c r="H12" s="117"/>
      <c r="I12" s="118"/>
      <c r="J12" s="109"/>
      <c r="K12" s="110"/>
      <c r="L12" s="123" t="e">
        <f t="shared" si="2"/>
        <v>#DIV/0!</v>
      </c>
      <c r="M12" s="124" t="e">
        <f t="shared" si="3"/>
        <v>#DIV/0!</v>
      </c>
      <c r="N12" s="127" t="str">
        <f t="shared" si="0"/>
        <v/>
      </c>
      <c r="O12" s="62" t="str">
        <f t="shared" si="1"/>
        <v/>
      </c>
    </row>
    <row r="13" spans="1:15">
      <c r="A13" s="3" t="str">
        <f>IF(ISBLANK('Denuder Assay'!A13),"",'Denuder Assay'!A13)</f>
        <v>Isolated UP (7720) 0.1/1.0</v>
      </c>
      <c r="B13" s="62">
        <f ca="1">'Denuder Assay'!Y13</f>
        <v>29.442775742968838</v>
      </c>
      <c r="D13" s="27"/>
      <c r="E13" s="80"/>
      <c r="F13" s="113"/>
      <c r="G13" s="114"/>
      <c r="H13" s="117"/>
      <c r="I13" s="118"/>
      <c r="J13" s="109"/>
      <c r="K13" s="110"/>
      <c r="L13" s="123" t="e">
        <f t="shared" si="2"/>
        <v>#DIV/0!</v>
      </c>
      <c r="M13" s="124" t="e">
        <f t="shared" si="3"/>
        <v>#DIV/0!</v>
      </c>
      <c r="N13" s="127" t="str">
        <f t="shared" si="0"/>
        <v/>
      </c>
      <c r="O13" s="62" t="str">
        <f t="shared" si="1"/>
        <v/>
      </c>
    </row>
    <row r="14" spans="1:15">
      <c r="A14" s="3" t="str">
        <f>IF(ISBLANK('Denuder Assay'!A14),"",'Denuder Assay'!A14)</f>
        <v>Simul. DN (6907) 0.75/1.0</v>
      </c>
      <c r="B14" s="62">
        <f ca="1">'Denuder Assay'!Y14</f>
        <v>24.871358219152086</v>
      </c>
      <c r="D14" s="27"/>
      <c r="E14" s="80"/>
      <c r="F14" s="113"/>
      <c r="G14" s="114"/>
      <c r="H14" s="117"/>
      <c r="I14" s="118"/>
      <c r="J14" s="109"/>
      <c r="K14" s="110"/>
      <c r="L14" s="123" t="e">
        <f t="shared" si="2"/>
        <v>#DIV/0!</v>
      </c>
      <c r="M14" s="124" t="e">
        <f t="shared" si="3"/>
        <v>#DIV/0!</v>
      </c>
      <c r="N14" s="127" t="str">
        <f t="shared" si="0"/>
        <v/>
      </c>
      <c r="O14" s="62" t="str">
        <f t="shared" si="1"/>
        <v/>
      </c>
    </row>
    <row r="15" spans="1:15">
      <c r="A15" s="3" t="str">
        <f>IF(ISBLANK('Denuder Assay'!A15),"",'Denuder Assay'!A15)</f>
        <v>Simul. DN (6907) 0.1/1.0</v>
      </c>
      <c r="B15" s="62">
        <f ca="1">'Denuder Assay'!Y15</f>
        <v>19.380711039207501</v>
      </c>
      <c r="D15" s="27"/>
      <c r="E15" s="80"/>
      <c r="F15" s="113"/>
      <c r="G15" s="114"/>
      <c r="H15" s="117"/>
      <c r="I15" s="118"/>
      <c r="J15" s="109"/>
      <c r="K15" s="110"/>
      <c r="L15" s="123" t="e">
        <f t="shared" si="2"/>
        <v>#DIV/0!</v>
      </c>
      <c r="M15" s="124" t="e">
        <f t="shared" si="3"/>
        <v>#DIV/0!</v>
      </c>
      <c r="N15" s="127" t="str">
        <f t="shared" si="0"/>
        <v/>
      </c>
      <c r="O15" s="62" t="str">
        <f t="shared" si="1"/>
        <v/>
      </c>
    </row>
    <row r="16" spans="1:15">
      <c r="A16" s="3" t="str">
        <f>IF(ISBLANK('Denuder Assay'!A16),"",'Denuder Assay'!A16)</f>
        <v>Simul. UP (7673) 0.1/1.0</v>
      </c>
      <c r="B16" s="62">
        <f ca="1">'Denuder Assay'!Y16</f>
        <v>198.00940809200284</v>
      </c>
      <c r="D16" s="27"/>
      <c r="E16" s="80"/>
      <c r="F16" s="113"/>
      <c r="G16" s="114"/>
      <c r="H16" s="117"/>
      <c r="I16" s="118"/>
      <c r="J16" s="109"/>
      <c r="K16" s="110"/>
      <c r="L16" s="123" t="e">
        <f t="shared" si="2"/>
        <v>#DIV/0!</v>
      </c>
      <c r="M16" s="124" t="e">
        <f t="shared" si="3"/>
        <v>#DIV/0!</v>
      </c>
      <c r="N16" s="127" t="str">
        <f t="shared" si="0"/>
        <v/>
      </c>
      <c r="O16" s="62" t="str">
        <f t="shared" si="1"/>
        <v/>
      </c>
    </row>
    <row r="17" spans="1:15">
      <c r="A17" s="3" t="str">
        <f>IF(ISBLANK('Denuder Assay'!A17),"",'Denuder Assay'!A17)</f>
        <v>Backup DN (6951) 0.75/1.0</v>
      </c>
      <c r="B17" s="62">
        <f ca="1">'Denuder Assay'!Y17</f>
        <v>5.3242647803038912</v>
      </c>
      <c r="D17" s="27"/>
      <c r="E17" s="80"/>
      <c r="F17" s="113"/>
      <c r="G17" s="114"/>
      <c r="H17" s="117"/>
      <c r="I17" s="118"/>
      <c r="J17" s="109"/>
      <c r="K17" s="110"/>
      <c r="L17" s="123" t="e">
        <f t="shared" si="2"/>
        <v>#DIV/0!</v>
      </c>
      <c r="M17" s="124" t="e">
        <f t="shared" si="3"/>
        <v>#DIV/0!</v>
      </c>
      <c r="N17" s="127" t="str">
        <f t="shared" si="0"/>
        <v/>
      </c>
      <c r="O17" s="62" t="str">
        <f t="shared" si="1"/>
        <v/>
      </c>
    </row>
    <row r="18" spans="1:15">
      <c r="A18" s="3" t="str">
        <f>IF(ISBLANK('Denuder Assay'!A18),"",'Denuder Assay'!A18)</f>
        <v>Backup DN (6951) 0.01/1.0</v>
      </c>
      <c r="B18" s="62">
        <f ca="1">'Denuder Assay'!Y18</f>
        <v>1.0958837818347422</v>
      </c>
      <c r="D18" s="27"/>
      <c r="E18" s="80"/>
      <c r="F18" s="113"/>
      <c r="G18" s="114"/>
      <c r="H18" s="117"/>
      <c r="I18" s="118"/>
      <c r="J18" s="109"/>
      <c r="K18" s="110"/>
      <c r="L18" s="123" t="e">
        <f t="shared" si="2"/>
        <v>#DIV/0!</v>
      </c>
      <c r="M18" s="124" t="e">
        <f t="shared" si="3"/>
        <v>#DIV/0!</v>
      </c>
      <c r="N18" s="127" t="str">
        <f t="shared" si="0"/>
        <v/>
      </c>
      <c r="O18" s="62" t="str">
        <f t="shared" si="1"/>
        <v/>
      </c>
    </row>
    <row r="19" spans="1:15">
      <c r="A19" s="3" t="str">
        <f>IF(ISBLANK('Denuder Assay'!A19),"",'Denuder Assay'!A19)</f>
        <v>Backup UP (6915) 0.1/1.0</v>
      </c>
      <c r="B19" s="62">
        <f ca="1">'Denuder Assay'!Y19</f>
        <v>155.16448741792235</v>
      </c>
      <c r="D19" s="27"/>
      <c r="E19" s="80"/>
      <c r="F19" s="113"/>
      <c r="G19" s="114"/>
      <c r="H19" s="117"/>
      <c r="I19" s="118"/>
      <c r="J19" s="109"/>
      <c r="K19" s="110"/>
      <c r="L19" s="123" t="e">
        <f t="shared" si="2"/>
        <v>#DIV/0!</v>
      </c>
      <c r="M19" s="124" t="e">
        <f t="shared" si="3"/>
        <v>#DIV/0!</v>
      </c>
      <c r="N19" s="127" t="str">
        <f t="shared" si="0"/>
        <v/>
      </c>
      <c r="O19" s="62" t="str">
        <f t="shared" si="1"/>
        <v/>
      </c>
    </row>
    <row r="20" spans="1:15">
      <c r="A20" s="3" t="str">
        <f>IF(ISBLANK('Denuder Assay'!A20),"",'Denuder Assay'!A20)</f>
        <v/>
      </c>
      <c r="B20" s="62" t="str">
        <f>'Denuder Assay'!Y20</f>
        <v/>
      </c>
      <c r="D20" s="27"/>
      <c r="E20" s="80"/>
      <c r="F20" s="113"/>
      <c r="G20" s="114"/>
      <c r="H20" s="117"/>
      <c r="I20" s="118"/>
      <c r="J20" s="109"/>
      <c r="K20" s="110"/>
      <c r="L20" s="123" t="e">
        <f t="shared" si="2"/>
        <v>#DIV/0!</v>
      </c>
      <c r="M20" s="124" t="e">
        <f t="shared" si="3"/>
        <v>#DIV/0!</v>
      </c>
      <c r="N20" s="127" t="str">
        <f t="shared" si="0"/>
        <v/>
      </c>
      <c r="O20" s="62" t="str">
        <f t="shared" si="1"/>
        <v/>
      </c>
    </row>
    <row r="21" spans="1:15">
      <c r="A21" s="3" t="str">
        <f>IF(ISBLANK('Denuder Assay'!A21),"",'Denuder Assay'!A21)</f>
        <v/>
      </c>
      <c r="B21" s="62" t="str">
        <f>'Denuder Assay'!Y21</f>
        <v/>
      </c>
      <c r="D21" s="27"/>
      <c r="E21" s="80"/>
      <c r="F21" s="113"/>
      <c r="G21" s="114"/>
      <c r="H21" s="117"/>
      <c r="I21" s="118"/>
      <c r="J21" s="109"/>
      <c r="K21" s="110"/>
      <c r="L21" s="123" t="e">
        <f t="shared" si="2"/>
        <v>#DIV/0!</v>
      </c>
      <c r="M21" s="124" t="e">
        <f t="shared" si="3"/>
        <v>#DIV/0!</v>
      </c>
      <c r="N21" s="127" t="str">
        <f t="shared" si="0"/>
        <v/>
      </c>
      <c r="O21" s="62" t="str">
        <f t="shared" si="1"/>
        <v/>
      </c>
    </row>
    <row r="22" spans="1:15">
      <c r="A22" s="3" t="str">
        <f>IF(ISBLANK('Denuder Assay'!A22),"",'Denuder Assay'!A22)</f>
        <v/>
      </c>
      <c r="B22" s="62" t="str">
        <f>'Denuder Assay'!Y22</f>
        <v/>
      </c>
      <c r="D22" s="27"/>
      <c r="E22" s="80"/>
      <c r="F22" s="113"/>
      <c r="G22" s="114"/>
      <c r="H22" s="117"/>
      <c r="I22" s="118"/>
      <c r="J22" s="109"/>
      <c r="K22" s="110"/>
      <c r="L22" s="123" t="e">
        <f t="shared" si="2"/>
        <v>#DIV/0!</v>
      </c>
      <c r="M22" s="124" t="e">
        <f t="shared" si="3"/>
        <v>#DIV/0!</v>
      </c>
      <c r="N22" s="127" t="str">
        <f t="shared" si="0"/>
        <v/>
      </c>
      <c r="O22" s="62" t="str">
        <f t="shared" si="1"/>
        <v/>
      </c>
    </row>
    <row r="23" spans="1:15">
      <c r="A23" s="3" t="str">
        <f>IF(ISBLANK('Denuder Assay'!A23),"",'Denuder Assay'!A23)</f>
        <v/>
      </c>
      <c r="B23" s="62" t="str">
        <f>'Denuder Assay'!Y23</f>
        <v/>
      </c>
      <c r="D23" s="27"/>
      <c r="E23" s="80"/>
      <c r="F23" s="113"/>
      <c r="G23" s="114"/>
      <c r="H23" s="117"/>
      <c r="I23" s="118"/>
      <c r="J23" s="109"/>
      <c r="K23" s="110"/>
      <c r="L23" s="123" t="e">
        <f t="shared" si="2"/>
        <v>#DIV/0!</v>
      </c>
      <c r="M23" s="124" t="e">
        <f t="shared" si="3"/>
        <v>#DIV/0!</v>
      </c>
      <c r="N23" s="127" t="str">
        <f t="shared" si="0"/>
        <v/>
      </c>
      <c r="O23" s="62" t="str">
        <f t="shared" si="1"/>
        <v/>
      </c>
    </row>
    <row r="24" spans="1:15">
      <c r="A24" s="3" t="str">
        <f>IF(ISBLANK('Denuder Assay'!A24),"",'Denuder Assay'!A24)</f>
        <v/>
      </c>
      <c r="B24" s="62" t="str">
        <f>'Denuder Assay'!Y24</f>
        <v/>
      </c>
      <c r="D24" s="27"/>
      <c r="E24" s="80"/>
      <c r="F24" s="113"/>
      <c r="G24" s="114"/>
      <c r="H24" s="117"/>
      <c r="I24" s="118"/>
      <c r="J24" s="109"/>
      <c r="K24" s="110"/>
      <c r="L24" s="123" t="e">
        <f t="shared" si="2"/>
        <v>#DIV/0!</v>
      </c>
      <c r="M24" s="124" t="e">
        <f t="shared" si="3"/>
        <v>#DIV/0!</v>
      </c>
      <c r="N24" s="127" t="str">
        <f t="shared" si="0"/>
        <v/>
      </c>
      <c r="O24" s="62" t="str">
        <f t="shared" si="1"/>
        <v/>
      </c>
    </row>
    <row r="25" spans="1:15">
      <c r="A25" s="3" t="str">
        <f>IF(ISBLANK('Denuder Assay'!A25),"",'Denuder Assay'!A25)</f>
        <v/>
      </c>
      <c r="B25" s="62" t="str">
        <f>'Denuder Assay'!Y25</f>
        <v/>
      </c>
      <c r="D25" s="27"/>
      <c r="E25" s="80"/>
      <c r="F25" s="113"/>
      <c r="G25" s="114"/>
      <c r="H25" s="117"/>
      <c r="I25" s="118"/>
      <c r="J25" s="109"/>
      <c r="K25" s="110"/>
      <c r="L25" s="123" t="e">
        <f t="shared" si="2"/>
        <v>#DIV/0!</v>
      </c>
      <c r="M25" s="124" t="e">
        <f t="shared" si="3"/>
        <v>#DIV/0!</v>
      </c>
      <c r="N25" s="127" t="str">
        <f t="shared" si="0"/>
        <v/>
      </c>
      <c r="O25" s="62" t="str">
        <f t="shared" si="1"/>
        <v/>
      </c>
    </row>
    <row r="26" spans="1:15">
      <c r="A26" s="3" t="str">
        <f>IF(ISBLANK('Denuder Assay'!A26),"",'Denuder Assay'!A26)</f>
        <v/>
      </c>
      <c r="B26" s="62" t="str">
        <f>'Denuder Assay'!Y26</f>
        <v/>
      </c>
      <c r="D26" s="27"/>
      <c r="E26" s="80"/>
      <c r="F26" s="113"/>
      <c r="G26" s="114"/>
      <c r="H26" s="117"/>
      <c r="I26" s="118"/>
      <c r="J26" s="109"/>
      <c r="K26" s="110"/>
      <c r="L26" s="123" t="e">
        <f t="shared" si="2"/>
        <v>#DIV/0!</v>
      </c>
      <c r="M26" s="124" t="e">
        <f t="shared" si="3"/>
        <v>#DIV/0!</v>
      </c>
      <c r="N26" s="127" t="str">
        <f t="shared" si="0"/>
        <v/>
      </c>
      <c r="O26" s="62" t="str">
        <f t="shared" si="1"/>
        <v/>
      </c>
    </row>
    <row r="27" spans="1:15">
      <c r="A27" s="3" t="str">
        <f>IF(ISBLANK('Denuder Assay'!A27),"",'Denuder Assay'!A27)</f>
        <v/>
      </c>
      <c r="B27" s="62" t="str">
        <f>'Denuder Assay'!Y27</f>
        <v/>
      </c>
      <c r="D27" s="27"/>
      <c r="E27" s="80"/>
      <c r="F27" s="113"/>
      <c r="G27" s="114"/>
      <c r="H27" s="117"/>
      <c r="I27" s="118"/>
      <c r="J27" s="109"/>
      <c r="K27" s="110"/>
      <c r="L27" s="123" t="e">
        <f t="shared" si="2"/>
        <v>#DIV/0!</v>
      </c>
      <c r="M27" s="124" t="e">
        <f t="shared" si="3"/>
        <v>#DIV/0!</v>
      </c>
      <c r="N27" s="127" t="str">
        <f t="shared" si="0"/>
        <v/>
      </c>
      <c r="O27" s="62" t="str">
        <f t="shared" si="1"/>
        <v/>
      </c>
    </row>
    <row r="28" spans="1:15">
      <c r="A28" s="4" t="str">
        <f>IF(ISBLANK('Denuder Assay'!A28),"",'Denuder Assay'!A28)</f>
        <v/>
      </c>
      <c r="B28" s="61" t="str">
        <f>'Denuder Assay'!Y28</f>
        <v/>
      </c>
      <c r="D28" s="28"/>
      <c r="E28" s="84"/>
      <c r="F28" s="115"/>
      <c r="G28" s="116"/>
      <c r="H28" s="119"/>
      <c r="I28" s="120"/>
      <c r="J28" s="111"/>
      <c r="K28" s="112"/>
      <c r="L28" s="125" t="e">
        <f t="shared" si="2"/>
        <v>#DIV/0!</v>
      </c>
      <c r="M28" s="126" t="e">
        <f t="shared" si="3"/>
        <v>#DIV/0!</v>
      </c>
      <c r="N28" s="128" t="str">
        <f t="shared" si="0"/>
        <v/>
      </c>
      <c r="O28" s="61" t="str">
        <f t="shared" si="1"/>
        <v/>
      </c>
    </row>
  </sheetData>
  <sheetProtection sheet="1" objects="1" scenarios="1"/>
  <mergeCells count="4">
    <mergeCell ref="H7:I7"/>
    <mergeCell ref="F7:G7"/>
    <mergeCell ref="J7:K7"/>
    <mergeCell ref="L7:N7"/>
  </mergeCells>
  <dataValidations xWindow="633" yWindow="398" count="6">
    <dataValidation type="decimal" allowBlank="1" showInputMessage="1" showErrorMessage="1" errorTitle="Invalid type" error="Cell value must be numeric" prompt="Enter total length of denuder sampling time (minutes)" sqref="E9:E28">
      <formula1>-999999999</formula1>
      <formula2>99999999</formula2>
    </dataValidation>
    <dataValidation allowBlank="1" showInputMessage="1" showErrorMessage="1" errorTitle="Invalid type" error="Cell value must be numeric" prompt="Enter corresponding total mass (mg) from denuder assay results " sqref="F9:G28"/>
    <dataValidation type="decimal" allowBlank="1" showInputMessage="1" showErrorMessage="1" errorTitle="Invalid type" error="Cell value must be numeric" prompt="Enter corresponding mean flow (std. L/min) as determined by..._x000a__x000a_Well, you'll have to calculate this yourself for now or get an approximation from the datalogger's stats files." sqref="H9:I28">
      <formula1>-99999999</formula1>
      <formula2>99999999</formula2>
    </dataValidation>
    <dataValidation allowBlank="1" showInputMessage="1" showErrorMessage="1" prompt="Enter corresponding valve activation ratios as determined by..._x000a__x000a_Well, you'll have to calculate this yourself for now or get an approximation from the datalogger's stats files." sqref="J9:K28"/>
    <dataValidation type="decimal" allowBlank="1" showInputMessage="1" showErrorMessage="1" errorTitle="Invalid type" error="Cell value must be numeric" prompt="Enter relaxation coefficient_x000a__x000a_Typically B=0.56-0.6 if no deadband used _x000a__x000a_When deadband = 0.6*σ_w then typ. B=0.35-0.4 " sqref="B4">
      <formula1>-999999999</formula1>
      <formula2>999999999</formula2>
    </dataValidation>
    <dataValidation type="decimal" allowBlank="1" showInputMessage="1" showErrorMessage="1" errorTitle="Invalid type" error="Cell value must be numeric" prompt="Enter standard deviation of vertical wind speed during" sqref="B5">
      <formula1>-99999999</formula1>
      <formula2>99999999</formula2>
    </dataValidation>
  </dataValidations>
  <pageMargins left="0.7" right="0.7" top="0.75" bottom="0.75" header="0.3" footer="0.3"/>
  <pageSetup orientation="landscape" horizontalDpi="4294967294" verticalDpi="0" r:id="rId1"/>
  <headerFooter>
    <oddHeader>&amp;CREA Flux</oddHeader>
    <oddFooter>&amp;L&amp;F&amp;R&amp;P/&amp;N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Standard Curve</vt:lpstr>
      <vt:lpstr>Denuder Assay</vt:lpstr>
      <vt:lpstr>REA Flux</vt:lpstr>
      <vt:lpstr>meanabs</vt:lpstr>
      <vt:lpstr>'Denuder Assay'!Print_Titles</vt:lpstr>
      <vt:lpstr>stdconc</vt:lpstr>
    </vt:vector>
  </TitlesOfParts>
  <Company>WASHINGTON STATE UNIVERSITY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pokeeffe</dc:creator>
  <cp:lastModifiedBy>pokeeffe</cp:lastModifiedBy>
  <cp:lastPrinted>2014-02-26T05:13:24Z</cp:lastPrinted>
  <dcterms:created xsi:type="dcterms:W3CDTF">2014-02-25T18:59:45Z</dcterms:created>
  <dcterms:modified xsi:type="dcterms:W3CDTF">2014-02-26T05:20:47Z</dcterms:modified>
</cp:coreProperties>
</file>