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2011 REACCH\2011-reacch-biomass.git\data\"/>
    </mc:Choice>
  </mc:AlternateContent>
  <bookViews>
    <workbookView xWindow="0" yWindow="0" windowWidth="16380" windowHeight="11700" activeTab="2"/>
  </bookViews>
  <sheets>
    <sheet name="CFCT" sheetId="2" r:id="rId1"/>
    <sheet name="CFNT" sheetId="1" r:id="rId2"/>
    <sheet name="LIND" sheetId="3" r:id="rId3"/>
    <sheet name="MMTN" sheetId="4" r:id="rId4"/>
  </sheets>
  <definedNames>
    <definedName name="_xlnm.Print_Area" localSheetId="0">CFCT!$A:$L</definedName>
    <definedName name="_xlnm.Print_Area" localSheetId="1">CFNT!$A:$L</definedName>
    <definedName name="_xlnm.Print_Area" localSheetId="2">LIND!$A:$L</definedName>
    <definedName name="_xlnm.Print_Area" localSheetId="3">MMTN!$A:$L</definedName>
    <definedName name="_xlnm.Print_Titles" localSheetId="0">CFCT!$1:$1</definedName>
    <definedName name="_xlnm.Print_Titles" localSheetId="1">CFNT!$1:$1</definedName>
    <definedName name="_xlnm.Print_Titles" localSheetId="2">LIND!$1:$1</definedName>
    <definedName name="_xlnm.Print_Titles" localSheetId="3">MMTN!$1:$1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" i="3" l="1"/>
  <c r="H74" i="3"/>
  <c r="D75" i="3"/>
  <c r="D76" i="3"/>
  <c r="D77" i="3"/>
  <c r="D74" i="3"/>
  <c r="E77" i="3"/>
  <c r="E76" i="3"/>
  <c r="E75" i="3"/>
  <c r="E74" i="3"/>
  <c r="I93" i="4" l="1"/>
  <c r="H93" i="4"/>
  <c r="I50" i="4"/>
  <c r="H50" i="4"/>
  <c r="K43" i="4"/>
  <c r="J43" i="4"/>
  <c r="I43" i="4"/>
  <c r="H43" i="4"/>
  <c r="I32" i="2"/>
  <c r="H32" i="2"/>
  <c r="D37" i="1"/>
  <c r="D38" i="1"/>
  <c r="D39" i="1"/>
  <c r="D40" i="1"/>
  <c r="D41" i="1"/>
  <c r="D42" i="1"/>
  <c r="D43" i="1"/>
  <c r="D36" i="1"/>
  <c r="I36" i="1" s="1"/>
  <c r="D33" i="2"/>
  <c r="D34" i="2"/>
  <c r="D35" i="2"/>
  <c r="D36" i="2"/>
  <c r="D37" i="2"/>
  <c r="D38" i="2"/>
  <c r="D39" i="2"/>
  <c r="D32" i="2"/>
  <c r="H36" i="1" l="1"/>
  <c r="E92" i="4" l="1"/>
  <c r="E93" i="4"/>
  <c r="E94" i="4"/>
  <c r="E95" i="4"/>
  <c r="E96" i="4"/>
  <c r="E97" i="4"/>
  <c r="E98" i="4"/>
  <c r="I70" i="3" l="1"/>
  <c r="H70" i="3"/>
  <c r="C22" i="4" l="1"/>
  <c r="E22" i="4" s="1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E17" i="4"/>
  <c r="E18" i="4"/>
  <c r="E19" i="4"/>
  <c r="E20" i="4"/>
  <c r="E21" i="4"/>
  <c r="E23" i="4"/>
  <c r="I18" i="4"/>
  <c r="H18" i="4"/>
  <c r="I10" i="4"/>
  <c r="H10" i="4"/>
  <c r="D27" i="3"/>
  <c r="D28" i="3"/>
  <c r="I22" i="3" s="1"/>
  <c r="D29" i="3"/>
  <c r="D26" i="3"/>
  <c r="H22" i="3"/>
  <c r="D33" i="3"/>
  <c r="D32" i="3"/>
  <c r="D31" i="3"/>
  <c r="D30" i="3"/>
  <c r="I76" i="1" l="1"/>
  <c r="H76" i="1"/>
  <c r="C65" i="1"/>
  <c r="C64" i="1"/>
  <c r="C52" i="1"/>
  <c r="C53" i="1"/>
  <c r="C54" i="1"/>
  <c r="C55" i="1"/>
  <c r="E25" i="1"/>
  <c r="E24" i="1"/>
  <c r="E23" i="1"/>
  <c r="I22" i="1"/>
  <c r="H22" i="1"/>
  <c r="E22" i="1"/>
  <c r="I40" i="2" l="1"/>
  <c r="H40" i="2"/>
  <c r="I44" i="1"/>
  <c r="H44" i="1"/>
  <c r="I32" i="1"/>
  <c r="H32" i="1"/>
  <c r="D27" i="1"/>
  <c r="D26" i="1"/>
  <c r="D19" i="1"/>
  <c r="D20" i="1"/>
  <c r="D21" i="1"/>
  <c r="D18" i="1"/>
  <c r="I72" i="2" l="1"/>
  <c r="H72" i="2"/>
  <c r="C47" i="2" l="1"/>
  <c r="C46" i="2"/>
  <c r="C45" i="2"/>
  <c r="C44" i="2"/>
  <c r="C59" i="2"/>
  <c r="C58" i="2"/>
  <c r="C57" i="2"/>
  <c r="C56" i="2"/>
  <c r="D71" i="2" l="1"/>
  <c r="D70" i="2"/>
  <c r="D69" i="2"/>
  <c r="D68" i="2"/>
  <c r="H64" i="2" s="1"/>
  <c r="C71" i="2"/>
  <c r="C70" i="2"/>
  <c r="C69" i="2"/>
  <c r="C68" i="2"/>
  <c r="C67" i="2"/>
  <c r="C66" i="2"/>
  <c r="C65" i="2"/>
  <c r="C64" i="2"/>
  <c r="C63" i="2"/>
  <c r="C62" i="2"/>
  <c r="C61" i="2"/>
  <c r="C60" i="2"/>
  <c r="D23" i="2"/>
  <c r="D22" i="2"/>
  <c r="D15" i="2"/>
  <c r="D16" i="2"/>
  <c r="D17" i="2"/>
  <c r="D14" i="2"/>
  <c r="H14" i="2" s="1"/>
  <c r="I64" i="2" l="1"/>
  <c r="H18" i="2"/>
  <c r="I18" i="2"/>
  <c r="E21" i="2"/>
  <c r="E20" i="2"/>
  <c r="E19" i="2"/>
  <c r="E18" i="2"/>
  <c r="D9" i="2" l="1"/>
  <c r="E70" i="3" l="1"/>
  <c r="E71" i="3"/>
  <c r="E72" i="3"/>
  <c r="E73" i="3"/>
  <c r="I66" i="3"/>
  <c r="H66" i="3"/>
  <c r="I62" i="3"/>
  <c r="H62" i="3"/>
  <c r="I58" i="3"/>
  <c r="H58" i="3"/>
  <c r="I54" i="3"/>
  <c r="H54" i="3"/>
  <c r="I50" i="3"/>
  <c r="H50" i="3"/>
  <c r="I46" i="3"/>
  <c r="H46" i="3"/>
  <c r="I42" i="3"/>
  <c r="H42" i="3"/>
  <c r="I38" i="3"/>
  <c r="H38" i="3"/>
  <c r="I34" i="3"/>
  <c r="H34" i="3"/>
  <c r="I30" i="3"/>
  <c r="H30" i="3"/>
  <c r="I18" i="3"/>
  <c r="H18" i="3"/>
  <c r="I14" i="3"/>
  <c r="H14" i="3"/>
  <c r="I10" i="3"/>
  <c r="H10" i="3"/>
  <c r="I6" i="3"/>
  <c r="H6" i="3"/>
  <c r="I2" i="3"/>
  <c r="H2" i="3"/>
  <c r="I108" i="1"/>
  <c r="H108" i="1"/>
  <c r="I104" i="1"/>
  <c r="H104" i="1"/>
  <c r="I100" i="1"/>
  <c r="H100" i="1"/>
  <c r="I96" i="1"/>
  <c r="H96" i="1"/>
  <c r="I92" i="1"/>
  <c r="H92" i="1"/>
  <c r="I88" i="1"/>
  <c r="H88" i="1"/>
  <c r="I84" i="1"/>
  <c r="H84" i="1"/>
  <c r="I64" i="1"/>
  <c r="H64" i="1"/>
  <c r="I60" i="1"/>
  <c r="H60" i="1"/>
  <c r="I52" i="1"/>
  <c r="H52" i="1"/>
  <c r="I48" i="1"/>
  <c r="H48" i="1"/>
  <c r="I28" i="1"/>
  <c r="H28" i="1"/>
  <c r="I26" i="1"/>
  <c r="H26" i="1"/>
  <c r="I18" i="1"/>
  <c r="H18" i="1"/>
  <c r="I14" i="1"/>
  <c r="H14" i="1"/>
  <c r="I10" i="1"/>
  <c r="H10" i="1"/>
  <c r="I6" i="1"/>
  <c r="H6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2" i="1"/>
  <c r="I100" i="2"/>
  <c r="H100" i="2"/>
  <c r="I96" i="2"/>
  <c r="H96" i="2"/>
  <c r="I92" i="2"/>
  <c r="H92" i="2"/>
  <c r="I88" i="2"/>
  <c r="H88" i="2"/>
  <c r="I84" i="2"/>
  <c r="H84" i="2"/>
  <c r="I80" i="2"/>
  <c r="H80" i="2"/>
  <c r="I60" i="2"/>
  <c r="H60" i="2"/>
  <c r="I56" i="2"/>
  <c r="H56" i="2"/>
  <c r="I52" i="2"/>
  <c r="H52" i="2"/>
  <c r="I48" i="2"/>
  <c r="H48" i="2"/>
  <c r="I44" i="2"/>
  <c r="H44" i="2"/>
  <c r="I28" i="2"/>
  <c r="H2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2" i="2"/>
  <c r="E23" i="2"/>
  <c r="E24" i="2"/>
  <c r="E25" i="2"/>
  <c r="E26" i="2"/>
  <c r="J24" i="2" s="1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52" i="2"/>
  <c r="E53" i="2"/>
  <c r="E54" i="2"/>
  <c r="E55" i="2"/>
  <c r="E56" i="2"/>
  <c r="E57" i="2"/>
  <c r="E58" i="2"/>
  <c r="E59" i="2"/>
  <c r="E60" i="2"/>
  <c r="E61" i="2"/>
  <c r="E62" i="2"/>
  <c r="E63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2" i="2"/>
  <c r="I24" i="2"/>
  <c r="H24" i="2"/>
  <c r="I22" i="2"/>
  <c r="H22" i="2"/>
  <c r="I14" i="2"/>
  <c r="I10" i="2"/>
  <c r="H10" i="2"/>
  <c r="I6" i="2"/>
  <c r="H6" i="2"/>
  <c r="I2" i="2"/>
  <c r="H2" i="2"/>
  <c r="K32" i="1" l="1"/>
  <c r="J32" i="1"/>
  <c r="J100" i="1"/>
  <c r="J96" i="1"/>
  <c r="J92" i="1"/>
  <c r="J88" i="1"/>
  <c r="J108" i="1"/>
  <c r="J84" i="1"/>
  <c r="K108" i="1"/>
  <c r="K100" i="1"/>
  <c r="K96" i="1"/>
  <c r="K92" i="1"/>
  <c r="K88" i="1"/>
  <c r="K84" i="1"/>
  <c r="K28" i="1"/>
  <c r="J28" i="1"/>
  <c r="K96" i="2"/>
  <c r="K92" i="2"/>
  <c r="K88" i="2"/>
  <c r="K84" i="2"/>
  <c r="K80" i="2"/>
  <c r="K60" i="2"/>
  <c r="K56" i="2"/>
  <c r="K52" i="2"/>
  <c r="K28" i="2"/>
  <c r="K24" i="2"/>
  <c r="J28" i="2"/>
  <c r="J52" i="2"/>
  <c r="J56" i="2"/>
  <c r="J60" i="2"/>
  <c r="J80" i="2"/>
  <c r="J84" i="2"/>
  <c r="J88" i="2"/>
  <c r="J92" i="2"/>
  <c r="J96" i="2"/>
  <c r="D43" i="4"/>
  <c r="E43" i="4" s="1"/>
  <c r="I97" i="4"/>
  <c r="H97" i="4"/>
  <c r="I85" i="4"/>
  <c r="H85" i="4"/>
  <c r="I81" i="4"/>
  <c r="H81" i="4"/>
  <c r="I77" i="4"/>
  <c r="H77" i="4"/>
  <c r="I73" i="4"/>
  <c r="H73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2" i="3"/>
  <c r="H89" i="4"/>
  <c r="I89" i="4"/>
  <c r="E99" i="4"/>
  <c r="E100" i="4"/>
  <c r="I65" i="4"/>
  <c r="H65" i="4"/>
  <c r="I61" i="4"/>
  <c r="H61" i="4"/>
  <c r="I57" i="4"/>
  <c r="H57" i="4"/>
  <c r="I36" i="4"/>
  <c r="H36" i="4"/>
  <c r="I29" i="4"/>
  <c r="H29" i="4"/>
  <c r="I22" i="4"/>
  <c r="H2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2" i="4"/>
  <c r="I6" i="4"/>
  <c r="H6" i="4"/>
  <c r="I2" i="4"/>
  <c r="H2" i="4"/>
  <c r="K65" i="4" l="1"/>
  <c r="K61" i="4"/>
  <c r="K57" i="4"/>
  <c r="J65" i="4"/>
  <c r="J61" i="4"/>
  <c r="J57" i="4"/>
  <c r="J10" i="4"/>
  <c r="K10" i="4"/>
  <c r="K6" i="4"/>
  <c r="J85" i="4"/>
  <c r="K85" i="4"/>
  <c r="K81" i="4"/>
  <c r="J81" i="4"/>
  <c r="J77" i="4"/>
  <c r="K77" i="4"/>
  <c r="J73" i="4"/>
  <c r="K73" i="4"/>
  <c r="J97" i="4"/>
  <c r="K97" i="4"/>
  <c r="K29" i="4"/>
  <c r="J29" i="4"/>
  <c r="J22" i="4"/>
  <c r="K22" i="4"/>
  <c r="K2" i="3"/>
  <c r="J2" i="3"/>
  <c r="K66" i="3"/>
  <c r="J66" i="3"/>
  <c r="K62" i="3"/>
  <c r="J62" i="3"/>
  <c r="K58" i="3"/>
  <c r="J58" i="3"/>
  <c r="K54" i="3"/>
  <c r="J54" i="3"/>
  <c r="K50" i="3"/>
  <c r="J50" i="3"/>
  <c r="K46" i="3"/>
  <c r="J46" i="3"/>
  <c r="K42" i="3"/>
  <c r="J42" i="3"/>
  <c r="K38" i="3"/>
  <c r="J38" i="3"/>
  <c r="K34" i="3"/>
  <c r="J34" i="3"/>
  <c r="K22" i="3"/>
  <c r="J22" i="3"/>
  <c r="K18" i="3"/>
  <c r="J18" i="3"/>
  <c r="K14" i="3"/>
  <c r="J14" i="3"/>
  <c r="K10" i="3"/>
  <c r="J10" i="3"/>
  <c r="K6" i="3"/>
  <c r="J6" i="3"/>
  <c r="J89" i="4"/>
  <c r="K89" i="4"/>
  <c r="J6" i="4"/>
  <c r="J2" i="4"/>
  <c r="K2" i="4"/>
  <c r="D75" i="1" l="1"/>
  <c r="D74" i="1"/>
  <c r="D73" i="1"/>
  <c r="D72" i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E65" i="1"/>
  <c r="E64" i="1"/>
  <c r="D59" i="1"/>
  <c r="E59" i="1" s="1"/>
  <c r="D58" i="1"/>
  <c r="E58" i="1" s="1"/>
  <c r="D57" i="1"/>
  <c r="E57" i="1" s="1"/>
  <c r="D56" i="1"/>
  <c r="C63" i="1"/>
  <c r="E63" i="1" s="1"/>
  <c r="C62" i="1"/>
  <c r="E62" i="1" s="1"/>
  <c r="C61" i="1"/>
  <c r="E61" i="1" s="1"/>
  <c r="C60" i="1"/>
  <c r="E60" i="1" s="1"/>
  <c r="E55" i="1"/>
  <c r="E54" i="1"/>
  <c r="E53" i="1"/>
  <c r="E52" i="1"/>
  <c r="C42" i="4"/>
  <c r="E42" i="4" s="1"/>
  <c r="C41" i="4"/>
  <c r="E41" i="4" s="1"/>
  <c r="C51" i="1"/>
  <c r="E51" i="1" s="1"/>
  <c r="C50" i="1"/>
  <c r="E50" i="1" s="1"/>
  <c r="C49" i="1"/>
  <c r="E49" i="1" s="1"/>
  <c r="C48" i="1"/>
  <c r="E48" i="1" s="1"/>
  <c r="E71" i="2"/>
  <c r="E70" i="2"/>
  <c r="E69" i="2"/>
  <c r="E68" i="2"/>
  <c r="E67" i="2"/>
  <c r="E66" i="2"/>
  <c r="E65" i="2"/>
  <c r="E64" i="2"/>
  <c r="C51" i="2"/>
  <c r="E51" i="2" s="1"/>
  <c r="C50" i="2"/>
  <c r="E50" i="2" s="1"/>
  <c r="C49" i="2"/>
  <c r="E49" i="2" s="1"/>
  <c r="C48" i="2"/>
  <c r="E48" i="2" s="1"/>
  <c r="C40" i="4"/>
  <c r="E4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l="1"/>
  <c r="K36" i="4"/>
  <c r="J36" i="4"/>
  <c r="J64" i="2"/>
  <c r="K64" i="2"/>
  <c r="J68" i="1"/>
  <c r="K68" i="1"/>
  <c r="H68" i="1"/>
  <c r="I68" i="1"/>
  <c r="J52" i="1"/>
  <c r="K52" i="1"/>
  <c r="J60" i="1"/>
  <c r="K60" i="1"/>
  <c r="H56" i="1"/>
  <c r="E56" i="1"/>
  <c r="I56" i="1"/>
  <c r="J64" i="1"/>
  <c r="K64" i="1"/>
  <c r="K48" i="2"/>
  <c r="J48" i="2"/>
  <c r="J56" i="1" l="1"/>
  <c r="K56" i="1"/>
</calcChain>
</file>

<file path=xl/sharedStrings.xml><?xml version="1.0" encoding="utf-8"?>
<sst xmlns="http://schemas.openxmlformats.org/spreadsheetml/2006/main" count="755" uniqueCount="403">
  <si>
    <t>Year</t>
  </si>
  <si>
    <t>Sample ID</t>
  </si>
  <si>
    <t>Wet weight (g)</t>
  </si>
  <si>
    <t>FxBio_CF1_051812</t>
  </si>
  <si>
    <t>FxBio_CF2_051812</t>
  </si>
  <si>
    <t>FxBio_CF3_051812</t>
  </si>
  <si>
    <t>FxBio_CF4_051812</t>
  </si>
  <si>
    <t>FXBio_CF1_060412</t>
  </si>
  <si>
    <t>FXBio_CF2_060412</t>
  </si>
  <si>
    <t>FXBio_CF3_060412</t>
  </si>
  <si>
    <t>FXBio_CF4_060412</t>
  </si>
  <si>
    <t>FXBio_CF1_062112</t>
  </si>
  <si>
    <t>FXBio_CF2_062112</t>
  </si>
  <si>
    <t>FXBio_CF3_062112</t>
  </si>
  <si>
    <t>FXBio_CF4_062112</t>
  </si>
  <si>
    <t>FXBio_CF1_071312</t>
  </si>
  <si>
    <t>FXBio_CF2_071312</t>
  </si>
  <si>
    <t>FXBio_CF3_071312</t>
  </si>
  <si>
    <t>FXBio_CF4_071312</t>
  </si>
  <si>
    <t>Dry weight (g)</t>
  </si>
  <si>
    <t>-</t>
  </si>
  <si>
    <t>FXBio_CF1_081712</t>
  </si>
  <si>
    <t>FXBio_CF2_081712</t>
  </si>
  <si>
    <t>FXBio_CF3_081712</t>
  </si>
  <si>
    <t>FXBio_CF4_081712</t>
  </si>
  <si>
    <t>FXBio_CF1_092112</t>
  </si>
  <si>
    <t>FXBio_CF2_092112</t>
  </si>
  <si>
    <t>FXBio_CL1_051812</t>
  </si>
  <si>
    <t>FXBio_CL2_051812</t>
  </si>
  <si>
    <t>FXBio_CL3_051812</t>
  </si>
  <si>
    <t>FXBio_CL4_051812</t>
  </si>
  <si>
    <t>FXBio_CL1_060412</t>
  </si>
  <si>
    <t>FXBio_CL2_060412</t>
  </si>
  <si>
    <t>FXBio_CL3_060412</t>
  </si>
  <si>
    <t>FXBio_CL4_060412</t>
  </si>
  <si>
    <t>FXBio_CL1_062812</t>
  </si>
  <si>
    <t>FXBio_CL2_062812</t>
  </si>
  <si>
    <t>FXBio_CL3_062812</t>
  </si>
  <si>
    <t>FXBio_CL4_062812</t>
  </si>
  <si>
    <t>FXBio_CL1_081712</t>
  </si>
  <si>
    <t>FXBio_CL2_081712</t>
  </si>
  <si>
    <t>FXBio_CL3_081712</t>
  </si>
  <si>
    <t>FXBio_CL4_081712</t>
  </si>
  <si>
    <t>FXBio_CL1_092112</t>
  </si>
  <si>
    <t>FXBio_CL2_092112</t>
  </si>
  <si>
    <t>FxBio_LD1_051413</t>
  </si>
  <si>
    <t>FxBio_LD2_051413</t>
  </si>
  <si>
    <t>FxBio_LD3_051413</t>
  </si>
  <si>
    <t>FxBio_LD4_051413</t>
  </si>
  <si>
    <t>FxBio_LD1_052813</t>
  </si>
  <si>
    <t>FxBio_LD2_052813</t>
  </si>
  <si>
    <t>FxBio_LD3_052813</t>
  </si>
  <si>
    <t>FxBio_LD4_052813</t>
  </si>
  <si>
    <t>FxBio_LD1_061013</t>
  </si>
  <si>
    <t>FxBio_LD2_061013</t>
  </si>
  <si>
    <t>FxBio_LD3_061013</t>
  </si>
  <si>
    <t>FxBio_LD4_061013</t>
  </si>
  <si>
    <t>FxBio_LD1_062913</t>
  </si>
  <si>
    <t>FxBio_LD2_062913</t>
  </si>
  <si>
    <t>FxBio_LD3_062913</t>
  </si>
  <si>
    <t>FxBio_LD4_062913</t>
  </si>
  <si>
    <t>WC (%)</t>
  </si>
  <si>
    <t>FxBio_LD1_072113</t>
  </si>
  <si>
    <t>FxBio_LD2_072113</t>
  </si>
  <si>
    <t>FxBio_LD3_072113</t>
  </si>
  <si>
    <t>FxBio_LD4_072113</t>
  </si>
  <si>
    <t>FxBio_LD1_080113</t>
  </si>
  <si>
    <t>FxBio_LD2_080113</t>
  </si>
  <si>
    <t>FxBio_LD3_080113</t>
  </si>
  <si>
    <t>FxBio_LD4_080113</t>
  </si>
  <si>
    <t>FxBio_LD1A_080113</t>
  </si>
  <si>
    <t>FxBio_LD2A_080113</t>
  </si>
  <si>
    <t>FxBio_LD3A_080113</t>
  </si>
  <si>
    <t>FxBio_LD4A_080113</t>
  </si>
  <si>
    <t>FxBio_CF1_071513</t>
  </si>
  <si>
    <t>FxBio_CF2_071513</t>
  </si>
  <si>
    <t>FxBio_CF3_071513</t>
  </si>
  <si>
    <t>FxBio_CF4_071513</t>
  </si>
  <si>
    <t>FxBio_CF1_073013</t>
  </si>
  <si>
    <t>FxBio_CF2_073013</t>
  </si>
  <si>
    <t>FxBio_CF3_073013</t>
  </si>
  <si>
    <t>FxBio_CF4_073013</t>
  </si>
  <si>
    <t>FxBio_CF1_083013</t>
  </si>
  <si>
    <t>FxBio_CF2_083013</t>
  </si>
  <si>
    <t>FxBio_CF3_083013</t>
  </si>
  <si>
    <t>FxBio_CF4_083013</t>
  </si>
  <si>
    <t>FxBio_CF1B_083013</t>
  </si>
  <si>
    <t>FxBio_CF2B_083013</t>
  </si>
  <si>
    <t>FxBio_CF3B_083013</t>
  </si>
  <si>
    <t>FxBio_CF4B_083013</t>
  </si>
  <si>
    <t>FxBio_MMTN1_071513</t>
  </si>
  <si>
    <t>FxBio_MMTN2_071513</t>
  </si>
  <si>
    <t>FxBio_MMTN3_071513</t>
  </si>
  <si>
    <t>FxBio_MMTN4_071513</t>
  </si>
  <si>
    <t>FxBio_MMTN1_072913</t>
  </si>
  <si>
    <t>FxBio_MMTN2_072913</t>
  </si>
  <si>
    <t>FxBio_MMTN3_072913</t>
  </si>
  <si>
    <t>FxBio_MMTN4_072913</t>
  </si>
  <si>
    <t>FxBio_MMTN1_080613</t>
  </si>
  <si>
    <t>FxBio_MMTN2_080613</t>
  </si>
  <si>
    <t>FxBio_MMTN3_080613</t>
  </si>
  <si>
    <t>FxBio_MMTN4_080613</t>
  </si>
  <si>
    <t>FxBio_MMTN1B_080613</t>
  </si>
  <si>
    <t>FxBio_MMTN2B_080613</t>
  </si>
  <si>
    <t>FxBio_MMTN3B_080613</t>
  </si>
  <si>
    <t>FxBio_MMTN4B_080613</t>
  </si>
  <si>
    <t>Samp-20140623-P1</t>
  </si>
  <si>
    <t>Samp-20140623-P2</t>
  </si>
  <si>
    <t>Samp-20140623-P3</t>
  </si>
  <si>
    <t>Samp-20140623-P4</t>
  </si>
  <si>
    <t>Samp-20140623-B1</t>
  </si>
  <si>
    <t>Samp-20140623-B2</t>
  </si>
  <si>
    <t>Samp-20140623-B3</t>
  </si>
  <si>
    <t>Samp-20140708-B3</t>
  </si>
  <si>
    <t>Samp-20140708-P1</t>
  </si>
  <si>
    <t>Samp-20140708-P2</t>
  </si>
  <si>
    <t>Samp-20140708-P3</t>
  </si>
  <si>
    <t>Samp-20140708-P4</t>
  </si>
  <si>
    <t>Samp-20140708-B1</t>
  </si>
  <si>
    <t>Samp-20140708-B2</t>
  </si>
  <si>
    <t>Samp-20140724-P1</t>
  </si>
  <si>
    <t>Samp-20140724-P2</t>
  </si>
  <si>
    <t>Samp-20140724-P3</t>
  </si>
  <si>
    <t>Samp-20140724-P4</t>
  </si>
  <si>
    <t>Samp-20140724-B1</t>
  </si>
  <si>
    <t>Samp-20140724-B2</t>
  </si>
  <si>
    <t>Samp-20140724-B3</t>
  </si>
  <si>
    <t>Samp-20140806-P1</t>
  </si>
  <si>
    <t>Samp-20140806-P2</t>
  </si>
  <si>
    <t>Samp-20140806-P3</t>
  </si>
  <si>
    <t>Samp-20140806-P4</t>
  </si>
  <si>
    <t>Samp-20140806-B1</t>
  </si>
  <si>
    <t>Samp-20140806-B2</t>
  </si>
  <si>
    <t>Samp-20140806-B3</t>
  </si>
  <si>
    <t>FxBio_MMTN-1_001</t>
  </si>
  <si>
    <t>FxBio_MMTN-2_001</t>
  </si>
  <si>
    <t>FxBio_MMTN-3_001</t>
  </si>
  <si>
    <t>FxBio_MMTN-4_001</t>
  </si>
  <si>
    <t>FxBio_MMTN-1_002</t>
  </si>
  <si>
    <t>FxBio_MMTN-2_002</t>
  </si>
  <si>
    <t>FxBio_MMTN-3_002</t>
  </si>
  <si>
    <t>FxBio_MMTN-4_002</t>
  </si>
  <si>
    <t>FxBio_MMTN-1_003</t>
  </si>
  <si>
    <t>FxBio_MMTN-2_003</t>
  </si>
  <si>
    <t>FxBio_MMTN-3_003</t>
  </si>
  <si>
    <t>FxBio_MMTN-4_003</t>
  </si>
  <si>
    <t>FxBio_MMTN-1_004</t>
  </si>
  <si>
    <t>FxBio_MMTN-2_004</t>
  </si>
  <si>
    <t>FxBio_MMTN-3_004</t>
  </si>
  <si>
    <t>FxBio_MMTN-4_004</t>
  </si>
  <si>
    <t>FxBio_MMTN-1_005</t>
  </si>
  <si>
    <t>FxBio_MMTN-2_005</t>
  </si>
  <si>
    <t>FxBio_MMTN-3_005</t>
  </si>
  <si>
    <t>FxBio_MMTN-4_005</t>
  </si>
  <si>
    <t>FxBio_MMTN-1_006</t>
  </si>
  <si>
    <t>FxBio_MMTN-2_006</t>
  </si>
  <si>
    <t>FxBio_MMTN-3_006</t>
  </si>
  <si>
    <t>FxBio_MMTN-4_006</t>
  </si>
  <si>
    <t>FxBio_MMTN-1_007</t>
  </si>
  <si>
    <t>FxBio_MMTN-2_007</t>
  </si>
  <si>
    <t>FxBio_MMTN-3_007</t>
  </si>
  <si>
    <t>FxBio_MMTN-4_007</t>
  </si>
  <si>
    <t>FxBio_MMTN-1_008</t>
  </si>
  <si>
    <t>FxBio_MMTN-2_008</t>
  </si>
  <si>
    <t>FxBio_MMTN-3_008</t>
  </si>
  <si>
    <t>FxBio_MMTN-4_008</t>
  </si>
  <si>
    <t>FxBio_MMTN-1_009</t>
  </si>
  <si>
    <t>FxBio_MMTN-2_009</t>
  </si>
  <si>
    <t>FxBio_MMTN-3_009</t>
  </si>
  <si>
    <t>FxBio_MMTN-4_009</t>
  </si>
  <si>
    <t>FxBio_LIND-1_001</t>
  </si>
  <si>
    <t>FxBio_LIND-2_001</t>
  </si>
  <si>
    <t>FxBio_LIND-3_001</t>
  </si>
  <si>
    <t>FxBio_LIND-4_001</t>
  </si>
  <si>
    <t>FxBio_LIND-1_002</t>
  </si>
  <si>
    <t>FxBio_LIND-2_002</t>
  </si>
  <si>
    <t>FxBio_LIND-3_002</t>
  </si>
  <si>
    <t>FxBio_LIND-4_002</t>
  </si>
  <si>
    <t>FxBio_LIND-1_003</t>
  </si>
  <si>
    <t>FxBio_LIND-2_003</t>
  </si>
  <si>
    <t>FxBio_LIND-3_003</t>
  </si>
  <si>
    <t>FxBio_LIND-4_003</t>
  </si>
  <si>
    <t>FxBio_LIND-1_004</t>
  </si>
  <si>
    <t>FxBio_LIND-2_004</t>
  </si>
  <si>
    <t>FxBio_LIND-3_004</t>
  </si>
  <si>
    <t>FxBio_LIND-4_004</t>
  </si>
  <si>
    <t>FxBio_LIND-1_005</t>
  </si>
  <si>
    <t>FxBio_LIND-2_005</t>
  </si>
  <si>
    <t>FxBio_LIND-3_005</t>
  </si>
  <si>
    <t>FxBio_LIND-4_005</t>
  </si>
  <si>
    <t>FxBio_LIND-1_006</t>
  </si>
  <si>
    <t>FxBio_LIND-2_006</t>
  </si>
  <si>
    <t>FxBio_LIND-3_006</t>
  </si>
  <si>
    <t>FxBio_LIND-4_006</t>
  </si>
  <si>
    <t>FxBio_LIND-1_007</t>
  </si>
  <si>
    <t>FxBio_LIND-2_007</t>
  </si>
  <si>
    <t>FxBio_LIND-3_007</t>
  </si>
  <si>
    <t>FxBio_LIND-4_007</t>
  </si>
  <si>
    <t>FxBio_LIND-1_008</t>
  </si>
  <si>
    <t>FxBio_LIND-2_008</t>
  </si>
  <si>
    <t>FxBio_LIND-3_008</t>
  </si>
  <si>
    <t>FxBio_LIND-4_008</t>
  </si>
  <si>
    <t>FxBio_LIND-1_009</t>
  </si>
  <si>
    <t>FxBio_LIND-2_009</t>
  </si>
  <si>
    <t>FxBio_LIND-3_009</t>
  </si>
  <si>
    <t>FxBio_LIND-4_009</t>
  </si>
  <si>
    <t>FxBio_CL1_073013</t>
  </si>
  <si>
    <t>FxBio_CL2_073013</t>
  </si>
  <si>
    <t>FxBio_CL3_073013</t>
  </si>
  <si>
    <t>FxBio_CL4_073013</t>
  </si>
  <si>
    <t>FxBio_CL1_071513</t>
  </si>
  <si>
    <t>FxBio_CL2_071513</t>
  </si>
  <si>
    <t>FxBio_CL3_071513</t>
  </si>
  <si>
    <t>FxBio_CL4_071513</t>
  </si>
  <si>
    <t>FxBio_CL1_083013</t>
  </si>
  <si>
    <t>FxBio_CL2_083013</t>
  </si>
  <si>
    <t>FxBio_CL3_083013</t>
  </si>
  <si>
    <t>FxBio_CL4_083013</t>
  </si>
  <si>
    <t>Samp-20140514-P1</t>
  </si>
  <si>
    <t>Samp-20140514-P2</t>
  </si>
  <si>
    <t>Samp-20140514-P3</t>
  </si>
  <si>
    <t>Samp-20140514-P4</t>
  </si>
  <si>
    <t>Samp-20140529-P1</t>
  </si>
  <si>
    <t>Samp-20140529-P2</t>
  </si>
  <si>
    <t>Samp-20140529-P3</t>
  </si>
  <si>
    <t>Samp-20140529-P4</t>
  </si>
  <si>
    <t>Samp-20140611-P1</t>
  </si>
  <si>
    <t>Samp-20140611-P2</t>
  </si>
  <si>
    <t>Samp-20140611-P3</t>
  </si>
  <si>
    <t>Samp-20140611-P4</t>
  </si>
  <si>
    <t>Samp-20140625-P1</t>
  </si>
  <si>
    <t>Samp-20140625-P2</t>
  </si>
  <si>
    <t>Samp-20140625-P3</t>
  </si>
  <si>
    <t>Samp-20140625-P4</t>
  </si>
  <si>
    <t>Samp-20140716-P1</t>
  </si>
  <si>
    <t>Samp-20140716-P2</t>
  </si>
  <si>
    <t>Samp-20140716-P3</t>
  </si>
  <si>
    <t>Samp-20140716-P4</t>
  </si>
  <si>
    <t>FxBio-CFCT-1_001</t>
  </si>
  <si>
    <t>FxBio-CFCT-2_001</t>
  </si>
  <si>
    <t>FxBio-CFCT-3_001</t>
  </si>
  <si>
    <t>FxBio-CFCT-4_001</t>
  </si>
  <si>
    <t>FxBio-CFCT-1_002</t>
  </si>
  <si>
    <t>FxBio-CFCT-2_002</t>
  </si>
  <si>
    <t>FxBio-CFCT-3_002</t>
  </si>
  <si>
    <t>FxBio-CFCT-4_002</t>
  </si>
  <si>
    <t>FxBio-CFCT-1_003</t>
  </si>
  <si>
    <t>FxBio-CFCT-2_003</t>
  </si>
  <si>
    <t>FxBio-CFCT-3_003</t>
  </si>
  <si>
    <t>FxBio-CFCT-4_003</t>
  </si>
  <si>
    <t>FxBio-CFCT-1_004</t>
  </si>
  <si>
    <t>FxBio-CFCT-2_004</t>
  </si>
  <si>
    <t>FxBio-CFCT-3_004</t>
  </si>
  <si>
    <t>FxBio-CFCT-4_004</t>
  </si>
  <si>
    <t>FxBio-CFCT-1_005</t>
  </si>
  <si>
    <t>FxBio-CFCT-2_005</t>
  </si>
  <si>
    <t>FxBio-CFCT-3_005</t>
  </si>
  <si>
    <t>FxBio-CFCT-4_005</t>
  </si>
  <si>
    <t>FxBio-CFCT-1_006</t>
  </si>
  <si>
    <t>FxBio-CFCT-2_006</t>
  </si>
  <si>
    <t>FxBio-CFCT-3_006</t>
  </si>
  <si>
    <t>FxBio-CFCT-4_006</t>
  </si>
  <si>
    <t>FxBio-CFCT-1_007</t>
  </si>
  <si>
    <t>FxBio-CFCT-2_007</t>
  </si>
  <si>
    <t>FxBio-CFCT-3_007</t>
  </si>
  <si>
    <t>FxBio-CFCT-4_007</t>
  </si>
  <si>
    <t>Samp-20140715-P1</t>
  </si>
  <si>
    <t>Samp-20140715-P2</t>
  </si>
  <si>
    <t>Samp-20140715-P3</t>
  </si>
  <si>
    <t>Samp-20140715-P4</t>
  </si>
  <si>
    <t>FxBio_CL1B_083013</t>
  </si>
  <si>
    <t>FxBio_CL2B_083013</t>
  </si>
  <si>
    <t>FxBio_CL3B_083013</t>
  </si>
  <si>
    <t>FxBio_CL4B_083013</t>
  </si>
  <si>
    <t>Samp-20140802-P1B</t>
  </si>
  <si>
    <t>Samp-20140802-P2B</t>
  </si>
  <si>
    <t>Samp-20140802-P3B</t>
  </si>
  <si>
    <t>Samp-20140802-P4B</t>
  </si>
  <si>
    <t>Samp-20140802-P1A</t>
  </si>
  <si>
    <t>Samp-20140802-P2A</t>
  </si>
  <si>
    <t>Samp-20140802-P3A</t>
  </si>
  <si>
    <t>Samp-20140802-P4A</t>
  </si>
  <si>
    <t>FxBio_CFNT-1_001</t>
  </si>
  <si>
    <t>FxBio_CFNT-2_001</t>
  </si>
  <si>
    <t>FxBio_CFNT-3_001</t>
  </si>
  <si>
    <t>FxBio_CFNT-4_001</t>
  </si>
  <si>
    <t>FxBio_CFNT-1_002</t>
  </si>
  <si>
    <t>FxBio_CFNT-2_002</t>
  </si>
  <si>
    <t>FxBio_CFNT-3_002</t>
  </si>
  <si>
    <t>FxBio_CFNT-4_002</t>
  </si>
  <si>
    <t>FxBio_CFNT-1_003</t>
  </si>
  <si>
    <t>FxBio_CFNT-2_003</t>
  </si>
  <si>
    <t>FxBio_CFNT-3_003</t>
  </si>
  <si>
    <t>FxBio_CFNT-4_003</t>
  </si>
  <si>
    <t>FxBio_CFNT-1_004</t>
  </si>
  <si>
    <t>FxBio_CFNT-2_004</t>
  </si>
  <si>
    <t>FxBio_CFNT-3_004</t>
  </si>
  <si>
    <t>FxBio_CFNT-4_004</t>
  </si>
  <si>
    <t>FxBio_CFNT-1_005</t>
  </si>
  <si>
    <t>FxBio_CFNT-2_005</t>
  </si>
  <si>
    <t>FxBio_CFNT-3_005</t>
  </si>
  <si>
    <t>FxBio_CFNT-4_005</t>
  </si>
  <si>
    <t>FxBio_CFNT-1_006</t>
  </si>
  <si>
    <t>FxBio_CFNT-2_006</t>
  </si>
  <si>
    <t>FxBio_CFNT-3_006</t>
  </si>
  <si>
    <t>FxBio_CFNT-4_006</t>
  </si>
  <si>
    <t>FxBio_CFNT-1_007</t>
  </si>
  <si>
    <t>FxBio_CFNT-2_007</t>
  </si>
  <si>
    <t>FxBio_CFNT-3_007</t>
  </si>
  <si>
    <t>FxBio_CFNT-4_007</t>
  </si>
  <si>
    <t>Notes</t>
  </si>
  <si>
    <t>FXBio_Gr_CF2-A_081712</t>
  </si>
  <si>
    <t>FXBio_Gr_CF3-A_081712</t>
  </si>
  <si>
    <t>FXBio_Gr_CF4-A_081712</t>
  </si>
  <si>
    <t>FXBio_Gr_CL1-A_081712</t>
  </si>
  <si>
    <t>FXBio_Gr_CL2-A_081712</t>
  </si>
  <si>
    <t>FXBio_Gr_CL3-A_081712</t>
  </si>
  <si>
    <t>FXBio_Gr_CL4-A_081712</t>
  </si>
  <si>
    <t>bio_WC_pct_Avg</t>
  </si>
  <si>
    <t>bio_WC_pct_Std</t>
  </si>
  <si>
    <t>NAN</t>
  </si>
  <si>
    <t>bio_drymass_g_m2_Avg</t>
  </si>
  <si>
    <t>bio_drymass_g_m2_Std</t>
  </si>
  <si>
    <t>FxBio_MMTN-4_010</t>
  </si>
  <si>
    <t>FxBio_MMTN-3_010</t>
  </si>
  <si>
    <t>FxBio_MMTN-2_010</t>
  </si>
  <si>
    <t>FxBio_MMTN-1_010</t>
  </si>
  <si>
    <t>product</t>
  </si>
  <si>
    <t>Adj. per 2012-06-15 logbook note</t>
  </si>
  <si>
    <t>Samples not wet-weighed</t>
  </si>
  <si>
    <t>sample_type</t>
  </si>
  <si>
    <t>whole</t>
  </si>
  <si>
    <t>residue</t>
  </si>
  <si>
    <t>timestamp</t>
  </si>
  <si>
    <t>2012-09-26 [srw]: "didn't dry samples in oven - already dry". ASSUME: 5% WC (wheat typ.)</t>
  </si>
  <si>
    <t>clark 1b plot red #2</t>
  </si>
  <si>
    <t>clark 2b plot yellow #2</t>
  </si>
  <si>
    <t>clark 3b plot blue #2</t>
  </si>
  <si>
    <t>clark 4b plot white #2</t>
  </si>
  <si>
    <t>Wet weight measurements were not tared (ASSUME: 70g bag)</t>
  </si>
  <si>
    <t>Wet weight measurements were not tared (71g bag noted)</t>
  </si>
  <si>
    <t>Dry and wet weight measurements were not tared (ASSUME: 70g bag)</t>
  </si>
  <si>
    <t>cfct1a</t>
  </si>
  <si>
    <t>cfct2a</t>
  </si>
  <si>
    <t>cfct3a</t>
  </si>
  <si>
    <t>cfct4a</t>
  </si>
  <si>
    <t>cfct1b</t>
  </si>
  <si>
    <t>cfct 2b</t>
  </si>
  <si>
    <t>cfct3b</t>
  </si>
  <si>
    <t>cfct4b</t>
  </si>
  <si>
    <t>Dry weights' data source: 
`LAR Cook &amp; Clark 2014 WW.xlsx` 
(commit 05ffdb24)</t>
  </si>
  <si>
    <t>cook 1b plot red #2</t>
  </si>
  <si>
    <t>cook 2b plot yellow #2</t>
  </si>
  <si>
    <t>cook 3b plot blue #2</t>
  </si>
  <si>
    <t>cook 4b plot white #2</t>
  </si>
  <si>
    <t>Dry weights' source: `Copy of LAR Garbs2013.xlsx` "Weight in bag" column (commit 25ddb11c). Discard 1b sample (per comment)</t>
  </si>
  <si>
    <t>Dry weights' source: `Biomass_truspec_2012.xlsx` (commit be9134f5). X-ref LECO data for proper sample IDs</t>
  </si>
  <si>
    <t>Yes, wet-weighed but no dry weight measurements. 
ASSUME: 5% WC (wheat typ.)</t>
  </si>
  <si>
    <t>Dry weights' source: `Copy of LAR Garbs2013.xlsx` "Weight in bag" column (commit 25ddb11c).</t>
  </si>
  <si>
    <r>
      <t>Wet weight measurements were not tared (</t>
    </r>
    <r>
      <rPr>
        <sz val="11"/>
        <rFont val="Calibri"/>
        <family val="2"/>
        <scheme val="minor"/>
      </rPr>
      <t>ASSUME: 70g bag</t>
    </r>
    <r>
      <rPr>
        <sz val="11"/>
        <color theme="1"/>
        <rFont val="Calibri"/>
        <family val="2"/>
        <scheme val="minor"/>
      </rPr>
      <t>) and made 5 days after collect: discard WC% (typ. 80-85% WC% to start)</t>
    </r>
  </si>
  <si>
    <r>
      <t>Wet weight measurements were not tared (69</t>
    </r>
    <r>
      <rPr>
        <sz val="11"/>
        <rFont val="Calibri"/>
        <family val="2"/>
        <scheme val="minor"/>
      </rPr>
      <t>g bag noted</t>
    </r>
    <r>
      <rPr>
        <sz val="11"/>
        <color theme="1"/>
        <rFont val="Calibri"/>
        <family val="2"/>
        <scheme val="minor"/>
      </rPr>
      <t>) and made 5 days after collect: discard WC% (typ. 80-85% WC% to start)</t>
    </r>
  </si>
  <si>
    <t>Wet weight measurements were not tared (70g bag noted)</t>
  </si>
  <si>
    <t>Dry weight measurements were not tared (ASSUME: 70g bag)</t>
  </si>
  <si>
    <t>Discard: omits non-crop biomass</t>
  </si>
  <si>
    <t>cfnt1a</t>
  </si>
  <si>
    <t>cfnt 2a</t>
  </si>
  <si>
    <t>cfnt3a</t>
  </si>
  <si>
    <t>&lt;sample missing&gt;</t>
  </si>
  <si>
    <t>cfnt1b</t>
  </si>
  <si>
    <t>cfnt 2b</t>
  </si>
  <si>
    <t>cfnt3b</t>
  </si>
  <si>
    <t>cfnt4b</t>
  </si>
  <si>
    <t>Dry weights' source: `Biomass_truspec_2013.xlsx` (commit 22939151e0); were not tared (19g bag noted)</t>
  </si>
  <si>
    <t>No dry weight measurements; ASSUME: WC% of paired samples (to not discard wet weights)</t>
  </si>
  <si>
    <t>Wet weights misdated, are OK</t>
  </si>
  <si>
    <t>Wet weight measured 9 days after collection (DISCARD: cannot ratio to dry weights using other samples WC%)</t>
  </si>
  <si>
    <t>FxBio_MMTN-4_004 (wht)</t>
  </si>
  <si>
    <t>FxBio_MSLK-1_004 (red)</t>
  </si>
  <si>
    <t>FxBio_MSLK-2_004 (yel)</t>
  </si>
  <si>
    <t>FxBio_MSLK-3_004 (blu)</t>
  </si>
  <si>
    <t>FxBio_MMTN-_004 (B-yel) [B1]</t>
  </si>
  <si>
    <t>FxBio_MMTN-_004 (B-blu) [B2]</t>
  </si>
  <si>
    <t>FxBio_MSLK-?_004 (B-wht) [B3]</t>
  </si>
  <si>
    <t>No weight measurements taken</t>
  </si>
  <si>
    <t>How to handle "negative" WC? Presumably b/c samples acclimated to diff. T/RH levels</t>
  </si>
  <si>
    <t>lind white 1</t>
  </si>
  <si>
    <t>lind blue 2</t>
  </si>
  <si>
    <t>lind yellow 3</t>
  </si>
  <si>
    <t>lind red 4</t>
  </si>
  <si>
    <t>mmtn  white 1</t>
  </si>
  <si>
    <t>mmtn blue 2</t>
  </si>
  <si>
    <t>mmtn yellow 3</t>
  </si>
  <si>
    <t>mmtn red 4</t>
  </si>
  <si>
    <t>Wet weight measured 6 days after collection: discard WC%
Use wet weight as dry weight: crop was senesced, nearly same as prev. sample dry weights</t>
  </si>
  <si>
    <t>DISCARD: uninterpretable</t>
  </si>
  <si>
    <r>
      <t xml:space="preserve">DISCARD #2: analyst noted "thresher not working right";  </t>
    </r>
    <r>
      <rPr>
        <sz val="11"/>
        <color rgb="FFFF0000"/>
        <rFont val="Calibri"/>
        <family val="2"/>
        <scheme val="minor"/>
      </rPr>
      <t>subsampled from -009, underestimates total mass</t>
    </r>
  </si>
  <si>
    <t>Wet measurements were not tared (ASSUME: 70g bag)</t>
  </si>
  <si>
    <t>Some samples mislabeled "MSLK"; X-ref flag colors to determine plot#s.</t>
  </si>
  <si>
    <t>Really, really want to discard sample P1 as an outlier BUT results are consistent w/ prev. samples, sample is not an outlier w.r.t. C/N content, and P1 is in drainage, lowest part of field</t>
  </si>
  <si>
    <r>
      <t xml:space="preserve">DISCARD #1: analyst noted "grain pulverized by thresher"; </t>
    </r>
    <r>
      <rPr>
        <sz val="11"/>
        <color rgb="FFFF0000"/>
        <rFont val="Calibri"/>
        <family val="2"/>
        <scheme val="minor"/>
      </rPr>
      <t xml:space="preserve"> subsampled from -009, underestimates total mass</t>
    </r>
  </si>
  <si>
    <t>FxBio_LIND-A</t>
  </si>
  <si>
    <t>FxBio_LIND-B</t>
  </si>
  <si>
    <t>Assuming same WC% as whole samples taken in July.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</si>
</sst>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1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0" fontId="4" fillId="0" borderId="0" xfId="0" applyFont="1" applyFill="1"/>
    <xf numFmtId="1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1" fontId="3" fillId="2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2" borderId="0" xfId="0" quotePrefix="1" applyFont="1" applyFill="1" applyAlignment="1">
      <alignment horizontal="center"/>
    </xf>
    <xf numFmtId="0" fontId="0" fillId="0" borderId="0" xfId="0" applyFill="1" applyAlignment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7"/>
  <sheetViews>
    <sheetView workbookViewId="0">
      <pane ySplit="1" topLeftCell="A77" activePane="bottomLeft" state="frozen"/>
      <selection pane="bottomLeft" activeCell="F108" sqref="F108"/>
    </sheetView>
  </sheetViews>
  <sheetFormatPr defaultRowHeight="15" x14ac:dyDescent="0.25"/>
  <cols>
    <col min="2" max="2" width="22.42578125" bestFit="1" customWidth="1"/>
    <col min="3" max="3" width="14.28515625" style="1" bestFit="1" customWidth="1"/>
    <col min="4" max="4" width="13.5703125" style="1" bestFit="1" customWidth="1"/>
    <col min="5" max="5" width="9.140625" style="13"/>
    <col min="6" max="6" width="30.7109375" style="19" bestFit="1" customWidth="1"/>
    <col min="7" max="7" width="12.7109375" style="49" customWidth="1"/>
    <col min="8" max="8" width="22.5703125" style="21" bestFit="1" customWidth="1"/>
    <col min="9" max="9" width="22.140625" style="21" bestFit="1" customWidth="1"/>
    <col min="10" max="10" width="16.140625" style="21" bestFit="1" customWidth="1"/>
    <col min="11" max="11" width="15.7109375" style="18" bestFit="1" customWidth="1"/>
    <col min="12" max="12" width="12.42578125" bestFit="1" customWidth="1"/>
  </cols>
  <sheetData>
    <row r="1" spans="1:12" s="3" customFormat="1" x14ac:dyDescent="0.25">
      <c r="A1" s="2" t="s">
        <v>0</v>
      </c>
      <c r="B1" s="3" t="s">
        <v>1</v>
      </c>
      <c r="C1" s="2" t="s">
        <v>2</v>
      </c>
      <c r="D1" s="2" t="s">
        <v>19</v>
      </c>
      <c r="E1" s="16" t="s">
        <v>61</v>
      </c>
      <c r="F1" s="23" t="s">
        <v>310</v>
      </c>
      <c r="G1" s="48" t="s">
        <v>333</v>
      </c>
      <c r="H1" s="12" t="s">
        <v>321</v>
      </c>
      <c r="I1" s="12" t="s">
        <v>322</v>
      </c>
      <c r="J1" s="12" t="s">
        <v>318</v>
      </c>
      <c r="K1" s="17" t="s">
        <v>319</v>
      </c>
      <c r="L1" s="3" t="s">
        <v>330</v>
      </c>
    </row>
    <row r="2" spans="1:12" x14ac:dyDescent="0.25">
      <c r="A2" s="55">
        <v>2012</v>
      </c>
      <c r="B2" t="s">
        <v>27</v>
      </c>
      <c r="C2" s="1" t="s">
        <v>20</v>
      </c>
      <c r="D2" s="1">
        <v>247</v>
      </c>
      <c r="E2" s="13" t="str">
        <f>IF(AND(ISNUMBER(C2),ISNUMBER(D2)), 100*(1-D2/C2), "-")</f>
        <v>-</v>
      </c>
      <c r="F2" s="19" t="s">
        <v>329</v>
      </c>
      <c r="G2" s="50">
        <v>41047</v>
      </c>
      <c r="H2" s="51">
        <f>AVERAGE(D2:D5)</f>
        <v>287</v>
      </c>
      <c r="I2" s="51">
        <f>STDEV(D2:D5)</f>
        <v>63.113654095871631</v>
      </c>
      <c r="J2" s="51" t="s">
        <v>320</v>
      </c>
      <c r="K2" s="52" t="s">
        <v>320</v>
      </c>
      <c r="L2" s="55" t="s">
        <v>331</v>
      </c>
    </row>
    <row r="3" spans="1:12" x14ac:dyDescent="0.25">
      <c r="A3" s="55"/>
      <c r="B3" t="s">
        <v>28</v>
      </c>
      <c r="C3" s="1" t="s">
        <v>20</v>
      </c>
      <c r="D3" s="1">
        <v>222</v>
      </c>
      <c r="E3" s="13" t="str">
        <f t="shared" ref="E3:E66" si="0">IF(AND(ISNUMBER(C3),ISNUMBER(D3)), 100*(1-D3/C3), "-")</f>
        <v>-</v>
      </c>
      <c r="G3" s="50"/>
      <c r="H3" s="51"/>
      <c r="I3" s="51"/>
      <c r="J3" s="51"/>
      <c r="K3" s="52"/>
      <c r="L3" s="55"/>
    </row>
    <row r="4" spans="1:12" x14ac:dyDescent="0.25">
      <c r="A4" s="55"/>
      <c r="B4" t="s">
        <v>29</v>
      </c>
      <c r="C4" s="1" t="s">
        <v>20</v>
      </c>
      <c r="D4" s="1">
        <v>322</v>
      </c>
      <c r="E4" s="13" t="str">
        <f t="shared" si="0"/>
        <v>-</v>
      </c>
      <c r="G4" s="50"/>
      <c r="H4" s="51"/>
      <c r="I4" s="51"/>
      <c r="J4" s="51"/>
      <c r="K4" s="52"/>
      <c r="L4" s="55"/>
    </row>
    <row r="5" spans="1:12" x14ac:dyDescent="0.25">
      <c r="A5" s="55"/>
      <c r="B5" t="s">
        <v>30</v>
      </c>
      <c r="C5" s="1" t="s">
        <v>20</v>
      </c>
      <c r="D5" s="1">
        <v>357</v>
      </c>
      <c r="E5" s="13" t="str">
        <f t="shared" si="0"/>
        <v>-</v>
      </c>
      <c r="G5" s="50"/>
      <c r="H5" s="51"/>
      <c r="I5" s="51"/>
      <c r="J5" s="51"/>
      <c r="K5" s="52"/>
      <c r="L5" s="55"/>
    </row>
    <row r="6" spans="1:12" x14ac:dyDescent="0.25">
      <c r="A6" s="55"/>
      <c r="B6" s="4" t="s">
        <v>31</v>
      </c>
      <c r="C6" s="5" t="s">
        <v>20</v>
      </c>
      <c r="D6" s="5">
        <v>752</v>
      </c>
      <c r="E6" s="14" t="str">
        <f t="shared" si="0"/>
        <v>-</v>
      </c>
      <c r="F6" s="19" t="s">
        <v>329</v>
      </c>
      <c r="G6" s="50">
        <v>41064</v>
      </c>
      <c r="H6" s="51">
        <f>AVERAGE(D6:D9)</f>
        <v>670.51851851851848</v>
      </c>
      <c r="I6" s="51">
        <f>STDEV(D6:D9)</f>
        <v>64.459108591292875</v>
      </c>
      <c r="J6" s="51" t="s">
        <v>320</v>
      </c>
      <c r="K6" s="52" t="s">
        <v>320</v>
      </c>
      <c r="L6" s="55" t="s">
        <v>331</v>
      </c>
    </row>
    <row r="7" spans="1:12" x14ac:dyDescent="0.25">
      <c r="A7" s="55"/>
      <c r="B7" s="4" t="s">
        <v>32</v>
      </c>
      <c r="C7" s="5" t="s">
        <v>20</v>
      </c>
      <c r="D7" s="5">
        <v>601</v>
      </c>
      <c r="E7" s="14" t="str">
        <f t="shared" si="0"/>
        <v>-</v>
      </c>
      <c r="G7" s="50"/>
      <c r="H7" s="51"/>
      <c r="I7" s="51"/>
      <c r="J7" s="51"/>
      <c r="K7" s="52"/>
      <c r="L7" s="55"/>
    </row>
    <row r="8" spans="1:12" x14ac:dyDescent="0.25">
      <c r="A8" s="55"/>
      <c r="B8" s="4" t="s">
        <v>33</v>
      </c>
      <c r="C8" s="5" t="s">
        <v>20</v>
      </c>
      <c r="D8" s="5">
        <v>686</v>
      </c>
      <c r="E8" s="14" t="str">
        <f t="shared" si="0"/>
        <v>-</v>
      </c>
      <c r="G8" s="50"/>
      <c r="H8" s="51"/>
      <c r="I8" s="51"/>
      <c r="J8" s="51"/>
      <c r="K8" s="52"/>
      <c r="L8" s="55"/>
    </row>
    <row r="9" spans="1:12" x14ac:dyDescent="0.25">
      <c r="A9" s="55"/>
      <c r="B9" s="4" t="s">
        <v>34</v>
      </c>
      <c r="C9" s="5" t="s">
        <v>20</v>
      </c>
      <c r="D9" s="24">
        <f>895*(582/810)</f>
        <v>643.07407407407413</v>
      </c>
      <c r="E9" s="14" t="str">
        <f t="shared" si="0"/>
        <v>-</v>
      </c>
      <c r="F9" s="19" t="s">
        <v>328</v>
      </c>
      <c r="G9" s="50"/>
      <c r="H9" s="51"/>
      <c r="I9" s="51"/>
      <c r="J9" s="51"/>
      <c r="K9" s="52"/>
      <c r="L9" s="55"/>
    </row>
    <row r="10" spans="1:12" x14ac:dyDescent="0.25">
      <c r="A10" s="55"/>
      <c r="B10" t="s">
        <v>35</v>
      </c>
      <c r="C10" s="1" t="s">
        <v>20</v>
      </c>
      <c r="D10" s="1">
        <v>1220</v>
      </c>
      <c r="E10" s="13" t="str">
        <f t="shared" si="0"/>
        <v>-</v>
      </c>
      <c r="F10" s="19" t="s">
        <v>329</v>
      </c>
      <c r="G10" s="50">
        <v>41088</v>
      </c>
      <c r="H10" s="51">
        <f>AVERAGE(D10:D13)</f>
        <v>1250.5</v>
      </c>
      <c r="I10" s="51">
        <f>STDEV(D10:D13)</f>
        <v>100.97689504700239</v>
      </c>
      <c r="J10" s="51" t="s">
        <v>320</v>
      </c>
      <c r="K10" s="52" t="s">
        <v>320</v>
      </c>
      <c r="L10" s="55" t="s">
        <v>331</v>
      </c>
    </row>
    <row r="11" spans="1:12" x14ac:dyDescent="0.25">
      <c r="A11" s="55"/>
      <c r="B11" t="s">
        <v>36</v>
      </c>
      <c r="C11" s="1" t="s">
        <v>20</v>
      </c>
      <c r="D11" s="1">
        <v>1125</v>
      </c>
      <c r="E11" s="13" t="str">
        <f t="shared" si="0"/>
        <v>-</v>
      </c>
      <c r="G11" s="50"/>
      <c r="H11" s="51"/>
      <c r="I11" s="51"/>
      <c r="J11" s="51"/>
      <c r="K11" s="52"/>
      <c r="L11" s="55"/>
    </row>
    <row r="12" spans="1:12" x14ac:dyDescent="0.25">
      <c r="A12" s="55"/>
      <c r="B12" t="s">
        <v>37</v>
      </c>
      <c r="C12" s="1" t="s">
        <v>20</v>
      </c>
      <c r="D12" s="1">
        <v>1358</v>
      </c>
      <c r="E12" s="13" t="str">
        <f t="shared" si="0"/>
        <v>-</v>
      </c>
      <c r="G12" s="50"/>
      <c r="H12" s="51"/>
      <c r="I12" s="51"/>
      <c r="J12" s="51"/>
      <c r="K12" s="52"/>
      <c r="L12" s="55"/>
    </row>
    <row r="13" spans="1:12" x14ac:dyDescent="0.25">
      <c r="A13" s="55"/>
      <c r="B13" t="s">
        <v>38</v>
      </c>
      <c r="C13" s="1" t="s">
        <v>20</v>
      </c>
      <c r="D13" s="1">
        <v>1299</v>
      </c>
      <c r="E13" s="13" t="str">
        <f t="shared" si="0"/>
        <v>-</v>
      </c>
      <c r="G13" s="50"/>
      <c r="H13" s="51"/>
      <c r="I13" s="51"/>
      <c r="J13" s="51"/>
      <c r="K13" s="52"/>
      <c r="L13" s="55"/>
    </row>
    <row r="14" spans="1:12" x14ac:dyDescent="0.25">
      <c r="A14" s="55"/>
      <c r="B14" s="4" t="s">
        <v>39</v>
      </c>
      <c r="C14" s="5">
        <v>1413</v>
      </c>
      <c r="D14" s="24">
        <f>0.95*C14</f>
        <v>1342.35</v>
      </c>
      <c r="E14" s="14">
        <f t="shared" si="0"/>
        <v>5.0000000000000044</v>
      </c>
      <c r="F14" s="54" t="s">
        <v>357</v>
      </c>
      <c r="G14" s="50">
        <v>41138</v>
      </c>
      <c r="H14" s="60">
        <f>AVERAGE(D14:D17)</f>
        <v>1470.3625</v>
      </c>
      <c r="I14" s="60">
        <f>STDEV(D14:D17)</f>
        <v>230.97751108062459</v>
      </c>
      <c r="J14" s="56" t="s">
        <v>320</v>
      </c>
      <c r="K14" s="57" t="s">
        <v>320</v>
      </c>
      <c r="L14" s="55" t="s">
        <v>331</v>
      </c>
    </row>
    <row r="15" spans="1:12" x14ac:dyDescent="0.25">
      <c r="A15" s="55"/>
      <c r="B15" s="4" t="s">
        <v>40</v>
      </c>
      <c r="C15" s="5">
        <v>1310</v>
      </c>
      <c r="D15" s="24">
        <f t="shared" ref="D15:D17" si="1">0.95*C15</f>
        <v>1244.5</v>
      </c>
      <c r="E15" s="14">
        <f t="shared" si="0"/>
        <v>5.0000000000000044</v>
      </c>
      <c r="F15" s="54"/>
      <c r="G15" s="50"/>
      <c r="H15" s="60"/>
      <c r="I15" s="60"/>
      <c r="J15" s="56"/>
      <c r="K15" s="57"/>
      <c r="L15" s="55"/>
    </row>
    <row r="16" spans="1:12" x14ac:dyDescent="0.25">
      <c r="A16" s="55"/>
      <c r="B16" s="4" t="s">
        <v>41</v>
      </c>
      <c r="C16" s="5">
        <v>1863</v>
      </c>
      <c r="D16" s="24">
        <f t="shared" si="1"/>
        <v>1769.85</v>
      </c>
      <c r="E16" s="14">
        <f t="shared" si="0"/>
        <v>5.0000000000000044</v>
      </c>
      <c r="F16" s="54"/>
      <c r="G16" s="50"/>
      <c r="H16" s="60"/>
      <c r="I16" s="60"/>
      <c r="J16" s="56"/>
      <c r="K16" s="57"/>
      <c r="L16" s="55"/>
    </row>
    <row r="17" spans="1:12" x14ac:dyDescent="0.25">
      <c r="A17" s="55"/>
      <c r="B17" s="4" t="s">
        <v>42</v>
      </c>
      <c r="C17" s="5">
        <v>1605</v>
      </c>
      <c r="D17" s="24">
        <f t="shared" si="1"/>
        <v>1524.75</v>
      </c>
      <c r="E17" s="14">
        <f t="shared" si="0"/>
        <v>5.0000000000000044</v>
      </c>
      <c r="F17" s="54"/>
      <c r="G17" s="50"/>
      <c r="H17" s="60"/>
      <c r="I17" s="60"/>
      <c r="J17" s="56"/>
      <c r="K17" s="57"/>
      <c r="L17" s="55"/>
    </row>
    <row r="18" spans="1:12" x14ac:dyDescent="0.25">
      <c r="A18" s="55"/>
      <c r="B18" s="8" t="s">
        <v>314</v>
      </c>
      <c r="C18" s="9" t="s">
        <v>20</v>
      </c>
      <c r="D18" s="28">
        <v>621</v>
      </c>
      <c r="E18" s="15" t="str">
        <f t="shared" ref="E18:E21" si="2">IF(AND(ISNUMBER(C18),ISNUMBER(D18)), 100*(1-D18/C18), "-")</f>
        <v>-</v>
      </c>
      <c r="F18" s="54" t="s">
        <v>356</v>
      </c>
      <c r="G18" s="50">
        <v>41138</v>
      </c>
      <c r="H18" s="51">
        <f>AVERAGE(D18:D21)</f>
        <v>664.25</v>
      </c>
      <c r="I18" s="51">
        <f>STDEV(D18:D21)</f>
        <v>103.45167954170681</v>
      </c>
      <c r="J18" s="51" t="s">
        <v>320</v>
      </c>
      <c r="K18" s="52" t="s">
        <v>320</v>
      </c>
      <c r="L18" s="55" t="s">
        <v>327</v>
      </c>
    </row>
    <row r="19" spans="1:12" x14ac:dyDescent="0.25">
      <c r="A19" s="55"/>
      <c r="B19" s="8" t="s">
        <v>315</v>
      </c>
      <c r="C19" s="9" t="s">
        <v>20</v>
      </c>
      <c r="D19" s="28">
        <v>545</v>
      </c>
      <c r="E19" s="15" t="str">
        <f t="shared" si="2"/>
        <v>-</v>
      </c>
      <c r="F19" s="54"/>
      <c r="G19" s="50"/>
      <c r="H19" s="51"/>
      <c r="I19" s="51"/>
      <c r="J19" s="51"/>
      <c r="K19" s="52"/>
      <c r="L19" s="55"/>
    </row>
    <row r="20" spans="1:12" x14ac:dyDescent="0.25">
      <c r="A20" s="55"/>
      <c r="B20" s="8" t="s">
        <v>316</v>
      </c>
      <c r="C20" s="9" t="s">
        <v>20</v>
      </c>
      <c r="D20" s="28">
        <v>783</v>
      </c>
      <c r="E20" s="15" t="str">
        <f t="shared" si="2"/>
        <v>-</v>
      </c>
      <c r="F20" s="54"/>
      <c r="G20" s="50"/>
      <c r="H20" s="51"/>
      <c r="I20" s="51"/>
      <c r="J20" s="51"/>
      <c r="K20" s="52"/>
      <c r="L20" s="55"/>
    </row>
    <row r="21" spans="1:12" x14ac:dyDescent="0.25">
      <c r="A21" s="55"/>
      <c r="B21" s="8" t="s">
        <v>317</v>
      </c>
      <c r="C21" s="9" t="s">
        <v>20</v>
      </c>
      <c r="D21" s="28">
        <v>708</v>
      </c>
      <c r="E21" s="15" t="str">
        <f t="shared" si="2"/>
        <v>-</v>
      </c>
      <c r="F21" s="54"/>
      <c r="G21" s="50"/>
      <c r="H21" s="51"/>
      <c r="I21" s="51"/>
      <c r="J21" s="51"/>
      <c r="K21" s="52"/>
      <c r="L21" s="55"/>
    </row>
    <row r="22" spans="1:12" ht="24" customHeight="1" x14ac:dyDescent="0.25">
      <c r="A22" s="55"/>
      <c r="B22" s="4" t="s">
        <v>43</v>
      </c>
      <c r="C22" s="5">
        <v>501</v>
      </c>
      <c r="D22" s="24">
        <f>0.95*C22</f>
        <v>475.95</v>
      </c>
      <c r="E22" s="14">
        <f t="shared" si="0"/>
        <v>5.0000000000000044</v>
      </c>
      <c r="F22" s="54" t="s">
        <v>334</v>
      </c>
      <c r="G22" s="50">
        <v>41173</v>
      </c>
      <c r="H22" s="59">
        <f>AVERAGE(D22:D23)</f>
        <v>475.95</v>
      </c>
      <c r="I22" s="59">
        <f>STDEV(D22:D23)</f>
        <v>0</v>
      </c>
      <c r="J22" s="56" t="s">
        <v>320</v>
      </c>
      <c r="K22" s="57" t="s">
        <v>320</v>
      </c>
      <c r="L22" s="55" t="s">
        <v>332</v>
      </c>
    </row>
    <row r="23" spans="1:12" ht="24" customHeight="1" x14ac:dyDescent="0.25">
      <c r="A23" s="55"/>
      <c r="B23" s="4" t="s">
        <v>44</v>
      </c>
      <c r="C23" s="5">
        <v>501</v>
      </c>
      <c r="D23" s="24">
        <f>0.95*C23</f>
        <v>475.95</v>
      </c>
      <c r="E23" s="14">
        <f t="shared" si="0"/>
        <v>5.0000000000000044</v>
      </c>
      <c r="F23" s="54"/>
      <c r="G23" s="50"/>
      <c r="H23" s="59"/>
      <c r="I23" s="59"/>
      <c r="J23" s="56"/>
      <c r="K23" s="57"/>
      <c r="L23" s="55"/>
    </row>
    <row r="24" spans="1:12" x14ac:dyDescent="0.25">
      <c r="A24" s="53">
        <v>2013</v>
      </c>
      <c r="B24" s="8" t="s">
        <v>210</v>
      </c>
      <c r="C24" s="9">
        <v>726</v>
      </c>
      <c r="D24" s="9">
        <v>195</v>
      </c>
      <c r="E24" s="13">
        <f t="shared" si="0"/>
        <v>73.140495867768593</v>
      </c>
      <c r="G24" s="50">
        <v>41470</v>
      </c>
      <c r="H24" s="51">
        <f>AVERAGE(D24:D27)</f>
        <v>191.5</v>
      </c>
      <c r="I24" s="51">
        <f>STDEV(D24:D27)</f>
        <v>21.946905628508695</v>
      </c>
      <c r="J24" s="51">
        <f>AVERAGE(E24:E27)</f>
        <v>73.386098970919534</v>
      </c>
      <c r="K24" s="52">
        <f>STDEV(E24:E27)</f>
        <v>1.1432815031687309</v>
      </c>
      <c r="L24" s="55" t="s">
        <v>331</v>
      </c>
    </row>
    <row r="25" spans="1:12" x14ac:dyDescent="0.25">
      <c r="A25" s="53"/>
      <c r="B25" s="8" t="s">
        <v>211</v>
      </c>
      <c r="C25" s="9">
        <v>652</v>
      </c>
      <c r="D25" s="9">
        <v>172</v>
      </c>
      <c r="E25" s="13">
        <f t="shared" si="0"/>
        <v>73.619631901840492</v>
      </c>
      <c r="G25" s="50"/>
      <c r="H25" s="51"/>
      <c r="I25" s="51"/>
      <c r="J25" s="51"/>
      <c r="K25" s="52"/>
      <c r="L25" s="55"/>
    </row>
    <row r="26" spans="1:12" x14ac:dyDescent="0.25">
      <c r="A26" s="53"/>
      <c r="B26" s="8" t="s">
        <v>212</v>
      </c>
      <c r="C26" s="11">
        <v>636</v>
      </c>
      <c r="D26" s="9">
        <v>178</v>
      </c>
      <c r="E26" s="13">
        <f t="shared" si="0"/>
        <v>72.012578616352201</v>
      </c>
      <c r="G26" s="50"/>
      <c r="H26" s="51"/>
      <c r="I26" s="51"/>
      <c r="J26" s="51"/>
      <c r="K26" s="52"/>
      <c r="L26" s="55"/>
    </row>
    <row r="27" spans="1:12" x14ac:dyDescent="0.25">
      <c r="A27" s="53"/>
      <c r="B27" s="8" t="s">
        <v>213</v>
      </c>
      <c r="C27" s="9">
        <v>876</v>
      </c>
      <c r="D27" s="9">
        <v>221</v>
      </c>
      <c r="E27" s="13">
        <f t="shared" si="0"/>
        <v>74.771689497716892</v>
      </c>
      <c r="G27" s="50"/>
      <c r="H27" s="51"/>
      <c r="I27" s="51"/>
      <c r="J27" s="51"/>
      <c r="K27" s="52"/>
      <c r="L27" s="55"/>
    </row>
    <row r="28" spans="1:12" x14ac:dyDescent="0.25">
      <c r="A28" s="53"/>
      <c r="B28" s="4" t="s">
        <v>206</v>
      </c>
      <c r="C28" s="5">
        <v>1047</v>
      </c>
      <c r="D28" s="5">
        <v>390</v>
      </c>
      <c r="E28" s="14">
        <f t="shared" si="0"/>
        <v>62.750716332378232</v>
      </c>
      <c r="G28" s="50">
        <v>41485</v>
      </c>
      <c r="H28" s="51">
        <f>AVERAGE(D28:D31)</f>
        <v>357.25</v>
      </c>
      <c r="I28" s="51">
        <f>STDEV(D28:D31)</f>
        <v>58.903169128098135</v>
      </c>
      <c r="J28" s="51">
        <f>AVERAGE(E28:E31)</f>
        <v>64.328092112855416</v>
      </c>
      <c r="K28" s="52">
        <f>STDEV(E28:E31)</f>
        <v>2.1016596430141017</v>
      </c>
      <c r="L28" s="55" t="s">
        <v>331</v>
      </c>
    </row>
    <row r="29" spans="1:12" x14ac:dyDescent="0.25">
      <c r="A29" s="53"/>
      <c r="B29" s="4" t="s">
        <v>207</v>
      </c>
      <c r="C29" s="5">
        <v>881</v>
      </c>
      <c r="D29" s="5">
        <v>287</v>
      </c>
      <c r="E29" s="14">
        <f t="shared" si="0"/>
        <v>67.423382519863793</v>
      </c>
      <c r="G29" s="50"/>
      <c r="H29" s="51"/>
      <c r="I29" s="51"/>
      <c r="J29" s="51"/>
      <c r="K29" s="52"/>
      <c r="L29" s="55"/>
    </row>
    <row r="30" spans="1:12" x14ac:dyDescent="0.25">
      <c r="A30" s="53"/>
      <c r="B30" s="4" t="s">
        <v>208</v>
      </c>
      <c r="C30" s="5">
        <v>911</v>
      </c>
      <c r="D30" s="5">
        <v>333</v>
      </c>
      <c r="E30" s="14">
        <f t="shared" si="0"/>
        <v>63.446761800219534</v>
      </c>
      <c r="G30" s="50"/>
      <c r="H30" s="51"/>
      <c r="I30" s="51"/>
      <c r="J30" s="51"/>
      <c r="K30" s="52"/>
      <c r="L30" s="55"/>
    </row>
    <row r="31" spans="1:12" x14ac:dyDescent="0.25">
      <c r="A31" s="53"/>
      <c r="B31" s="4" t="s">
        <v>209</v>
      </c>
      <c r="C31" s="5">
        <v>1154</v>
      </c>
      <c r="D31" s="5">
        <v>419</v>
      </c>
      <c r="E31" s="14">
        <f t="shared" si="0"/>
        <v>63.691507798960131</v>
      </c>
      <c r="G31" s="50"/>
      <c r="H31" s="51"/>
      <c r="I31" s="51"/>
      <c r="J31" s="51"/>
      <c r="K31" s="52"/>
      <c r="L31" s="55"/>
    </row>
    <row r="32" spans="1:12" ht="15" customHeight="1" x14ac:dyDescent="0.25">
      <c r="A32" s="53"/>
      <c r="B32" s="8" t="s">
        <v>214</v>
      </c>
      <c r="C32" s="9">
        <v>302</v>
      </c>
      <c r="D32" s="27">
        <f>C32</f>
        <v>302</v>
      </c>
      <c r="E32" s="13">
        <f t="shared" si="0"/>
        <v>0</v>
      </c>
      <c r="F32" s="54" t="s">
        <v>393</v>
      </c>
      <c r="G32" s="50">
        <v>41516</v>
      </c>
      <c r="H32" s="63">
        <f>AVERAGE(D32:D39)</f>
        <v>338.125</v>
      </c>
      <c r="I32" s="63">
        <f>STDEV(D32:D39)</f>
        <v>42.743211658193665</v>
      </c>
      <c r="J32" s="63" t="s">
        <v>320</v>
      </c>
      <c r="K32" s="58" t="s">
        <v>320</v>
      </c>
      <c r="L32" s="55" t="s">
        <v>331</v>
      </c>
    </row>
    <row r="33" spans="1:12" x14ac:dyDescent="0.25">
      <c r="A33" s="53"/>
      <c r="B33" s="8" t="s">
        <v>215</v>
      </c>
      <c r="C33" s="9">
        <v>310</v>
      </c>
      <c r="D33" s="27">
        <f t="shared" ref="D33:D39" si="3">C33</f>
        <v>310</v>
      </c>
      <c r="E33" s="13">
        <f t="shared" si="0"/>
        <v>0</v>
      </c>
      <c r="F33" s="54"/>
      <c r="G33" s="50"/>
      <c r="H33" s="63"/>
      <c r="I33" s="63"/>
      <c r="J33" s="63"/>
      <c r="K33" s="58"/>
      <c r="L33" s="55"/>
    </row>
    <row r="34" spans="1:12" x14ac:dyDescent="0.25">
      <c r="A34" s="53"/>
      <c r="B34" s="8" t="s">
        <v>216</v>
      </c>
      <c r="C34" s="9">
        <v>348</v>
      </c>
      <c r="D34" s="27">
        <f t="shared" si="3"/>
        <v>348</v>
      </c>
      <c r="E34" s="13">
        <f t="shared" si="0"/>
        <v>0</v>
      </c>
      <c r="F34" s="54"/>
      <c r="G34" s="50"/>
      <c r="H34" s="63"/>
      <c r="I34" s="63"/>
      <c r="J34" s="63"/>
      <c r="K34" s="58"/>
      <c r="L34" s="55"/>
    </row>
    <row r="35" spans="1:12" x14ac:dyDescent="0.25">
      <c r="A35" s="53"/>
      <c r="B35" s="8" t="s">
        <v>217</v>
      </c>
      <c r="C35" s="9">
        <v>346</v>
      </c>
      <c r="D35" s="27">
        <f t="shared" si="3"/>
        <v>346</v>
      </c>
      <c r="E35" s="13">
        <f t="shared" si="0"/>
        <v>0</v>
      </c>
      <c r="F35" s="54"/>
      <c r="G35" s="50"/>
      <c r="H35" s="63"/>
      <c r="I35" s="63"/>
      <c r="J35" s="63"/>
      <c r="K35" s="58"/>
      <c r="L35" s="55"/>
    </row>
    <row r="36" spans="1:12" x14ac:dyDescent="0.25">
      <c r="A36" s="53"/>
      <c r="B36" s="4" t="s">
        <v>270</v>
      </c>
      <c r="C36" s="5">
        <v>268</v>
      </c>
      <c r="D36" s="29">
        <f t="shared" si="3"/>
        <v>268</v>
      </c>
      <c r="E36" s="14">
        <f t="shared" si="0"/>
        <v>0</v>
      </c>
      <c r="F36" s="54"/>
      <c r="G36" s="50"/>
      <c r="H36" s="63"/>
      <c r="I36" s="63"/>
      <c r="J36" s="63"/>
      <c r="K36" s="58"/>
      <c r="L36" s="55"/>
    </row>
    <row r="37" spans="1:12" x14ac:dyDescent="0.25">
      <c r="A37" s="53"/>
      <c r="B37" s="4" t="s">
        <v>271</v>
      </c>
      <c r="C37" s="5">
        <v>352</v>
      </c>
      <c r="D37" s="29">
        <f t="shared" si="3"/>
        <v>352</v>
      </c>
      <c r="E37" s="14">
        <f t="shared" si="0"/>
        <v>0</v>
      </c>
      <c r="F37" s="54"/>
      <c r="G37" s="50"/>
      <c r="H37" s="63"/>
      <c r="I37" s="63"/>
      <c r="J37" s="63"/>
      <c r="K37" s="58"/>
      <c r="L37" s="55"/>
    </row>
    <row r="38" spans="1:12" x14ac:dyDescent="0.25">
      <c r="A38" s="53"/>
      <c r="B38" s="4" t="s">
        <v>272</v>
      </c>
      <c r="C38" s="5">
        <v>398</v>
      </c>
      <c r="D38" s="29">
        <f t="shared" si="3"/>
        <v>398</v>
      </c>
      <c r="E38" s="14">
        <f t="shared" si="0"/>
        <v>0</v>
      </c>
      <c r="F38" s="54"/>
      <c r="G38" s="50"/>
      <c r="H38" s="63"/>
      <c r="I38" s="63"/>
      <c r="J38" s="63"/>
      <c r="K38" s="58"/>
      <c r="L38" s="55"/>
    </row>
    <row r="39" spans="1:12" x14ac:dyDescent="0.25">
      <c r="A39" s="53"/>
      <c r="B39" s="4" t="s">
        <v>273</v>
      </c>
      <c r="C39" s="5">
        <v>381</v>
      </c>
      <c r="D39" s="29">
        <f t="shared" si="3"/>
        <v>381</v>
      </c>
      <c r="E39" s="14">
        <f t="shared" si="0"/>
        <v>0</v>
      </c>
      <c r="F39" s="54"/>
      <c r="G39" s="50"/>
      <c r="H39" s="63"/>
      <c r="I39" s="63"/>
      <c r="J39" s="63"/>
      <c r="K39" s="58"/>
      <c r="L39" s="55"/>
    </row>
    <row r="40" spans="1:12" ht="15" customHeight="1" x14ac:dyDescent="0.25">
      <c r="A40" s="53"/>
      <c r="B40" s="8" t="s">
        <v>335</v>
      </c>
      <c r="C40" s="9" t="s">
        <v>20</v>
      </c>
      <c r="D40" s="32">
        <v>84.59</v>
      </c>
      <c r="E40" s="13" t="str">
        <f t="shared" si="0"/>
        <v>-</v>
      </c>
      <c r="F40" s="54" t="s">
        <v>355</v>
      </c>
      <c r="G40" s="50">
        <v>41516</v>
      </c>
      <c r="H40" s="56">
        <f>AVERAGE(D41:D43)</f>
        <v>193.68999999999997</v>
      </c>
      <c r="I40" s="56">
        <f>STDEV(D41:D43)</f>
        <v>20.888535132938362</v>
      </c>
      <c r="J40" s="51" t="s">
        <v>320</v>
      </c>
      <c r="K40" s="52" t="s">
        <v>320</v>
      </c>
      <c r="L40" s="55" t="s">
        <v>327</v>
      </c>
    </row>
    <row r="41" spans="1:12" x14ac:dyDescent="0.25">
      <c r="A41" s="53"/>
      <c r="B41" s="8" t="s">
        <v>336</v>
      </c>
      <c r="C41" s="9" t="s">
        <v>20</v>
      </c>
      <c r="D41" s="28">
        <v>181.64</v>
      </c>
      <c r="E41" s="13" t="str">
        <f t="shared" si="0"/>
        <v>-</v>
      </c>
      <c r="F41" s="54"/>
      <c r="G41" s="50"/>
      <c r="H41" s="56"/>
      <c r="I41" s="56"/>
      <c r="J41" s="51"/>
      <c r="K41" s="52"/>
      <c r="L41" s="55"/>
    </row>
    <row r="42" spans="1:12" x14ac:dyDescent="0.25">
      <c r="A42" s="53"/>
      <c r="B42" s="8" t="s">
        <v>337</v>
      </c>
      <c r="C42" s="9" t="s">
        <v>20</v>
      </c>
      <c r="D42" s="28">
        <v>217.81</v>
      </c>
      <c r="E42" s="13" t="str">
        <f t="shared" si="0"/>
        <v>-</v>
      </c>
      <c r="F42" s="54"/>
      <c r="G42" s="50"/>
      <c r="H42" s="56"/>
      <c r="I42" s="56"/>
      <c r="J42" s="51"/>
      <c r="K42" s="52"/>
      <c r="L42" s="55"/>
    </row>
    <row r="43" spans="1:12" x14ac:dyDescent="0.25">
      <c r="A43" s="53"/>
      <c r="B43" s="8" t="s">
        <v>338</v>
      </c>
      <c r="C43" s="9" t="s">
        <v>20</v>
      </c>
      <c r="D43" s="28">
        <v>181.62</v>
      </c>
      <c r="E43" s="13" t="str">
        <f t="shared" si="0"/>
        <v>-</v>
      </c>
      <c r="F43" s="54"/>
      <c r="G43" s="50"/>
      <c r="H43" s="56"/>
      <c r="I43" s="56"/>
      <c r="J43" s="51"/>
      <c r="K43" s="52"/>
      <c r="L43" s="55"/>
    </row>
    <row r="44" spans="1:12" ht="15" customHeight="1" x14ac:dyDescent="0.25">
      <c r="A44" s="55">
        <v>2014</v>
      </c>
      <c r="B44" s="4" t="s">
        <v>218</v>
      </c>
      <c r="C44" s="29">
        <f>582-70</f>
        <v>512</v>
      </c>
      <c r="D44" s="5">
        <v>313</v>
      </c>
      <c r="E44" s="35">
        <f t="shared" si="0"/>
        <v>38.8671875</v>
      </c>
      <c r="F44" s="61" t="s">
        <v>359</v>
      </c>
      <c r="G44" s="50">
        <v>41773</v>
      </c>
      <c r="H44" s="51">
        <f>AVERAGE(D44:D47)</f>
        <v>326</v>
      </c>
      <c r="I44" s="51">
        <f>STDEV(D44:D47)</f>
        <v>90.546488980339078</v>
      </c>
      <c r="J44" s="56" t="s">
        <v>320</v>
      </c>
      <c r="K44" s="57" t="s">
        <v>320</v>
      </c>
      <c r="L44" s="55" t="s">
        <v>331</v>
      </c>
    </row>
    <row r="45" spans="1:12" x14ac:dyDescent="0.25">
      <c r="A45" s="55"/>
      <c r="B45" s="4" t="s">
        <v>219</v>
      </c>
      <c r="C45" s="29">
        <f>367-70</f>
        <v>297</v>
      </c>
      <c r="D45" s="5">
        <v>215</v>
      </c>
      <c r="E45" s="35">
        <f t="shared" si="0"/>
        <v>27.609427609427605</v>
      </c>
      <c r="F45" s="61"/>
      <c r="G45" s="50"/>
      <c r="H45" s="51"/>
      <c r="I45" s="51"/>
      <c r="J45" s="56"/>
      <c r="K45" s="57"/>
      <c r="L45" s="55"/>
    </row>
    <row r="46" spans="1:12" x14ac:dyDescent="0.25">
      <c r="A46" s="55"/>
      <c r="B46" s="4" t="s">
        <v>220</v>
      </c>
      <c r="C46" s="29">
        <f>706-70</f>
        <v>636</v>
      </c>
      <c r="D46" s="5">
        <v>341</v>
      </c>
      <c r="E46" s="35">
        <f t="shared" si="0"/>
        <v>46.383647798742132</v>
      </c>
      <c r="F46" s="61"/>
      <c r="G46" s="50"/>
      <c r="H46" s="51"/>
      <c r="I46" s="51"/>
      <c r="J46" s="56"/>
      <c r="K46" s="57"/>
      <c r="L46" s="55"/>
    </row>
    <row r="47" spans="1:12" x14ac:dyDescent="0.25">
      <c r="A47" s="55"/>
      <c r="B47" s="4" t="s">
        <v>221</v>
      </c>
      <c r="C47" s="29">
        <f>1116-70</f>
        <v>1046</v>
      </c>
      <c r="D47" s="5">
        <v>435</v>
      </c>
      <c r="E47" s="35">
        <f t="shared" si="0"/>
        <v>58.413001912045878</v>
      </c>
      <c r="F47" s="61"/>
      <c r="G47" s="50"/>
      <c r="H47" s="51"/>
      <c r="I47" s="51"/>
      <c r="J47" s="56"/>
      <c r="K47" s="57"/>
      <c r="L47" s="55"/>
    </row>
    <row r="48" spans="1:12" x14ac:dyDescent="0.25">
      <c r="A48" s="55"/>
      <c r="B48" s="8" t="s">
        <v>222</v>
      </c>
      <c r="C48" s="27">
        <f>3209-71</f>
        <v>3138</v>
      </c>
      <c r="D48" s="9">
        <v>620</v>
      </c>
      <c r="E48" s="13">
        <f t="shared" si="0"/>
        <v>80.24219247928616</v>
      </c>
      <c r="F48" s="54" t="s">
        <v>340</v>
      </c>
      <c r="G48" s="50">
        <v>41788</v>
      </c>
      <c r="H48" s="51">
        <f>AVERAGE(D48:D51)</f>
        <v>755</v>
      </c>
      <c r="I48" s="51">
        <f>STDEV(D48:D51)</f>
        <v>175.94317264389659</v>
      </c>
      <c r="J48" s="51">
        <f>AVERAGE(E48:E51)</f>
        <v>77.946769740943466</v>
      </c>
      <c r="K48" s="52">
        <f>STDEV(E48:E51)</f>
        <v>2.4013009349480172</v>
      </c>
      <c r="L48" s="55" t="s">
        <v>331</v>
      </c>
    </row>
    <row r="49" spans="1:12" x14ac:dyDescent="0.25">
      <c r="A49" s="55"/>
      <c r="B49" s="8" t="s">
        <v>223</v>
      </c>
      <c r="C49" s="27">
        <f>2717-71</f>
        <v>2646</v>
      </c>
      <c r="D49" s="9">
        <v>670</v>
      </c>
      <c r="E49" s="13">
        <f t="shared" si="0"/>
        <v>74.678760393046105</v>
      </c>
      <c r="F49" s="54"/>
      <c r="G49" s="50"/>
      <c r="H49" s="51"/>
      <c r="I49" s="51"/>
      <c r="J49" s="51"/>
      <c r="K49" s="52"/>
      <c r="L49" s="55"/>
    </row>
    <row r="50" spans="1:12" x14ac:dyDescent="0.25">
      <c r="A50" s="55"/>
      <c r="B50" s="8" t="s">
        <v>224</v>
      </c>
      <c r="C50" s="27">
        <f>3301-71</f>
        <v>3230</v>
      </c>
      <c r="D50" s="9">
        <v>718</v>
      </c>
      <c r="E50" s="13">
        <f t="shared" si="0"/>
        <v>77.77089783281734</v>
      </c>
      <c r="F50" s="54"/>
      <c r="G50" s="50"/>
      <c r="H50" s="51"/>
      <c r="I50" s="51"/>
      <c r="J50" s="51"/>
      <c r="K50" s="52"/>
      <c r="L50" s="55"/>
    </row>
    <row r="51" spans="1:12" x14ac:dyDescent="0.25">
      <c r="A51" s="55"/>
      <c r="B51" s="8" t="s">
        <v>225</v>
      </c>
      <c r="C51" s="27">
        <f>4912-71</f>
        <v>4841</v>
      </c>
      <c r="D51" s="9">
        <v>1012</v>
      </c>
      <c r="E51" s="13">
        <f t="shared" si="0"/>
        <v>79.095228258624246</v>
      </c>
      <c r="F51" s="54"/>
      <c r="G51" s="50"/>
      <c r="H51" s="51"/>
      <c r="I51" s="51"/>
      <c r="J51" s="51"/>
      <c r="K51" s="52"/>
      <c r="L51" s="55"/>
    </row>
    <row r="52" spans="1:12" x14ac:dyDescent="0.25">
      <c r="A52" s="55"/>
      <c r="B52" s="4" t="s">
        <v>226</v>
      </c>
      <c r="C52" s="5">
        <v>2659</v>
      </c>
      <c r="D52" s="5">
        <v>892</v>
      </c>
      <c r="E52" s="14">
        <f t="shared" si="0"/>
        <v>66.453553967657015</v>
      </c>
      <c r="G52" s="50">
        <v>41801</v>
      </c>
      <c r="H52" s="51">
        <f>AVERAGE(D52:D55)</f>
        <v>843.75</v>
      </c>
      <c r="I52" s="51">
        <f>STDEV(D52:D55)</f>
        <v>76.634957210575038</v>
      </c>
      <c r="J52" s="51">
        <f>AVERAGE(E52:E55)</f>
        <v>67.551416062311844</v>
      </c>
      <c r="K52" s="52">
        <f>STDEV(E52:E55)</f>
        <v>2.1494529474585424</v>
      </c>
      <c r="L52" s="55" t="s">
        <v>331</v>
      </c>
    </row>
    <row r="53" spans="1:12" x14ac:dyDescent="0.25">
      <c r="A53" s="55"/>
      <c r="B53" s="4" t="s">
        <v>227</v>
      </c>
      <c r="C53" s="5">
        <v>2250</v>
      </c>
      <c r="D53" s="5">
        <v>759</v>
      </c>
      <c r="E53" s="14">
        <f t="shared" si="0"/>
        <v>66.26666666666668</v>
      </c>
      <c r="G53" s="50"/>
      <c r="H53" s="51"/>
      <c r="I53" s="51"/>
      <c r="J53" s="51"/>
      <c r="K53" s="52"/>
      <c r="L53" s="55"/>
    </row>
    <row r="54" spans="1:12" x14ac:dyDescent="0.25">
      <c r="A54" s="55"/>
      <c r="B54" s="4" t="s">
        <v>228</v>
      </c>
      <c r="C54" s="5">
        <v>2407</v>
      </c>
      <c r="D54" s="5">
        <v>801</v>
      </c>
      <c r="E54" s="14">
        <f t="shared" si="0"/>
        <v>66.722060656418776</v>
      </c>
      <c r="G54" s="50"/>
      <c r="H54" s="51"/>
      <c r="I54" s="51"/>
      <c r="J54" s="51"/>
      <c r="K54" s="52"/>
      <c r="L54" s="55"/>
    </row>
    <row r="55" spans="1:12" x14ac:dyDescent="0.25">
      <c r="A55" s="55"/>
      <c r="B55" s="4" t="s">
        <v>229</v>
      </c>
      <c r="C55" s="5">
        <v>3157</v>
      </c>
      <c r="D55" s="5">
        <v>923</v>
      </c>
      <c r="E55" s="14">
        <f t="shared" si="0"/>
        <v>70.763382958504906</v>
      </c>
      <c r="G55" s="50"/>
      <c r="H55" s="51"/>
      <c r="I55" s="51"/>
      <c r="J55" s="51"/>
      <c r="K55" s="52"/>
      <c r="L55" s="55"/>
    </row>
    <row r="56" spans="1:12" x14ac:dyDescent="0.25">
      <c r="A56" s="55"/>
      <c r="B56" s="8" t="s">
        <v>230</v>
      </c>
      <c r="C56" s="27">
        <f>3191-70</f>
        <v>3121</v>
      </c>
      <c r="D56" s="9">
        <v>1228</v>
      </c>
      <c r="E56" s="13">
        <f t="shared" si="0"/>
        <v>60.653636654918294</v>
      </c>
      <c r="F56" s="54" t="s">
        <v>339</v>
      </c>
      <c r="G56" s="50">
        <v>41815</v>
      </c>
      <c r="H56" s="51">
        <f>AVERAGE(D56:D59)</f>
        <v>1273.5</v>
      </c>
      <c r="I56" s="51">
        <f>STDEV(D56:D59)</f>
        <v>249.64841944889884</v>
      </c>
      <c r="J56" s="51">
        <f>AVERAGE(E56:E59)</f>
        <v>62.098774999155175</v>
      </c>
      <c r="K56" s="52">
        <f>STDEV(E56:E59)</f>
        <v>2.8285013562715622</v>
      </c>
      <c r="L56" s="55" t="s">
        <v>331</v>
      </c>
    </row>
    <row r="57" spans="1:12" x14ac:dyDescent="0.25">
      <c r="A57" s="55"/>
      <c r="B57" s="8" t="s">
        <v>231</v>
      </c>
      <c r="C57" s="27">
        <f>2848-70</f>
        <v>2778</v>
      </c>
      <c r="D57" s="9">
        <v>1106</v>
      </c>
      <c r="E57" s="13">
        <f t="shared" si="0"/>
        <v>60.187185025197984</v>
      </c>
      <c r="F57" s="54"/>
      <c r="G57" s="50"/>
      <c r="H57" s="51"/>
      <c r="I57" s="51"/>
      <c r="J57" s="51"/>
      <c r="K57" s="52"/>
      <c r="L57" s="55"/>
    </row>
    <row r="58" spans="1:12" x14ac:dyDescent="0.25">
      <c r="A58" s="55"/>
      <c r="B58" s="8" t="s">
        <v>232</v>
      </c>
      <c r="C58" s="27">
        <f>2964-70</f>
        <v>2894</v>
      </c>
      <c r="D58" s="9">
        <v>1121</v>
      </c>
      <c r="E58" s="13">
        <f t="shared" si="0"/>
        <v>61.264685556323428</v>
      </c>
      <c r="F58" s="54"/>
      <c r="G58" s="50"/>
      <c r="H58" s="51"/>
      <c r="I58" s="51"/>
      <c r="J58" s="51"/>
      <c r="K58" s="52"/>
      <c r="L58" s="55"/>
    </row>
    <row r="59" spans="1:12" x14ac:dyDescent="0.25">
      <c r="A59" s="55"/>
      <c r="B59" s="8" t="s">
        <v>233</v>
      </c>
      <c r="C59" s="27">
        <f>4932-70</f>
        <v>4862</v>
      </c>
      <c r="D59" s="9">
        <v>1639</v>
      </c>
      <c r="E59" s="13">
        <f t="shared" si="0"/>
        <v>66.289592760180994</v>
      </c>
      <c r="F59" s="54"/>
      <c r="G59" s="50"/>
      <c r="H59" s="51"/>
      <c r="I59" s="51"/>
      <c r="J59" s="51"/>
      <c r="K59" s="52"/>
      <c r="L59" s="55"/>
    </row>
    <row r="60" spans="1:12" x14ac:dyDescent="0.25">
      <c r="A60" s="55"/>
      <c r="B60" s="4" t="s">
        <v>234</v>
      </c>
      <c r="C60" s="29">
        <f>1783-70</f>
        <v>1713</v>
      </c>
      <c r="D60" s="5">
        <v>1374</v>
      </c>
      <c r="E60" s="14">
        <f t="shared" si="0"/>
        <v>19.789842381786336</v>
      </c>
      <c r="F60" s="54" t="s">
        <v>339</v>
      </c>
      <c r="G60" s="50">
        <v>41836</v>
      </c>
      <c r="H60" s="51">
        <f>AVERAGE(D60:D63)</f>
        <v>1586.75</v>
      </c>
      <c r="I60" s="51">
        <f>STDEV(D60:D63)</f>
        <v>267.37660705454397</v>
      </c>
      <c r="J60" s="51">
        <f>AVERAGE(E60:E63)</f>
        <v>28.927907681943609</v>
      </c>
      <c r="K60" s="52">
        <f>STDEV(E60:E63)</f>
        <v>8.5586656396020118</v>
      </c>
      <c r="L60" s="55" t="s">
        <v>331</v>
      </c>
    </row>
    <row r="61" spans="1:12" x14ac:dyDescent="0.25">
      <c r="A61" s="55"/>
      <c r="B61" s="4" t="s">
        <v>235</v>
      </c>
      <c r="C61" s="29">
        <f>2004-70</f>
        <v>1934</v>
      </c>
      <c r="D61" s="5">
        <v>1433</v>
      </c>
      <c r="E61" s="14">
        <f t="shared" si="0"/>
        <v>25.904860392967944</v>
      </c>
      <c r="F61" s="54"/>
      <c r="G61" s="50"/>
      <c r="H61" s="51"/>
      <c r="I61" s="51"/>
      <c r="J61" s="51"/>
      <c r="K61" s="52"/>
      <c r="L61" s="55"/>
    </row>
    <row r="62" spans="1:12" x14ac:dyDescent="0.25">
      <c r="A62" s="55"/>
      <c r="B62" s="4" t="s">
        <v>236</v>
      </c>
      <c r="C62" s="29">
        <f>2311-70</f>
        <v>2241</v>
      </c>
      <c r="D62" s="5">
        <v>1572</v>
      </c>
      <c r="E62" s="14">
        <f t="shared" si="0"/>
        <v>29.852744310575641</v>
      </c>
      <c r="F62" s="54"/>
      <c r="G62" s="50"/>
      <c r="H62" s="51"/>
      <c r="I62" s="51"/>
      <c r="J62" s="51"/>
      <c r="K62" s="52"/>
      <c r="L62" s="55"/>
    </row>
    <row r="63" spans="1:12" x14ac:dyDescent="0.25">
      <c r="A63" s="55"/>
      <c r="B63" s="4" t="s">
        <v>237</v>
      </c>
      <c r="C63" s="29">
        <f>3359-70</f>
        <v>3289</v>
      </c>
      <c r="D63" s="5">
        <v>1968</v>
      </c>
      <c r="E63" s="14">
        <f t="shared" si="0"/>
        <v>40.16418364244452</v>
      </c>
      <c r="F63" s="54"/>
      <c r="G63" s="50"/>
      <c r="H63" s="51"/>
      <c r="I63" s="51"/>
      <c r="J63" s="51"/>
      <c r="K63" s="52"/>
      <c r="L63" s="55"/>
    </row>
    <row r="64" spans="1:12" ht="15" customHeight="1" x14ac:dyDescent="0.25">
      <c r="A64" s="55"/>
      <c r="B64" s="8" t="s">
        <v>278</v>
      </c>
      <c r="C64" s="27">
        <f>1234-70</f>
        <v>1164</v>
      </c>
      <c r="D64" s="9" t="s">
        <v>20</v>
      </c>
      <c r="E64" s="13" t="str">
        <f t="shared" si="0"/>
        <v>-</v>
      </c>
      <c r="F64" s="54" t="s">
        <v>339</v>
      </c>
      <c r="G64" s="50">
        <v>41853</v>
      </c>
      <c r="H64" s="51">
        <f>AVERAGE(D64:D71)</f>
        <v>1309.5</v>
      </c>
      <c r="I64" s="51">
        <f>STDEV(D64:D71)</f>
        <v>319.38012879117366</v>
      </c>
      <c r="J64" s="51">
        <f>AVERAGE(E64:E71)</f>
        <v>4.288555960866125</v>
      </c>
      <c r="K64" s="52">
        <f>STDEV(E64:E71)</f>
        <v>1.2285156882971453</v>
      </c>
      <c r="L64" s="62" t="s">
        <v>331</v>
      </c>
    </row>
    <row r="65" spans="1:12" x14ac:dyDescent="0.25">
      <c r="A65" s="55"/>
      <c r="B65" s="8" t="s">
        <v>279</v>
      </c>
      <c r="C65" s="27">
        <f>1142-70</f>
        <v>1072</v>
      </c>
      <c r="D65" s="9" t="s">
        <v>20</v>
      </c>
      <c r="E65" s="13" t="str">
        <f t="shared" si="0"/>
        <v>-</v>
      </c>
      <c r="F65" s="54"/>
      <c r="G65" s="50"/>
      <c r="H65" s="51"/>
      <c r="I65" s="51"/>
      <c r="J65" s="51"/>
      <c r="K65" s="52"/>
      <c r="L65" s="62"/>
    </row>
    <row r="66" spans="1:12" x14ac:dyDescent="0.25">
      <c r="A66" s="55"/>
      <c r="B66" s="8" t="s">
        <v>280</v>
      </c>
      <c r="C66" s="27">
        <f>1770-70</f>
        <v>1700</v>
      </c>
      <c r="D66" s="9" t="s">
        <v>20</v>
      </c>
      <c r="E66" s="13" t="str">
        <f t="shared" si="0"/>
        <v>-</v>
      </c>
      <c r="F66" s="54"/>
      <c r="G66" s="50"/>
      <c r="H66" s="51"/>
      <c r="I66" s="51"/>
      <c r="J66" s="51"/>
      <c r="K66" s="52"/>
      <c r="L66" s="62"/>
    </row>
    <row r="67" spans="1:12" x14ac:dyDescent="0.25">
      <c r="A67" s="55"/>
      <c r="B67" s="8" t="s">
        <v>281</v>
      </c>
      <c r="C67" s="27">
        <f>1976-70</f>
        <v>1906</v>
      </c>
      <c r="D67" s="9" t="s">
        <v>20</v>
      </c>
      <c r="E67" s="13" t="str">
        <f t="shared" ref="E67:E107" si="4">IF(AND(ISNUMBER(C67),ISNUMBER(D67)), 100*(1-D67/C67), "-")</f>
        <v>-</v>
      </c>
      <c r="F67" s="54"/>
      <c r="G67" s="50"/>
      <c r="H67" s="51"/>
      <c r="I67" s="51"/>
      <c r="J67" s="51"/>
      <c r="K67" s="52"/>
      <c r="L67" s="62"/>
    </row>
    <row r="68" spans="1:12" ht="15" customHeight="1" x14ac:dyDescent="0.25">
      <c r="A68" s="55"/>
      <c r="B68" s="4" t="s">
        <v>274</v>
      </c>
      <c r="C68" s="29">
        <f>1046-70</f>
        <v>976</v>
      </c>
      <c r="D68" s="29">
        <f>1014-70</f>
        <v>944</v>
      </c>
      <c r="E68" s="14">
        <f t="shared" si="4"/>
        <v>3.2786885245901676</v>
      </c>
      <c r="F68" s="54" t="s">
        <v>341</v>
      </c>
      <c r="G68" s="50"/>
      <c r="H68" s="51"/>
      <c r="I68" s="51"/>
      <c r="J68" s="51"/>
      <c r="K68" s="52"/>
      <c r="L68" s="62"/>
    </row>
    <row r="69" spans="1:12" x14ac:dyDescent="0.25">
      <c r="A69" s="55"/>
      <c r="B69" s="4" t="s">
        <v>275</v>
      </c>
      <c r="C69" s="29">
        <f>1251-70</f>
        <v>1181</v>
      </c>
      <c r="D69" s="29">
        <f>1210-70</f>
        <v>1140</v>
      </c>
      <c r="E69" s="14">
        <f t="shared" si="4"/>
        <v>3.4716342082980578</v>
      </c>
      <c r="F69" s="54"/>
      <c r="G69" s="50"/>
      <c r="H69" s="51"/>
      <c r="I69" s="51"/>
      <c r="J69" s="51"/>
      <c r="K69" s="52"/>
      <c r="L69" s="62"/>
    </row>
    <row r="70" spans="1:12" x14ac:dyDescent="0.25">
      <c r="A70" s="55"/>
      <c r="B70" s="4" t="s">
        <v>276</v>
      </c>
      <c r="C70" s="29">
        <f>1738-70</f>
        <v>1668</v>
      </c>
      <c r="D70" s="29">
        <f>1664-70</f>
        <v>1594</v>
      </c>
      <c r="E70" s="14">
        <f t="shared" si="4"/>
        <v>4.4364508393285318</v>
      </c>
      <c r="F70" s="54"/>
      <c r="G70" s="50"/>
      <c r="H70" s="51"/>
      <c r="I70" s="51"/>
      <c r="J70" s="51"/>
      <c r="K70" s="52"/>
      <c r="L70" s="62"/>
    </row>
    <row r="71" spans="1:12" x14ac:dyDescent="0.25">
      <c r="A71" s="55"/>
      <c r="B71" s="4" t="s">
        <v>277</v>
      </c>
      <c r="C71" s="29">
        <f>1729-70</f>
        <v>1659</v>
      </c>
      <c r="D71" s="29">
        <f>1630-70</f>
        <v>1560</v>
      </c>
      <c r="E71" s="14">
        <f t="shared" si="4"/>
        <v>5.9674502712477429</v>
      </c>
      <c r="F71" s="54"/>
      <c r="G71" s="50"/>
      <c r="H71" s="51"/>
      <c r="I71" s="51"/>
      <c r="J71" s="51"/>
      <c r="K71" s="52"/>
      <c r="L71" s="62"/>
    </row>
    <row r="72" spans="1:12" x14ac:dyDescent="0.25">
      <c r="A72" s="55"/>
      <c r="B72" s="8" t="s">
        <v>342</v>
      </c>
      <c r="C72" s="9" t="s">
        <v>20</v>
      </c>
      <c r="D72" s="9">
        <v>498.8</v>
      </c>
      <c r="E72" s="13" t="str">
        <f t="shared" si="4"/>
        <v>-</v>
      </c>
      <c r="F72" s="61" t="s">
        <v>350</v>
      </c>
      <c r="G72" s="50">
        <v>41853</v>
      </c>
      <c r="H72" s="51">
        <f>AVERAGE(D72:D79)</f>
        <v>629.96374999999989</v>
      </c>
      <c r="I72" s="51">
        <f>STDEV(D72:D79)</f>
        <v>144.56779713906911</v>
      </c>
      <c r="J72" s="51" t="s">
        <v>320</v>
      </c>
      <c r="K72" s="52" t="s">
        <v>320</v>
      </c>
      <c r="L72" s="55" t="s">
        <v>327</v>
      </c>
    </row>
    <row r="73" spans="1:12" x14ac:dyDescent="0.25">
      <c r="A73" s="55"/>
      <c r="B73" s="8" t="s">
        <v>343</v>
      </c>
      <c r="C73" s="9" t="s">
        <v>20</v>
      </c>
      <c r="D73" s="9">
        <v>519.49</v>
      </c>
      <c r="E73" s="13" t="str">
        <f t="shared" si="4"/>
        <v>-</v>
      </c>
      <c r="F73" s="61"/>
      <c r="G73" s="50"/>
      <c r="H73" s="51"/>
      <c r="I73" s="51"/>
      <c r="J73" s="51"/>
      <c r="K73" s="52"/>
      <c r="L73" s="55"/>
    </row>
    <row r="74" spans="1:12" x14ac:dyDescent="0.25">
      <c r="A74" s="55"/>
      <c r="B74" s="8" t="s">
        <v>344</v>
      </c>
      <c r="C74" s="9" t="s">
        <v>20</v>
      </c>
      <c r="D74" s="9">
        <v>806.93</v>
      </c>
      <c r="E74" s="13" t="str">
        <f t="shared" si="4"/>
        <v>-</v>
      </c>
      <c r="F74" s="61"/>
      <c r="G74" s="50"/>
      <c r="H74" s="51"/>
      <c r="I74" s="51"/>
      <c r="J74" s="51"/>
      <c r="K74" s="52"/>
      <c r="L74" s="55"/>
    </row>
    <row r="75" spans="1:12" x14ac:dyDescent="0.25">
      <c r="A75" s="55"/>
      <c r="B75" s="8" t="s">
        <v>345</v>
      </c>
      <c r="C75" s="9" t="s">
        <v>20</v>
      </c>
      <c r="D75" s="9">
        <v>777.95</v>
      </c>
      <c r="E75" s="13" t="str">
        <f t="shared" si="4"/>
        <v>-</v>
      </c>
      <c r="F75" s="61"/>
      <c r="G75" s="50"/>
      <c r="H75" s="51"/>
      <c r="I75" s="51"/>
      <c r="J75" s="51"/>
      <c r="K75" s="52"/>
      <c r="L75" s="55"/>
    </row>
    <row r="76" spans="1:12" x14ac:dyDescent="0.25">
      <c r="A76" s="55"/>
      <c r="B76" s="4" t="s">
        <v>346</v>
      </c>
      <c r="C76" s="5" t="s">
        <v>20</v>
      </c>
      <c r="D76" s="5">
        <v>419.02</v>
      </c>
      <c r="E76" s="14" t="str">
        <f t="shared" si="4"/>
        <v>-</v>
      </c>
      <c r="F76" s="61"/>
      <c r="G76" s="50"/>
      <c r="H76" s="51"/>
      <c r="I76" s="51"/>
      <c r="J76" s="51"/>
      <c r="K76" s="52"/>
      <c r="L76" s="55"/>
    </row>
    <row r="77" spans="1:12" x14ac:dyDescent="0.25">
      <c r="A77" s="55"/>
      <c r="B77" s="4" t="s">
        <v>347</v>
      </c>
      <c r="C77" s="5" t="s">
        <v>20</v>
      </c>
      <c r="D77" s="5">
        <v>583.72</v>
      </c>
      <c r="E77" s="14" t="str">
        <f t="shared" si="4"/>
        <v>-</v>
      </c>
      <c r="F77" s="61"/>
      <c r="G77" s="50"/>
      <c r="H77" s="51"/>
      <c r="I77" s="51"/>
      <c r="J77" s="51"/>
      <c r="K77" s="52"/>
      <c r="L77" s="55"/>
    </row>
    <row r="78" spans="1:12" x14ac:dyDescent="0.25">
      <c r="A78" s="55"/>
      <c r="B78" s="4" t="s">
        <v>348</v>
      </c>
      <c r="C78" s="5" t="s">
        <v>20</v>
      </c>
      <c r="D78" s="5">
        <v>747.9</v>
      </c>
      <c r="E78" s="14" t="str">
        <f t="shared" si="4"/>
        <v>-</v>
      </c>
      <c r="F78" s="61"/>
      <c r="G78" s="50"/>
      <c r="H78" s="51"/>
      <c r="I78" s="51"/>
      <c r="J78" s="51"/>
      <c r="K78" s="52"/>
      <c r="L78" s="55"/>
    </row>
    <row r="79" spans="1:12" x14ac:dyDescent="0.25">
      <c r="A79" s="55"/>
      <c r="B79" s="4" t="s">
        <v>349</v>
      </c>
      <c r="C79" s="5" t="s">
        <v>20</v>
      </c>
      <c r="D79" s="5">
        <v>685.9</v>
      </c>
      <c r="E79" s="14" t="str">
        <f t="shared" si="4"/>
        <v>-</v>
      </c>
      <c r="F79" s="61"/>
      <c r="G79" s="50"/>
      <c r="H79" s="51"/>
      <c r="I79" s="51"/>
      <c r="J79" s="51"/>
      <c r="K79" s="52"/>
      <c r="L79" s="55"/>
    </row>
    <row r="80" spans="1:12" x14ac:dyDescent="0.25">
      <c r="A80" s="53">
        <v>2015</v>
      </c>
      <c r="B80" t="s">
        <v>238</v>
      </c>
      <c r="C80" s="1">
        <v>168</v>
      </c>
      <c r="D80" s="1">
        <v>24</v>
      </c>
      <c r="E80" s="13">
        <f t="shared" si="4"/>
        <v>85.714285714285722</v>
      </c>
      <c r="G80" s="50">
        <v>42142</v>
      </c>
      <c r="H80" s="51">
        <f>AVERAGE(D80:D83)</f>
        <v>14.25</v>
      </c>
      <c r="I80" s="51">
        <f>STDEV(D80:D83)</f>
        <v>6.7019897542943667</v>
      </c>
      <c r="J80" s="51">
        <f>AVERAGE(E80:E83)</f>
        <v>86.208375174384514</v>
      </c>
      <c r="K80" s="52">
        <f>STDEV(E80:E83)</f>
        <v>0.37049911072545161</v>
      </c>
      <c r="L80" s="55" t="s">
        <v>331</v>
      </c>
    </row>
    <row r="81" spans="1:12" x14ac:dyDescent="0.25">
      <c r="A81" s="53"/>
      <c r="B81" t="s">
        <v>239</v>
      </c>
      <c r="C81" s="1">
        <v>82</v>
      </c>
      <c r="D81" s="1">
        <v>11</v>
      </c>
      <c r="E81" s="13">
        <f t="shared" si="4"/>
        <v>86.58536585365853</v>
      </c>
      <c r="G81" s="50"/>
      <c r="H81" s="51"/>
      <c r="I81" s="51"/>
      <c r="J81" s="51"/>
      <c r="K81" s="52"/>
      <c r="L81" s="55"/>
    </row>
    <row r="82" spans="1:12" x14ac:dyDescent="0.25">
      <c r="A82" s="53"/>
      <c r="B82" t="s">
        <v>240</v>
      </c>
      <c r="C82" s="1">
        <v>66</v>
      </c>
      <c r="D82" s="1">
        <v>9</v>
      </c>
      <c r="E82" s="13">
        <f t="shared" si="4"/>
        <v>86.36363636363636</v>
      </c>
      <c r="G82" s="50"/>
      <c r="H82" s="51"/>
      <c r="I82" s="51"/>
      <c r="J82" s="51"/>
      <c r="K82" s="52"/>
      <c r="L82" s="55"/>
    </row>
    <row r="83" spans="1:12" x14ac:dyDescent="0.25">
      <c r="A83" s="53"/>
      <c r="B83" t="s">
        <v>241</v>
      </c>
      <c r="C83" s="1">
        <v>94</v>
      </c>
      <c r="D83" s="1">
        <v>13</v>
      </c>
      <c r="E83" s="13">
        <f t="shared" si="4"/>
        <v>86.170212765957444</v>
      </c>
      <c r="G83" s="50"/>
      <c r="H83" s="51"/>
      <c r="I83" s="51"/>
      <c r="J83" s="51"/>
      <c r="K83" s="52"/>
      <c r="L83" s="55"/>
    </row>
    <row r="84" spans="1:12" x14ac:dyDescent="0.25">
      <c r="A84" s="53"/>
      <c r="B84" s="4" t="s">
        <v>242</v>
      </c>
      <c r="C84" s="5">
        <v>2275</v>
      </c>
      <c r="D84" s="5">
        <v>259</v>
      </c>
      <c r="E84" s="14">
        <f t="shared" si="4"/>
        <v>88.615384615384613</v>
      </c>
      <c r="G84" s="50">
        <v>42156</v>
      </c>
      <c r="H84" s="51">
        <f>AVERAGE(D84:D87)</f>
        <v>169.5</v>
      </c>
      <c r="I84" s="51">
        <f>STDEV(D84:D87)</f>
        <v>63.206012372241929</v>
      </c>
      <c r="J84" s="51">
        <f>AVERAGE(E84:E87)</f>
        <v>88.501909465780457</v>
      </c>
      <c r="K84" s="52">
        <f>STDEV(E84:E87)</f>
        <v>0.28121055191929839</v>
      </c>
      <c r="L84" s="55" t="s">
        <v>331</v>
      </c>
    </row>
    <row r="85" spans="1:12" x14ac:dyDescent="0.25">
      <c r="A85" s="53"/>
      <c r="B85" s="4" t="s">
        <v>243</v>
      </c>
      <c r="C85" s="5">
        <v>1343</v>
      </c>
      <c r="D85" s="5">
        <v>160</v>
      </c>
      <c r="E85" s="14">
        <f t="shared" si="4"/>
        <v>88.086373790022336</v>
      </c>
      <c r="G85" s="50"/>
      <c r="H85" s="51"/>
      <c r="I85" s="51"/>
      <c r="J85" s="51"/>
      <c r="K85" s="52"/>
      <c r="L85" s="55"/>
    </row>
    <row r="86" spans="1:12" x14ac:dyDescent="0.25">
      <c r="A86" s="53"/>
      <c r="B86" s="4" t="s">
        <v>244</v>
      </c>
      <c r="C86" s="5">
        <v>983</v>
      </c>
      <c r="D86" s="5">
        <v>111</v>
      </c>
      <c r="E86" s="14">
        <f t="shared" si="4"/>
        <v>88.708036622583933</v>
      </c>
      <c r="G86" s="50"/>
      <c r="H86" s="51"/>
      <c r="I86" s="51"/>
      <c r="J86" s="51"/>
      <c r="K86" s="52"/>
      <c r="L86" s="55"/>
    </row>
    <row r="87" spans="1:12" x14ac:dyDescent="0.25">
      <c r="A87" s="53"/>
      <c r="B87" s="4" t="s">
        <v>245</v>
      </c>
      <c r="C87" s="5">
        <v>1298</v>
      </c>
      <c r="D87" s="5">
        <v>148</v>
      </c>
      <c r="E87" s="14">
        <f t="shared" si="4"/>
        <v>88.597842835130962</v>
      </c>
      <c r="G87" s="50"/>
      <c r="H87" s="51"/>
      <c r="I87" s="51"/>
      <c r="J87" s="51"/>
      <c r="K87" s="52"/>
      <c r="L87" s="55"/>
    </row>
    <row r="88" spans="1:12" x14ac:dyDescent="0.25">
      <c r="A88" s="53"/>
      <c r="B88" t="s">
        <v>246</v>
      </c>
      <c r="C88" s="1">
        <v>3086</v>
      </c>
      <c r="D88" s="1">
        <v>600</v>
      </c>
      <c r="E88" s="13">
        <f t="shared" si="4"/>
        <v>80.557355800388848</v>
      </c>
      <c r="G88" s="50">
        <v>42170</v>
      </c>
      <c r="H88" s="51">
        <f>AVERAGE(D88:D91)</f>
        <v>403.5</v>
      </c>
      <c r="I88" s="51">
        <f>STDEV(D88:D91)</f>
        <v>136.14330684980442</v>
      </c>
      <c r="J88" s="51">
        <f>AVERAGE(E88:E91)</f>
        <v>80.758160391740219</v>
      </c>
      <c r="K88" s="52">
        <f>STDEV(E88:E91)</f>
        <v>1.5876396568891222</v>
      </c>
      <c r="L88" s="55" t="s">
        <v>331</v>
      </c>
    </row>
    <row r="89" spans="1:12" x14ac:dyDescent="0.25">
      <c r="A89" s="53"/>
      <c r="B89" t="s">
        <v>247</v>
      </c>
      <c r="C89" s="1">
        <v>1934</v>
      </c>
      <c r="D89" s="1">
        <v>374</v>
      </c>
      <c r="E89" s="13">
        <f t="shared" si="4"/>
        <v>80.661840744570839</v>
      </c>
      <c r="G89" s="50"/>
      <c r="H89" s="51"/>
      <c r="I89" s="51"/>
      <c r="J89" s="51"/>
      <c r="K89" s="52"/>
      <c r="L89" s="55"/>
    </row>
    <row r="90" spans="1:12" x14ac:dyDescent="0.25">
      <c r="A90" s="53"/>
      <c r="B90" t="s">
        <v>248</v>
      </c>
      <c r="C90" s="1">
        <v>1365</v>
      </c>
      <c r="D90" s="1">
        <v>287</v>
      </c>
      <c r="E90" s="13">
        <f t="shared" si="4"/>
        <v>78.974358974358978</v>
      </c>
      <c r="G90" s="50"/>
      <c r="H90" s="51"/>
      <c r="I90" s="51"/>
      <c r="J90" s="51"/>
      <c r="K90" s="52"/>
      <c r="L90" s="55"/>
    </row>
    <row r="91" spans="1:12" x14ac:dyDescent="0.25">
      <c r="A91" s="53"/>
      <c r="B91" t="s">
        <v>249</v>
      </c>
      <c r="C91" s="1">
        <v>2057</v>
      </c>
      <c r="D91" s="1">
        <v>353</v>
      </c>
      <c r="E91" s="13">
        <f t="shared" si="4"/>
        <v>82.839086047642198</v>
      </c>
      <c r="G91" s="50"/>
      <c r="H91" s="51"/>
      <c r="I91" s="51"/>
      <c r="J91" s="51"/>
      <c r="K91" s="52"/>
      <c r="L91" s="55"/>
    </row>
    <row r="92" spans="1:12" x14ac:dyDescent="0.25">
      <c r="A92" s="53"/>
      <c r="B92" s="4" t="s">
        <v>250</v>
      </c>
      <c r="C92" s="5">
        <v>2176</v>
      </c>
      <c r="D92" s="5">
        <v>560</v>
      </c>
      <c r="E92" s="14">
        <f t="shared" si="4"/>
        <v>74.264705882352942</v>
      </c>
      <c r="G92" s="50">
        <v>42184</v>
      </c>
      <c r="H92" s="51">
        <f>AVERAGE(D92:D95)</f>
        <v>580.5</v>
      </c>
      <c r="I92" s="51">
        <f>STDEV(D92:D95)</f>
        <v>152.83433296656</v>
      </c>
      <c r="J92" s="51">
        <f>AVERAGE(E92:E95)</f>
        <v>77.076619881982026</v>
      </c>
      <c r="K92" s="52">
        <f>STDEV(E92:E95)</f>
        <v>3.5458403615785818</v>
      </c>
      <c r="L92" s="55" t="s">
        <v>331</v>
      </c>
    </row>
    <row r="93" spans="1:12" x14ac:dyDescent="0.25">
      <c r="A93" s="53"/>
      <c r="B93" s="4" t="s">
        <v>251</v>
      </c>
      <c r="C93" s="5">
        <v>1900</v>
      </c>
      <c r="D93" s="5">
        <v>494</v>
      </c>
      <c r="E93" s="14">
        <f t="shared" si="4"/>
        <v>74</v>
      </c>
      <c r="G93" s="50"/>
      <c r="H93" s="51"/>
      <c r="I93" s="51"/>
      <c r="J93" s="51"/>
      <c r="K93" s="52"/>
      <c r="L93" s="55"/>
    </row>
    <row r="94" spans="1:12" x14ac:dyDescent="0.25">
      <c r="A94" s="53"/>
      <c r="B94" s="4" t="s">
        <v>252</v>
      </c>
      <c r="C94" s="5">
        <v>2485</v>
      </c>
      <c r="D94" s="5">
        <v>466</v>
      </c>
      <c r="E94" s="14">
        <f t="shared" si="4"/>
        <v>81.247484909456745</v>
      </c>
      <c r="G94" s="50"/>
      <c r="H94" s="51"/>
      <c r="I94" s="51"/>
      <c r="J94" s="51"/>
      <c r="K94" s="52"/>
      <c r="L94" s="55"/>
    </row>
    <row r="95" spans="1:12" x14ac:dyDescent="0.25">
      <c r="A95" s="53"/>
      <c r="B95" s="4" t="s">
        <v>253</v>
      </c>
      <c r="C95" s="5">
        <v>3782</v>
      </c>
      <c r="D95" s="5">
        <v>802</v>
      </c>
      <c r="E95" s="14">
        <f t="shared" si="4"/>
        <v>78.79428873611846</v>
      </c>
      <c r="G95" s="50"/>
      <c r="H95" s="51"/>
      <c r="I95" s="51"/>
      <c r="J95" s="51"/>
      <c r="K95" s="52"/>
      <c r="L95" s="55"/>
    </row>
    <row r="96" spans="1:12" x14ac:dyDescent="0.25">
      <c r="A96" s="53"/>
      <c r="B96" t="s">
        <v>254</v>
      </c>
      <c r="C96" s="1">
        <v>1570</v>
      </c>
      <c r="D96" s="1">
        <v>752</v>
      </c>
      <c r="E96" s="13">
        <f t="shared" si="4"/>
        <v>52.101910828025474</v>
      </c>
      <c r="G96" s="50">
        <v>42198</v>
      </c>
      <c r="H96" s="51">
        <f>AVERAGE(D96:D99)</f>
        <v>711.75</v>
      </c>
      <c r="I96" s="51">
        <f>STDEV(D96:D99)</f>
        <v>156.66817375161639</v>
      </c>
      <c r="J96" s="51">
        <f>AVERAGE(E96:E99)</f>
        <v>58.973433367008994</v>
      </c>
      <c r="K96" s="52">
        <f>STDEV(E96:E99)</f>
        <v>8.5443793017168179</v>
      </c>
      <c r="L96" s="55" t="s">
        <v>331</v>
      </c>
    </row>
    <row r="97" spans="1:12" x14ac:dyDescent="0.25">
      <c r="A97" s="53"/>
      <c r="B97" t="s">
        <v>255</v>
      </c>
      <c r="C97" s="1">
        <v>1290</v>
      </c>
      <c r="D97" s="1">
        <v>613</v>
      </c>
      <c r="E97" s="13">
        <f t="shared" si="4"/>
        <v>52.480620155038757</v>
      </c>
      <c r="G97" s="50"/>
      <c r="H97" s="51"/>
      <c r="I97" s="51"/>
      <c r="J97" s="51"/>
      <c r="K97" s="52"/>
      <c r="L97" s="55"/>
    </row>
    <row r="98" spans="1:12" x14ac:dyDescent="0.25">
      <c r="A98" s="53"/>
      <c r="B98" t="s">
        <v>256</v>
      </c>
      <c r="C98" s="1">
        <v>1460</v>
      </c>
      <c r="D98" s="1">
        <v>567</v>
      </c>
      <c r="E98" s="13">
        <f t="shared" si="4"/>
        <v>61.164383561643845</v>
      </c>
      <c r="G98" s="50"/>
      <c r="H98" s="51"/>
      <c r="I98" s="51"/>
      <c r="J98" s="51"/>
      <c r="K98" s="52"/>
      <c r="L98" s="55"/>
    </row>
    <row r="99" spans="1:12" x14ac:dyDescent="0.25">
      <c r="A99" s="53"/>
      <c r="B99" t="s">
        <v>257</v>
      </c>
      <c r="C99" s="1">
        <v>3065</v>
      </c>
      <c r="D99" s="1">
        <v>915</v>
      </c>
      <c r="E99" s="13">
        <f t="shared" si="4"/>
        <v>70.146818923327899</v>
      </c>
      <c r="G99" s="50"/>
      <c r="H99" s="51"/>
      <c r="I99" s="51"/>
      <c r="J99" s="51"/>
      <c r="K99" s="52"/>
      <c r="L99" s="55"/>
    </row>
    <row r="100" spans="1:12" x14ac:dyDescent="0.25">
      <c r="A100" s="53"/>
      <c r="B100" s="4" t="s">
        <v>258</v>
      </c>
      <c r="C100" s="5" t="s">
        <v>20</v>
      </c>
      <c r="D100" s="5">
        <v>571</v>
      </c>
      <c r="E100" s="14" t="str">
        <f t="shared" si="4"/>
        <v>-</v>
      </c>
      <c r="F100" s="19" t="s">
        <v>329</v>
      </c>
      <c r="G100" s="50">
        <v>42212</v>
      </c>
      <c r="H100" s="51">
        <f>AVERAGE(D100:D103)</f>
        <v>560.5</v>
      </c>
      <c r="I100" s="51">
        <f>STDEV(D100:D103)</f>
        <v>9.0369611411506394</v>
      </c>
      <c r="J100" s="51" t="s">
        <v>320</v>
      </c>
      <c r="K100" s="52" t="s">
        <v>320</v>
      </c>
      <c r="L100" s="55" t="s">
        <v>331</v>
      </c>
    </row>
    <row r="101" spans="1:12" x14ac:dyDescent="0.25">
      <c r="A101" s="53"/>
      <c r="B101" s="4" t="s">
        <v>259</v>
      </c>
      <c r="C101" s="5" t="s">
        <v>20</v>
      </c>
      <c r="D101" s="5">
        <v>550</v>
      </c>
      <c r="E101" s="14" t="str">
        <f t="shared" si="4"/>
        <v>-</v>
      </c>
      <c r="G101" s="50"/>
      <c r="H101" s="51"/>
      <c r="I101" s="51"/>
      <c r="J101" s="51"/>
      <c r="K101" s="52"/>
      <c r="L101" s="55"/>
    </row>
    <row r="102" spans="1:12" x14ac:dyDescent="0.25">
      <c r="A102" s="53"/>
      <c r="B102" s="4" t="s">
        <v>260</v>
      </c>
      <c r="C102" s="5" t="s">
        <v>20</v>
      </c>
      <c r="D102" s="5">
        <v>557</v>
      </c>
      <c r="E102" s="14" t="str">
        <f t="shared" si="4"/>
        <v>-</v>
      </c>
      <c r="G102" s="50"/>
      <c r="H102" s="51"/>
      <c r="I102" s="51"/>
      <c r="J102" s="51"/>
      <c r="K102" s="52"/>
      <c r="L102" s="55"/>
    </row>
    <row r="103" spans="1:12" x14ac:dyDescent="0.25">
      <c r="A103" s="53"/>
      <c r="B103" s="4" t="s">
        <v>261</v>
      </c>
      <c r="C103" s="5" t="s">
        <v>20</v>
      </c>
      <c r="D103" s="5">
        <v>564</v>
      </c>
      <c r="E103" s="14" t="str">
        <f t="shared" si="4"/>
        <v>-</v>
      </c>
      <c r="G103" s="50"/>
      <c r="H103" s="51"/>
      <c r="I103" s="51"/>
      <c r="J103" s="51"/>
      <c r="K103" s="52"/>
      <c r="L103" s="55"/>
    </row>
    <row r="104" spans="1:12" x14ac:dyDescent="0.25">
      <c r="A104" s="53"/>
      <c r="B104" t="s">
        <v>262</v>
      </c>
      <c r="C104" s="32">
        <v>561</v>
      </c>
      <c r="D104" s="32">
        <v>637</v>
      </c>
      <c r="E104" s="33">
        <f t="shared" si="4"/>
        <v>-13.547237076648845</v>
      </c>
      <c r="F104" s="55" t="s">
        <v>394</v>
      </c>
      <c r="G104" s="50">
        <v>42226</v>
      </c>
      <c r="H104" s="56" t="s">
        <v>320</v>
      </c>
      <c r="I104" s="56" t="s">
        <v>320</v>
      </c>
      <c r="J104" s="56" t="s">
        <v>320</v>
      </c>
      <c r="K104" s="58" t="s">
        <v>320</v>
      </c>
      <c r="L104" s="55" t="s">
        <v>331</v>
      </c>
    </row>
    <row r="105" spans="1:12" x14ac:dyDescent="0.25">
      <c r="A105" s="53"/>
      <c r="B105" t="s">
        <v>263</v>
      </c>
      <c r="C105" s="32">
        <v>416</v>
      </c>
      <c r="D105" s="32">
        <v>484</v>
      </c>
      <c r="E105" s="33">
        <f t="shared" si="4"/>
        <v>-16.346153846153854</v>
      </c>
      <c r="F105" s="55"/>
      <c r="G105" s="50"/>
      <c r="H105" s="56"/>
      <c r="I105" s="56"/>
      <c r="J105" s="56"/>
      <c r="K105" s="58"/>
      <c r="L105" s="55"/>
    </row>
    <row r="106" spans="1:12" x14ac:dyDescent="0.25">
      <c r="A106" s="53"/>
      <c r="B106" t="s">
        <v>264</v>
      </c>
      <c r="C106" s="32">
        <v>588</v>
      </c>
      <c r="D106" s="32">
        <v>738</v>
      </c>
      <c r="E106" s="33">
        <f t="shared" si="4"/>
        <v>-25.510204081632647</v>
      </c>
      <c r="F106" s="55"/>
      <c r="G106" s="50"/>
      <c r="H106" s="56"/>
      <c r="I106" s="56"/>
      <c r="J106" s="56"/>
      <c r="K106" s="58"/>
      <c r="L106" s="55"/>
    </row>
    <row r="107" spans="1:12" x14ac:dyDescent="0.25">
      <c r="A107" s="53"/>
      <c r="B107" t="s">
        <v>265</v>
      </c>
      <c r="C107" s="32">
        <v>802</v>
      </c>
      <c r="D107" s="32">
        <v>998</v>
      </c>
      <c r="E107" s="33">
        <f t="shared" si="4"/>
        <v>-24.438902743142155</v>
      </c>
      <c r="F107" s="55"/>
      <c r="G107" s="50"/>
      <c r="H107" s="56"/>
      <c r="I107" s="56"/>
      <c r="J107" s="56"/>
      <c r="K107" s="58"/>
      <c r="L107" s="55"/>
    </row>
  </sheetData>
  <dataConsolidate/>
  <mergeCells count="161">
    <mergeCell ref="F104:F107"/>
    <mergeCell ref="H32:H39"/>
    <mergeCell ref="I32:I39"/>
    <mergeCell ref="J32:J39"/>
    <mergeCell ref="K32:K39"/>
    <mergeCell ref="L32:L39"/>
    <mergeCell ref="G32:G39"/>
    <mergeCell ref="F72:F79"/>
    <mergeCell ref="G72:G79"/>
    <mergeCell ref="H72:H79"/>
    <mergeCell ref="I72:I79"/>
    <mergeCell ref="J72:J79"/>
    <mergeCell ref="K72:K79"/>
    <mergeCell ref="L72:L79"/>
    <mergeCell ref="L80:L83"/>
    <mergeCell ref="L84:L87"/>
    <mergeCell ref="G80:G83"/>
    <mergeCell ref="H80:H83"/>
    <mergeCell ref="I80:I83"/>
    <mergeCell ref="J80:J83"/>
    <mergeCell ref="K80:K83"/>
    <mergeCell ref="L88:L91"/>
    <mergeCell ref="L92:L95"/>
    <mergeCell ref="L96:L99"/>
    <mergeCell ref="L100:L103"/>
    <mergeCell ref="L104:L107"/>
    <mergeCell ref="F18:F21"/>
    <mergeCell ref="G18:G21"/>
    <mergeCell ref="H18:H21"/>
    <mergeCell ref="I18:I21"/>
    <mergeCell ref="J18:J21"/>
    <mergeCell ref="K18:K21"/>
    <mergeCell ref="L18:L21"/>
    <mergeCell ref="G40:G43"/>
    <mergeCell ref="F44:F47"/>
    <mergeCell ref="F48:F51"/>
    <mergeCell ref="F60:F63"/>
    <mergeCell ref="G64:G71"/>
    <mergeCell ref="H64:H71"/>
    <mergeCell ref="I64:I71"/>
    <mergeCell ref="J64:J71"/>
    <mergeCell ref="K64:K71"/>
    <mergeCell ref="L64:L71"/>
    <mergeCell ref="L40:L43"/>
    <mergeCell ref="L44:L47"/>
    <mergeCell ref="L48:L51"/>
    <mergeCell ref="L52:L55"/>
    <mergeCell ref="L56:L59"/>
    <mergeCell ref="L60:L63"/>
    <mergeCell ref="L24:L27"/>
    <mergeCell ref="L22:L23"/>
    <mergeCell ref="L28:L31"/>
    <mergeCell ref="L2:L5"/>
    <mergeCell ref="L6:L9"/>
    <mergeCell ref="L10:L13"/>
    <mergeCell ref="L14:L17"/>
    <mergeCell ref="G22:G23"/>
    <mergeCell ref="H22:H23"/>
    <mergeCell ref="I22:I23"/>
    <mergeCell ref="J22:J23"/>
    <mergeCell ref="K22:K23"/>
    <mergeCell ref="G14:G17"/>
    <mergeCell ref="H14:H17"/>
    <mergeCell ref="I14:I17"/>
    <mergeCell ref="J14:J17"/>
    <mergeCell ref="K14:K17"/>
    <mergeCell ref="G10:G13"/>
    <mergeCell ref="H10:H13"/>
    <mergeCell ref="I10:I13"/>
    <mergeCell ref="J10:J13"/>
    <mergeCell ref="K10:K13"/>
    <mergeCell ref="G6:G9"/>
    <mergeCell ref="H6:H9"/>
    <mergeCell ref="I6:I9"/>
    <mergeCell ref="J6:J9"/>
    <mergeCell ref="K6:K9"/>
    <mergeCell ref="G104:G107"/>
    <mergeCell ref="H104:H107"/>
    <mergeCell ref="I104:I107"/>
    <mergeCell ref="J104:J107"/>
    <mergeCell ref="K104:K107"/>
    <mergeCell ref="G100:G103"/>
    <mergeCell ref="H100:H103"/>
    <mergeCell ref="I100:I103"/>
    <mergeCell ref="J100:J103"/>
    <mergeCell ref="K100:K103"/>
    <mergeCell ref="G96:G99"/>
    <mergeCell ref="H96:H99"/>
    <mergeCell ref="I96:I99"/>
    <mergeCell ref="J96:J99"/>
    <mergeCell ref="K96:K99"/>
    <mergeCell ref="G92:G95"/>
    <mergeCell ref="H92:H95"/>
    <mergeCell ref="I92:I95"/>
    <mergeCell ref="J92:J95"/>
    <mergeCell ref="K92:K95"/>
    <mergeCell ref="G88:G91"/>
    <mergeCell ref="H88:H91"/>
    <mergeCell ref="I88:I91"/>
    <mergeCell ref="J88:J91"/>
    <mergeCell ref="K88:K91"/>
    <mergeCell ref="G84:G87"/>
    <mergeCell ref="H84:H87"/>
    <mergeCell ref="I84:I87"/>
    <mergeCell ref="J84:J87"/>
    <mergeCell ref="K84:K87"/>
    <mergeCell ref="G60:G63"/>
    <mergeCell ref="H60:H63"/>
    <mergeCell ref="I60:I63"/>
    <mergeCell ref="J60:J63"/>
    <mergeCell ref="K60:K63"/>
    <mergeCell ref="G56:G59"/>
    <mergeCell ref="H56:H59"/>
    <mergeCell ref="I56:I59"/>
    <mergeCell ref="J56:J59"/>
    <mergeCell ref="K56:K59"/>
    <mergeCell ref="G52:G55"/>
    <mergeCell ref="H52:H55"/>
    <mergeCell ref="I52:I55"/>
    <mergeCell ref="J52:J55"/>
    <mergeCell ref="K52:K55"/>
    <mergeCell ref="G48:G51"/>
    <mergeCell ref="H48:H51"/>
    <mergeCell ref="I48:I51"/>
    <mergeCell ref="J48:J51"/>
    <mergeCell ref="K48:K51"/>
    <mergeCell ref="J24:J27"/>
    <mergeCell ref="K24:K27"/>
    <mergeCell ref="G44:G47"/>
    <mergeCell ref="H44:H47"/>
    <mergeCell ref="I44:I47"/>
    <mergeCell ref="J44:J47"/>
    <mergeCell ref="K44:K47"/>
    <mergeCell ref="H40:H43"/>
    <mergeCell ref="I40:I43"/>
    <mergeCell ref="J40:J43"/>
    <mergeCell ref="K40:K43"/>
    <mergeCell ref="G2:G5"/>
    <mergeCell ref="H2:H5"/>
    <mergeCell ref="I2:I5"/>
    <mergeCell ref="J2:J5"/>
    <mergeCell ref="K2:K5"/>
    <mergeCell ref="A80:A107"/>
    <mergeCell ref="F68:F71"/>
    <mergeCell ref="F64:F67"/>
    <mergeCell ref="A2:A23"/>
    <mergeCell ref="A24:A43"/>
    <mergeCell ref="F40:F43"/>
    <mergeCell ref="A44:A79"/>
    <mergeCell ref="F14:F17"/>
    <mergeCell ref="F22:F23"/>
    <mergeCell ref="F56:F59"/>
    <mergeCell ref="F32:F39"/>
    <mergeCell ref="G28:G31"/>
    <mergeCell ref="H28:H31"/>
    <mergeCell ref="I28:I31"/>
    <mergeCell ref="J28:J31"/>
    <mergeCell ref="K28:K31"/>
    <mergeCell ref="G24:G27"/>
    <mergeCell ref="H24:H27"/>
    <mergeCell ref="I24:I27"/>
  </mergeCells>
  <printOptions gridLines="1"/>
  <pageMargins left="0.25" right="0.25" top="0.75" bottom="0.75" header="0.3" footer="0.3"/>
  <pageSetup scale="66" fitToHeight="0" orientation="landscape" horizontalDpi="4294967293" verticalDpi="0" r:id="rId1"/>
  <headerFooter>
    <oddHeader>&amp;L&amp;F&amp;C&amp;A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3"/>
  <sheetViews>
    <sheetView workbookViewId="0">
      <pane ySplit="1" topLeftCell="A83" activePane="bottomLeft" state="frozen"/>
      <selection pane="bottomLeft" activeCell="F111" sqref="F111"/>
    </sheetView>
  </sheetViews>
  <sheetFormatPr defaultRowHeight="15" x14ac:dyDescent="0.25"/>
  <cols>
    <col min="1" max="1" width="8.7109375" style="1" customWidth="1"/>
    <col min="2" max="2" width="22.5703125" bestFit="1" customWidth="1"/>
    <col min="3" max="3" width="14.28515625" style="1" bestFit="1" customWidth="1"/>
    <col min="4" max="4" width="13.5703125" style="1" bestFit="1" customWidth="1"/>
    <col min="5" max="5" width="9.140625" style="7"/>
    <col min="6" max="6" width="30.7109375" customWidth="1"/>
    <col min="7" max="7" width="12.7109375" style="46" customWidth="1"/>
    <col min="8" max="8" width="22.5703125" style="22" bestFit="1" customWidth="1"/>
    <col min="9" max="9" width="22.140625" style="22" bestFit="1" customWidth="1"/>
    <col min="10" max="10" width="16.140625" style="22" bestFit="1" customWidth="1"/>
    <col min="11" max="11" width="15.7109375" style="22" bestFit="1" customWidth="1"/>
    <col min="12" max="12" width="12.42578125" style="19" bestFit="1" customWidth="1"/>
    <col min="13" max="13" width="11.42578125" bestFit="1" customWidth="1"/>
  </cols>
  <sheetData>
    <row r="1" spans="1:12" x14ac:dyDescent="0.25">
      <c r="A1" s="2" t="s">
        <v>0</v>
      </c>
      <c r="B1" s="3" t="s">
        <v>1</v>
      </c>
      <c r="C1" s="2" t="s">
        <v>2</v>
      </c>
      <c r="D1" s="2" t="s">
        <v>19</v>
      </c>
      <c r="E1" s="6" t="s">
        <v>61</v>
      </c>
      <c r="F1" s="2" t="s">
        <v>310</v>
      </c>
      <c r="G1" s="48" t="s">
        <v>333</v>
      </c>
      <c r="H1" s="12" t="s">
        <v>321</v>
      </c>
      <c r="I1" s="12" t="s">
        <v>322</v>
      </c>
      <c r="J1" s="12" t="s">
        <v>318</v>
      </c>
      <c r="K1" s="12" t="s">
        <v>319</v>
      </c>
      <c r="L1" s="12" t="s">
        <v>330</v>
      </c>
    </row>
    <row r="2" spans="1:12" x14ac:dyDescent="0.25">
      <c r="A2" s="55">
        <v>2012</v>
      </c>
      <c r="B2" t="s">
        <v>3</v>
      </c>
      <c r="C2" s="1" t="s">
        <v>20</v>
      </c>
      <c r="D2" s="1">
        <v>116</v>
      </c>
      <c r="E2" s="13" t="str">
        <f>IF(AND(ISNUMBER(C2),ISNUMBER(D2)), 100*(1-D2/C2), "-")</f>
        <v>-</v>
      </c>
      <c r="F2" s="19" t="s">
        <v>329</v>
      </c>
      <c r="G2" s="50">
        <v>41047</v>
      </c>
      <c r="H2" s="51">
        <f>AVERAGE(D2:D5)</f>
        <v>152</v>
      </c>
      <c r="I2" s="51">
        <f>STDEV(D2:D5)</f>
        <v>27.215191835933595</v>
      </c>
      <c r="J2" s="51" t="s">
        <v>320</v>
      </c>
      <c r="K2" s="51" t="s">
        <v>320</v>
      </c>
      <c r="L2" s="55" t="s">
        <v>331</v>
      </c>
    </row>
    <row r="3" spans="1:12" x14ac:dyDescent="0.25">
      <c r="A3" s="55"/>
      <c r="B3" t="s">
        <v>4</v>
      </c>
      <c r="C3" s="1" t="s">
        <v>20</v>
      </c>
      <c r="D3" s="1">
        <v>181</v>
      </c>
      <c r="E3" s="13" t="str">
        <f t="shared" ref="E3:E62" si="0">IF(AND(ISNUMBER(C3),ISNUMBER(D3)), 100*(1-D3/C3), "-")</f>
        <v>-</v>
      </c>
      <c r="G3" s="50"/>
      <c r="H3" s="51"/>
      <c r="I3" s="51"/>
      <c r="J3" s="51"/>
      <c r="K3" s="51"/>
      <c r="L3" s="55"/>
    </row>
    <row r="4" spans="1:12" x14ac:dyDescent="0.25">
      <c r="A4" s="55"/>
      <c r="B4" t="s">
        <v>5</v>
      </c>
      <c r="C4" s="1" t="s">
        <v>20</v>
      </c>
      <c r="D4" s="1">
        <v>161</v>
      </c>
      <c r="E4" s="13" t="str">
        <f t="shared" si="0"/>
        <v>-</v>
      </c>
      <c r="G4" s="50"/>
      <c r="H4" s="51"/>
      <c r="I4" s="51"/>
      <c r="J4" s="51"/>
      <c r="K4" s="51"/>
      <c r="L4" s="55"/>
    </row>
    <row r="5" spans="1:12" x14ac:dyDescent="0.25">
      <c r="A5" s="55"/>
      <c r="B5" t="s">
        <v>6</v>
      </c>
      <c r="C5" s="1" t="s">
        <v>20</v>
      </c>
      <c r="D5" s="1">
        <v>150</v>
      </c>
      <c r="E5" s="13" t="str">
        <f t="shared" si="0"/>
        <v>-</v>
      </c>
      <c r="G5" s="50"/>
      <c r="H5" s="51"/>
      <c r="I5" s="51"/>
      <c r="J5" s="51"/>
      <c r="K5" s="51"/>
      <c r="L5" s="55"/>
    </row>
    <row r="6" spans="1:12" x14ac:dyDescent="0.25">
      <c r="A6" s="55"/>
      <c r="B6" s="4" t="s">
        <v>7</v>
      </c>
      <c r="C6" s="5" t="s">
        <v>20</v>
      </c>
      <c r="D6" s="5">
        <v>390</v>
      </c>
      <c r="E6" s="14" t="str">
        <f t="shared" si="0"/>
        <v>-</v>
      </c>
      <c r="F6" s="19" t="s">
        <v>329</v>
      </c>
      <c r="G6" s="50">
        <v>41064</v>
      </c>
      <c r="H6" s="51">
        <f>AVERAGE(D6:D9)</f>
        <v>391.5</v>
      </c>
      <c r="I6" s="51">
        <f>STDEV(D6:D9)</f>
        <v>57.766772456144714</v>
      </c>
      <c r="J6" s="51" t="s">
        <v>320</v>
      </c>
      <c r="K6" s="51" t="s">
        <v>320</v>
      </c>
      <c r="L6" s="55" t="s">
        <v>331</v>
      </c>
    </row>
    <row r="7" spans="1:12" x14ac:dyDescent="0.25">
      <c r="A7" s="55"/>
      <c r="B7" s="4" t="s">
        <v>8</v>
      </c>
      <c r="C7" s="5" t="s">
        <v>20</v>
      </c>
      <c r="D7" s="5">
        <v>314</v>
      </c>
      <c r="E7" s="14" t="str">
        <f t="shared" si="0"/>
        <v>-</v>
      </c>
      <c r="G7" s="50"/>
      <c r="H7" s="51"/>
      <c r="I7" s="51"/>
      <c r="J7" s="51"/>
      <c r="K7" s="51"/>
      <c r="L7" s="55"/>
    </row>
    <row r="8" spans="1:12" x14ac:dyDescent="0.25">
      <c r="A8" s="55"/>
      <c r="B8" s="4" t="s">
        <v>9</v>
      </c>
      <c r="C8" s="5" t="s">
        <v>20</v>
      </c>
      <c r="D8" s="5">
        <v>452</v>
      </c>
      <c r="E8" s="14" t="str">
        <f t="shared" si="0"/>
        <v>-</v>
      </c>
      <c r="G8" s="50"/>
      <c r="H8" s="51"/>
      <c r="I8" s="51"/>
      <c r="J8" s="51"/>
      <c r="K8" s="51"/>
      <c r="L8" s="55"/>
    </row>
    <row r="9" spans="1:12" x14ac:dyDescent="0.25">
      <c r="A9" s="55"/>
      <c r="B9" s="4" t="s">
        <v>10</v>
      </c>
      <c r="C9" s="5" t="s">
        <v>20</v>
      </c>
      <c r="D9" s="5">
        <v>410</v>
      </c>
      <c r="E9" s="14" t="str">
        <f t="shared" si="0"/>
        <v>-</v>
      </c>
      <c r="G9" s="50"/>
      <c r="H9" s="51"/>
      <c r="I9" s="51"/>
      <c r="J9" s="51"/>
      <c r="K9" s="51"/>
      <c r="L9" s="55"/>
    </row>
    <row r="10" spans="1:12" x14ac:dyDescent="0.25">
      <c r="A10" s="55"/>
      <c r="B10" t="s">
        <v>11</v>
      </c>
      <c r="C10" s="1" t="s">
        <v>20</v>
      </c>
      <c r="D10" s="1">
        <v>954</v>
      </c>
      <c r="E10" s="13" t="str">
        <f t="shared" si="0"/>
        <v>-</v>
      </c>
      <c r="F10" s="19" t="s">
        <v>329</v>
      </c>
      <c r="G10" s="50">
        <v>41081</v>
      </c>
      <c r="H10" s="51">
        <f>AVERAGE(D10:D13)</f>
        <v>797.25</v>
      </c>
      <c r="I10" s="51">
        <f>STDEV(D10:D13)</f>
        <v>106.77507511899331</v>
      </c>
      <c r="J10" s="51" t="s">
        <v>320</v>
      </c>
      <c r="K10" s="51" t="s">
        <v>320</v>
      </c>
      <c r="L10" s="55" t="s">
        <v>331</v>
      </c>
    </row>
    <row r="11" spans="1:12" x14ac:dyDescent="0.25">
      <c r="A11" s="55"/>
      <c r="B11" t="s">
        <v>12</v>
      </c>
      <c r="C11" s="1" t="s">
        <v>20</v>
      </c>
      <c r="D11" s="1">
        <v>740</v>
      </c>
      <c r="E11" s="13" t="str">
        <f t="shared" si="0"/>
        <v>-</v>
      </c>
      <c r="G11" s="50"/>
      <c r="H11" s="51"/>
      <c r="I11" s="51"/>
      <c r="J11" s="51"/>
      <c r="K11" s="51"/>
      <c r="L11" s="55"/>
    </row>
    <row r="12" spans="1:12" x14ac:dyDescent="0.25">
      <c r="A12" s="55"/>
      <c r="B12" t="s">
        <v>13</v>
      </c>
      <c r="C12" s="1" t="s">
        <v>20</v>
      </c>
      <c r="D12" s="1">
        <v>774</v>
      </c>
      <c r="E12" s="13" t="str">
        <f t="shared" si="0"/>
        <v>-</v>
      </c>
      <c r="G12" s="50"/>
      <c r="H12" s="51"/>
      <c r="I12" s="51"/>
      <c r="J12" s="51"/>
      <c r="K12" s="51"/>
      <c r="L12" s="55"/>
    </row>
    <row r="13" spans="1:12" x14ac:dyDescent="0.25">
      <c r="A13" s="55"/>
      <c r="B13" t="s">
        <v>14</v>
      </c>
      <c r="C13" s="1" t="s">
        <v>20</v>
      </c>
      <c r="D13" s="1">
        <v>721</v>
      </c>
      <c r="E13" s="13" t="str">
        <f t="shared" si="0"/>
        <v>-</v>
      </c>
      <c r="G13" s="50"/>
      <c r="H13" s="51"/>
      <c r="I13" s="51"/>
      <c r="J13" s="51"/>
      <c r="K13" s="51"/>
      <c r="L13" s="55"/>
    </row>
    <row r="14" spans="1:12" x14ac:dyDescent="0.25">
      <c r="A14" s="55"/>
      <c r="B14" s="4" t="s">
        <v>15</v>
      </c>
      <c r="C14" s="5" t="s">
        <v>20</v>
      </c>
      <c r="D14" s="5">
        <v>1276</v>
      </c>
      <c r="E14" s="14" t="str">
        <f t="shared" si="0"/>
        <v>-</v>
      </c>
      <c r="F14" s="19" t="s">
        <v>329</v>
      </c>
      <c r="G14" s="50">
        <v>41103</v>
      </c>
      <c r="H14" s="51">
        <f>AVERAGE(D14:D17)</f>
        <v>1531.25</v>
      </c>
      <c r="I14" s="51">
        <f>STDEV(D14:D17)</f>
        <v>237.45789100385778</v>
      </c>
      <c r="J14" s="51" t="s">
        <v>320</v>
      </c>
      <c r="K14" s="51" t="s">
        <v>320</v>
      </c>
      <c r="L14" s="55" t="s">
        <v>331</v>
      </c>
    </row>
    <row r="15" spans="1:12" x14ac:dyDescent="0.25">
      <c r="A15" s="55"/>
      <c r="B15" s="4" t="s">
        <v>16</v>
      </c>
      <c r="C15" s="5" t="s">
        <v>20</v>
      </c>
      <c r="D15" s="5">
        <v>1837</v>
      </c>
      <c r="E15" s="14" t="str">
        <f t="shared" si="0"/>
        <v>-</v>
      </c>
      <c r="G15" s="50"/>
      <c r="H15" s="51"/>
      <c r="I15" s="51"/>
      <c r="J15" s="51"/>
      <c r="K15" s="51"/>
      <c r="L15" s="55"/>
    </row>
    <row r="16" spans="1:12" x14ac:dyDescent="0.25">
      <c r="A16" s="55"/>
      <c r="B16" s="4" t="s">
        <v>17</v>
      </c>
      <c r="C16" s="5" t="s">
        <v>20</v>
      </c>
      <c r="D16" s="5">
        <v>1438</v>
      </c>
      <c r="E16" s="14" t="str">
        <f t="shared" si="0"/>
        <v>-</v>
      </c>
      <c r="G16" s="50"/>
      <c r="H16" s="51"/>
      <c r="I16" s="51"/>
      <c r="J16" s="51"/>
      <c r="K16" s="51"/>
      <c r="L16" s="55"/>
    </row>
    <row r="17" spans="1:12" x14ac:dyDescent="0.25">
      <c r="A17" s="55"/>
      <c r="B17" s="4" t="s">
        <v>18</v>
      </c>
      <c r="C17" s="5" t="s">
        <v>20</v>
      </c>
      <c r="D17" s="5">
        <v>1574</v>
      </c>
      <c r="E17" s="14" t="str">
        <f t="shared" si="0"/>
        <v>-</v>
      </c>
      <c r="G17" s="50"/>
      <c r="H17" s="51"/>
      <c r="I17" s="51"/>
      <c r="J17" s="51"/>
      <c r="K17" s="51"/>
      <c r="L17" s="55"/>
    </row>
    <row r="18" spans="1:12" x14ac:dyDescent="0.25">
      <c r="A18" s="55"/>
      <c r="B18" t="s">
        <v>21</v>
      </c>
      <c r="C18" s="1">
        <v>1405</v>
      </c>
      <c r="D18" s="30">
        <f>0.95*C18</f>
        <v>1334.75</v>
      </c>
      <c r="E18" s="13">
        <f t="shared" si="0"/>
        <v>5.0000000000000044</v>
      </c>
      <c r="F18" s="54" t="s">
        <v>357</v>
      </c>
      <c r="G18" s="50">
        <v>41138</v>
      </c>
      <c r="H18" s="51">
        <f>AVERAGE(D18:D21)</f>
        <v>1349</v>
      </c>
      <c r="I18" s="51">
        <f>STDEV(D18:D21)</f>
        <v>66.964331301571818</v>
      </c>
      <c r="J18" s="56" t="s">
        <v>320</v>
      </c>
      <c r="K18" s="56" t="s">
        <v>320</v>
      </c>
      <c r="L18" s="55" t="s">
        <v>331</v>
      </c>
    </row>
    <row r="19" spans="1:12" x14ac:dyDescent="0.25">
      <c r="A19" s="55"/>
      <c r="B19" t="s">
        <v>22</v>
      </c>
      <c r="C19" s="1">
        <v>1484</v>
      </c>
      <c r="D19" s="30">
        <f t="shared" ref="D19:D21" si="1">0.95*C19</f>
        <v>1409.8</v>
      </c>
      <c r="E19" s="13">
        <f t="shared" si="0"/>
        <v>5.0000000000000044</v>
      </c>
      <c r="F19" s="54"/>
      <c r="G19" s="50"/>
      <c r="H19" s="51"/>
      <c r="I19" s="51"/>
      <c r="J19" s="56"/>
      <c r="K19" s="56"/>
      <c r="L19" s="55"/>
    </row>
    <row r="20" spans="1:12" x14ac:dyDescent="0.25">
      <c r="A20" s="55"/>
      <c r="B20" t="s">
        <v>23</v>
      </c>
      <c r="C20" s="1">
        <v>1327</v>
      </c>
      <c r="D20" s="30">
        <f t="shared" si="1"/>
        <v>1260.6499999999999</v>
      </c>
      <c r="E20" s="13">
        <f t="shared" si="0"/>
        <v>5.000000000000016</v>
      </c>
      <c r="F20" s="54"/>
      <c r="G20" s="50"/>
      <c r="H20" s="51"/>
      <c r="I20" s="51"/>
      <c r="J20" s="56"/>
      <c r="K20" s="56"/>
      <c r="L20" s="55"/>
    </row>
    <row r="21" spans="1:12" x14ac:dyDescent="0.25">
      <c r="A21" s="55"/>
      <c r="B21" t="s">
        <v>24</v>
      </c>
      <c r="C21" s="1">
        <v>1464</v>
      </c>
      <c r="D21" s="30">
        <f t="shared" si="1"/>
        <v>1390.8</v>
      </c>
      <c r="E21" s="13">
        <f t="shared" si="0"/>
        <v>5.0000000000000044</v>
      </c>
      <c r="F21" s="54"/>
      <c r="G21" s="50"/>
      <c r="H21" s="51"/>
      <c r="I21" s="51"/>
      <c r="J21" s="56"/>
      <c r="K21" s="56"/>
      <c r="L21" s="55"/>
    </row>
    <row r="22" spans="1:12" x14ac:dyDescent="0.25">
      <c r="A22" s="55"/>
      <c r="B22" s="4" t="s">
        <v>314</v>
      </c>
      <c r="C22" s="5" t="s">
        <v>20</v>
      </c>
      <c r="D22" s="5">
        <v>621</v>
      </c>
      <c r="E22" s="14" t="str">
        <f t="shared" ref="E22:E25" si="2">IF(AND(ISNUMBER(C22),ISNUMBER(D22)), 100*(1-D22/C22), "-")</f>
        <v>-</v>
      </c>
      <c r="F22" s="54" t="s">
        <v>356</v>
      </c>
      <c r="G22" s="50">
        <v>41138</v>
      </c>
      <c r="H22" s="51">
        <f>AVERAGE(D22:D25)</f>
        <v>639.25</v>
      </c>
      <c r="I22" s="51">
        <f>STDEV(D22:D25)</f>
        <v>46.664583286828282</v>
      </c>
      <c r="J22" s="51" t="s">
        <v>320</v>
      </c>
      <c r="K22" s="51" t="s">
        <v>320</v>
      </c>
      <c r="L22" s="55" t="s">
        <v>327</v>
      </c>
    </row>
    <row r="23" spans="1:12" x14ac:dyDescent="0.25">
      <c r="A23" s="55"/>
      <c r="B23" s="4" t="s">
        <v>311</v>
      </c>
      <c r="C23" s="5" t="s">
        <v>20</v>
      </c>
      <c r="D23" s="5">
        <v>582</v>
      </c>
      <c r="E23" s="14" t="str">
        <f t="shared" si="2"/>
        <v>-</v>
      </c>
      <c r="F23" s="54"/>
      <c r="G23" s="50"/>
      <c r="H23" s="51"/>
      <c r="I23" s="51"/>
      <c r="J23" s="51"/>
      <c r="K23" s="51"/>
      <c r="L23" s="55"/>
    </row>
    <row r="24" spans="1:12" x14ac:dyDescent="0.25">
      <c r="A24" s="55"/>
      <c r="B24" s="4" t="s">
        <v>312</v>
      </c>
      <c r="C24" s="5" t="s">
        <v>20</v>
      </c>
      <c r="D24" s="5">
        <v>683</v>
      </c>
      <c r="E24" s="14" t="str">
        <f t="shared" si="2"/>
        <v>-</v>
      </c>
      <c r="F24" s="54"/>
      <c r="G24" s="50"/>
      <c r="H24" s="51"/>
      <c r="I24" s="51"/>
      <c r="J24" s="51"/>
      <c r="K24" s="51"/>
      <c r="L24" s="55"/>
    </row>
    <row r="25" spans="1:12" x14ac:dyDescent="0.25">
      <c r="A25" s="55"/>
      <c r="B25" s="4" t="s">
        <v>313</v>
      </c>
      <c r="C25" s="5" t="s">
        <v>20</v>
      </c>
      <c r="D25" s="5">
        <v>671</v>
      </c>
      <c r="E25" s="14" t="str">
        <f t="shared" si="2"/>
        <v>-</v>
      </c>
      <c r="F25" s="54"/>
      <c r="G25" s="50"/>
      <c r="H25" s="51"/>
      <c r="I25" s="51"/>
      <c r="J25" s="51"/>
      <c r="K25" s="51"/>
      <c r="L25" s="55"/>
    </row>
    <row r="26" spans="1:12" ht="24" customHeight="1" x14ac:dyDescent="0.25">
      <c r="A26" s="55"/>
      <c r="B26" s="8" t="s">
        <v>25</v>
      </c>
      <c r="C26" s="9">
        <v>417</v>
      </c>
      <c r="D26" s="31">
        <f>0.95*C26</f>
        <v>396.15</v>
      </c>
      <c r="E26" s="15">
        <f t="shared" si="0"/>
        <v>5.0000000000000044</v>
      </c>
      <c r="F26" s="54" t="s">
        <v>334</v>
      </c>
      <c r="G26" s="50">
        <v>41173</v>
      </c>
      <c r="H26" s="51">
        <f>AVERAGE(D26:D27)</f>
        <v>477.84999999999997</v>
      </c>
      <c r="I26" s="51">
        <f>STDEV(D26:D27)</f>
        <v>115.54124804588173</v>
      </c>
      <c r="J26" s="56" t="s">
        <v>320</v>
      </c>
      <c r="K26" s="56" t="s">
        <v>320</v>
      </c>
      <c r="L26" s="55" t="s">
        <v>332</v>
      </c>
    </row>
    <row r="27" spans="1:12" ht="24" customHeight="1" x14ac:dyDescent="0.25">
      <c r="A27" s="55"/>
      <c r="B27" s="8" t="s">
        <v>26</v>
      </c>
      <c r="C27" s="9">
        <v>589</v>
      </c>
      <c r="D27" s="31">
        <f>0.95*C27</f>
        <v>559.54999999999995</v>
      </c>
      <c r="E27" s="15">
        <f t="shared" si="0"/>
        <v>5.0000000000000044</v>
      </c>
      <c r="F27" s="54"/>
      <c r="G27" s="50"/>
      <c r="H27" s="51"/>
      <c r="I27" s="51"/>
      <c r="J27" s="56"/>
      <c r="K27" s="56"/>
      <c r="L27" s="55"/>
    </row>
    <row r="28" spans="1:12" x14ac:dyDescent="0.25">
      <c r="A28" s="53">
        <v>2013</v>
      </c>
      <c r="B28" s="4" t="s">
        <v>74</v>
      </c>
      <c r="C28" s="5">
        <v>628</v>
      </c>
      <c r="D28" s="5">
        <v>145</v>
      </c>
      <c r="E28" s="14">
        <f t="shared" si="0"/>
        <v>76.910828025477713</v>
      </c>
      <c r="G28" s="50">
        <v>41470</v>
      </c>
      <c r="H28" s="51">
        <f>AVERAGE(D28:D31)</f>
        <v>221.25</v>
      </c>
      <c r="I28" s="51">
        <f>STDEV(D28:D31)</f>
        <v>55.36168952142507</v>
      </c>
      <c r="J28" s="51">
        <f>AVERAGE(E28:E31)</f>
        <v>75.76203941260087</v>
      </c>
      <c r="K28" s="51">
        <f>STDEV(E28:E31)</f>
        <v>1.4865253281972133</v>
      </c>
      <c r="L28" s="55" t="s">
        <v>331</v>
      </c>
    </row>
    <row r="29" spans="1:12" x14ac:dyDescent="0.25">
      <c r="A29" s="53"/>
      <c r="B29" s="4" t="s">
        <v>75</v>
      </c>
      <c r="C29" s="5">
        <v>1007</v>
      </c>
      <c r="D29" s="5">
        <v>266</v>
      </c>
      <c r="E29" s="14">
        <f t="shared" si="0"/>
        <v>73.584905660377359</v>
      </c>
      <c r="G29" s="50"/>
      <c r="H29" s="51"/>
      <c r="I29" s="51"/>
      <c r="J29" s="51"/>
      <c r="K29" s="51"/>
      <c r="L29" s="55"/>
    </row>
    <row r="30" spans="1:12" x14ac:dyDescent="0.25">
      <c r="A30" s="53"/>
      <c r="B30" s="4" t="s">
        <v>76</v>
      </c>
      <c r="C30" s="5">
        <v>1081</v>
      </c>
      <c r="D30" s="5">
        <v>258</v>
      </c>
      <c r="E30" s="14">
        <f t="shared" si="0"/>
        <v>76.133209990749307</v>
      </c>
      <c r="G30" s="50"/>
      <c r="H30" s="51"/>
      <c r="I30" s="51"/>
      <c r="J30" s="51"/>
      <c r="K30" s="51"/>
      <c r="L30" s="55"/>
    </row>
    <row r="31" spans="1:12" x14ac:dyDescent="0.25">
      <c r="A31" s="53"/>
      <c r="B31" s="4" t="s">
        <v>77</v>
      </c>
      <c r="C31" s="5">
        <v>916</v>
      </c>
      <c r="D31" s="5">
        <v>216</v>
      </c>
      <c r="E31" s="14">
        <f t="shared" si="0"/>
        <v>76.419213973799131</v>
      </c>
      <c r="G31" s="50"/>
      <c r="H31" s="51"/>
      <c r="I31" s="51"/>
      <c r="J31" s="51"/>
      <c r="K31" s="51"/>
      <c r="L31" s="55"/>
    </row>
    <row r="32" spans="1:12" x14ac:dyDescent="0.25">
      <c r="A32" s="53"/>
      <c r="B32" s="8" t="s">
        <v>78</v>
      </c>
      <c r="C32" s="9">
        <v>796</v>
      </c>
      <c r="D32" s="9">
        <v>232</v>
      </c>
      <c r="E32" s="15">
        <f t="shared" si="0"/>
        <v>70.854271356783926</v>
      </c>
      <c r="G32" s="50">
        <v>41485</v>
      </c>
      <c r="H32" s="56">
        <f>AVERAGE(D32:D34)</f>
        <v>321.33333333333331</v>
      </c>
      <c r="I32" s="56">
        <f>STDEV(D32:D34)</f>
        <v>86.193580580767986</v>
      </c>
      <c r="J32" s="56">
        <f>AVERAGE(E32:E34)</f>
        <v>67.131422997851914</v>
      </c>
      <c r="K32" s="56">
        <f>STDEV(E32:E34)</f>
        <v>3.4815481194397058</v>
      </c>
      <c r="L32" s="55" t="s">
        <v>331</v>
      </c>
    </row>
    <row r="33" spans="1:12" x14ac:dyDescent="0.25">
      <c r="A33" s="53"/>
      <c r="B33" s="8" t="s">
        <v>79</v>
      </c>
      <c r="C33" s="9">
        <v>910</v>
      </c>
      <c r="D33" s="9">
        <v>328</v>
      </c>
      <c r="E33" s="15">
        <f t="shared" si="0"/>
        <v>63.956043956043949</v>
      </c>
      <c r="G33" s="50"/>
      <c r="H33" s="56"/>
      <c r="I33" s="56"/>
      <c r="J33" s="56"/>
      <c r="K33" s="56"/>
      <c r="L33" s="55"/>
    </row>
    <row r="34" spans="1:12" x14ac:dyDescent="0.25">
      <c r="A34" s="53"/>
      <c r="B34" s="8" t="s">
        <v>80</v>
      </c>
      <c r="C34" s="9">
        <v>1209</v>
      </c>
      <c r="D34" s="9">
        <v>404</v>
      </c>
      <c r="E34" s="15">
        <f t="shared" si="0"/>
        <v>66.583953680727873</v>
      </c>
      <c r="G34" s="50"/>
      <c r="H34" s="56"/>
      <c r="I34" s="56"/>
      <c r="J34" s="56"/>
      <c r="K34" s="56"/>
      <c r="L34" s="55"/>
    </row>
    <row r="35" spans="1:12" x14ac:dyDescent="0.25">
      <c r="A35" s="53"/>
      <c r="B35" s="8" t="s">
        <v>81</v>
      </c>
      <c r="C35" s="32">
        <v>777</v>
      </c>
      <c r="D35" s="32">
        <v>230</v>
      </c>
      <c r="E35" s="33">
        <f t="shared" si="0"/>
        <v>70.398970398970405</v>
      </c>
      <c r="F35" s="8" t="s">
        <v>363</v>
      </c>
      <c r="G35" s="50"/>
      <c r="H35" s="56"/>
      <c r="I35" s="56"/>
      <c r="J35" s="56"/>
      <c r="K35" s="56"/>
      <c r="L35" s="55"/>
    </row>
    <row r="36" spans="1:12" ht="15" customHeight="1" x14ac:dyDescent="0.25">
      <c r="A36" s="53"/>
      <c r="B36" s="4" t="s">
        <v>82</v>
      </c>
      <c r="C36" s="5">
        <v>452</v>
      </c>
      <c r="D36" s="29">
        <f>C36</f>
        <v>452</v>
      </c>
      <c r="E36" s="14">
        <f t="shared" si="0"/>
        <v>0</v>
      </c>
      <c r="F36" s="54" t="s">
        <v>393</v>
      </c>
      <c r="G36" s="50">
        <v>41516</v>
      </c>
      <c r="H36" s="64">
        <f>AVERAGE(D36:D43)</f>
        <v>462.125</v>
      </c>
      <c r="I36" s="64">
        <f>STDEV(D36:D43)</f>
        <v>141.64083097751157</v>
      </c>
      <c r="J36" s="63" t="s">
        <v>320</v>
      </c>
      <c r="K36" s="63" t="s">
        <v>320</v>
      </c>
      <c r="L36" s="62" t="s">
        <v>331</v>
      </c>
    </row>
    <row r="37" spans="1:12" x14ac:dyDescent="0.25">
      <c r="A37" s="53"/>
      <c r="B37" s="4" t="s">
        <v>83</v>
      </c>
      <c r="C37" s="5">
        <v>440</v>
      </c>
      <c r="D37" s="29">
        <f t="shared" ref="D37:D43" si="3">C37</f>
        <v>440</v>
      </c>
      <c r="E37" s="14">
        <f t="shared" si="0"/>
        <v>0</v>
      </c>
      <c r="F37" s="54"/>
      <c r="G37" s="50"/>
      <c r="H37" s="64"/>
      <c r="I37" s="64"/>
      <c r="J37" s="63"/>
      <c r="K37" s="63"/>
      <c r="L37" s="62"/>
    </row>
    <row r="38" spans="1:12" x14ac:dyDescent="0.25">
      <c r="A38" s="53"/>
      <c r="B38" s="4" t="s">
        <v>84</v>
      </c>
      <c r="C38" s="5">
        <v>484</v>
      </c>
      <c r="D38" s="29">
        <f t="shared" si="3"/>
        <v>484</v>
      </c>
      <c r="E38" s="14">
        <f t="shared" si="0"/>
        <v>0</v>
      </c>
      <c r="F38" s="54"/>
      <c r="G38" s="50"/>
      <c r="H38" s="64"/>
      <c r="I38" s="64"/>
      <c r="J38" s="63"/>
      <c r="K38" s="63"/>
      <c r="L38" s="62"/>
    </row>
    <row r="39" spans="1:12" x14ac:dyDescent="0.25">
      <c r="A39" s="53"/>
      <c r="B39" s="4" t="s">
        <v>85</v>
      </c>
      <c r="C39" s="5">
        <v>730</v>
      </c>
      <c r="D39" s="29">
        <f t="shared" si="3"/>
        <v>730</v>
      </c>
      <c r="E39" s="14">
        <f t="shared" si="0"/>
        <v>0</v>
      </c>
      <c r="F39" s="54"/>
      <c r="G39" s="50"/>
      <c r="H39" s="64"/>
      <c r="I39" s="64"/>
      <c r="J39" s="63"/>
      <c r="K39" s="63"/>
      <c r="L39" s="62"/>
    </row>
    <row r="40" spans="1:12" ht="15" customHeight="1" x14ac:dyDescent="0.25">
      <c r="A40" s="53"/>
      <c r="B40" s="8" t="s">
        <v>86</v>
      </c>
      <c r="C40" s="9">
        <v>429</v>
      </c>
      <c r="D40" s="27">
        <f t="shared" si="3"/>
        <v>429</v>
      </c>
      <c r="E40" s="15">
        <f t="shared" si="0"/>
        <v>0</v>
      </c>
      <c r="F40" s="54"/>
      <c r="G40" s="50"/>
      <c r="H40" s="64"/>
      <c r="I40" s="64"/>
      <c r="J40" s="63"/>
      <c r="K40" s="63"/>
      <c r="L40" s="62"/>
    </row>
    <row r="41" spans="1:12" x14ac:dyDescent="0.25">
      <c r="A41" s="53"/>
      <c r="B41" s="8" t="s">
        <v>87</v>
      </c>
      <c r="C41" s="9">
        <v>264</v>
      </c>
      <c r="D41" s="27">
        <f t="shared" si="3"/>
        <v>264</v>
      </c>
      <c r="E41" s="15">
        <f t="shared" si="0"/>
        <v>0</v>
      </c>
      <c r="F41" s="54"/>
      <c r="G41" s="50"/>
      <c r="H41" s="64"/>
      <c r="I41" s="64"/>
      <c r="J41" s="63"/>
      <c r="K41" s="63"/>
      <c r="L41" s="62"/>
    </row>
    <row r="42" spans="1:12" x14ac:dyDescent="0.25">
      <c r="A42" s="53"/>
      <c r="B42" s="8" t="s">
        <v>88</v>
      </c>
      <c r="C42" s="9">
        <v>333</v>
      </c>
      <c r="D42" s="27">
        <f t="shared" si="3"/>
        <v>333</v>
      </c>
      <c r="E42" s="15">
        <f t="shared" si="0"/>
        <v>0</v>
      </c>
      <c r="F42" s="54"/>
      <c r="G42" s="50"/>
      <c r="H42" s="64"/>
      <c r="I42" s="64"/>
      <c r="J42" s="63"/>
      <c r="K42" s="63"/>
      <c r="L42" s="62"/>
    </row>
    <row r="43" spans="1:12" x14ac:dyDescent="0.25">
      <c r="A43" s="53"/>
      <c r="B43" s="8" t="s">
        <v>89</v>
      </c>
      <c r="C43" s="9">
        <v>565</v>
      </c>
      <c r="D43" s="27">
        <f t="shared" si="3"/>
        <v>565</v>
      </c>
      <c r="E43" s="15">
        <f t="shared" si="0"/>
        <v>0</v>
      </c>
      <c r="F43" s="54"/>
      <c r="G43" s="50"/>
      <c r="H43" s="64"/>
      <c r="I43" s="64"/>
      <c r="J43" s="63"/>
      <c r="K43" s="63"/>
      <c r="L43" s="62"/>
    </row>
    <row r="44" spans="1:12" x14ac:dyDescent="0.25">
      <c r="A44" s="53"/>
      <c r="B44" s="4" t="s">
        <v>351</v>
      </c>
      <c r="C44" s="5" t="s">
        <v>20</v>
      </c>
      <c r="D44" s="5">
        <v>212.82</v>
      </c>
      <c r="E44" s="14" t="str">
        <f t="shared" si="0"/>
        <v>-</v>
      </c>
      <c r="F44" s="54" t="s">
        <v>358</v>
      </c>
      <c r="G44" s="50">
        <v>41516</v>
      </c>
      <c r="H44" s="51">
        <f>AVERAGE(D44:D47)</f>
        <v>150.17250000000001</v>
      </c>
      <c r="I44" s="51">
        <f>STDEV(D44:D47)</f>
        <v>75.242832382892075</v>
      </c>
      <c r="J44" s="51" t="s">
        <v>320</v>
      </c>
      <c r="K44" s="51" t="s">
        <v>320</v>
      </c>
      <c r="L44" s="55" t="s">
        <v>327</v>
      </c>
    </row>
    <row r="45" spans="1:12" x14ac:dyDescent="0.25">
      <c r="A45" s="53"/>
      <c r="B45" s="4" t="s">
        <v>352</v>
      </c>
      <c r="C45" s="5" t="s">
        <v>20</v>
      </c>
      <c r="D45" s="5">
        <v>110.44</v>
      </c>
      <c r="E45" s="14" t="str">
        <f t="shared" si="0"/>
        <v>-</v>
      </c>
      <c r="F45" s="54"/>
      <c r="G45" s="50"/>
      <c r="H45" s="51"/>
      <c r="I45" s="51"/>
      <c r="J45" s="51"/>
      <c r="K45" s="51"/>
      <c r="L45" s="55"/>
    </row>
    <row r="46" spans="1:12" x14ac:dyDescent="0.25">
      <c r="A46" s="53"/>
      <c r="B46" s="4" t="s">
        <v>353</v>
      </c>
      <c r="C46" s="5" t="s">
        <v>20</v>
      </c>
      <c r="D46" s="5">
        <v>63.82</v>
      </c>
      <c r="E46" s="14" t="str">
        <f t="shared" si="0"/>
        <v>-</v>
      </c>
      <c r="F46" s="54"/>
      <c r="G46" s="50"/>
      <c r="H46" s="51"/>
      <c r="I46" s="51"/>
      <c r="J46" s="51"/>
      <c r="K46" s="51"/>
      <c r="L46" s="55"/>
    </row>
    <row r="47" spans="1:12" x14ac:dyDescent="0.25">
      <c r="A47" s="53"/>
      <c r="B47" s="4" t="s">
        <v>354</v>
      </c>
      <c r="C47" s="5" t="s">
        <v>20</v>
      </c>
      <c r="D47" s="5">
        <v>213.61</v>
      </c>
      <c r="E47" s="14" t="str">
        <f t="shared" si="0"/>
        <v>-</v>
      </c>
      <c r="F47" s="54"/>
      <c r="G47" s="50"/>
      <c r="H47" s="51"/>
      <c r="I47" s="51"/>
      <c r="J47" s="51"/>
      <c r="K47" s="51"/>
      <c r="L47" s="55"/>
    </row>
    <row r="48" spans="1:12" x14ac:dyDescent="0.25">
      <c r="A48" s="55">
        <v>2014</v>
      </c>
      <c r="B48" s="8" t="s">
        <v>218</v>
      </c>
      <c r="C48" s="27">
        <f>235-69</f>
        <v>166</v>
      </c>
      <c r="D48" s="9">
        <v>161</v>
      </c>
      <c r="E48" s="33">
        <f t="shared" si="0"/>
        <v>3.0120481927710885</v>
      </c>
      <c r="F48" s="61" t="s">
        <v>360</v>
      </c>
      <c r="G48" s="50">
        <v>41773</v>
      </c>
      <c r="H48" s="51">
        <f>AVERAGE(D48:D51)</f>
        <v>172.75</v>
      </c>
      <c r="I48" s="51">
        <f>STDEV(D48:D51)</f>
        <v>26.23451924468981</v>
      </c>
      <c r="J48" s="56" t="s">
        <v>320</v>
      </c>
      <c r="K48" s="56" t="s">
        <v>320</v>
      </c>
      <c r="L48" s="55" t="s">
        <v>331</v>
      </c>
    </row>
    <row r="49" spans="1:12" x14ac:dyDescent="0.25">
      <c r="A49" s="55"/>
      <c r="B49" s="8" t="s">
        <v>219</v>
      </c>
      <c r="C49" s="27">
        <f>248-69</f>
        <v>179</v>
      </c>
      <c r="D49" s="9">
        <v>167</v>
      </c>
      <c r="E49" s="33">
        <f t="shared" si="0"/>
        <v>6.7039106145251441</v>
      </c>
      <c r="F49" s="61"/>
      <c r="G49" s="50"/>
      <c r="H49" s="51"/>
      <c r="I49" s="51"/>
      <c r="J49" s="56"/>
      <c r="K49" s="56"/>
      <c r="L49" s="55"/>
    </row>
    <row r="50" spans="1:12" x14ac:dyDescent="0.25">
      <c r="A50" s="55"/>
      <c r="B50" s="8" t="s">
        <v>220</v>
      </c>
      <c r="C50" s="27">
        <f>228-69</f>
        <v>159</v>
      </c>
      <c r="D50" s="9">
        <v>152</v>
      </c>
      <c r="E50" s="33">
        <f t="shared" si="0"/>
        <v>4.4025157232704393</v>
      </c>
      <c r="F50" s="61"/>
      <c r="G50" s="50"/>
      <c r="H50" s="51"/>
      <c r="I50" s="51"/>
      <c r="J50" s="56"/>
      <c r="K50" s="56"/>
      <c r="L50" s="55"/>
    </row>
    <row r="51" spans="1:12" x14ac:dyDescent="0.25">
      <c r="A51" s="55"/>
      <c r="B51" s="8" t="s">
        <v>221</v>
      </c>
      <c r="C51" s="27">
        <f>299-69</f>
        <v>230</v>
      </c>
      <c r="D51" s="9">
        <v>211</v>
      </c>
      <c r="E51" s="33">
        <f t="shared" si="0"/>
        <v>8.2608695652173871</v>
      </c>
      <c r="F51" s="61"/>
      <c r="G51" s="50"/>
      <c r="H51" s="51"/>
      <c r="I51" s="51"/>
      <c r="J51" s="56"/>
      <c r="K51" s="56"/>
      <c r="L51" s="55"/>
    </row>
    <row r="52" spans="1:12" x14ac:dyDescent="0.25">
      <c r="A52" s="55"/>
      <c r="B52" s="4" t="s">
        <v>222</v>
      </c>
      <c r="C52" s="29">
        <f>1009-70</f>
        <v>939</v>
      </c>
      <c r="D52" s="5">
        <v>186</v>
      </c>
      <c r="E52" s="14">
        <f t="shared" si="0"/>
        <v>80.191693290734818</v>
      </c>
      <c r="F52" s="54" t="s">
        <v>361</v>
      </c>
      <c r="G52" s="50">
        <v>41788</v>
      </c>
      <c r="H52" s="51">
        <f>AVERAGE(D52:D55)</f>
        <v>416.75</v>
      </c>
      <c r="I52" s="51">
        <f>STDEV(D52:D55)</f>
        <v>165.22989035482252</v>
      </c>
      <c r="J52" s="51">
        <f>AVERAGE(E52:E55)</f>
        <v>77.855755620668589</v>
      </c>
      <c r="K52" s="51">
        <f>STDEV(E52:E55)</f>
        <v>1.5833321106247558</v>
      </c>
      <c r="L52" s="55" t="s">
        <v>331</v>
      </c>
    </row>
    <row r="53" spans="1:12" x14ac:dyDescent="0.25">
      <c r="A53" s="55"/>
      <c r="B53" s="4" t="s">
        <v>223</v>
      </c>
      <c r="C53" s="29">
        <f>1916-70</f>
        <v>1846</v>
      </c>
      <c r="D53" s="5">
        <v>416</v>
      </c>
      <c r="E53" s="14">
        <f t="shared" si="0"/>
        <v>77.464788732394368</v>
      </c>
      <c r="F53" s="54"/>
      <c r="G53" s="50"/>
      <c r="H53" s="51"/>
      <c r="I53" s="51"/>
      <c r="J53" s="51"/>
      <c r="K53" s="51"/>
      <c r="L53" s="55"/>
    </row>
    <row r="54" spans="1:12" x14ac:dyDescent="0.25">
      <c r="A54" s="55"/>
      <c r="B54" s="4" t="s">
        <v>224</v>
      </c>
      <c r="C54" s="29">
        <f>2251-70</f>
        <v>2181</v>
      </c>
      <c r="D54" s="5">
        <v>502</v>
      </c>
      <c r="E54" s="14">
        <f t="shared" si="0"/>
        <v>76.983035304905997</v>
      </c>
      <c r="F54" s="54"/>
      <c r="G54" s="50"/>
      <c r="H54" s="51"/>
      <c r="I54" s="51"/>
      <c r="J54" s="51"/>
      <c r="K54" s="51"/>
      <c r="L54" s="55"/>
    </row>
    <row r="55" spans="1:12" x14ac:dyDescent="0.25">
      <c r="A55" s="55"/>
      <c r="B55" s="4" t="s">
        <v>225</v>
      </c>
      <c r="C55" s="29">
        <f>2495-70</f>
        <v>2425</v>
      </c>
      <c r="D55" s="5">
        <v>563</v>
      </c>
      <c r="E55" s="14">
        <f t="shared" si="0"/>
        <v>76.783505154639172</v>
      </c>
      <c r="F55" s="54"/>
      <c r="G55" s="50"/>
      <c r="H55" s="51"/>
      <c r="I55" s="51"/>
      <c r="J55" s="51"/>
      <c r="K55" s="51"/>
      <c r="L55" s="55"/>
    </row>
    <row r="56" spans="1:12" x14ac:dyDescent="0.25">
      <c r="A56" s="55"/>
      <c r="B56" s="8" t="s">
        <v>226</v>
      </c>
      <c r="C56" s="9">
        <v>2843</v>
      </c>
      <c r="D56" s="27">
        <f>738-70</f>
        <v>668</v>
      </c>
      <c r="E56" s="15">
        <f t="shared" si="0"/>
        <v>76.503693281744631</v>
      </c>
      <c r="F56" s="54" t="s">
        <v>362</v>
      </c>
      <c r="G56" s="50">
        <v>41801</v>
      </c>
      <c r="H56" s="51">
        <f>AVERAGE(D56:D59)</f>
        <v>566.25</v>
      </c>
      <c r="I56" s="51">
        <f>STDEV(D56:D59)</f>
        <v>84.673392121334871</v>
      </c>
      <c r="J56" s="51">
        <f>AVERAGE(E56:E59)</f>
        <v>75.120387742721618</v>
      </c>
      <c r="K56" s="51">
        <f>STDEV(E56:E59)</f>
        <v>1.2788424375493481</v>
      </c>
      <c r="L56" s="55" t="s">
        <v>331</v>
      </c>
    </row>
    <row r="57" spans="1:12" x14ac:dyDescent="0.25">
      <c r="A57" s="55"/>
      <c r="B57" s="8" t="s">
        <v>227</v>
      </c>
      <c r="C57" s="9">
        <v>2300</v>
      </c>
      <c r="D57" s="27">
        <f>666-70</f>
        <v>596</v>
      </c>
      <c r="E57" s="15">
        <f t="shared" si="0"/>
        <v>74.08695652173914</v>
      </c>
      <c r="F57" s="54"/>
      <c r="G57" s="50"/>
      <c r="H57" s="51"/>
      <c r="I57" s="51"/>
      <c r="J57" s="51"/>
      <c r="K57" s="51"/>
      <c r="L57" s="55"/>
    </row>
    <row r="58" spans="1:12" x14ac:dyDescent="0.25">
      <c r="A58" s="55"/>
      <c r="B58" s="8" t="s">
        <v>228</v>
      </c>
      <c r="C58" s="9">
        <v>2196</v>
      </c>
      <c r="D58" s="27">
        <f>599-70</f>
        <v>529</v>
      </c>
      <c r="E58" s="15">
        <f t="shared" si="0"/>
        <v>75.910746812386151</v>
      </c>
      <c r="F58" s="54"/>
      <c r="G58" s="50"/>
      <c r="H58" s="51"/>
      <c r="I58" s="51"/>
      <c r="J58" s="51"/>
      <c r="K58" s="51"/>
      <c r="L58" s="55"/>
    </row>
    <row r="59" spans="1:12" x14ac:dyDescent="0.25">
      <c r="A59" s="55"/>
      <c r="B59" s="8" t="s">
        <v>229</v>
      </c>
      <c r="C59" s="9">
        <v>1814</v>
      </c>
      <c r="D59" s="27">
        <f>542-70</f>
        <v>472</v>
      </c>
      <c r="E59" s="15">
        <f t="shared" si="0"/>
        <v>73.980154355016538</v>
      </c>
      <c r="F59" s="54"/>
      <c r="G59" s="50"/>
      <c r="H59" s="51"/>
      <c r="I59" s="51"/>
      <c r="J59" s="51"/>
      <c r="K59" s="51"/>
      <c r="L59" s="55"/>
    </row>
    <row r="60" spans="1:12" x14ac:dyDescent="0.25">
      <c r="A60" s="55"/>
      <c r="B60" s="4" t="s">
        <v>230</v>
      </c>
      <c r="C60" s="29">
        <f>3053-70</f>
        <v>2983</v>
      </c>
      <c r="D60" s="5">
        <v>1016</v>
      </c>
      <c r="E60" s="14">
        <f t="shared" si="0"/>
        <v>65.940328528327186</v>
      </c>
      <c r="F60" s="54" t="s">
        <v>339</v>
      </c>
      <c r="G60" s="50">
        <v>41815</v>
      </c>
      <c r="H60" s="51">
        <f>AVERAGE(D60:D63)</f>
        <v>977.5</v>
      </c>
      <c r="I60" s="51">
        <f>STDEV(D60:D63)</f>
        <v>113.61484644769509</v>
      </c>
      <c r="J60" s="51">
        <f>AVERAGE(E60:E63)</f>
        <v>64.014852420094812</v>
      </c>
      <c r="K60" s="51">
        <f>STDEV(E60:E63)</f>
        <v>1.5668334645314215</v>
      </c>
      <c r="L60" s="55" t="s">
        <v>331</v>
      </c>
    </row>
    <row r="61" spans="1:12" x14ac:dyDescent="0.25">
      <c r="A61" s="55"/>
      <c r="B61" s="4" t="s">
        <v>231</v>
      </c>
      <c r="C61" s="29">
        <f>2752-70</f>
        <v>2682</v>
      </c>
      <c r="D61" s="5">
        <v>969</v>
      </c>
      <c r="E61" s="14">
        <f t="shared" si="0"/>
        <v>63.870246085011182</v>
      </c>
      <c r="F61" s="54"/>
      <c r="G61" s="50"/>
      <c r="H61" s="51"/>
      <c r="I61" s="51"/>
      <c r="J61" s="51"/>
      <c r="K61" s="51"/>
      <c r="L61" s="55"/>
    </row>
    <row r="62" spans="1:12" x14ac:dyDescent="0.25">
      <c r="A62" s="55"/>
      <c r="B62" s="4" t="s">
        <v>232</v>
      </c>
      <c r="C62" s="29">
        <f>2376-70</f>
        <v>2306</v>
      </c>
      <c r="D62" s="5">
        <v>827</v>
      </c>
      <c r="E62" s="14">
        <f t="shared" si="0"/>
        <v>64.13703382480486</v>
      </c>
      <c r="F62" s="54"/>
      <c r="G62" s="50"/>
      <c r="H62" s="51"/>
      <c r="I62" s="51"/>
      <c r="J62" s="51"/>
      <c r="K62" s="51"/>
      <c r="L62" s="55"/>
    </row>
    <row r="63" spans="1:12" x14ac:dyDescent="0.25">
      <c r="A63" s="55"/>
      <c r="B63" s="4" t="s">
        <v>233</v>
      </c>
      <c r="C63" s="29">
        <f>2968-70</f>
        <v>2898</v>
      </c>
      <c r="D63" s="5">
        <v>1098</v>
      </c>
      <c r="E63" s="14">
        <f t="shared" ref="E63:E111" si="4">IF(AND(ISNUMBER(C63),ISNUMBER(D63)), 100*(1-D63/C63), "-")</f>
        <v>62.111801242236034</v>
      </c>
      <c r="F63" s="54"/>
      <c r="G63" s="50"/>
      <c r="H63" s="51"/>
      <c r="I63" s="51"/>
      <c r="J63" s="51"/>
      <c r="K63" s="51"/>
      <c r="L63" s="55"/>
    </row>
    <row r="64" spans="1:12" x14ac:dyDescent="0.25">
      <c r="A64" s="55"/>
      <c r="B64" s="8" t="s">
        <v>266</v>
      </c>
      <c r="C64" s="27">
        <f>2440-70</f>
        <v>2370</v>
      </c>
      <c r="D64" s="9">
        <v>1374</v>
      </c>
      <c r="E64" s="15">
        <f t="shared" si="4"/>
        <v>42.025316455696206</v>
      </c>
      <c r="F64" s="54" t="s">
        <v>361</v>
      </c>
      <c r="G64" s="50">
        <v>41835</v>
      </c>
      <c r="H64" s="51">
        <f>AVERAGE(D64:D67)</f>
        <v>1412.25</v>
      </c>
      <c r="I64" s="51">
        <f>STDEV(D64:D67)</f>
        <v>110.54825492366068</v>
      </c>
      <c r="J64" s="51">
        <f>AVERAGE(E64:E67)</f>
        <v>40.601940073912189</v>
      </c>
      <c r="K64" s="51">
        <f>STDEV(E64:E67)</f>
        <v>1.5414638139443277</v>
      </c>
      <c r="L64" s="55" t="s">
        <v>331</v>
      </c>
    </row>
    <row r="65" spans="1:12" x14ac:dyDescent="0.25">
      <c r="A65" s="55"/>
      <c r="B65" s="8" t="s">
        <v>267</v>
      </c>
      <c r="C65" s="27">
        <f>2446-70</f>
        <v>2376</v>
      </c>
      <c r="D65" s="9">
        <v>1461</v>
      </c>
      <c r="E65" s="15">
        <f t="shared" si="4"/>
        <v>38.510101010101003</v>
      </c>
      <c r="F65" s="54"/>
      <c r="G65" s="50"/>
      <c r="H65" s="51"/>
      <c r="I65" s="51"/>
      <c r="J65" s="51"/>
      <c r="K65" s="51"/>
      <c r="L65" s="55"/>
    </row>
    <row r="66" spans="1:12" x14ac:dyDescent="0.25">
      <c r="A66" s="55"/>
      <c r="B66" s="8" t="s">
        <v>268</v>
      </c>
      <c r="C66" s="27">
        <f>2254-70</f>
        <v>2184</v>
      </c>
      <c r="D66" s="9">
        <v>1279</v>
      </c>
      <c r="E66" s="15">
        <f t="shared" si="4"/>
        <v>41.437728937728934</v>
      </c>
      <c r="F66" s="54"/>
      <c r="G66" s="50"/>
      <c r="H66" s="51"/>
      <c r="I66" s="51"/>
      <c r="J66" s="51"/>
      <c r="K66" s="51"/>
      <c r="L66" s="55"/>
    </row>
    <row r="67" spans="1:12" x14ac:dyDescent="0.25">
      <c r="A67" s="55"/>
      <c r="B67" s="8" t="s">
        <v>269</v>
      </c>
      <c r="C67" s="27">
        <f>2647-70</f>
        <v>2577</v>
      </c>
      <c r="D67" s="9">
        <v>1535</v>
      </c>
      <c r="E67" s="15">
        <f t="shared" si="4"/>
        <v>40.434613892122627</v>
      </c>
      <c r="F67" s="54"/>
      <c r="G67" s="50"/>
      <c r="H67" s="51"/>
      <c r="I67" s="51"/>
      <c r="J67" s="51"/>
      <c r="K67" s="51"/>
      <c r="L67" s="55"/>
    </row>
    <row r="68" spans="1:12" ht="15" customHeight="1" x14ac:dyDescent="0.25">
      <c r="A68" s="55"/>
      <c r="B68" s="4" t="s">
        <v>278</v>
      </c>
      <c r="C68" s="29">
        <f>1141-70</f>
        <v>1071</v>
      </c>
      <c r="D68" s="5" t="s">
        <v>20</v>
      </c>
      <c r="E68" s="14" t="str">
        <f t="shared" si="4"/>
        <v>-</v>
      </c>
      <c r="F68" s="54" t="s">
        <v>339</v>
      </c>
      <c r="G68" s="50">
        <v>41853</v>
      </c>
      <c r="H68" s="51">
        <f>AVERAGE(D68:D75)</f>
        <v>1142.75</v>
      </c>
      <c r="I68" s="51">
        <f>STDEV(D68:D75)</f>
        <v>158.40743879839314</v>
      </c>
      <c r="J68" s="51">
        <f>AVERAGE(E68:E75)</f>
        <v>4.9556484566516792</v>
      </c>
      <c r="K68" s="51">
        <f>STDEV(E68:E75)</f>
        <v>1.954154226840124</v>
      </c>
      <c r="L68" s="55" t="s">
        <v>331</v>
      </c>
    </row>
    <row r="69" spans="1:12" x14ac:dyDescent="0.25">
      <c r="A69" s="55"/>
      <c r="B69" s="4" t="s">
        <v>279</v>
      </c>
      <c r="C69" s="29">
        <f>1442-70</f>
        <v>1372</v>
      </c>
      <c r="D69" s="5" t="s">
        <v>20</v>
      </c>
      <c r="E69" s="14" t="str">
        <f t="shared" si="4"/>
        <v>-</v>
      </c>
      <c r="F69" s="54"/>
      <c r="G69" s="50"/>
      <c r="H69" s="51"/>
      <c r="I69" s="51"/>
      <c r="J69" s="51"/>
      <c r="K69" s="51"/>
      <c r="L69" s="55"/>
    </row>
    <row r="70" spans="1:12" x14ac:dyDescent="0.25">
      <c r="A70" s="55"/>
      <c r="B70" s="4" t="s">
        <v>280</v>
      </c>
      <c r="C70" s="29">
        <f>1265-70</f>
        <v>1195</v>
      </c>
      <c r="D70" s="5" t="s">
        <v>20</v>
      </c>
      <c r="E70" s="14" t="str">
        <f t="shared" si="4"/>
        <v>-</v>
      </c>
      <c r="F70" s="54"/>
      <c r="G70" s="50"/>
      <c r="H70" s="51"/>
      <c r="I70" s="51"/>
      <c r="J70" s="51"/>
      <c r="K70" s="51"/>
      <c r="L70" s="55"/>
    </row>
    <row r="71" spans="1:12" x14ac:dyDescent="0.25">
      <c r="A71" s="55"/>
      <c r="B71" s="4" t="s">
        <v>281</v>
      </c>
      <c r="C71" s="29">
        <f>1340-70</f>
        <v>1270</v>
      </c>
      <c r="D71" s="5" t="s">
        <v>20</v>
      </c>
      <c r="E71" s="14" t="str">
        <f t="shared" si="4"/>
        <v>-</v>
      </c>
      <c r="F71" s="54"/>
      <c r="G71" s="50"/>
      <c r="H71" s="51"/>
      <c r="I71" s="51"/>
      <c r="J71" s="51"/>
      <c r="K71" s="51"/>
      <c r="L71" s="55"/>
    </row>
    <row r="72" spans="1:12" ht="15" customHeight="1" x14ac:dyDescent="0.25">
      <c r="A72" s="55"/>
      <c r="B72" s="8" t="s">
        <v>274</v>
      </c>
      <c r="C72" s="27">
        <f>1368-70</f>
        <v>1298</v>
      </c>
      <c r="D72" s="27">
        <f>1308-70</f>
        <v>1238</v>
      </c>
      <c r="E72" s="15">
        <f t="shared" si="4"/>
        <v>4.6224961479198745</v>
      </c>
      <c r="F72" s="54" t="s">
        <v>341</v>
      </c>
      <c r="G72" s="50"/>
      <c r="H72" s="51"/>
      <c r="I72" s="51"/>
      <c r="J72" s="51"/>
      <c r="K72" s="51"/>
      <c r="L72" s="55"/>
    </row>
    <row r="73" spans="1:12" x14ac:dyDescent="0.25">
      <c r="A73" s="55"/>
      <c r="B73" s="8" t="s">
        <v>275</v>
      </c>
      <c r="C73" s="27">
        <f>1424-70</f>
        <v>1354</v>
      </c>
      <c r="D73" s="27">
        <f>1375-70</f>
        <v>1305</v>
      </c>
      <c r="E73" s="15">
        <f t="shared" si="4"/>
        <v>3.6189069423929077</v>
      </c>
      <c r="F73" s="54"/>
      <c r="G73" s="50"/>
      <c r="H73" s="51"/>
      <c r="I73" s="51"/>
      <c r="J73" s="51"/>
      <c r="K73" s="51"/>
      <c r="L73" s="55"/>
    </row>
    <row r="74" spans="1:12" x14ac:dyDescent="0.25">
      <c r="A74" s="55"/>
      <c r="B74" s="8" t="s">
        <v>276</v>
      </c>
      <c r="C74" s="27">
        <f>1184-70</f>
        <v>1114</v>
      </c>
      <c r="D74" s="27">
        <f>1142-70</f>
        <v>1072</v>
      </c>
      <c r="E74" s="15">
        <f t="shared" si="4"/>
        <v>3.7701974865350096</v>
      </c>
      <c r="F74" s="54"/>
      <c r="G74" s="50"/>
      <c r="H74" s="51"/>
      <c r="I74" s="51"/>
      <c r="J74" s="51"/>
      <c r="K74" s="51"/>
      <c r="L74" s="55"/>
    </row>
    <row r="75" spans="1:12" x14ac:dyDescent="0.25">
      <c r="A75" s="55"/>
      <c r="B75" s="8" t="s">
        <v>277</v>
      </c>
      <c r="C75" s="27">
        <f>1107-70</f>
        <v>1037</v>
      </c>
      <c r="D75" s="27">
        <f>1026-70</f>
        <v>956</v>
      </c>
      <c r="E75" s="15">
        <f t="shared" si="4"/>
        <v>7.8109932497589245</v>
      </c>
      <c r="F75" s="54"/>
      <c r="G75" s="50"/>
      <c r="H75" s="51"/>
      <c r="I75" s="51"/>
      <c r="J75" s="51"/>
      <c r="K75" s="51"/>
      <c r="L75" s="55"/>
    </row>
    <row r="76" spans="1:12" x14ac:dyDescent="0.25">
      <c r="A76" s="55"/>
      <c r="B76" s="8" t="s">
        <v>364</v>
      </c>
      <c r="C76" s="9" t="s">
        <v>20</v>
      </c>
      <c r="D76" s="9">
        <v>395.03</v>
      </c>
      <c r="E76" s="15" t="str">
        <f t="shared" si="4"/>
        <v>-</v>
      </c>
      <c r="F76" s="61" t="s">
        <v>350</v>
      </c>
      <c r="G76" s="50">
        <v>41853</v>
      </c>
      <c r="H76" s="51">
        <f>AVERAGE(D76:D83)</f>
        <v>509.69285714285712</v>
      </c>
      <c r="I76" s="51">
        <f>STDEV(D76:D83)</f>
        <v>88.576527687322184</v>
      </c>
      <c r="J76" s="51" t="s">
        <v>320</v>
      </c>
      <c r="K76" s="51" t="s">
        <v>320</v>
      </c>
      <c r="L76" s="62" t="s">
        <v>327</v>
      </c>
    </row>
    <row r="77" spans="1:12" x14ac:dyDescent="0.25">
      <c r="A77" s="55"/>
      <c r="B77" s="8" t="s">
        <v>365</v>
      </c>
      <c r="C77" s="9" t="s">
        <v>20</v>
      </c>
      <c r="D77" s="9">
        <v>546.82000000000005</v>
      </c>
      <c r="E77" s="15" t="str">
        <f t="shared" si="4"/>
        <v>-</v>
      </c>
      <c r="F77" s="61"/>
      <c r="G77" s="50"/>
      <c r="H77" s="51"/>
      <c r="I77" s="51"/>
      <c r="J77" s="51"/>
      <c r="K77" s="51"/>
      <c r="L77" s="62"/>
    </row>
    <row r="78" spans="1:12" x14ac:dyDescent="0.25">
      <c r="A78" s="55"/>
      <c r="B78" s="8" t="s">
        <v>366</v>
      </c>
      <c r="C78" s="9" t="s">
        <v>20</v>
      </c>
      <c r="D78" s="9">
        <v>505.71</v>
      </c>
      <c r="E78" s="15" t="str">
        <f t="shared" si="4"/>
        <v>-</v>
      </c>
      <c r="F78" s="61"/>
      <c r="G78" s="50"/>
      <c r="H78" s="51"/>
      <c r="I78" s="51"/>
      <c r="J78" s="51"/>
      <c r="K78" s="51"/>
      <c r="L78" s="62"/>
    </row>
    <row r="79" spans="1:12" x14ac:dyDescent="0.25">
      <c r="A79" s="55"/>
      <c r="B79" s="36" t="s">
        <v>367</v>
      </c>
      <c r="C79" s="9" t="s">
        <v>20</v>
      </c>
      <c r="D79" s="9" t="s">
        <v>20</v>
      </c>
      <c r="E79" s="15" t="str">
        <f t="shared" si="4"/>
        <v>-</v>
      </c>
      <c r="F79" s="61"/>
      <c r="G79" s="50"/>
      <c r="H79" s="51"/>
      <c r="I79" s="51"/>
      <c r="J79" s="51"/>
      <c r="K79" s="51"/>
      <c r="L79" s="62"/>
    </row>
    <row r="80" spans="1:12" x14ac:dyDescent="0.25">
      <c r="A80" s="55"/>
      <c r="B80" s="4" t="s">
        <v>368</v>
      </c>
      <c r="C80" s="5" t="s">
        <v>20</v>
      </c>
      <c r="D80" s="5">
        <v>620.33000000000004</v>
      </c>
      <c r="E80" s="14" t="str">
        <f t="shared" si="4"/>
        <v>-</v>
      </c>
      <c r="F80" s="61"/>
      <c r="G80" s="50"/>
      <c r="H80" s="51"/>
      <c r="I80" s="51"/>
      <c r="J80" s="51"/>
      <c r="K80" s="51"/>
      <c r="L80" s="62"/>
    </row>
    <row r="81" spans="1:12" x14ac:dyDescent="0.25">
      <c r="A81" s="55"/>
      <c r="B81" s="4" t="s">
        <v>369</v>
      </c>
      <c r="C81" s="5" t="s">
        <v>20</v>
      </c>
      <c r="D81" s="5">
        <v>612.96</v>
      </c>
      <c r="E81" s="14" t="str">
        <f t="shared" si="4"/>
        <v>-</v>
      </c>
      <c r="F81" s="61"/>
      <c r="G81" s="50"/>
      <c r="H81" s="51"/>
      <c r="I81" s="51"/>
      <c r="J81" s="51"/>
      <c r="K81" s="51"/>
      <c r="L81" s="62"/>
    </row>
    <row r="82" spans="1:12" x14ac:dyDescent="0.25">
      <c r="A82" s="55"/>
      <c r="B82" s="4" t="s">
        <v>370</v>
      </c>
      <c r="C82" s="5" t="s">
        <v>20</v>
      </c>
      <c r="D82" s="5">
        <v>464.3</v>
      </c>
      <c r="E82" s="14" t="str">
        <f t="shared" si="4"/>
        <v>-</v>
      </c>
      <c r="F82" s="61"/>
      <c r="G82" s="50"/>
      <c r="H82" s="51"/>
      <c r="I82" s="51"/>
      <c r="J82" s="51"/>
      <c r="K82" s="51"/>
      <c r="L82" s="62"/>
    </row>
    <row r="83" spans="1:12" x14ac:dyDescent="0.25">
      <c r="A83" s="55"/>
      <c r="B83" s="4" t="s">
        <v>371</v>
      </c>
      <c r="C83" s="5" t="s">
        <v>20</v>
      </c>
      <c r="D83" s="5">
        <v>422.7</v>
      </c>
      <c r="E83" s="14" t="str">
        <f t="shared" si="4"/>
        <v>-</v>
      </c>
      <c r="F83" s="61"/>
      <c r="G83" s="50"/>
      <c r="H83" s="51"/>
      <c r="I83" s="51"/>
      <c r="J83" s="51"/>
      <c r="K83" s="51"/>
      <c r="L83" s="62"/>
    </row>
    <row r="84" spans="1:12" x14ac:dyDescent="0.25">
      <c r="A84" s="53">
        <v>2015</v>
      </c>
      <c r="B84" s="8" t="s">
        <v>282</v>
      </c>
      <c r="C84" s="9">
        <v>26</v>
      </c>
      <c r="D84" s="9">
        <v>3</v>
      </c>
      <c r="E84" s="15">
        <f t="shared" si="4"/>
        <v>88.461538461538453</v>
      </c>
      <c r="G84" s="50">
        <v>42142</v>
      </c>
      <c r="H84" s="51">
        <f>AVERAGE(D84:D87)</f>
        <v>3.75</v>
      </c>
      <c r="I84" s="51">
        <f>STDEV(D84:D87)</f>
        <v>1.5</v>
      </c>
      <c r="J84" s="51">
        <f>AVERAGE(E84:E87)</f>
        <v>89.49014742373376</v>
      </c>
      <c r="K84" s="51">
        <f>STDEV(E84:E87)</f>
        <v>1.507227766999127</v>
      </c>
      <c r="L84" s="55" t="s">
        <v>331</v>
      </c>
    </row>
    <row r="85" spans="1:12" x14ac:dyDescent="0.25">
      <c r="A85" s="53"/>
      <c r="B85" s="8" t="s">
        <v>283</v>
      </c>
      <c r="C85" s="9">
        <v>34</v>
      </c>
      <c r="D85" s="9">
        <v>3</v>
      </c>
      <c r="E85" s="15">
        <f t="shared" si="4"/>
        <v>91.17647058823529</v>
      </c>
      <c r="G85" s="50"/>
      <c r="H85" s="51"/>
      <c r="I85" s="51"/>
      <c r="J85" s="51"/>
      <c r="K85" s="51"/>
      <c r="L85" s="55"/>
    </row>
    <row r="86" spans="1:12" x14ac:dyDescent="0.25">
      <c r="A86" s="53"/>
      <c r="B86" s="8" t="s">
        <v>284</v>
      </c>
      <c r="C86" s="9">
        <v>62</v>
      </c>
      <c r="D86" s="9">
        <v>6</v>
      </c>
      <c r="E86" s="15">
        <f t="shared" si="4"/>
        <v>90.322580645161281</v>
      </c>
      <c r="G86" s="50"/>
      <c r="H86" s="51"/>
      <c r="I86" s="51"/>
      <c r="J86" s="51"/>
      <c r="K86" s="51"/>
      <c r="L86" s="55"/>
    </row>
    <row r="87" spans="1:12" x14ac:dyDescent="0.25">
      <c r="A87" s="53"/>
      <c r="B87" s="8" t="s">
        <v>285</v>
      </c>
      <c r="C87" s="9">
        <v>25</v>
      </c>
      <c r="D87" s="9">
        <v>3</v>
      </c>
      <c r="E87" s="15">
        <f t="shared" si="4"/>
        <v>88</v>
      </c>
      <c r="G87" s="50"/>
      <c r="H87" s="51"/>
      <c r="I87" s="51"/>
      <c r="J87" s="51"/>
      <c r="K87" s="51"/>
      <c r="L87" s="55"/>
    </row>
    <row r="88" spans="1:12" x14ac:dyDescent="0.25">
      <c r="A88" s="53"/>
      <c r="B88" s="4" t="s">
        <v>286</v>
      </c>
      <c r="C88" s="5">
        <v>376</v>
      </c>
      <c r="D88" s="5">
        <v>54</v>
      </c>
      <c r="E88" s="14">
        <f t="shared" si="4"/>
        <v>85.638297872340431</v>
      </c>
      <c r="G88" s="50">
        <v>42156</v>
      </c>
      <c r="H88" s="51">
        <f>AVERAGE(D88:D91)</f>
        <v>89.25</v>
      </c>
      <c r="I88" s="51">
        <f>STDEV(D88:D91)</f>
        <v>32.633060945407294</v>
      </c>
      <c r="J88" s="51">
        <f>AVERAGE(E88:E91)</f>
        <v>87.829525228541371</v>
      </c>
      <c r="K88" s="51">
        <f>STDEV(E88:E91)</f>
        <v>1.4716110801561579</v>
      </c>
      <c r="L88" s="55" t="s">
        <v>331</v>
      </c>
    </row>
    <row r="89" spans="1:12" x14ac:dyDescent="0.25">
      <c r="A89" s="53"/>
      <c r="B89" s="4" t="s">
        <v>287</v>
      </c>
      <c r="C89" s="5">
        <v>1181</v>
      </c>
      <c r="D89" s="5">
        <v>133</v>
      </c>
      <c r="E89" s="14">
        <f t="shared" si="4"/>
        <v>88.738357324301447</v>
      </c>
      <c r="G89" s="50"/>
      <c r="H89" s="51"/>
      <c r="I89" s="51"/>
      <c r="J89" s="51"/>
      <c r="K89" s="51"/>
      <c r="L89" s="55"/>
    </row>
    <row r="90" spans="1:12" x14ac:dyDescent="0.25">
      <c r="A90" s="53"/>
      <c r="B90" s="4" t="s">
        <v>288</v>
      </c>
      <c r="C90" s="5">
        <v>719</v>
      </c>
      <c r="D90" s="5">
        <v>84</v>
      </c>
      <c r="E90" s="14">
        <f t="shared" si="4"/>
        <v>88.317107093184973</v>
      </c>
      <c r="G90" s="50"/>
      <c r="H90" s="51"/>
      <c r="I90" s="51"/>
      <c r="J90" s="51"/>
      <c r="K90" s="51"/>
      <c r="L90" s="55"/>
    </row>
    <row r="91" spans="1:12" x14ac:dyDescent="0.25">
      <c r="A91" s="53"/>
      <c r="B91" s="4" t="s">
        <v>289</v>
      </c>
      <c r="C91" s="5">
        <v>756</v>
      </c>
      <c r="D91" s="5">
        <v>86</v>
      </c>
      <c r="E91" s="14">
        <f t="shared" si="4"/>
        <v>88.624338624338634</v>
      </c>
      <c r="G91" s="50"/>
      <c r="H91" s="51"/>
      <c r="I91" s="51"/>
      <c r="J91" s="51"/>
      <c r="K91" s="51"/>
      <c r="L91" s="55"/>
    </row>
    <row r="92" spans="1:12" x14ac:dyDescent="0.25">
      <c r="A92" s="53"/>
      <c r="B92" s="8" t="s">
        <v>290</v>
      </c>
      <c r="C92" s="9">
        <v>681</v>
      </c>
      <c r="D92" s="9">
        <v>152</v>
      </c>
      <c r="E92" s="15">
        <f t="shared" si="4"/>
        <v>77.679882525697508</v>
      </c>
      <c r="G92" s="50">
        <v>42170</v>
      </c>
      <c r="H92" s="51">
        <f>AVERAGE(D92:D95)</f>
        <v>179.5</v>
      </c>
      <c r="I92" s="51">
        <f>STDEV(D92:D95)</f>
        <v>38.310137909783968</v>
      </c>
      <c r="J92" s="51">
        <f>AVERAGE(E92:E95)</f>
        <v>78.734611107158401</v>
      </c>
      <c r="K92" s="51">
        <f>STDEV(E92:E95)</f>
        <v>1.3735847930784471</v>
      </c>
      <c r="L92" s="55" t="s">
        <v>331</v>
      </c>
    </row>
    <row r="93" spans="1:12" x14ac:dyDescent="0.25">
      <c r="A93" s="53"/>
      <c r="B93" s="8" t="s">
        <v>291</v>
      </c>
      <c r="C93" s="9">
        <v>826</v>
      </c>
      <c r="D93" s="9">
        <v>184</v>
      </c>
      <c r="E93" s="15">
        <f t="shared" si="4"/>
        <v>77.723970944309926</v>
      </c>
      <c r="G93" s="50"/>
      <c r="H93" s="51"/>
      <c r="I93" s="51"/>
      <c r="J93" s="51"/>
      <c r="K93" s="51"/>
      <c r="L93" s="55"/>
    </row>
    <row r="94" spans="1:12" x14ac:dyDescent="0.25">
      <c r="A94" s="53"/>
      <c r="B94" s="8" t="s">
        <v>292</v>
      </c>
      <c r="C94" s="9">
        <v>712</v>
      </c>
      <c r="D94" s="9">
        <v>150</v>
      </c>
      <c r="E94" s="15">
        <f t="shared" si="4"/>
        <v>78.932584269662925</v>
      </c>
      <c r="G94" s="50"/>
      <c r="H94" s="51"/>
      <c r="I94" s="51"/>
      <c r="J94" s="51"/>
      <c r="K94" s="51"/>
      <c r="L94" s="55"/>
    </row>
    <row r="95" spans="1:12" x14ac:dyDescent="0.25">
      <c r="A95" s="53"/>
      <c r="B95" s="8" t="s">
        <v>293</v>
      </c>
      <c r="C95" s="9">
        <v>1196</v>
      </c>
      <c r="D95" s="9">
        <v>232</v>
      </c>
      <c r="E95" s="15">
        <f t="shared" si="4"/>
        <v>80.602006688963215</v>
      </c>
      <c r="G95" s="50"/>
      <c r="H95" s="51"/>
      <c r="I95" s="51"/>
      <c r="J95" s="51"/>
      <c r="K95" s="51"/>
      <c r="L95" s="55"/>
    </row>
    <row r="96" spans="1:12" x14ac:dyDescent="0.25">
      <c r="A96" s="53"/>
      <c r="B96" s="4" t="s">
        <v>294</v>
      </c>
      <c r="C96" s="5">
        <v>669</v>
      </c>
      <c r="D96" s="5">
        <v>104</v>
      </c>
      <c r="E96" s="14">
        <f t="shared" si="4"/>
        <v>84.454409566517199</v>
      </c>
      <c r="G96" s="50">
        <v>42184</v>
      </c>
      <c r="H96" s="51">
        <f>AVERAGE(D96:D99)</f>
        <v>294.5</v>
      </c>
      <c r="I96" s="51">
        <f>STDEV(D96:D99)</f>
        <v>137.98913000667844</v>
      </c>
      <c r="J96" s="51">
        <f>AVERAGE(E96:E99)</f>
        <v>78.069915408252484</v>
      </c>
      <c r="K96" s="51">
        <f>STDEV(E96:E99)</f>
        <v>4.2844240642256333</v>
      </c>
      <c r="L96" s="55" t="s">
        <v>331</v>
      </c>
    </row>
    <row r="97" spans="1:12" x14ac:dyDescent="0.25">
      <c r="A97" s="53"/>
      <c r="B97" s="4" t="s">
        <v>295</v>
      </c>
      <c r="C97" s="5">
        <v>1395</v>
      </c>
      <c r="D97" s="5">
        <v>326</v>
      </c>
      <c r="E97" s="14">
        <f t="shared" si="4"/>
        <v>76.630824372759861</v>
      </c>
      <c r="G97" s="50"/>
      <c r="H97" s="51"/>
      <c r="I97" s="51"/>
      <c r="J97" s="51"/>
      <c r="K97" s="51"/>
      <c r="L97" s="55"/>
    </row>
    <row r="98" spans="1:12" x14ac:dyDescent="0.25">
      <c r="A98" s="53"/>
      <c r="B98" s="4" t="s">
        <v>296</v>
      </c>
      <c r="C98" s="5">
        <v>1290</v>
      </c>
      <c r="D98" s="5">
        <v>314</v>
      </c>
      <c r="E98" s="14">
        <f t="shared" si="4"/>
        <v>75.658914728682163</v>
      </c>
      <c r="G98" s="50"/>
      <c r="H98" s="51"/>
      <c r="I98" s="51"/>
      <c r="J98" s="51"/>
      <c r="K98" s="51"/>
      <c r="L98" s="55"/>
    </row>
    <row r="99" spans="1:12" x14ac:dyDescent="0.25">
      <c r="A99" s="53"/>
      <c r="B99" s="4" t="s">
        <v>297</v>
      </c>
      <c r="C99" s="5">
        <v>1774</v>
      </c>
      <c r="D99" s="5">
        <v>434</v>
      </c>
      <c r="E99" s="14">
        <f t="shared" si="4"/>
        <v>75.535512965050728</v>
      </c>
      <c r="G99" s="50"/>
      <c r="H99" s="51"/>
      <c r="I99" s="51"/>
      <c r="J99" s="51"/>
      <c r="K99" s="51"/>
      <c r="L99" s="55"/>
    </row>
    <row r="100" spans="1:12" x14ac:dyDescent="0.25">
      <c r="A100" s="53"/>
      <c r="B100" s="8" t="s">
        <v>298</v>
      </c>
      <c r="C100" s="9">
        <v>1642</v>
      </c>
      <c r="D100" s="9">
        <v>414</v>
      </c>
      <c r="E100" s="15">
        <f t="shared" si="4"/>
        <v>74.786845310596831</v>
      </c>
      <c r="G100" s="50">
        <v>42198</v>
      </c>
      <c r="H100" s="51">
        <f>AVERAGE(D100:D103)</f>
        <v>430</v>
      </c>
      <c r="I100" s="51">
        <f>STDEV(D100:D103)</f>
        <v>39.832984656772418</v>
      </c>
      <c r="J100" s="51">
        <f>AVERAGE(E100:E103)</f>
        <v>68.340329722456104</v>
      </c>
      <c r="K100" s="51">
        <f>STDEV(E100:E103)</f>
        <v>4.3845615789879266</v>
      </c>
      <c r="L100" s="55" t="s">
        <v>331</v>
      </c>
    </row>
    <row r="101" spans="1:12" x14ac:dyDescent="0.25">
      <c r="A101" s="53"/>
      <c r="B101" s="8" t="s">
        <v>299</v>
      </c>
      <c r="C101" s="9">
        <v>1334</v>
      </c>
      <c r="D101" s="9">
        <v>436</v>
      </c>
      <c r="E101" s="15">
        <f t="shared" si="4"/>
        <v>67.316341829085459</v>
      </c>
      <c r="G101" s="50"/>
      <c r="H101" s="51"/>
      <c r="I101" s="51"/>
      <c r="J101" s="51"/>
      <c r="K101" s="51"/>
      <c r="L101" s="55"/>
    </row>
    <row r="102" spans="1:12" x14ac:dyDescent="0.25">
      <c r="A102" s="53"/>
      <c r="B102" s="8" t="s">
        <v>300</v>
      </c>
      <c r="C102" s="9">
        <v>1115</v>
      </c>
      <c r="D102" s="9">
        <v>388</v>
      </c>
      <c r="E102" s="15">
        <f t="shared" si="4"/>
        <v>65.201793721973104</v>
      </c>
      <c r="G102" s="50"/>
      <c r="H102" s="51"/>
      <c r="I102" s="51"/>
      <c r="J102" s="51"/>
      <c r="K102" s="51"/>
      <c r="L102" s="55"/>
    </row>
    <row r="103" spans="1:12" x14ac:dyDescent="0.25">
      <c r="A103" s="53"/>
      <c r="B103" s="8" t="s">
        <v>301</v>
      </c>
      <c r="C103" s="9">
        <v>1420</v>
      </c>
      <c r="D103" s="9">
        <v>482</v>
      </c>
      <c r="E103" s="15">
        <f t="shared" si="4"/>
        <v>66.056338028169009</v>
      </c>
      <c r="G103" s="50"/>
      <c r="H103" s="51"/>
      <c r="I103" s="51"/>
      <c r="J103" s="51"/>
      <c r="K103" s="51"/>
      <c r="L103" s="55"/>
    </row>
    <row r="104" spans="1:12" x14ac:dyDescent="0.25">
      <c r="A104" s="53"/>
      <c r="B104" s="4" t="s">
        <v>302</v>
      </c>
      <c r="C104" s="5" t="s">
        <v>20</v>
      </c>
      <c r="D104" s="5">
        <v>648</v>
      </c>
      <c r="E104" s="14" t="str">
        <f t="shared" si="4"/>
        <v>-</v>
      </c>
      <c r="F104" s="19" t="s">
        <v>329</v>
      </c>
      <c r="G104" s="50">
        <v>42212</v>
      </c>
      <c r="H104" s="51">
        <f>AVERAGE(D104:D107)</f>
        <v>504.25</v>
      </c>
      <c r="I104" s="51">
        <f>STDEV(D104:D107)</f>
        <v>128.38840809564286</v>
      </c>
      <c r="J104" s="51" t="s">
        <v>320</v>
      </c>
      <c r="K104" s="51" t="s">
        <v>320</v>
      </c>
      <c r="L104" s="55" t="s">
        <v>331</v>
      </c>
    </row>
    <row r="105" spans="1:12" x14ac:dyDescent="0.25">
      <c r="A105" s="53"/>
      <c r="B105" s="4" t="s">
        <v>303</v>
      </c>
      <c r="C105" s="5" t="s">
        <v>20</v>
      </c>
      <c r="D105" s="5">
        <v>567</v>
      </c>
      <c r="E105" s="14" t="str">
        <f t="shared" si="4"/>
        <v>-</v>
      </c>
      <c r="G105" s="50"/>
      <c r="H105" s="51"/>
      <c r="I105" s="51"/>
      <c r="J105" s="51"/>
      <c r="K105" s="51"/>
      <c r="L105" s="55"/>
    </row>
    <row r="106" spans="1:12" x14ac:dyDescent="0.25">
      <c r="A106" s="53"/>
      <c r="B106" s="4" t="s">
        <v>304</v>
      </c>
      <c r="C106" s="5" t="s">
        <v>20</v>
      </c>
      <c r="D106" s="5">
        <v>443</v>
      </c>
      <c r="E106" s="14" t="str">
        <f t="shared" si="4"/>
        <v>-</v>
      </c>
      <c r="G106" s="50"/>
      <c r="H106" s="51"/>
      <c r="I106" s="51"/>
      <c r="J106" s="51"/>
      <c r="K106" s="51"/>
      <c r="L106" s="55"/>
    </row>
    <row r="107" spans="1:12" x14ac:dyDescent="0.25">
      <c r="A107" s="53"/>
      <c r="B107" s="4" t="s">
        <v>305</v>
      </c>
      <c r="C107" s="5" t="s">
        <v>20</v>
      </c>
      <c r="D107" s="5">
        <v>359</v>
      </c>
      <c r="E107" s="14" t="str">
        <f t="shared" si="4"/>
        <v>-</v>
      </c>
      <c r="G107" s="50"/>
      <c r="H107" s="51"/>
      <c r="I107" s="51"/>
      <c r="J107" s="51"/>
      <c r="K107" s="51"/>
      <c r="L107" s="55"/>
    </row>
    <row r="108" spans="1:12" x14ac:dyDescent="0.25">
      <c r="A108" s="53"/>
      <c r="B108" s="8" t="s">
        <v>306</v>
      </c>
      <c r="C108" s="9">
        <v>936</v>
      </c>
      <c r="D108" s="9">
        <v>633</v>
      </c>
      <c r="E108" s="41">
        <f t="shared" si="4"/>
        <v>32.371794871794869</v>
      </c>
      <c r="G108" s="50">
        <v>42226</v>
      </c>
      <c r="H108" s="51">
        <f>AVERAGE(D108:D111)</f>
        <v>496.5</v>
      </c>
      <c r="I108" s="51">
        <f>STDEV(D108:D111)</f>
        <v>96.0780932366999</v>
      </c>
      <c r="J108" s="51">
        <f>AVERAGE(E108:E111)</f>
        <v>31.992327745291107</v>
      </c>
      <c r="K108" s="51">
        <f>STDEV(E108:E111)</f>
        <v>7.8375398648606343</v>
      </c>
      <c r="L108" s="55" t="s">
        <v>331</v>
      </c>
    </row>
    <row r="109" spans="1:12" x14ac:dyDescent="0.25">
      <c r="A109" s="53"/>
      <c r="B109" s="8" t="s">
        <v>307</v>
      </c>
      <c r="C109" s="9">
        <v>638</v>
      </c>
      <c r="D109" s="9">
        <v>446</v>
      </c>
      <c r="E109" s="41">
        <f t="shared" si="4"/>
        <v>30.094043887147336</v>
      </c>
      <c r="G109" s="50"/>
      <c r="H109" s="51"/>
      <c r="I109" s="51"/>
      <c r="J109" s="51"/>
      <c r="K109" s="51"/>
      <c r="L109" s="55"/>
    </row>
    <row r="110" spans="1:12" x14ac:dyDescent="0.25">
      <c r="A110" s="53"/>
      <c r="B110" s="8" t="s">
        <v>308</v>
      </c>
      <c r="C110" s="9">
        <v>720</v>
      </c>
      <c r="D110" s="9">
        <v>416</v>
      </c>
      <c r="E110" s="41">
        <f t="shared" si="4"/>
        <v>42.222222222222229</v>
      </c>
      <c r="G110" s="50"/>
      <c r="H110" s="51"/>
      <c r="I110" s="51"/>
      <c r="J110" s="51"/>
      <c r="K110" s="51"/>
      <c r="L110" s="55"/>
    </row>
    <row r="111" spans="1:12" x14ac:dyDescent="0.25">
      <c r="A111" s="53"/>
      <c r="B111" s="8" t="s">
        <v>309</v>
      </c>
      <c r="C111" s="9">
        <v>640</v>
      </c>
      <c r="D111" s="9">
        <v>491</v>
      </c>
      <c r="E111" s="41">
        <f t="shared" si="4"/>
        <v>23.281249999999996</v>
      </c>
      <c r="G111" s="50"/>
      <c r="H111" s="51"/>
      <c r="I111" s="51"/>
      <c r="J111" s="51"/>
      <c r="K111" s="51"/>
      <c r="L111" s="55"/>
    </row>
    <row r="112" spans="1:12" x14ac:dyDescent="0.25">
      <c r="B112" s="8"/>
      <c r="C112" s="9"/>
      <c r="D112" s="9"/>
      <c r="E112" s="10"/>
      <c r="G112" s="47"/>
      <c r="H112" s="20"/>
      <c r="I112" s="20"/>
      <c r="J112" s="20"/>
      <c r="K112" s="20"/>
    </row>
    <row r="113" spans="2:11" x14ac:dyDescent="0.25">
      <c r="B113" s="8"/>
      <c r="C113" s="9"/>
      <c r="D113" s="9"/>
      <c r="E113" s="10"/>
      <c r="G113" s="47"/>
      <c r="H113" s="20"/>
      <c r="I113" s="20"/>
      <c r="J113" s="20"/>
      <c r="K113" s="20"/>
    </row>
    <row r="114" spans="2:11" x14ac:dyDescent="0.25">
      <c r="B114" s="8"/>
      <c r="C114" s="9"/>
      <c r="D114" s="9"/>
      <c r="E114" s="10"/>
      <c r="G114" s="47"/>
      <c r="H114" s="20"/>
      <c r="I114" s="20"/>
      <c r="J114" s="20"/>
      <c r="K114" s="20"/>
    </row>
    <row r="115" spans="2:11" x14ac:dyDescent="0.25">
      <c r="B115" s="8"/>
      <c r="C115" s="9"/>
      <c r="D115" s="9"/>
      <c r="E115" s="10"/>
      <c r="G115" s="47"/>
      <c r="H115" s="20"/>
      <c r="I115" s="20"/>
      <c r="J115" s="20"/>
      <c r="K115" s="20"/>
    </row>
    <row r="116" spans="2:11" x14ac:dyDescent="0.25">
      <c r="G116" s="47"/>
      <c r="H116" s="20"/>
      <c r="I116" s="20"/>
      <c r="J116" s="20"/>
      <c r="K116" s="20"/>
    </row>
    <row r="117" spans="2:11" x14ac:dyDescent="0.25">
      <c r="G117" s="47"/>
      <c r="H117" s="20"/>
      <c r="I117" s="20"/>
      <c r="J117" s="20"/>
      <c r="K117" s="20"/>
    </row>
    <row r="118" spans="2:11" x14ac:dyDescent="0.25">
      <c r="G118" s="47"/>
      <c r="H118" s="20"/>
      <c r="I118" s="20"/>
      <c r="J118" s="20"/>
      <c r="K118" s="20"/>
    </row>
    <row r="119" spans="2:11" x14ac:dyDescent="0.25">
      <c r="G119" s="47"/>
      <c r="H119" s="20"/>
      <c r="I119" s="20"/>
      <c r="J119" s="20"/>
      <c r="K119" s="20"/>
    </row>
    <row r="120" spans="2:11" x14ac:dyDescent="0.25">
      <c r="G120" s="47"/>
      <c r="H120" s="20"/>
      <c r="I120" s="20"/>
      <c r="J120" s="20"/>
      <c r="K120" s="20"/>
    </row>
    <row r="121" spans="2:11" x14ac:dyDescent="0.25">
      <c r="G121" s="47"/>
      <c r="H121" s="20"/>
      <c r="I121" s="20"/>
      <c r="J121" s="20"/>
      <c r="K121" s="20"/>
    </row>
    <row r="122" spans="2:11" x14ac:dyDescent="0.25">
      <c r="G122" s="47"/>
      <c r="H122" s="20"/>
      <c r="I122" s="20"/>
      <c r="J122" s="20"/>
      <c r="K122" s="20"/>
    </row>
    <row r="123" spans="2:11" x14ac:dyDescent="0.25">
      <c r="G123" s="47"/>
      <c r="H123" s="20"/>
      <c r="I123" s="20"/>
      <c r="J123" s="20"/>
      <c r="K123" s="20"/>
    </row>
  </sheetData>
  <mergeCells count="167">
    <mergeCell ref="F56:F59"/>
    <mergeCell ref="F64:F67"/>
    <mergeCell ref="G68:G75"/>
    <mergeCell ref="G60:G63"/>
    <mergeCell ref="G44:G47"/>
    <mergeCell ref="G52:G55"/>
    <mergeCell ref="H64:H67"/>
    <mergeCell ref="I64:I67"/>
    <mergeCell ref="J64:J67"/>
    <mergeCell ref="H68:H75"/>
    <mergeCell ref="I68:I75"/>
    <mergeCell ref="J68:J75"/>
    <mergeCell ref="H52:H55"/>
    <mergeCell ref="I52:I55"/>
    <mergeCell ref="J52:J55"/>
    <mergeCell ref="J44:J47"/>
    <mergeCell ref="I48:I51"/>
    <mergeCell ref="J48:J51"/>
    <mergeCell ref="L22:L25"/>
    <mergeCell ref="L26:L27"/>
    <mergeCell ref="L108:L111"/>
    <mergeCell ref="F18:F21"/>
    <mergeCell ref="L2:L5"/>
    <mergeCell ref="L6:L9"/>
    <mergeCell ref="L10:L13"/>
    <mergeCell ref="L14:L17"/>
    <mergeCell ref="L18:L21"/>
    <mergeCell ref="L28:L31"/>
    <mergeCell ref="L32:L35"/>
    <mergeCell ref="L44:L47"/>
    <mergeCell ref="L48:L51"/>
    <mergeCell ref="L52:L55"/>
    <mergeCell ref="L56:L59"/>
    <mergeCell ref="L60:L63"/>
    <mergeCell ref="L64:L67"/>
    <mergeCell ref="G26:G27"/>
    <mergeCell ref="H26:H27"/>
    <mergeCell ref="F26:F27"/>
    <mergeCell ref="H100:H103"/>
    <mergeCell ref="I100:I103"/>
    <mergeCell ref="J100:J103"/>
    <mergeCell ref="K100:K103"/>
    <mergeCell ref="K52:K55"/>
    <mergeCell ref="H60:H63"/>
    <mergeCell ref="I60:I63"/>
    <mergeCell ref="K64:K67"/>
    <mergeCell ref="I76:I83"/>
    <mergeCell ref="H76:H83"/>
    <mergeCell ref="H84:H87"/>
    <mergeCell ref="I84:I87"/>
    <mergeCell ref="J84:J87"/>
    <mergeCell ref="K84:K87"/>
    <mergeCell ref="K68:K75"/>
    <mergeCell ref="H56:H59"/>
    <mergeCell ref="I56:I59"/>
    <mergeCell ref="L88:L91"/>
    <mergeCell ref="L92:L95"/>
    <mergeCell ref="L96:L99"/>
    <mergeCell ref="L100:L103"/>
    <mergeCell ref="L104:L107"/>
    <mergeCell ref="L84:L87"/>
    <mergeCell ref="L76:L83"/>
    <mergeCell ref="K76:K83"/>
    <mergeCell ref="J76:J83"/>
    <mergeCell ref="L68:L75"/>
    <mergeCell ref="J60:J63"/>
    <mergeCell ref="K60:K63"/>
    <mergeCell ref="J88:J91"/>
    <mergeCell ref="K88:K91"/>
    <mergeCell ref="J56:J59"/>
    <mergeCell ref="K56:K59"/>
    <mergeCell ref="L36:L43"/>
    <mergeCell ref="H108:H111"/>
    <mergeCell ref="I108:I111"/>
    <mergeCell ref="J108:J111"/>
    <mergeCell ref="K108:K111"/>
    <mergeCell ref="G104:G107"/>
    <mergeCell ref="H104:H107"/>
    <mergeCell ref="I104:I107"/>
    <mergeCell ref="J104:J107"/>
    <mergeCell ref="K104:K107"/>
    <mergeCell ref="G96:G99"/>
    <mergeCell ref="H96:H99"/>
    <mergeCell ref="I96:I99"/>
    <mergeCell ref="J96:J99"/>
    <mergeCell ref="K96:K99"/>
    <mergeCell ref="H92:H95"/>
    <mergeCell ref="I92:I95"/>
    <mergeCell ref="J92:J95"/>
    <mergeCell ref="K92:K95"/>
    <mergeCell ref="G76:G83"/>
    <mergeCell ref="G84:G87"/>
    <mergeCell ref="H48:H51"/>
    <mergeCell ref="H88:H91"/>
    <mergeCell ref="I88:I91"/>
    <mergeCell ref="K48:K51"/>
    <mergeCell ref="K44:K47"/>
    <mergeCell ref="H44:H47"/>
    <mergeCell ref="I44:I47"/>
    <mergeCell ref="H36:H43"/>
    <mergeCell ref="I36:I43"/>
    <mergeCell ref="G36:G43"/>
    <mergeCell ref="I26:I27"/>
    <mergeCell ref="J26:J27"/>
    <mergeCell ref="K26:K27"/>
    <mergeCell ref="H32:H35"/>
    <mergeCell ref="I32:I35"/>
    <mergeCell ref="J32:J35"/>
    <mergeCell ref="K32:K35"/>
    <mergeCell ref="G28:G31"/>
    <mergeCell ref="H28:H31"/>
    <mergeCell ref="I28:I31"/>
    <mergeCell ref="J28:J31"/>
    <mergeCell ref="K28:K31"/>
    <mergeCell ref="J36:J43"/>
    <mergeCell ref="K36:K43"/>
    <mergeCell ref="H18:H21"/>
    <mergeCell ref="I18:I21"/>
    <mergeCell ref="J18:J21"/>
    <mergeCell ref="K18:K21"/>
    <mergeCell ref="G22:G25"/>
    <mergeCell ref="H22:H25"/>
    <mergeCell ref="I22:I25"/>
    <mergeCell ref="J22:J25"/>
    <mergeCell ref="K22:K25"/>
    <mergeCell ref="H14:H17"/>
    <mergeCell ref="I14:I17"/>
    <mergeCell ref="J14:J17"/>
    <mergeCell ref="K14:K17"/>
    <mergeCell ref="G10:G13"/>
    <mergeCell ref="H10:H13"/>
    <mergeCell ref="I10:I13"/>
    <mergeCell ref="J10:J13"/>
    <mergeCell ref="K10:K13"/>
    <mergeCell ref="H6:H9"/>
    <mergeCell ref="I6:I9"/>
    <mergeCell ref="J6:J9"/>
    <mergeCell ref="K6:K9"/>
    <mergeCell ref="G2:G5"/>
    <mergeCell ref="H2:H5"/>
    <mergeCell ref="I2:I5"/>
    <mergeCell ref="J2:J5"/>
    <mergeCell ref="K2:K5"/>
    <mergeCell ref="A84:A111"/>
    <mergeCell ref="F68:F71"/>
    <mergeCell ref="F72:F75"/>
    <mergeCell ref="A2:A27"/>
    <mergeCell ref="A28:A47"/>
    <mergeCell ref="F44:F47"/>
    <mergeCell ref="A48:A83"/>
    <mergeCell ref="F22:F25"/>
    <mergeCell ref="G6:G9"/>
    <mergeCell ref="G14:G17"/>
    <mergeCell ref="G32:G35"/>
    <mergeCell ref="G48:G51"/>
    <mergeCell ref="G56:G59"/>
    <mergeCell ref="G92:G95"/>
    <mergeCell ref="G100:G103"/>
    <mergeCell ref="G108:G111"/>
    <mergeCell ref="F76:F83"/>
    <mergeCell ref="G64:G67"/>
    <mergeCell ref="G88:G91"/>
    <mergeCell ref="F48:F51"/>
    <mergeCell ref="F36:F43"/>
    <mergeCell ref="F52:F55"/>
    <mergeCell ref="F60:F63"/>
    <mergeCell ref="G18:G21"/>
  </mergeCells>
  <printOptions gridLines="1"/>
  <pageMargins left="0.25" right="0.25" top="0.75" bottom="0.75" header="0.3" footer="0.3"/>
  <pageSetup scale="66" fitToHeight="0" orientation="landscape" horizontalDpi="4294967293" r:id="rId1"/>
  <headerFooter>
    <oddHeader>&amp;L&amp;F&amp;C&amp;A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7"/>
  <sheetViews>
    <sheetView tabSelected="1" workbookViewId="0">
      <pane ySplit="1" topLeftCell="A56" activePane="bottomLeft" state="frozen"/>
      <selection pane="bottomLeft" activeCell="J74" sqref="J74:K77"/>
    </sheetView>
  </sheetViews>
  <sheetFormatPr defaultRowHeight="15" x14ac:dyDescent="0.25"/>
  <cols>
    <col min="1" max="1" width="9.140625" style="1"/>
    <col min="2" max="2" width="18.5703125" bestFit="1" customWidth="1"/>
    <col min="3" max="3" width="14.28515625" style="1" bestFit="1" customWidth="1"/>
    <col min="4" max="4" width="13.5703125" style="1" bestFit="1" customWidth="1"/>
    <col min="5" max="5" width="9.140625" style="13"/>
    <col min="6" max="6" width="30.7109375" style="42" customWidth="1"/>
    <col min="7" max="7" width="12.7109375" style="49" customWidth="1"/>
    <col min="8" max="8" width="22.5703125" style="21" bestFit="1" customWidth="1"/>
    <col min="9" max="9" width="22.140625" style="21" bestFit="1" customWidth="1"/>
    <col min="10" max="10" width="16.140625" style="21" bestFit="1" customWidth="1"/>
    <col min="11" max="11" width="15.7109375" style="18" bestFit="1" customWidth="1"/>
    <col min="12" max="12" width="12.42578125" bestFit="1" customWidth="1"/>
  </cols>
  <sheetData>
    <row r="1" spans="1:12" s="3" customFormat="1" x14ac:dyDescent="0.25">
      <c r="A1" s="2" t="s">
        <v>0</v>
      </c>
      <c r="B1" s="3" t="s">
        <v>1</v>
      </c>
      <c r="C1" s="2" t="s">
        <v>2</v>
      </c>
      <c r="D1" s="2" t="s">
        <v>19</v>
      </c>
      <c r="E1" s="16" t="s">
        <v>61</v>
      </c>
      <c r="F1" s="43" t="s">
        <v>310</v>
      </c>
      <c r="G1" s="48" t="s">
        <v>333</v>
      </c>
      <c r="H1" s="12" t="s">
        <v>321</v>
      </c>
      <c r="I1" s="12" t="s">
        <v>322</v>
      </c>
      <c r="J1" s="12" t="s">
        <v>318</v>
      </c>
      <c r="K1" s="17" t="s">
        <v>319</v>
      </c>
      <c r="L1" s="3" t="s">
        <v>330</v>
      </c>
    </row>
    <row r="2" spans="1:12" x14ac:dyDescent="0.25">
      <c r="A2" s="55">
        <v>2013</v>
      </c>
      <c r="B2" t="s">
        <v>45</v>
      </c>
      <c r="C2" s="1">
        <v>1067</v>
      </c>
      <c r="D2" s="1">
        <v>341</v>
      </c>
      <c r="E2" s="13">
        <f>IF(AND(ISNUMBER(C2),ISNUMBER(D2)), 100*(1-D2/C2), "-")</f>
        <v>68.041237113402062</v>
      </c>
      <c r="G2" s="50">
        <v>41408</v>
      </c>
      <c r="H2" s="51">
        <f>AVERAGE(D2:D5)</f>
        <v>421.5</v>
      </c>
      <c r="I2" s="51">
        <f>STDEV(D2:D5)</f>
        <v>57.680152565678952</v>
      </c>
      <c r="J2" s="51">
        <f>AVERAGE(E2:E5)</f>
        <v>67.431212110282814</v>
      </c>
      <c r="K2" s="52">
        <f>STDEV(E2:E5)</f>
        <v>1.891553091039081</v>
      </c>
      <c r="L2" s="55" t="s">
        <v>331</v>
      </c>
    </row>
    <row r="3" spans="1:12" x14ac:dyDescent="0.25">
      <c r="A3" s="55"/>
      <c r="B3" t="s">
        <v>46</v>
      </c>
      <c r="C3" s="1">
        <v>1446</v>
      </c>
      <c r="D3" s="1">
        <v>458</v>
      </c>
      <c r="E3" s="13">
        <f t="shared" ref="E3:E66" si="0">IF(AND(ISNUMBER(C3),ISNUMBER(D3)), 100*(1-D3/C3), "-")</f>
        <v>68.326417704011064</v>
      </c>
      <c r="G3" s="50"/>
      <c r="H3" s="51"/>
      <c r="I3" s="51"/>
      <c r="J3" s="51"/>
      <c r="K3" s="52"/>
      <c r="L3" s="55"/>
    </row>
    <row r="4" spans="1:12" x14ac:dyDescent="0.25">
      <c r="A4" s="55"/>
      <c r="B4" t="s">
        <v>47</v>
      </c>
      <c r="C4" s="1">
        <v>1323</v>
      </c>
      <c r="D4" s="1">
        <v>468</v>
      </c>
      <c r="E4" s="13">
        <f t="shared" si="0"/>
        <v>64.625850340136054</v>
      </c>
      <c r="G4" s="50"/>
      <c r="H4" s="51"/>
      <c r="I4" s="51"/>
      <c r="J4" s="51"/>
      <c r="K4" s="52"/>
      <c r="L4" s="55"/>
    </row>
    <row r="5" spans="1:12" x14ac:dyDescent="0.25">
      <c r="A5" s="55"/>
      <c r="B5" t="s">
        <v>48</v>
      </c>
      <c r="C5" s="1">
        <v>1340</v>
      </c>
      <c r="D5" s="1">
        <v>419</v>
      </c>
      <c r="E5" s="13">
        <f t="shared" si="0"/>
        <v>68.731343283582092</v>
      </c>
      <c r="G5" s="50"/>
      <c r="H5" s="51"/>
      <c r="I5" s="51"/>
      <c r="J5" s="51"/>
      <c r="K5" s="52"/>
      <c r="L5" s="55"/>
    </row>
    <row r="6" spans="1:12" x14ac:dyDescent="0.25">
      <c r="A6" s="55"/>
      <c r="B6" s="4" t="s">
        <v>49</v>
      </c>
      <c r="C6" s="5">
        <v>1631</v>
      </c>
      <c r="D6" s="5">
        <v>593</v>
      </c>
      <c r="E6" s="14">
        <f t="shared" si="0"/>
        <v>63.641937461679944</v>
      </c>
      <c r="G6" s="50">
        <v>41422</v>
      </c>
      <c r="H6" s="51">
        <f>AVERAGE(D6:D9)</f>
        <v>415.5</v>
      </c>
      <c r="I6" s="51">
        <f>STDEV(D6:D9)</f>
        <v>132.58582126305964</v>
      </c>
      <c r="J6" s="51">
        <f>AVERAGE(E6:E9)</f>
        <v>66.082975553992043</v>
      </c>
      <c r="K6" s="52">
        <f>STDEV(E6:E9)</f>
        <v>1.9322337784120565</v>
      </c>
      <c r="L6" s="55" t="s">
        <v>331</v>
      </c>
    </row>
    <row r="7" spans="1:12" x14ac:dyDescent="0.25">
      <c r="A7" s="55"/>
      <c r="B7" s="4" t="s">
        <v>50</v>
      </c>
      <c r="C7" s="5">
        <v>1180</v>
      </c>
      <c r="D7" s="5">
        <v>393</v>
      </c>
      <c r="E7" s="14">
        <f t="shared" si="0"/>
        <v>66.694915254237287</v>
      </c>
      <c r="G7" s="50"/>
      <c r="H7" s="51"/>
      <c r="I7" s="51"/>
      <c r="J7" s="51"/>
      <c r="K7" s="52"/>
      <c r="L7" s="55"/>
    </row>
    <row r="8" spans="1:12" x14ac:dyDescent="0.25">
      <c r="A8" s="55"/>
      <c r="B8" s="4" t="s">
        <v>51</v>
      </c>
      <c r="C8" s="5">
        <v>1179</v>
      </c>
      <c r="D8" s="5">
        <v>404</v>
      </c>
      <c r="E8" s="14">
        <f t="shared" si="0"/>
        <v>65.73367260390161</v>
      </c>
      <c r="G8" s="50"/>
      <c r="H8" s="51"/>
      <c r="I8" s="51"/>
      <c r="J8" s="51"/>
      <c r="K8" s="52"/>
      <c r="L8" s="55"/>
    </row>
    <row r="9" spans="1:12" x14ac:dyDescent="0.25">
      <c r="A9" s="55"/>
      <c r="B9" s="4" t="s">
        <v>52</v>
      </c>
      <c r="C9" s="5">
        <v>857</v>
      </c>
      <c r="D9" s="5">
        <v>272</v>
      </c>
      <c r="E9" s="14">
        <f t="shared" si="0"/>
        <v>68.261376896149358</v>
      </c>
      <c r="G9" s="50"/>
      <c r="H9" s="51"/>
      <c r="I9" s="51"/>
      <c r="J9" s="51"/>
      <c r="K9" s="52"/>
      <c r="L9" s="55"/>
    </row>
    <row r="10" spans="1:12" x14ac:dyDescent="0.25">
      <c r="A10" s="55"/>
      <c r="B10" t="s">
        <v>53</v>
      </c>
      <c r="C10" s="1">
        <v>1121</v>
      </c>
      <c r="D10" s="1">
        <v>662</v>
      </c>
      <c r="E10" s="13">
        <f t="shared" si="0"/>
        <v>40.945584299732388</v>
      </c>
      <c r="G10" s="50">
        <v>41435</v>
      </c>
      <c r="H10" s="51">
        <f>AVERAGE(D10:D13)</f>
        <v>566.5</v>
      </c>
      <c r="I10" s="51">
        <f>STDEV(D10:D13)</f>
        <v>111.18303227861105</v>
      </c>
      <c r="J10" s="51">
        <f>AVERAGE(E10:E13)</f>
        <v>44.171784148624745</v>
      </c>
      <c r="K10" s="52">
        <f>STDEV(E10:E13)</f>
        <v>2.917793031535497</v>
      </c>
      <c r="L10" s="55" t="s">
        <v>331</v>
      </c>
    </row>
    <row r="11" spans="1:12" x14ac:dyDescent="0.25">
      <c r="A11" s="55"/>
      <c r="B11" t="s">
        <v>54</v>
      </c>
      <c r="C11" s="1">
        <v>1167</v>
      </c>
      <c r="D11" s="1">
        <v>663</v>
      </c>
      <c r="E11" s="13">
        <f t="shared" si="0"/>
        <v>43.187660668380467</v>
      </c>
      <c r="G11" s="50"/>
      <c r="H11" s="51"/>
      <c r="I11" s="51"/>
      <c r="J11" s="51"/>
      <c r="K11" s="52"/>
      <c r="L11" s="55"/>
    </row>
    <row r="12" spans="1:12" x14ac:dyDescent="0.25">
      <c r="A12" s="55"/>
      <c r="B12" t="s">
        <v>55</v>
      </c>
      <c r="C12" s="1">
        <v>869</v>
      </c>
      <c r="D12" s="1">
        <v>481</v>
      </c>
      <c r="E12" s="13">
        <f t="shared" si="0"/>
        <v>44.649021864211733</v>
      </c>
      <c r="G12" s="50"/>
      <c r="H12" s="51"/>
      <c r="I12" s="51"/>
      <c r="J12" s="51"/>
      <c r="K12" s="52"/>
      <c r="L12" s="55"/>
    </row>
    <row r="13" spans="1:12" x14ac:dyDescent="0.25">
      <c r="A13" s="55"/>
      <c r="B13" t="s">
        <v>56</v>
      </c>
      <c r="C13" s="1">
        <v>883</v>
      </c>
      <c r="D13" s="1">
        <v>460</v>
      </c>
      <c r="E13" s="13">
        <f t="shared" si="0"/>
        <v>47.904869762174407</v>
      </c>
      <c r="G13" s="50"/>
      <c r="H13" s="51"/>
      <c r="I13" s="51"/>
      <c r="J13" s="51"/>
      <c r="K13" s="52"/>
      <c r="L13" s="55"/>
    </row>
    <row r="14" spans="1:12" x14ac:dyDescent="0.25">
      <c r="A14" s="55"/>
      <c r="B14" s="4" t="s">
        <v>57</v>
      </c>
      <c r="C14" s="5">
        <v>701</v>
      </c>
      <c r="D14" s="5">
        <v>408</v>
      </c>
      <c r="E14" s="14">
        <f t="shared" si="0"/>
        <v>41.797432239657631</v>
      </c>
      <c r="G14" s="50">
        <v>41454</v>
      </c>
      <c r="H14" s="51">
        <f>AVERAGE(D14:D17)</f>
        <v>451.5</v>
      </c>
      <c r="I14" s="51">
        <f>STDEV(D14:D17)</f>
        <v>60.49517887126764</v>
      </c>
      <c r="J14" s="51">
        <f>AVERAGE(E14:E17)</f>
        <v>44.837602784042417</v>
      </c>
      <c r="K14" s="52">
        <f>STDEV(E14:E17)</f>
        <v>2.5609526841133627</v>
      </c>
      <c r="L14" s="55" t="s">
        <v>331</v>
      </c>
    </row>
    <row r="15" spans="1:12" x14ac:dyDescent="0.25">
      <c r="A15" s="55"/>
      <c r="B15" s="4" t="s">
        <v>58</v>
      </c>
      <c r="C15" s="5">
        <v>743</v>
      </c>
      <c r="D15" s="5">
        <v>400</v>
      </c>
      <c r="E15" s="14">
        <f t="shared" si="0"/>
        <v>46.164199192462988</v>
      </c>
      <c r="G15" s="50"/>
      <c r="H15" s="51"/>
      <c r="I15" s="51"/>
      <c r="J15" s="51"/>
      <c r="K15" s="52"/>
      <c r="L15" s="55"/>
    </row>
    <row r="16" spans="1:12" x14ac:dyDescent="0.25">
      <c r="A16" s="55"/>
      <c r="B16" s="4" t="s">
        <v>59</v>
      </c>
      <c r="C16" s="5">
        <v>893</v>
      </c>
      <c r="D16" s="5">
        <v>468</v>
      </c>
      <c r="E16" s="14">
        <f t="shared" si="0"/>
        <v>47.592385218365067</v>
      </c>
      <c r="G16" s="50"/>
      <c r="H16" s="51"/>
      <c r="I16" s="51"/>
      <c r="J16" s="51"/>
      <c r="K16" s="52"/>
      <c r="L16" s="55"/>
    </row>
    <row r="17" spans="1:12" x14ac:dyDescent="0.25">
      <c r="A17" s="55"/>
      <c r="B17" s="4" t="s">
        <v>60</v>
      </c>
      <c r="C17" s="5">
        <v>943</v>
      </c>
      <c r="D17" s="5">
        <v>530</v>
      </c>
      <c r="E17" s="14">
        <f t="shared" si="0"/>
        <v>43.79639448568399</v>
      </c>
      <c r="G17" s="50"/>
      <c r="H17" s="51"/>
      <c r="I17" s="51"/>
      <c r="J17" s="51"/>
      <c r="K17" s="52"/>
      <c r="L17" s="55"/>
    </row>
    <row r="18" spans="1:12" x14ac:dyDescent="0.25">
      <c r="A18" s="55"/>
      <c r="B18" t="s">
        <v>62</v>
      </c>
      <c r="C18" s="1">
        <v>534</v>
      </c>
      <c r="D18" s="1">
        <v>504</v>
      </c>
      <c r="E18" s="13">
        <f t="shared" si="0"/>
        <v>5.6179775280898898</v>
      </c>
      <c r="G18" s="50">
        <v>41476</v>
      </c>
      <c r="H18" s="51">
        <f>AVERAGE(D18:D21)</f>
        <v>516.5</v>
      </c>
      <c r="I18" s="51">
        <f>STDEV(D18:D21)</f>
        <v>51.726846672367984</v>
      </c>
      <c r="J18" s="51">
        <f>AVERAGE(E18:E21)</f>
        <v>5.1538630162498515</v>
      </c>
      <c r="K18" s="52">
        <f>STDEV(E18:E21)</f>
        <v>0.82627901243726687</v>
      </c>
      <c r="L18" s="55" t="s">
        <v>331</v>
      </c>
    </row>
    <row r="19" spans="1:12" x14ac:dyDescent="0.25">
      <c r="A19" s="55"/>
      <c r="B19" t="s">
        <v>63</v>
      </c>
      <c r="C19" s="1">
        <v>483</v>
      </c>
      <c r="D19" s="1">
        <v>454</v>
      </c>
      <c r="E19" s="13">
        <f t="shared" si="0"/>
        <v>6.0041407867494794</v>
      </c>
      <c r="G19" s="50"/>
      <c r="H19" s="51"/>
      <c r="I19" s="51"/>
      <c r="J19" s="51"/>
      <c r="K19" s="52"/>
      <c r="L19" s="55"/>
    </row>
    <row r="20" spans="1:12" x14ac:dyDescent="0.25">
      <c r="A20" s="55"/>
      <c r="B20" t="s">
        <v>64</v>
      </c>
      <c r="C20" s="1">
        <v>557</v>
      </c>
      <c r="D20" s="1">
        <v>530</v>
      </c>
      <c r="E20" s="13">
        <f t="shared" si="0"/>
        <v>4.8473967684021568</v>
      </c>
      <c r="G20" s="50"/>
      <c r="H20" s="51"/>
      <c r="I20" s="51"/>
      <c r="J20" s="51"/>
      <c r="K20" s="52"/>
      <c r="L20" s="55"/>
    </row>
    <row r="21" spans="1:12" x14ac:dyDescent="0.25">
      <c r="A21" s="55"/>
      <c r="B21" t="s">
        <v>65</v>
      </c>
      <c r="C21" s="1">
        <v>603</v>
      </c>
      <c r="D21" s="1">
        <v>578</v>
      </c>
      <c r="E21" s="13">
        <f t="shared" si="0"/>
        <v>4.1459369817578811</v>
      </c>
      <c r="G21" s="50"/>
      <c r="H21" s="51"/>
      <c r="I21" s="51"/>
      <c r="J21" s="51"/>
      <c r="K21" s="52"/>
      <c r="L21" s="55"/>
    </row>
    <row r="22" spans="1:12" x14ac:dyDescent="0.25">
      <c r="A22" s="55"/>
      <c r="B22" s="4" t="s">
        <v>66</v>
      </c>
      <c r="C22" s="5">
        <v>636</v>
      </c>
      <c r="D22" s="5">
        <v>603</v>
      </c>
      <c r="E22" s="14">
        <f t="shared" si="0"/>
        <v>5.1886792452830228</v>
      </c>
      <c r="G22" s="50">
        <v>41487</v>
      </c>
      <c r="H22" s="51">
        <f>AVERAGE(D22:D29)</f>
        <v>559.81424641368505</v>
      </c>
      <c r="I22" s="51">
        <f>STDEV(D22:D29)</f>
        <v>66.146516551399174</v>
      </c>
      <c r="J22" s="56">
        <f>AVERAGE(E22:E25)</f>
        <v>4.6032560467032102</v>
      </c>
      <c r="K22" s="57">
        <f>STDEV(E22:E25)</f>
        <v>0.65823462503817487</v>
      </c>
      <c r="L22" s="55" t="s">
        <v>331</v>
      </c>
    </row>
    <row r="23" spans="1:12" x14ac:dyDescent="0.25">
      <c r="A23" s="55"/>
      <c r="B23" s="4" t="s">
        <v>67</v>
      </c>
      <c r="C23" s="5">
        <v>543</v>
      </c>
      <c r="D23" s="5">
        <v>517</v>
      </c>
      <c r="E23" s="14">
        <f t="shared" si="0"/>
        <v>4.7882136279926328</v>
      </c>
      <c r="G23" s="50"/>
      <c r="H23" s="51"/>
      <c r="I23" s="51"/>
      <c r="J23" s="56"/>
      <c r="K23" s="57"/>
      <c r="L23" s="55"/>
    </row>
    <row r="24" spans="1:12" x14ac:dyDescent="0.25">
      <c r="A24" s="55"/>
      <c r="B24" s="4" t="s">
        <v>68</v>
      </c>
      <c r="C24" s="5">
        <v>607</v>
      </c>
      <c r="D24" s="5">
        <v>578</v>
      </c>
      <c r="E24" s="14">
        <f t="shared" si="0"/>
        <v>4.77759472817133</v>
      </c>
      <c r="G24" s="50"/>
      <c r="H24" s="51"/>
      <c r="I24" s="51"/>
      <c r="J24" s="56"/>
      <c r="K24" s="57"/>
      <c r="L24" s="55"/>
    </row>
    <row r="25" spans="1:12" x14ac:dyDescent="0.25">
      <c r="A25" s="55"/>
      <c r="B25" s="4" t="s">
        <v>69</v>
      </c>
      <c r="C25" s="5">
        <v>574</v>
      </c>
      <c r="D25" s="5">
        <v>553</v>
      </c>
      <c r="E25" s="14">
        <f t="shared" si="0"/>
        <v>3.6585365853658569</v>
      </c>
      <c r="G25" s="50"/>
      <c r="H25" s="51"/>
      <c r="I25" s="51"/>
      <c r="J25" s="56"/>
      <c r="K25" s="57"/>
      <c r="L25" s="55"/>
    </row>
    <row r="26" spans="1:12" x14ac:dyDescent="0.25">
      <c r="A26" s="55"/>
      <c r="B26" t="s">
        <v>70</v>
      </c>
      <c r="C26" s="1">
        <v>608</v>
      </c>
      <c r="D26" s="30">
        <f>C26*(1-AVERAGE($E$22:$E$25)/100)</f>
        <v>580.01220323604446</v>
      </c>
      <c r="E26" s="37">
        <f t="shared" si="0"/>
        <v>4.6032560467032191</v>
      </c>
      <c r="F26" s="54" t="s">
        <v>373</v>
      </c>
      <c r="G26" s="50"/>
      <c r="H26" s="51"/>
      <c r="I26" s="51"/>
      <c r="J26" s="56"/>
      <c r="K26" s="57"/>
      <c r="L26" s="55"/>
    </row>
    <row r="27" spans="1:12" x14ac:dyDescent="0.25">
      <c r="A27" s="55"/>
      <c r="B27" t="s">
        <v>71</v>
      </c>
      <c r="C27" s="1">
        <v>657</v>
      </c>
      <c r="D27" s="30">
        <f t="shared" ref="D27:D29" si="1">C27*(1-AVERAGE($E$22:$E$25)/100)</f>
        <v>626.75660777315989</v>
      </c>
      <c r="E27" s="37">
        <f t="shared" si="0"/>
        <v>4.6032560467032191</v>
      </c>
      <c r="F27" s="54"/>
      <c r="G27" s="50"/>
      <c r="H27" s="51"/>
      <c r="I27" s="51"/>
      <c r="J27" s="56"/>
      <c r="K27" s="57"/>
      <c r="L27" s="55"/>
    </row>
    <row r="28" spans="1:12" x14ac:dyDescent="0.25">
      <c r="A28" s="55"/>
      <c r="B28" t="s">
        <v>72</v>
      </c>
      <c r="C28" s="1">
        <v>631</v>
      </c>
      <c r="D28" s="30">
        <f t="shared" si="1"/>
        <v>601.9534543453027</v>
      </c>
      <c r="E28" s="37">
        <f t="shared" si="0"/>
        <v>4.6032560467032191</v>
      </c>
      <c r="F28" s="54"/>
      <c r="G28" s="50"/>
      <c r="H28" s="51"/>
      <c r="I28" s="51"/>
      <c r="J28" s="56"/>
      <c r="K28" s="57"/>
      <c r="L28" s="55"/>
    </row>
    <row r="29" spans="1:12" x14ac:dyDescent="0.25">
      <c r="A29" s="55"/>
      <c r="B29" t="s">
        <v>73</v>
      </c>
      <c r="C29" s="1">
        <v>439</v>
      </c>
      <c r="D29" s="30">
        <f t="shared" si="1"/>
        <v>418.79170595497294</v>
      </c>
      <c r="E29" s="37">
        <f t="shared" si="0"/>
        <v>4.6032560467032084</v>
      </c>
      <c r="F29" s="54"/>
      <c r="G29" s="50"/>
      <c r="H29" s="51"/>
      <c r="I29" s="51"/>
      <c r="J29" s="56"/>
      <c r="K29" s="57"/>
      <c r="L29" s="55"/>
    </row>
    <row r="30" spans="1:12" x14ac:dyDescent="0.25">
      <c r="A30" s="55"/>
      <c r="B30" s="4" t="s">
        <v>70</v>
      </c>
      <c r="C30" s="5" t="s">
        <v>20</v>
      </c>
      <c r="D30" s="29">
        <f>196-19</f>
        <v>177</v>
      </c>
      <c r="E30" s="14" t="str">
        <f t="shared" si="0"/>
        <v>-</v>
      </c>
      <c r="F30" s="54" t="s">
        <v>372</v>
      </c>
      <c r="G30" s="50">
        <v>41487</v>
      </c>
      <c r="H30" s="51">
        <f>AVERAGE(D30:D33)</f>
        <v>176.25</v>
      </c>
      <c r="I30" s="51">
        <f>STDEV(D30:D33)</f>
        <v>12.038133853162901</v>
      </c>
      <c r="J30" s="51" t="s">
        <v>320</v>
      </c>
      <c r="K30" s="52" t="s">
        <v>320</v>
      </c>
      <c r="L30" s="55" t="s">
        <v>327</v>
      </c>
    </row>
    <row r="31" spans="1:12" x14ac:dyDescent="0.25">
      <c r="A31" s="55"/>
      <c r="B31" s="4" t="s">
        <v>71</v>
      </c>
      <c r="C31" s="5" t="s">
        <v>20</v>
      </c>
      <c r="D31" s="29">
        <f>178-19</f>
        <v>159</v>
      </c>
      <c r="E31" s="14" t="str">
        <f t="shared" si="0"/>
        <v>-</v>
      </c>
      <c r="F31" s="54"/>
      <c r="G31" s="50"/>
      <c r="H31" s="51"/>
      <c r="I31" s="51"/>
      <c r="J31" s="51"/>
      <c r="K31" s="52"/>
      <c r="L31" s="55"/>
    </row>
    <row r="32" spans="1:12" x14ac:dyDescent="0.25">
      <c r="A32" s="55"/>
      <c r="B32" s="4" t="s">
        <v>72</v>
      </c>
      <c r="C32" s="5" t="s">
        <v>20</v>
      </c>
      <c r="D32" s="29">
        <f>204-19</f>
        <v>185</v>
      </c>
      <c r="E32" s="14" t="str">
        <f t="shared" si="0"/>
        <v>-</v>
      </c>
      <c r="F32" s="54"/>
      <c r="G32" s="50"/>
      <c r="H32" s="51"/>
      <c r="I32" s="51"/>
      <c r="J32" s="51"/>
      <c r="K32" s="52"/>
      <c r="L32" s="55"/>
    </row>
    <row r="33" spans="1:12" x14ac:dyDescent="0.25">
      <c r="A33" s="55"/>
      <c r="B33" s="4" t="s">
        <v>73</v>
      </c>
      <c r="C33" s="5" t="s">
        <v>20</v>
      </c>
      <c r="D33" s="29">
        <f>203-19</f>
        <v>184</v>
      </c>
      <c r="E33" s="14" t="str">
        <f t="shared" si="0"/>
        <v>-</v>
      </c>
      <c r="F33" s="54"/>
      <c r="G33" s="50"/>
      <c r="H33" s="51"/>
      <c r="I33" s="51"/>
      <c r="J33" s="51"/>
      <c r="K33" s="52"/>
      <c r="L33" s="55"/>
    </row>
    <row r="34" spans="1:12" x14ac:dyDescent="0.25">
      <c r="A34" s="53">
        <v>2015</v>
      </c>
      <c r="B34" s="8" t="s">
        <v>170</v>
      </c>
      <c r="C34" s="9">
        <v>193</v>
      </c>
      <c r="D34" s="9">
        <v>49</v>
      </c>
      <c r="E34" s="13">
        <f t="shared" si="0"/>
        <v>74.611398963730565</v>
      </c>
      <c r="G34" s="50">
        <v>42082</v>
      </c>
      <c r="H34" s="51">
        <f>AVERAGE(D34:D37)</f>
        <v>18.75</v>
      </c>
      <c r="I34" s="51">
        <f>STDEV(D34:D37)</f>
        <v>20.838665984174707</v>
      </c>
      <c r="J34" s="51">
        <f>AVERAGE(E34:E37)</f>
        <v>77.06058783617074</v>
      </c>
      <c r="K34" s="52">
        <f>STDEV(E34:E37)</f>
        <v>4.8447690996294943</v>
      </c>
      <c r="L34" s="55" t="s">
        <v>331</v>
      </c>
    </row>
    <row r="35" spans="1:12" x14ac:dyDescent="0.25">
      <c r="A35" s="53"/>
      <c r="B35" s="8" t="s">
        <v>171</v>
      </c>
      <c r="C35" s="9">
        <v>56</v>
      </c>
      <c r="D35" s="9">
        <v>16</v>
      </c>
      <c r="E35" s="13">
        <f t="shared" si="0"/>
        <v>71.428571428571431</v>
      </c>
      <c r="G35" s="50"/>
      <c r="H35" s="51"/>
      <c r="I35" s="51"/>
      <c r="J35" s="51"/>
      <c r="K35" s="52"/>
      <c r="L35" s="55"/>
    </row>
    <row r="36" spans="1:12" x14ac:dyDescent="0.25">
      <c r="A36" s="53"/>
      <c r="B36" s="8" t="s">
        <v>172</v>
      </c>
      <c r="C36" s="9">
        <v>32</v>
      </c>
      <c r="D36" s="9">
        <v>6</v>
      </c>
      <c r="E36" s="13">
        <f t="shared" si="0"/>
        <v>81.25</v>
      </c>
      <c r="G36" s="50"/>
      <c r="H36" s="51"/>
      <c r="I36" s="51"/>
      <c r="J36" s="51"/>
      <c r="K36" s="52"/>
      <c r="L36" s="55"/>
    </row>
    <row r="37" spans="1:12" x14ac:dyDescent="0.25">
      <c r="A37" s="53"/>
      <c r="B37" s="8" t="s">
        <v>173</v>
      </c>
      <c r="C37" s="9">
        <v>21</v>
      </c>
      <c r="D37" s="9">
        <v>4</v>
      </c>
      <c r="E37" s="13">
        <f t="shared" si="0"/>
        <v>80.952380952380949</v>
      </c>
      <c r="G37" s="50"/>
      <c r="H37" s="51"/>
      <c r="I37" s="51"/>
      <c r="J37" s="51"/>
      <c r="K37" s="52"/>
      <c r="L37" s="55"/>
    </row>
    <row r="38" spans="1:12" x14ac:dyDescent="0.25">
      <c r="A38" s="53"/>
      <c r="B38" s="4" t="s">
        <v>174</v>
      </c>
      <c r="C38" s="5">
        <v>288</v>
      </c>
      <c r="D38" s="5">
        <v>69</v>
      </c>
      <c r="E38" s="14">
        <f t="shared" si="0"/>
        <v>76.041666666666657</v>
      </c>
      <c r="G38" s="50">
        <v>42093</v>
      </c>
      <c r="H38" s="51">
        <f>AVERAGE(D38:D41)</f>
        <v>40.25</v>
      </c>
      <c r="I38" s="51">
        <f>STDEV(D38:D41)</f>
        <v>20.790622886291789</v>
      </c>
      <c r="J38" s="51">
        <f>AVERAGE(E38:E41)</f>
        <v>75.792523212266232</v>
      </c>
      <c r="K38" s="52">
        <f>STDEV(E38:E41)</f>
        <v>0.63540588896922878</v>
      </c>
      <c r="L38" s="55" t="s">
        <v>331</v>
      </c>
    </row>
    <row r="39" spans="1:12" x14ac:dyDescent="0.25">
      <c r="A39" s="53"/>
      <c r="B39" s="4" t="s">
        <v>175</v>
      </c>
      <c r="C39" s="5">
        <v>111</v>
      </c>
      <c r="D39" s="5">
        <v>26</v>
      </c>
      <c r="E39" s="14">
        <f t="shared" si="0"/>
        <v>76.576576576576571</v>
      </c>
      <c r="G39" s="50"/>
      <c r="H39" s="51"/>
      <c r="I39" s="51"/>
      <c r="J39" s="51"/>
      <c r="K39" s="52"/>
      <c r="L39" s="55"/>
    </row>
    <row r="40" spans="1:12" x14ac:dyDescent="0.25">
      <c r="A40" s="53"/>
      <c r="B40" s="4" t="s">
        <v>176</v>
      </c>
      <c r="C40" s="5">
        <v>97</v>
      </c>
      <c r="D40" s="5">
        <v>24</v>
      </c>
      <c r="E40" s="14">
        <f t="shared" si="0"/>
        <v>75.257731958762889</v>
      </c>
      <c r="G40" s="50"/>
      <c r="H40" s="51"/>
      <c r="I40" s="51"/>
      <c r="J40" s="51"/>
      <c r="K40" s="52"/>
      <c r="L40" s="55"/>
    </row>
    <row r="41" spans="1:12" x14ac:dyDescent="0.25">
      <c r="A41" s="53"/>
      <c r="B41" s="4" t="s">
        <v>177</v>
      </c>
      <c r="C41" s="5">
        <v>170</v>
      </c>
      <c r="D41" s="5">
        <v>42</v>
      </c>
      <c r="E41" s="14">
        <f t="shared" si="0"/>
        <v>75.294117647058826</v>
      </c>
      <c r="G41" s="50"/>
      <c r="H41" s="51"/>
      <c r="I41" s="51"/>
      <c r="J41" s="51"/>
      <c r="K41" s="52"/>
      <c r="L41" s="55"/>
    </row>
    <row r="42" spans="1:12" x14ac:dyDescent="0.25">
      <c r="A42" s="53"/>
      <c r="B42" s="8" t="s">
        <v>178</v>
      </c>
      <c r="C42" s="9">
        <v>409</v>
      </c>
      <c r="D42" s="9">
        <v>116</v>
      </c>
      <c r="E42" s="13">
        <f t="shared" si="0"/>
        <v>71.638141809290957</v>
      </c>
      <c r="G42" s="50">
        <v>42108</v>
      </c>
      <c r="H42" s="51">
        <f>AVERAGE(D42:D45)</f>
        <v>98.75</v>
      </c>
      <c r="I42" s="51">
        <f>STDEV(D42:D45)</f>
        <v>18.463928798245153</v>
      </c>
      <c r="J42" s="51">
        <f>AVERAGE(E42:E45)</f>
        <v>70.671021494833838</v>
      </c>
      <c r="K42" s="52">
        <f>STDEV(E42:E45)</f>
        <v>0.95822623648227967</v>
      </c>
      <c r="L42" s="55" t="s">
        <v>331</v>
      </c>
    </row>
    <row r="43" spans="1:12" x14ac:dyDescent="0.25">
      <c r="A43" s="53"/>
      <c r="B43" s="8" t="s">
        <v>179</v>
      </c>
      <c r="C43" s="9">
        <v>390</v>
      </c>
      <c r="D43" s="9">
        <v>112</v>
      </c>
      <c r="E43" s="13">
        <f t="shared" si="0"/>
        <v>71.282051282051285</v>
      </c>
      <c r="G43" s="50"/>
      <c r="H43" s="51"/>
      <c r="I43" s="51"/>
      <c r="J43" s="51"/>
      <c r="K43" s="52"/>
      <c r="L43" s="55"/>
    </row>
    <row r="44" spans="1:12" x14ac:dyDescent="0.25">
      <c r="A44" s="53"/>
      <c r="B44" s="8" t="s">
        <v>180</v>
      </c>
      <c r="C44" s="9">
        <v>253</v>
      </c>
      <c r="D44" s="9">
        <v>77</v>
      </c>
      <c r="E44" s="13">
        <f t="shared" si="0"/>
        <v>69.565217391304344</v>
      </c>
      <c r="G44" s="50"/>
      <c r="H44" s="51"/>
      <c r="I44" s="51"/>
      <c r="J44" s="51"/>
      <c r="K44" s="52"/>
      <c r="L44" s="55"/>
    </row>
    <row r="45" spans="1:12" x14ac:dyDescent="0.25">
      <c r="A45" s="53"/>
      <c r="B45" s="8" t="s">
        <v>181</v>
      </c>
      <c r="C45" s="9">
        <v>302</v>
      </c>
      <c r="D45" s="9">
        <v>90</v>
      </c>
      <c r="E45" s="13">
        <f t="shared" si="0"/>
        <v>70.19867549668875</v>
      </c>
      <c r="G45" s="50"/>
      <c r="H45" s="51"/>
      <c r="I45" s="51"/>
      <c r="J45" s="51"/>
      <c r="K45" s="52"/>
      <c r="L45" s="55"/>
    </row>
    <row r="46" spans="1:12" x14ac:dyDescent="0.25">
      <c r="A46" s="53"/>
      <c r="B46" s="4" t="s">
        <v>182</v>
      </c>
      <c r="C46" s="5">
        <v>680</v>
      </c>
      <c r="D46" s="5">
        <v>235</v>
      </c>
      <c r="E46" s="14">
        <f t="shared" si="0"/>
        <v>65.441176470588232</v>
      </c>
      <c r="G46" s="50">
        <v>42121</v>
      </c>
      <c r="H46" s="51">
        <f>AVERAGE(D46:D49)</f>
        <v>159.75</v>
      </c>
      <c r="I46" s="51">
        <f>STDEV(D46:D49)</f>
        <v>56.091443197692819</v>
      </c>
      <c r="J46" s="51">
        <f>AVERAGE(E46:E49)</f>
        <v>62.762555430630663</v>
      </c>
      <c r="K46" s="52">
        <f>STDEV(E46:E49)</f>
        <v>2.1820271974654259</v>
      </c>
      <c r="L46" s="55" t="s">
        <v>331</v>
      </c>
    </row>
    <row r="47" spans="1:12" x14ac:dyDescent="0.25">
      <c r="A47" s="53"/>
      <c r="B47" s="4" t="s">
        <v>183</v>
      </c>
      <c r="C47" s="5">
        <v>369</v>
      </c>
      <c r="D47" s="5">
        <v>139</v>
      </c>
      <c r="E47" s="14">
        <f t="shared" si="0"/>
        <v>62.330623306233065</v>
      </c>
      <c r="G47" s="50"/>
      <c r="H47" s="51"/>
      <c r="I47" s="51"/>
      <c r="J47" s="51"/>
      <c r="K47" s="52"/>
      <c r="L47" s="55"/>
    </row>
    <row r="48" spans="1:12" x14ac:dyDescent="0.25">
      <c r="A48" s="53"/>
      <c r="B48" s="4" t="s">
        <v>184</v>
      </c>
      <c r="C48" s="5">
        <v>256</v>
      </c>
      <c r="D48" s="5">
        <v>102</v>
      </c>
      <c r="E48" s="14">
        <f t="shared" si="0"/>
        <v>60.15625</v>
      </c>
      <c r="G48" s="50"/>
      <c r="H48" s="51"/>
      <c r="I48" s="51"/>
      <c r="J48" s="51"/>
      <c r="K48" s="52"/>
      <c r="L48" s="55"/>
    </row>
    <row r="49" spans="1:12" x14ac:dyDescent="0.25">
      <c r="A49" s="53"/>
      <c r="B49" s="4" t="s">
        <v>185</v>
      </c>
      <c r="C49" s="5">
        <v>442</v>
      </c>
      <c r="D49" s="5">
        <v>163</v>
      </c>
      <c r="E49" s="14">
        <f t="shared" si="0"/>
        <v>63.122171945701353</v>
      </c>
      <c r="G49" s="50"/>
      <c r="H49" s="51"/>
      <c r="I49" s="51"/>
      <c r="J49" s="51"/>
      <c r="K49" s="52"/>
      <c r="L49" s="55"/>
    </row>
    <row r="50" spans="1:12" x14ac:dyDescent="0.25">
      <c r="A50" s="53"/>
      <c r="B50" s="8" t="s">
        <v>186</v>
      </c>
      <c r="C50" s="9">
        <v>1438</v>
      </c>
      <c r="D50" s="9">
        <v>546</v>
      </c>
      <c r="E50" s="13">
        <f t="shared" si="0"/>
        <v>62.030598052851182</v>
      </c>
      <c r="G50" s="50">
        <v>42135</v>
      </c>
      <c r="H50" s="51">
        <f>AVERAGE(D50:D53)</f>
        <v>299.25</v>
      </c>
      <c r="I50" s="51">
        <f>STDEV(D50:D53)</f>
        <v>171.8029394393472</v>
      </c>
      <c r="J50" s="51">
        <f>AVERAGE(E50:E53)</f>
        <v>65.005140107351465</v>
      </c>
      <c r="K50" s="52">
        <f>STDEV(E50:E53)</f>
        <v>2.2033515549017642</v>
      </c>
      <c r="L50" s="55" t="s">
        <v>331</v>
      </c>
    </row>
    <row r="51" spans="1:12" x14ac:dyDescent="0.25">
      <c r="A51" s="53"/>
      <c r="B51" s="8" t="s">
        <v>187</v>
      </c>
      <c r="C51" s="9">
        <v>838</v>
      </c>
      <c r="D51" s="9">
        <v>287</v>
      </c>
      <c r="E51" s="13">
        <f t="shared" si="0"/>
        <v>65.751789976133651</v>
      </c>
      <c r="G51" s="50"/>
      <c r="H51" s="51"/>
      <c r="I51" s="51"/>
      <c r="J51" s="51"/>
      <c r="K51" s="52"/>
      <c r="L51" s="55"/>
    </row>
    <row r="52" spans="1:12" x14ac:dyDescent="0.25">
      <c r="A52" s="53"/>
      <c r="B52" s="8" t="s">
        <v>188</v>
      </c>
      <c r="C52" s="9">
        <v>528</v>
      </c>
      <c r="D52" s="9">
        <v>185</v>
      </c>
      <c r="E52" s="13">
        <f t="shared" si="0"/>
        <v>64.962121212121218</v>
      </c>
      <c r="G52" s="50"/>
      <c r="H52" s="51"/>
      <c r="I52" s="51"/>
      <c r="J52" s="51"/>
      <c r="K52" s="52"/>
      <c r="L52" s="55"/>
    </row>
    <row r="53" spans="1:12" x14ac:dyDescent="0.25">
      <c r="A53" s="53"/>
      <c r="B53" s="8" t="s">
        <v>189</v>
      </c>
      <c r="C53" s="9">
        <v>547</v>
      </c>
      <c r="D53" s="9">
        <v>179</v>
      </c>
      <c r="E53" s="13">
        <f t="shared" si="0"/>
        <v>67.276051188299817</v>
      </c>
      <c r="G53" s="50"/>
      <c r="H53" s="51"/>
      <c r="I53" s="51"/>
      <c r="J53" s="51"/>
      <c r="K53" s="52"/>
      <c r="L53" s="55"/>
    </row>
    <row r="54" spans="1:12" x14ac:dyDescent="0.25">
      <c r="A54" s="53"/>
      <c r="B54" s="4" t="s">
        <v>190</v>
      </c>
      <c r="C54" s="5">
        <v>1021</v>
      </c>
      <c r="D54" s="5">
        <v>458</v>
      </c>
      <c r="E54" s="14">
        <f t="shared" si="0"/>
        <v>55.142017629774728</v>
      </c>
      <c r="G54" s="50">
        <v>42150</v>
      </c>
      <c r="H54" s="51">
        <f>AVERAGE(D54:D57)</f>
        <v>399.5</v>
      </c>
      <c r="I54" s="51">
        <f>STDEV(D54:D57)</f>
        <v>71.900394064752291</v>
      </c>
      <c r="J54" s="51">
        <f>AVERAGE(E54:E57)</f>
        <v>61.088051527855995</v>
      </c>
      <c r="K54" s="52">
        <f>STDEV(E54:E57)</f>
        <v>4.7894470444756463</v>
      </c>
      <c r="L54" s="55" t="s">
        <v>331</v>
      </c>
    </row>
    <row r="55" spans="1:12" x14ac:dyDescent="0.25">
      <c r="A55" s="53"/>
      <c r="B55" s="4" t="s">
        <v>191</v>
      </c>
      <c r="C55" s="5">
        <v>1179</v>
      </c>
      <c r="D55" s="5">
        <v>404</v>
      </c>
      <c r="E55" s="14">
        <f t="shared" si="0"/>
        <v>65.73367260390161</v>
      </c>
      <c r="G55" s="50"/>
      <c r="H55" s="51"/>
      <c r="I55" s="51"/>
      <c r="J55" s="51"/>
      <c r="K55" s="52"/>
      <c r="L55" s="55"/>
    </row>
    <row r="56" spans="1:12" x14ac:dyDescent="0.25">
      <c r="A56" s="53"/>
      <c r="B56" s="4" t="s">
        <v>192</v>
      </c>
      <c r="C56" s="5">
        <v>827</v>
      </c>
      <c r="D56" s="5">
        <v>297</v>
      </c>
      <c r="E56" s="14">
        <f t="shared" si="0"/>
        <v>64.087061668681983</v>
      </c>
      <c r="G56" s="50"/>
      <c r="H56" s="51"/>
      <c r="I56" s="51"/>
      <c r="J56" s="51"/>
      <c r="K56" s="52"/>
      <c r="L56" s="55"/>
    </row>
    <row r="57" spans="1:12" x14ac:dyDescent="0.25">
      <c r="A57" s="53"/>
      <c r="B57" s="4" t="s">
        <v>193</v>
      </c>
      <c r="C57" s="5">
        <v>1081</v>
      </c>
      <c r="D57" s="5">
        <v>439</v>
      </c>
      <c r="E57" s="14">
        <f t="shared" si="0"/>
        <v>59.389454209065676</v>
      </c>
      <c r="G57" s="50"/>
      <c r="H57" s="51"/>
      <c r="I57" s="51"/>
      <c r="J57" s="51"/>
      <c r="K57" s="52"/>
      <c r="L57" s="55"/>
    </row>
    <row r="58" spans="1:12" x14ac:dyDescent="0.25">
      <c r="A58" s="53"/>
      <c r="B58" s="8" t="s">
        <v>194</v>
      </c>
      <c r="C58" s="9">
        <v>762</v>
      </c>
      <c r="D58" s="9">
        <v>391</v>
      </c>
      <c r="E58" s="13">
        <f t="shared" si="0"/>
        <v>48.687664041994751</v>
      </c>
      <c r="G58" s="50">
        <v>42163</v>
      </c>
      <c r="H58" s="51">
        <f>AVERAGE(D58:D61)</f>
        <v>336</v>
      </c>
      <c r="I58" s="51">
        <f>STDEV(D58:D61)</f>
        <v>43.901404685195814</v>
      </c>
      <c r="J58" s="51">
        <f>AVERAGE(E58:E61)</f>
        <v>52.378048424982381</v>
      </c>
      <c r="K58" s="52">
        <f>STDEV(E58:E61)</f>
        <v>2.8133390884216669</v>
      </c>
      <c r="L58" s="55" t="s">
        <v>331</v>
      </c>
    </row>
    <row r="59" spans="1:12" x14ac:dyDescent="0.25">
      <c r="A59" s="53"/>
      <c r="B59" s="8" t="s">
        <v>195</v>
      </c>
      <c r="C59" s="9">
        <v>606</v>
      </c>
      <c r="D59" s="9">
        <v>292</v>
      </c>
      <c r="E59" s="13">
        <f t="shared" si="0"/>
        <v>51.81518151815181</v>
      </c>
      <c r="G59" s="50"/>
      <c r="H59" s="51"/>
      <c r="I59" s="51"/>
      <c r="J59" s="51"/>
      <c r="K59" s="52"/>
      <c r="L59" s="55"/>
    </row>
    <row r="60" spans="1:12" x14ac:dyDescent="0.25">
      <c r="A60" s="53"/>
      <c r="B60" s="8" t="s">
        <v>196</v>
      </c>
      <c r="C60" s="9">
        <v>693</v>
      </c>
      <c r="D60" s="9">
        <v>311</v>
      </c>
      <c r="E60" s="13">
        <f t="shared" si="0"/>
        <v>55.122655122655132</v>
      </c>
      <c r="G60" s="50"/>
      <c r="H60" s="51"/>
      <c r="I60" s="51"/>
      <c r="J60" s="51"/>
      <c r="K60" s="52"/>
      <c r="L60" s="55"/>
    </row>
    <row r="61" spans="1:12" x14ac:dyDescent="0.25">
      <c r="A61" s="53"/>
      <c r="B61" s="8" t="s">
        <v>197</v>
      </c>
      <c r="C61" s="9">
        <v>759</v>
      </c>
      <c r="D61" s="9">
        <v>350</v>
      </c>
      <c r="E61" s="13">
        <f t="shared" si="0"/>
        <v>53.886693017127804</v>
      </c>
      <c r="G61" s="50"/>
      <c r="H61" s="51"/>
      <c r="I61" s="51"/>
      <c r="J61" s="51"/>
      <c r="K61" s="52"/>
      <c r="L61" s="55"/>
    </row>
    <row r="62" spans="1:12" x14ac:dyDescent="0.25">
      <c r="A62" s="53"/>
      <c r="B62" s="4" t="s">
        <v>198</v>
      </c>
      <c r="C62" s="5">
        <v>635</v>
      </c>
      <c r="D62" s="5">
        <v>464</v>
      </c>
      <c r="E62" s="14">
        <f t="shared" si="0"/>
        <v>26.929133858267718</v>
      </c>
      <c r="G62" s="50">
        <v>42177</v>
      </c>
      <c r="H62" s="51">
        <f>AVERAGE(D62:D65)</f>
        <v>475.75</v>
      </c>
      <c r="I62" s="51">
        <f>STDEV(D62:D65)</f>
        <v>90.326721775267956</v>
      </c>
      <c r="J62" s="51">
        <f>AVERAGE(E62:E65)</f>
        <v>31.091784240183234</v>
      </c>
      <c r="K62" s="52">
        <f>STDEV(E62:E65)</f>
        <v>5.4843770057787751</v>
      </c>
      <c r="L62" s="55" t="s">
        <v>331</v>
      </c>
    </row>
    <row r="63" spans="1:12" x14ac:dyDescent="0.25">
      <c r="A63" s="53"/>
      <c r="B63" s="4" t="s">
        <v>199</v>
      </c>
      <c r="C63" s="5">
        <v>603</v>
      </c>
      <c r="D63" s="5">
        <v>441</v>
      </c>
      <c r="E63" s="14">
        <f t="shared" si="0"/>
        <v>26.865671641791046</v>
      </c>
      <c r="G63" s="50"/>
      <c r="H63" s="51"/>
      <c r="I63" s="51"/>
      <c r="J63" s="51"/>
      <c r="K63" s="52"/>
      <c r="L63" s="55"/>
    </row>
    <row r="64" spans="1:12" x14ac:dyDescent="0.25">
      <c r="A64" s="53"/>
      <c r="B64" s="4" t="s">
        <v>200</v>
      </c>
      <c r="C64" s="5">
        <v>640</v>
      </c>
      <c r="D64" s="5">
        <v>394</v>
      </c>
      <c r="E64" s="14">
        <f t="shared" si="0"/>
        <v>38.4375</v>
      </c>
      <c r="G64" s="50"/>
      <c r="H64" s="51"/>
      <c r="I64" s="51"/>
      <c r="J64" s="51"/>
      <c r="K64" s="52"/>
      <c r="L64" s="55"/>
    </row>
    <row r="65" spans="1:12" x14ac:dyDescent="0.25">
      <c r="A65" s="53"/>
      <c r="B65" s="4" t="s">
        <v>201</v>
      </c>
      <c r="C65" s="5">
        <v>890</v>
      </c>
      <c r="D65" s="5">
        <v>604</v>
      </c>
      <c r="E65" s="14">
        <f t="shared" si="0"/>
        <v>32.134831460674164</v>
      </c>
      <c r="G65" s="50"/>
      <c r="H65" s="51"/>
      <c r="I65" s="51"/>
      <c r="J65" s="51"/>
      <c r="K65" s="52"/>
      <c r="L65" s="55"/>
    </row>
    <row r="66" spans="1:12" x14ac:dyDescent="0.25">
      <c r="A66" s="53"/>
      <c r="B66" s="8" t="s">
        <v>202</v>
      </c>
      <c r="C66" s="9">
        <v>597</v>
      </c>
      <c r="D66" s="9">
        <v>581</v>
      </c>
      <c r="E66" s="13">
        <f t="shared" si="0"/>
        <v>2.6800670016750461</v>
      </c>
      <c r="G66" s="50">
        <v>42191</v>
      </c>
      <c r="H66" s="51">
        <f>AVERAGE(D66:D69)</f>
        <v>566</v>
      </c>
      <c r="I66" s="51">
        <f>STDEV(D66:D69)</f>
        <v>27.36177382164151</v>
      </c>
      <c r="J66" s="51">
        <f>AVERAGE(E66:E69)</f>
        <v>3.7664993582277622</v>
      </c>
      <c r="K66" s="52">
        <f>STDEV(E66:E69)</f>
        <v>1.1242432505899687</v>
      </c>
      <c r="L66" s="55" t="s">
        <v>331</v>
      </c>
    </row>
    <row r="67" spans="1:12" x14ac:dyDescent="0.25">
      <c r="A67" s="53"/>
      <c r="B67" s="8" t="s">
        <v>203</v>
      </c>
      <c r="C67" s="9">
        <v>562</v>
      </c>
      <c r="D67" s="9">
        <v>532</v>
      </c>
      <c r="E67" s="13">
        <f t="shared" ref="E67:E73" si="2">IF(AND(ISNUMBER(C67),ISNUMBER(D67)), 100*(1-D67/C67), "-")</f>
        <v>5.3380782918149521</v>
      </c>
      <c r="G67" s="50"/>
      <c r="H67" s="51"/>
      <c r="I67" s="51"/>
      <c r="J67" s="51"/>
      <c r="K67" s="52"/>
      <c r="L67" s="55"/>
    </row>
    <row r="68" spans="1:12" x14ac:dyDescent="0.25">
      <c r="A68" s="53"/>
      <c r="B68" s="8" t="s">
        <v>204</v>
      </c>
      <c r="C68" s="9">
        <v>615</v>
      </c>
      <c r="D68" s="9">
        <v>594</v>
      </c>
      <c r="E68" s="13">
        <f t="shared" si="2"/>
        <v>3.4146341463414664</v>
      </c>
      <c r="G68" s="50"/>
      <c r="H68" s="51"/>
      <c r="I68" s="51"/>
      <c r="J68" s="51"/>
      <c r="K68" s="52"/>
      <c r="L68" s="55"/>
    </row>
    <row r="69" spans="1:12" x14ac:dyDescent="0.25">
      <c r="A69" s="53"/>
      <c r="B69" s="8" t="s">
        <v>205</v>
      </c>
      <c r="C69" s="9">
        <v>578</v>
      </c>
      <c r="D69" s="9">
        <v>557</v>
      </c>
      <c r="E69" s="13">
        <f t="shared" si="2"/>
        <v>3.6332179930795849</v>
      </c>
      <c r="G69" s="50"/>
      <c r="H69" s="51"/>
      <c r="I69" s="51"/>
      <c r="J69" s="51"/>
      <c r="K69" s="52"/>
      <c r="L69" s="55"/>
    </row>
    <row r="70" spans="1:12" x14ac:dyDescent="0.25">
      <c r="A70" s="53"/>
      <c r="B70" s="4" t="s">
        <v>385</v>
      </c>
      <c r="C70" s="5" t="s">
        <v>20</v>
      </c>
      <c r="D70" s="5">
        <v>146.56</v>
      </c>
      <c r="E70" s="14" t="str">
        <f t="shared" si="2"/>
        <v>-</v>
      </c>
      <c r="F70" s="65" t="s">
        <v>395</v>
      </c>
      <c r="G70" s="50">
        <v>42191</v>
      </c>
      <c r="H70" s="67">
        <f>AVERAGE(D70, D72:D73)</f>
        <v>151.86333333333334</v>
      </c>
      <c r="I70" s="67">
        <f>STDEV(D70, D72:D73)</f>
        <v>11.209131693995449</v>
      </c>
      <c r="J70" s="64" t="s">
        <v>320</v>
      </c>
      <c r="K70" s="66" t="s">
        <v>320</v>
      </c>
      <c r="L70" s="55" t="s">
        <v>327</v>
      </c>
    </row>
    <row r="71" spans="1:12" x14ac:dyDescent="0.25">
      <c r="A71" s="53"/>
      <c r="B71" s="4" t="s">
        <v>386</v>
      </c>
      <c r="C71" s="5" t="s">
        <v>20</v>
      </c>
      <c r="D71" s="34">
        <v>39.549999999999997</v>
      </c>
      <c r="E71" s="14" t="str">
        <f t="shared" si="2"/>
        <v>-</v>
      </c>
      <c r="F71" s="65"/>
      <c r="G71" s="50"/>
      <c r="H71" s="67"/>
      <c r="I71" s="67"/>
      <c r="J71" s="64"/>
      <c r="K71" s="66"/>
      <c r="L71" s="55"/>
    </row>
    <row r="72" spans="1:12" x14ac:dyDescent="0.25">
      <c r="A72" s="53"/>
      <c r="B72" s="4" t="s">
        <v>387</v>
      </c>
      <c r="C72" s="5" t="s">
        <v>20</v>
      </c>
      <c r="D72" s="5">
        <v>164.74</v>
      </c>
      <c r="E72" s="14" t="str">
        <f t="shared" si="2"/>
        <v>-</v>
      </c>
      <c r="F72" s="65"/>
      <c r="G72" s="50"/>
      <c r="H72" s="67"/>
      <c r="I72" s="67"/>
      <c r="J72" s="64"/>
      <c r="K72" s="66"/>
      <c r="L72" s="55"/>
    </row>
    <row r="73" spans="1:12" x14ac:dyDescent="0.25">
      <c r="A73" s="53"/>
      <c r="B73" s="4" t="s">
        <v>388</v>
      </c>
      <c r="C73" s="5" t="s">
        <v>20</v>
      </c>
      <c r="D73" s="5">
        <v>144.29000000000002</v>
      </c>
      <c r="E73" s="14" t="str">
        <f t="shared" si="2"/>
        <v>-</v>
      </c>
      <c r="F73" s="65"/>
      <c r="G73" s="50"/>
      <c r="H73" s="67"/>
      <c r="I73" s="67"/>
      <c r="J73" s="64"/>
      <c r="K73" s="66"/>
      <c r="L73" s="55"/>
    </row>
    <row r="74" spans="1:12" x14ac:dyDescent="0.25">
      <c r="A74" s="53"/>
      <c r="B74" s="8" t="s">
        <v>400</v>
      </c>
      <c r="C74" s="9">
        <v>142</v>
      </c>
      <c r="D74" s="30">
        <f>C74*(1-E74/100)</f>
        <v>136.65157091131658</v>
      </c>
      <c r="E74" s="37">
        <f>AVERAGE(E66:E69)</f>
        <v>3.7664993582277622</v>
      </c>
      <c r="F74" s="54" t="s">
        <v>402</v>
      </c>
      <c r="G74" s="50">
        <v>42261</v>
      </c>
      <c r="H74" s="51">
        <f>AVERAGE(D74:D77)</f>
        <v>144.83141846586722</v>
      </c>
      <c r="I74" s="51">
        <f>STDEV(D74:D77)</f>
        <v>13.369185175745026</v>
      </c>
      <c r="J74" s="56" t="s">
        <v>320</v>
      </c>
      <c r="K74" s="57" t="s">
        <v>320</v>
      </c>
      <c r="L74" s="55" t="s">
        <v>332</v>
      </c>
    </row>
    <row r="75" spans="1:12" x14ac:dyDescent="0.25">
      <c r="A75" s="53"/>
      <c r="B75" s="8" t="s">
        <v>401</v>
      </c>
      <c r="C75" s="9">
        <v>158</v>
      </c>
      <c r="D75" s="30">
        <f t="shared" ref="D75:D77" si="3">C75*(1-E75/100)</f>
        <v>152.04893101400015</v>
      </c>
      <c r="E75" s="37">
        <f>AVERAGE(E66:E69)</f>
        <v>3.7664993582277622</v>
      </c>
      <c r="F75" s="54"/>
      <c r="G75" s="50"/>
      <c r="H75" s="51"/>
      <c r="I75" s="51"/>
      <c r="J75" s="56"/>
      <c r="K75" s="57"/>
      <c r="L75" s="55"/>
    </row>
    <row r="76" spans="1:12" x14ac:dyDescent="0.25">
      <c r="A76" s="53"/>
      <c r="B76" s="8" t="s">
        <v>401</v>
      </c>
      <c r="C76" s="9">
        <v>136</v>
      </c>
      <c r="D76" s="30">
        <f t="shared" si="3"/>
        <v>130.87756087281025</v>
      </c>
      <c r="E76" s="37">
        <f>AVERAGE(E66:E69)</f>
        <v>3.7664993582277622</v>
      </c>
      <c r="F76" s="54"/>
      <c r="G76" s="50"/>
      <c r="H76" s="51"/>
      <c r="I76" s="51"/>
      <c r="J76" s="56"/>
      <c r="K76" s="57"/>
      <c r="L76" s="55"/>
    </row>
    <row r="77" spans="1:12" x14ac:dyDescent="0.25">
      <c r="A77" s="53"/>
      <c r="B77" s="8" t="s">
        <v>401</v>
      </c>
      <c r="C77" s="9">
        <v>166</v>
      </c>
      <c r="D77" s="30">
        <f t="shared" si="3"/>
        <v>159.74761106534191</v>
      </c>
      <c r="E77" s="37">
        <f>AVERAGE(E66:E69)</f>
        <v>3.7664993582277622</v>
      </c>
      <c r="F77" s="54"/>
      <c r="G77" s="50"/>
      <c r="H77" s="51"/>
      <c r="I77" s="51"/>
      <c r="J77" s="56"/>
      <c r="K77" s="57"/>
      <c r="L77" s="55"/>
    </row>
  </sheetData>
  <mergeCells count="114">
    <mergeCell ref="K70:K73"/>
    <mergeCell ref="J70:J73"/>
    <mergeCell ref="I70:I73"/>
    <mergeCell ref="H70:H73"/>
    <mergeCell ref="H62:H65"/>
    <mergeCell ref="I62:I65"/>
    <mergeCell ref="J62:J65"/>
    <mergeCell ref="K62:K65"/>
    <mergeCell ref="H66:H69"/>
    <mergeCell ref="I66:I69"/>
    <mergeCell ref="J66:J69"/>
    <mergeCell ref="K66:K69"/>
    <mergeCell ref="H54:H57"/>
    <mergeCell ref="I54:I57"/>
    <mergeCell ref="J54:J57"/>
    <mergeCell ref="K54:K57"/>
    <mergeCell ref="G50:G53"/>
    <mergeCell ref="H58:H61"/>
    <mergeCell ref="I58:I61"/>
    <mergeCell ref="J58:J61"/>
    <mergeCell ref="K58:K61"/>
    <mergeCell ref="H46:H49"/>
    <mergeCell ref="I46:I49"/>
    <mergeCell ref="J46:J49"/>
    <mergeCell ref="K46:K49"/>
    <mergeCell ref="G42:G45"/>
    <mergeCell ref="H50:H53"/>
    <mergeCell ref="I50:I53"/>
    <mergeCell ref="J50:J53"/>
    <mergeCell ref="K50:K53"/>
    <mergeCell ref="H38:H41"/>
    <mergeCell ref="I38:I41"/>
    <mergeCell ref="J38:J41"/>
    <mergeCell ref="K38:K41"/>
    <mergeCell ref="G34:G37"/>
    <mergeCell ref="H42:H45"/>
    <mergeCell ref="I42:I45"/>
    <mergeCell ref="J42:J45"/>
    <mergeCell ref="K42:K45"/>
    <mergeCell ref="H18:H21"/>
    <mergeCell ref="I18:I21"/>
    <mergeCell ref="J18:J21"/>
    <mergeCell ref="K18:K21"/>
    <mergeCell ref="H22:H29"/>
    <mergeCell ref="I22:I29"/>
    <mergeCell ref="J22:J29"/>
    <mergeCell ref="K22:K29"/>
    <mergeCell ref="H30:H33"/>
    <mergeCell ref="I30:I33"/>
    <mergeCell ref="J30:J33"/>
    <mergeCell ref="K30:K33"/>
    <mergeCell ref="H10:H13"/>
    <mergeCell ref="I10:I13"/>
    <mergeCell ref="J10:J13"/>
    <mergeCell ref="K10:K13"/>
    <mergeCell ref="G14:G17"/>
    <mergeCell ref="H14:H17"/>
    <mergeCell ref="I14:I17"/>
    <mergeCell ref="J14:J17"/>
    <mergeCell ref="K14:K17"/>
    <mergeCell ref="H2:H5"/>
    <mergeCell ref="I2:I5"/>
    <mergeCell ref="J2:J5"/>
    <mergeCell ref="K2:K5"/>
    <mergeCell ref="G6:G9"/>
    <mergeCell ref="H6:H9"/>
    <mergeCell ref="I6:I9"/>
    <mergeCell ref="J6:J9"/>
    <mergeCell ref="K6:K9"/>
    <mergeCell ref="F26:F29"/>
    <mergeCell ref="A2:A33"/>
    <mergeCell ref="F30:F33"/>
    <mergeCell ref="G2:G5"/>
    <mergeCell ref="G10:G13"/>
    <mergeCell ref="G18:G21"/>
    <mergeCell ref="G30:G33"/>
    <mergeCell ref="G38:G41"/>
    <mergeCell ref="G62:G65"/>
    <mergeCell ref="G22:G29"/>
    <mergeCell ref="G46:G49"/>
    <mergeCell ref="G54:G57"/>
    <mergeCell ref="L30:L33"/>
    <mergeCell ref="L34:L37"/>
    <mergeCell ref="L38:L41"/>
    <mergeCell ref="L22:L29"/>
    <mergeCell ref="L2:L5"/>
    <mergeCell ref="L6:L9"/>
    <mergeCell ref="L10:L13"/>
    <mergeCell ref="L14:L17"/>
    <mergeCell ref="L18:L21"/>
    <mergeCell ref="A34:A77"/>
    <mergeCell ref="F74:F77"/>
    <mergeCell ref="G74:G77"/>
    <mergeCell ref="H74:H77"/>
    <mergeCell ref="I74:I77"/>
    <mergeCell ref="J74:J77"/>
    <mergeCell ref="K74:K77"/>
    <mergeCell ref="L74:L77"/>
    <mergeCell ref="L62:L65"/>
    <mergeCell ref="L66:L69"/>
    <mergeCell ref="L70:L73"/>
    <mergeCell ref="L42:L45"/>
    <mergeCell ref="L46:L49"/>
    <mergeCell ref="L50:L53"/>
    <mergeCell ref="L54:L57"/>
    <mergeCell ref="L58:L61"/>
    <mergeCell ref="G58:G61"/>
    <mergeCell ref="G66:G69"/>
    <mergeCell ref="F70:F73"/>
    <mergeCell ref="G70:G73"/>
    <mergeCell ref="H34:H37"/>
    <mergeCell ref="I34:I37"/>
    <mergeCell ref="J34:J37"/>
    <mergeCell ref="K34:K37"/>
  </mergeCells>
  <printOptions gridLines="1"/>
  <pageMargins left="0.25" right="0.25" top="0.75" bottom="0.75" header="0.3" footer="0.3"/>
  <pageSetup scale="67" fitToHeight="0" orientation="landscape" horizontalDpi="4294967293" verticalDpi="0" r:id="rId1"/>
  <headerFooter>
    <oddHeader>&amp;L&amp;F&amp;C&amp;A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2"/>
  <sheetViews>
    <sheetView workbookViewId="0">
      <pane ySplit="1" topLeftCell="A77" activePane="bottomLeft" state="frozen"/>
      <selection pane="bottomLeft" activeCell="F100" sqref="F100"/>
    </sheetView>
  </sheetViews>
  <sheetFormatPr defaultRowHeight="15" x14ac:dyDescent="0.25"/>
  <cols>
    <col min="2" max="2" width="29" bestFit="1" customWidth="1"/>
    <col min="3" max="3" width="14.28515625" style="1" bestFit="1" customWidth="1"/>
    <col min="4" max="4" width="13.5703125" style="1" bestFit="1" customWidth="1"/>
    <col min="5" max="5" width="9.140625" style="13"/>
    <col min="6" max="6" width="30.7109375" style="42" customWidth="1"/>
    <col min="7" max="7" width="12.7109375" style="46" customWidth="1"/>
    <col min="8" max="8" width="22.5703125" style="25" bestFit="1" customWidth="1"/>
    <col min="9" max="9" width="22.140625" style="25" bestFit="1" customWidth="1"/>
    <col min="10" max="10" width="16.140625" style="25" bestFit="1" customWidth="1"/>
    <col min="11" max="11" width="15.7109375" style="26" bestFit="1" customWidth="1"/>
    <col min="12" max="12" width="12.42578125" style="19" bestFit="1" customWidth="1"/>
  </cols>
  <sheetData>
    <row r="1" spans="1:12" s="3" customFormat="1" x14ac:dyDescent="0.25">
      <c r="A1" s="2" t="s">
        <v>0</v>
      </c>
      <c r="B1" s="3" t="s">
        <v>1</v>
      </c>
      <c r="C1" s="2" t="s">
        <v>2</v>
      </c>
      <c r="D1" s="2" t="s">
        <v>19</v>
      </c>
      <c r="E1" s="16" t="s">
        <v>61</v>
      </c>
      <c r="F1" s="43" t="s">
        <v>310</v>
      </c>
      <c r="G1" s="48" t="s">
        <v>333</v>
      </c>
      <c r="H1" s="12" t="s">
        <v>321</v>
      </c>
      <c r="I1" s="12" t="s">
        <v>322</v>
      </c>
      <c r="J1" s="12" t="s">
        <v>318</v>
      </c>
      <c r="K1" s="17" t="s">
        <v>319</v>
      </c>
      <c r="L1" s="23" t="s">
        <v>330</v>
      </c>
    </row>
    <row r="2" spans="1:12" x14ac:dyDescent="0.25">
      <c r="A2" s="55">
        <v>2013</v>
      </c>
      <c r="B2" t="s">
        <v>90</v>
      </c>
      <c r="C2" s="1">
        <v>1954</v>
      </c>
      <c r="D2" s="1">
        <v>647</v>
      </c>
      <c r="E2" s="13">
        <f>IF(AND(ISNUMBER(C2),ISNUMBER(D2)), 100*(1-D2/C2), "-")</f>
        <v>66.888433981576256</v>
      </c>
      <c r="G2" s="50">
        <v>41470</v>
      </c>
      <c r="H2" s="51">
        <f>AVERAGE(D2:D5)</f>
        <v>605.25</v>
      </c>
      <c r="I2" s="51">
        <f>STDEV(D2:D5)</f>
        <v>72.793658148678489</v>
      </c>
      <c r="J2" s="51">
        <f>AVERAGE(E2:E5)</f>
        <v>68.292802878808885</v>
      </c>
      <c r="K2" s="52">
        <f>STDEV(E2:E5)</f>
        <v>1.7699407959697511</v>
      </c>
      <c r="L2" s="55" t="s">
        <v>331</v>
      </c>
    </row>
    <row r="3" spans="1:12" x14ac:dyDescent="0.25">
      <c r="A3" s="55"/>
      <c r="B3" t="s">
        <v>91</v>
      </c>
      <c r="C3" s="1">
        <v>2157</v>
      </c>
      <c r="D3" s="1">
        <v>681</v>
      </c>
      <c r="E3" s="13">
        <f t="shared" ref="E3:E70" si="0">IF(AND(ISNUMBER(C3),ISNUMBER(D3)), 100*(1-D3/C3), "-")</f>
        <v>68.428372739916554</v>
      </c>
      <c r="G3" s="50"/>
      <c r="H3" s="51"/>
      <c r="I3" s="51"/>
      <c r="J3" s="51"/>
      <c r="K3" s="52"/>
      <c r="L3" s="55"/>
    </row>
    <row r="4" spans="1:12" x14ac:dyDescent="0.25">
      <c r="A4" s="55"/>
      <c r="B4" t="s">
        <v>92</v>
      </c>
      <c r="C4" s="1">
        <v>1962</v>
      </c>
      <c r="D4" s="1">
        <v>574</v>
      </c>
      <c r="E4" s="13">
        <f t="shared" si="0"/>
        <v>70.744138634046891</v>
      </c>
      <c r="G4" s="50"/>
      <c r="H4" s="51"/>
      <c r="I4" s="51"/>
      <c r="J4" s="51"/>
      <c r="K4" s="52"/>
      <c r="L4" s="55"/>
    </row>
    <row r="5" spans="1:12" x14ac:dyDescent="0.25">
      <c r="A5" s="55"/>
      <c r="B5" t="s">
        <v>93</v>
      </c>
      <c r="C5" s="1">
        <v>1578</v>
      </c>
      <c r="D5" s="1">
        <v>519</v>
      </c>
      <c r="E5" s="13">
        <f t="shared" si="0"/>
        <v>67.110266159695826</v>
      </c>
      <c r="G5" s="50"/>
      <c r="H5" s="51"/>
      <c r="I5" s="51"/>
      <c r="J5" s="51"/>
      <c r="K5" s="52"/>
      <c r="L5" s="55"/>
    </row>
    <row r="6" spans="1:12" x14ac:dyDescent="0.25">
      <c r="A6" s="55"/>
      <c r="B6" s="4" t="s">
        <v>94</v>
      </c>
      <c r="C6" s="5">
        <v>1380</v>
      </c>
      <c r="D6" s="5">
        <v>717</v>
      </c>
      <c r="E6" s="14">
        <f t="shared" si="0"/>
        <v>48.043478260869563</v>
      </c>
      <c r="F6" s="54" t="s">
        <v>374</v>
      </c>
      <c r="G6" s="50">
        <v>41484</v>
      </c>
      <c r="H6" s="51">
        <f>AVERAGE(D6:D9)</f>
        <v>774.5</v>
      </c>
      <c r="I6" s="51">
        <f>STDEV(D6:D9)</f>
        <v>96.348326399579975</v>
      </c>
      <c r="J6" s="51">
        <f>AVERAGE(E6:E9)</f>
        <v>49.646793265567055</v>
      </c>
      <c r="K6" s="52">
        <f>STDEV(E6:E9)</f>
        <v>4.8372302112961414</v>
      </c>
      <c r="L6" s="55" t="s">
        <v>331</v>
      </c>
    </row>
    <row r="7" spans="1:12" x14ac:dyDescent="0.25">
      <c r="A7" s="55"/>
      <c r="B7" s="4" t="s">
        <v>95</v>
      </c>
      <c r="C7" s="5">
        <v>1629</v>
      </c>
      <c r="D7" s="5">
        <v>906</v>
      </c>
      <c r="E7" s="14">
        <f t="shared" si="0"/>
        <v>44.383057090239411</v>
      </c>
      <c r="F7" s="54"/>
      <c r="G7" s="50"/>
      <c r="H7" s="51"/>
      <c r="I7" s="51"/>
      <c r="J7" s="51"/>
      <c r="K7" s="52"/>
      <c r="L7" s="55"/>
    </row>
    <row r="8" spans="1:12" x14ac:dyDescent="0.25">
      <c r="A8" s="55"/>
      <c r="B8" s="4" t="s">
        <v>96</v>
      </c>
      <c r="C8" s="5">
        <v>1566</v>
      </c>
      <c r="D8" s="5">
        <v>690</v>
      </c>
      <c r="E8" s="14">
        <f t="shared" si="0"/>
        <v>55.938697318007669</v>
      </c>
      <c r="F8" s="54"/>
      <c r="G8" s="50"/>
      <c r="H8" s="51"/>
      <c r="I8" s="51"/>
      <c r="J8" s="51"/>
      <c r="K8" s="52"/>
      <c r="L8" s="55"/>
    </row>
    <row r="9" spans="1:12" x14ac:dyDescent="0.25">
      <c r="A9" s="55"/>
      <c r="B9" s="4" t="s">
        <v>97</v>
      </c>
      <c r="C9" s="5">
        <v>1577</v>
      </c>
      <c r="D9" s="5">
        <v>785</v>
      </c>
      <c r="E9" s="14">
        <f t="shared" si="0"/>
        <v>50.221940393151556</v>
      </c>
      <c r="F9" s="54"/>
      <c r="G9" s="50"/>
      <c r="H9" s="51"/>
      <c r="I9" s="51"/>
      <c r="J9" s="51"/>
      <c r="K9" s="52"/>
      <c r="L9" s="55"/>
    </row>
    <row r="10" spans="1:12" x14ac:dyDescent="0.25">
      <c r="A10" s="55"/>
      <c r="B10" t="s">
        <v>98</v>
      </c>
      <c r="C10" s="1">
        <v>994</v>
      </c>
      <c r="D10" s="1">
        <v>798</v>
      </c>
      <c r="E10" s="13">
        <f t="shared" si="0"/>
        <v>19.718309859154925</v>
      </c>
      <c r="G10" s="50">
        <v>41492</v>
      </c>
      <c r="H10" s="51">
        <f>AVERAGE(D10:D17)</f>
        <v>826.75</v>
      </c>
      <c r="I10" s="51">
        <f>STDEV(D10:D17)</f>
        <v>42.29558684622625</v>
      </c>
      <c r="J10" s="51">
        <f>AVERAGE(E10:E17)</f>
        <v>23.005901983867354</v>
      </c>
      <c r="K10" s="52">
        <f>STDEV(E10:E17)</f>
        <v>8.6688578600880124</v>
      </c>
      <c r="L10" s="55" t="s">
        <v>331</v>
      </c>
    </row>
    <row r="11" spans="1:12" x14ac:dyDescent="0.25">
      <c r="A11" s="55"/>
      <c r="B11" t="s">
        <v>99</v>
      </c>
      <c r="C11" s="1">
        <v>951</v>
      </c>
      <c r="D11" s="1">
        <v>788</v>
      </c>
      <c r="E11" s="13">
        <f t="shared" si="0"/>
        <v>17.139852786540487</v>
      </c>
      <c r="G11" s="50"/>
      <c r="H11" s="51"/>
      <c r="I11" s="51"/>
      <c r="J11" s="51"/>
      <c r="K11" s="52"/>
      <c r="L11" s="55"/>
    </row>
    <row r="12" spans="1:12" x14ac:dyDescent="0.25">
      <c r="A12" s="55"/>
      <c r="B12" t="s">
        <v>100</v>
      </c>
      <c r="C12" s="1">
        <v>1312</v>
      </c>
      <c r="D12" s="1">
        <v>841</v>
      </c>
      <c r="E12" s="13">
        <f t="shared" si="0"/>
        <v>35.899390243902438</v>
      </c>
      <c r="G12" s="50"/>
      <c r="H12" s="51"/>
      <c r="I12" s="51"/>
      <c r="J12" s="51"/>
      <c r="K12" s="52"/>
      <c r="L12" s="55"/>
    </row>
    <row r="13" spans="1:12" x14ac:dyDescent="0.25">
      <c r="A13" s="55"/>
      <c r="B13" t="s">
        <v>101</v>
      </c>
      <c r="C13" s="1">
        <v>1090</v>
      </c>
      <c r="D13" s="1">
        <v>880</v>
      </c>
      <c r="E13" s="13">
        <f t="shared" si="0"/>
        <v>19.266055045871553</v>
      </c>
      <c r="G13" s="50"/>
      <c r="H13" s="51"/>
      <c r="I13" s="51"/>
      <c r="J13" s="51"/>
      <c r="K13" s="52"/>
      <c r="L13" s="55"/>
    </row>
    <row r="14" spans="1:12" x14ac:dyDescent="0.25">
      <c r="A14" s="55"/>
      <c r="B14" s="4" t="s">
        <v>102</v>
      </c>
      <c r="C14" s="34">
        <v>889</v>
      </c>
      <c r="D14" s="5" t="s">
        <v>20</v>
      </c>
      <c r="E14" s="40" t="str">
        <f t="shared" si="0"/>
        <v>-</v>
      </c>
      <c r="F14" s="54" t="s">
        <v>375</v>
      </c>
      <c r="G14" s="50"/>
      <c r="H14" s="51"/>
      <c r="I14" s="51"/>
      <c r="J14" s="51"/>
      <c r="K14" s="52"/>
      <c r="L14" s="55"/>
    </row>
    <row r="15" spans="1:12" x14ac:dyDescent="0.25">
      <c r="A15" s="55"/>
      <c r="B15" s="4" t="s">
        <v>103</v>
      </c>
      <c r="C15" s="34">
        <v>793</v>
      </c>
      <c r="D15" s="5" t="s">
        <v>20</v>
      </c>
      <c r="E15" s="40" t="str">
        <f t="shared" si="0"/>
        <v>-</v>
      </c>
      <c r="F15" s="54"/>
      <c r="G15" s="50"/>
      <c r="H15" s="51"/>
      <c r="I15" s="51"/>
      <c r="J15" s="51"/>
      <c r="K15" s="52"/>
      <c r="L15" s="55"/>
    </row>
    <row r="16" spans="1:12" x14ac:dyDescent="0.25">
      <c r="A16" s="55"/>
      <c r="B16" s="4" t="s">
        <v>104</v>
      </c>
      <c r="C16" s="34">
        <v>851</v>
      </c>
      <c r="D16" s="5" t="s">
        <v>20</v>
      </c>
      <c r="E16" s="40" t="str">
        <f t="shared" si="0"/>
        <v>-</v>
      </c>
      <c r="F16" s="54"/>
      <c r="G16" s="50"/>
      <c r="H16" s="51"/>
      <c r="I16" s="51"/>
      <c r="J16" s="51"/>
      <c r="K16" s="52"/>
      <c r="L16" s="55"/>
    </row>
    <row r="17" spans="1:14" x14ac:dyDescent="0.25">
      <c r="A17" s="55"/>
      <c r="B17" s="4" t="s">
        <v>105</v>
      </c>
      <c r="C17" s="34">
        <v>762</v>
      </c>
      <c r="D17" s="5" t="s">
        <v>20</v>
      </c>
      <c r="E17" s="40" t="str">
        <f t="shared" si="0"/>
        <v>-</v>
      </c>
      <c r="F17" s="54"/>
      <c r="G17" s="50"/>
      <c r="H17" s="51"/>
      <c r="I17" s="51"/>
      <c r="J17" s="51"/>
      <c r="K17" s="52"/>
      <c r="L17" s="55"/>
    </row>
    <row r="18" spans="1:14" x14ac:dyDescent="0.25">
      <c r="A18" s="55"/>
      <c r="B18" s="8" t="s">
        <v>102</v>
      </c>
      <c r="C18" s="9" t="s">
        <v>20</v>
      </c>
      <c r="D18" s="9">
        <v>489</v>
      </c>
      <c r="E18" s="41" t="str">
        <f t="shared" si="0"/>
        <v>-</v>
      </c>
      <c r="F18" s="38"/>
      <c r="G18" s="72">
        <v>41492</v>
      </c>
      <c r="H18" s="59">
        <f>AVERAGE(D18:D21)</f>
        <v>430.25</v>
      </c>
      <c r="I18" s="59">
        <f>STDEV(D18:D21)</f>
        <v>41.112650121343428</v>
      </c>
      <c r="J18" s="59" t="s">
        <v>320</v>
      </c>
      <c r="K18" s="69" t="s">
        <v>320</v>
      </c>
      <c r="L18" s="71" t="s">
        <v>327</v>
      </c>
      <c r="M18" s="39"/>
      <c r="N18" s="39"/>
    </row>
    <row r="19" spans="1:14" x14ac:dyDescent="0.25">
      <c r="A19" s="55"/>
      <c r="B19" s="8" t="s">
        <v>103</v>
      </c>
      <c r="C19" s="9" t="s">
        <v>20</v>
      </c>
      <c r="D19" s="9">
        <v>399</v>
      </c>
      <c r="E19" s="41" t="str">
        <f t="shared" si="0"/>
        <v>-</v>
      </c>
      <c r="F19" s="38"/>
      <c r="G19" s="72"/>
      <c r="H19" s="59"/>
      <c r="I19" s="59"/>
      <c r="J19" s="59"/>
      <c r="K19" s="69"/>
      <c r="L19" s="71"/>
      <c r="M19" s="39"/>
      <c r="N19" s="39"/>
    </row>
    <row r="20" spans="1:14" x14ac:dyDescent="0.25">
      <c r="A20" s="55"/>
      <c r="B20" s="8" t="s">
        <v>104</v>
      </c>
      <c r="C20" s="9" t="s">
        <v>20</v>
      </c>
      <c r="D20" s="9">
        <v>428</v>
      </c>
      <c r="E20" s="41" t="str">
        <f t="shared" si="0"/>
        <v>-</v>
      </c>
      <c r="F20" s="38"/>
      <c r="G20" s="72"/>
      <c r="H20" s="59"/>
      <c r="I20" s="59"/>
      <c r="J20" s="59"/>
      <c r="K20" s="69"/>
      <c r="L20" s="71"/>
      <c r="M20" s="39"/>
      <c r="N20" s="39"/>
    </row>
    <row r="21" spans="1:14" x14ac:dyDescent="0.25">
      <c r="A21" s="55"/>
      <c r="B21" s="8" t="s">
        <v>105</v>
      </c>
      <c r="C21" s="9" t="s">
        <v>20</v>
      </c>
      <c r="D21" s="9">
        <v>405</v>
      </c>
      <c r="E21" s="41" t="str">
        <f t="shared" si="0"/>
        <v>-</v>
      </c>
      <c r="F21" s="38"/>
      <c r="G21" s="72"/>
      <c r="H21" s="59"/>
      <c r="I21" s="59"/>
      <c r="J21" s="59"/>
      <c r="K21" s="69"/>
      <c r="L21" s="71"/>
      <c r="M21" s="39"/>
      <c r="N21" s="39"/>
    </row>
    <row r="22" spans="1:14" x14ac:dyDescent="0.25">
      <c r="A22" s="53">
        <v>2014</v>
      </c>
      <c r="B22" s="4" t="s">
        <v>106</v>
      </c>
      <c r="C22" s="29">
        <f>973-70</f>
        <v>903</v>
      </c>
      <c r="D22" s="5">
        <v>155</v>
      </c>
      <c r="E22" s="40">
        <f t="shared" si="0"/>
        <v>82.834994462901435</v>
      </c>
      <c r="F22" s="54" t="s">
        <v>396</v>
      </c>
      <c r="G22" s="50">
        <v>41813</v>
      </c>
      <c r="H22" s="51">
        <f>AVERAGE(D22:D28)</f>
        <v>95.714285714285708</v>
      </c>
      <c r="I22" s="51">
        <f>STDEV(D22:D28)</f>
        <v>37.77880484131407</v>
      </c>
      <c r="J22" s="51">
        <f>AVERAGE(E22:E28)</f>
        <v>81.371515052688409</v>
      </c>
      <c r="K22" s="52">
        <f>STDEV(E22:E28)</f>
        <v>2.069456369523583</v>
      </c>
      <c r="L22" s="55" t="s">
        <v>331</v>
      </c>
    </row>
    <row r="23" spans="1:14" x14ac:dyDescent="0.25">
      <c r="A23" s="53"/>
      <c r="B23" s="4" t="s">
        <v>107</v>
      </c>
      <c r="C23" s="29">
        <f>912-70</f>
        <v>842</v>
      </c>
      <c r="D23" s="5">
        <v>140</v>
      </c>
      <c r="E23" s="40">
        <f t="shared" si="0"/>
        <v>83.372921615201903</v>
      </c>
      <c r="F23" s="54"/>
      <c r="G23" s="50"/>
      <c r="H23" s="51"/>
      <c r="I23" s="51"/>
      <c r="J23" s="51"/>
      <c r="K23" s="52"/>
      <c r="L23" s="55"/>
    </row>
    <row r="24" spans="1:14" x14ac:dyDescent="0.25">
      <c r="A24" s="53"/>
      <c r="B24" s="4" t="s">
        <v>108</v>
      </c>
      <c r="C24" s="29">
        <f>502-70</f>
        <v>432</v>
      </c>
      <c r="D24" s="5">
        <v>71</v>
      </c>
      <c r="E24" s="40">
        <f t="shared" si="0"/>
        <v>83.56481481481481</v>
      </c>
      <c r="F24" s="54"/>
      <c r="G24" s="50"/>
      <c r="H24" s="51"/>
      <c r="I24" s="51"/>
      <c r="J24" s="51"/>
      <c r="K24" s="52"/>
      <c r="L24" s="55"/>
    </row>
    <row r="25" spans="1:14" x14ac:dyDescent="0.25">
      <c r="A25" s="53"/>
      <c r="B25" s="4" t="s">
        <v>109</v>
      </c>
      <c r="C25" s="29">
        <f>388-70</f>
        <v>318</v>
      </c>
      <c r="D25" s="5">
        <v>66</v>
      </c>
      <c r="E25" s="14">
        <f t="shared" si="0"/>
        <v>79.245283018867923</v>
      </c>
      <c r="F25" s="54"/>
      <c r="G25" s="50"/>
      <c r="H25" s="51"/>
      <c r="I25" s="51"/>
      <c r="J25" s="51"/>
      <c r="K25" s="52"/>
      <c r="L25" s="55"/>
    </row>
    <row r="26" spans="1:14" x14ac:dyDescent="0.25">
      <c r="A26" s="53"/>
      <c r="B26" s="4" t="s">
        <v>110</v>
      </c>
      <c r="C26" s="29">
        <f>620-70</f>
        <v>550</v>
      </c>
      <c r="D26" s="5">
        <v>101</v>
      </c>
      <c r="E26" s="14">
        <f t="shared" si="0"/>
        <v>81.63636363636364</v>
      </c>
      <c r="F26" s="54"/>
      <c r="G26" s="50"/>
      <c r="H26" s="51"/>
      <c r="I26" s="51"/>
      <c r="J26" s="51"/>
      <c r="K26" s="52"/>
      <c r="L26" s="55"/>
    </row>
    <row r="27" spans="1:14" x14ac:dyDescent="0.25">
      <c r="A27" s="53"/>
      <c r="B27" s="4" t="s">
        <v>111</v>
      </c>
      <c r="C27" s="29">
        <f>415-70</f>
        <v>345</v>
      </c>
      <c r="D27" s="5">
        <v>75</v>
      </c>
      <c r="E27" s="14">
        <f t="shared" si="0"/>
        <v>78.260869565217391</v>
      </c>
      <c r="F27" s="54"/>
      <c r="G27" s="50"/>
      <c r="H27" s="51"/>
      <c r="I27" s="51"/>
      <c r="J27" s="51"/>
      <c r="K27" s="52"/>
      <c r="L27" s="55"/>
    </row>
    <row r="28" spans="1:14" x14ac:dyDescent="0.25">
      <c r="A28" s="53"/>
      <c r="B28" s="4" t="s">
        <v>112</v>
      </c>
      <c r="C28" s="29">
        <f>391-70</f>
        <v>321</v>
      </c>
      <c r="D28" s="5">
        <v>62</v>
      </c>
      <c r="E28" s="14">
        <f t="shared" si="0"/>
        <v>80.685358255451717</v>
      </c>
      <c r="F28" s="54"/>
      <c r="G28" s="50"/>
      <c r="H28" s="51"/>
      <c r="I28" s="51"/>
      <c r="J28" s="51"/>
      <c r="K28" s="52"/>
      <c r="L28" s="55"/>
    </row>
    <row r="29" spans="1:14" x14ac:dyDescent="0.25">
      <c r="A29" s="53"/>
      <c r="B29" s="8" t="s">
        <v>114</v>
      </c>
      <c r="C29" s="27">
        <f>2701-70</f>
        <v>2631</v>
      </c>
      <c r="D29" s="9">
        <v>386</v>
      </c>
      <c r="E29" s="15">
        <f t="shared" si="0"/>
        <v>85.328772329912582</v>
      </c>
      <c r="F29" s="54" t="s">
        <v>396</v>
      </c>
      <c r="G29" s="50">
        <v>41828</v>
      </c>
      <c r="H29" s="51">
        <f>AVERAGE(D29:D35)</f>
        <v>250.28571428571428</v>
      </c>
      <c r="I29" s="51">
        <f>STDEV(D29:D35)</f>
        <v>80.700504512496266</v>
      </c>
      <c r="J29" s="51">
        <f>AVERAGE(E29:E35)</f>
        <v>80.020435830654307</v>
      </c>
      <c r="K29" s="52">
        <f>STDEV(E29:E35)</f>
        <v>2.7660332980579643</v>
      </c>
      <c r="L29" s="55" t="s">
        <v>331</v>
      </c>
    </row>
    <row r="30" spans="1:14" x14ac:dyDescent="0.25">
      <c r="A30" s="53"/>
      <c r="B30" s="8" t="s">
        <v>115</v>
      </c>
      <c r="C30" s="27">
        <f>1474-70</f>
        <v>1404</v>
      </c>
      <c r="D30" s="9">
        <v>262</v>
      </c>
      <c r="E30" s="15">
        <f t="shared" si="0"/>
        <v>81.339031339031337</v>
      </c>
      <c r="F30" s="54"/>
      <c r="G30" s="50"/>
      <c r="H30" s="51"/>
      <c r="I30" s="51"/>
      <c r="J30" s="51"/>
      <c r="K30" s="52"/>
      <c r="L30" s="55"/>
    </row>
    <row r="31" spans="1:14" x14ac:dyDescent="0.25">
      <c r="A31" s="53"/>
      <c r="B31" s="8" t="s">
        <v>116</v>
      </c>
      <c r="C31" s="27">
        <f>1224-70</f>
        <v>1154</v>
      </c>
      <c r="D31" s="9">
        <v>269</v>
      </c>
      <c r="E31" s="15">
        <f t="shared" si="0"/>
        <v>76.689774696707104</v>
      </c>
      <c r="F31" s="54"/>
      <c r="G31" s="50"/>
      <c r="H31" s="51"/>
      <c r="I31" s="51"/>
      <c r="J31" s="51"/>
      <c r="K31" s="52"/>
      <c r="L31" s="55"/>
    </row>
    <row r="32" spans="1:14" x14ac:dyDescent="0.25">
      <c r="A32" s="53"/>
      <c r="B32" s="8" t="s">
        <v>117</v>
      </c>
      <c r="C32" s="27">
        <f>844-70</f>
        <v>774</v>
      </c>
      <c r="D32" s="9">
        <v>163</v>
      </c>
      <c r="E32" s="15">
        <f t="shared" si="0"/>
        <v>78.940568475452196</v>
      </c>
      <c r="F32" s="54"/>
      <c r="G32" s="50"/>
      <c r="H32" s="51"/>
      <c r="I32" s="51"/>
      <c r="J32" s="51"/>
      <c r="K32" s="52"/>
      <c r="L32" s="55"/>
    </row>
    <row r="33" spans="1:12" x14ac:dyDescent="0.25">
      <c r="A33" s="53"/>
      <c r="B33" s="8" t="s">
        <v>118</v>
      </c>
      <c r="C33" s="27">
        <f>1496-70</f>
        <v>1426</v>
      </c>
      <c r="D33" s="9">
        <v>279</v>
      </c>
      <c r="E33" s="15">
        <f t="shared" si="0"/>
        <v>80.434782608695656</v>
      </c>
      <c r="F33" s="54"/>
      <c r="G33" s="50"/>
      <c r="H33" s="51"/>
      <c r="I33" s="51"/>
      <c r="J33" s="51"/>
      <c r="K33" s="52"/>
      <c r="L33" s="55"/>
    </row>
    <row r="34" spans="1:12" x14ac:dyDescent="0.25">
      <c r="A34" s="53"/>
      <c r="B34" s="8" t="s">
        <v>119</v>
      </c>
      <c r="C34" s="27">
        <f>730-70</f>
        <v>660</v>
      </c>
      <c r="D34" s="9">
        <v>142</v>
      </c>
      <c r="E34" s="15">
        <f t="shared" si="0"/>
        <v>78.484848484848484</v>
      </c>
      <c r="F34" s="54"/>
      <c r="G34" s="50"/>
      <c r="H34" s="51"/>
      <c r="I34" s="51"/>
      <c r="J34" s="51"/>
      <c r="K34" s="52"/>
      <c r="L34" s="55"/>
    </row>
    <row r="35" spans="1:12" x14ac:dyDescent="0.25">
      <c r="A35" s="53"/>
      <c r="B35" s="8" t="s">
        <v>113</v>
      </c>
      <c r="C35" s="27">
        <f>1261-70</f>
        <v>1191</v>
      </c>
      <c r="D35" s="9">
        <v>251</v>
      </c>
      <c r="E35" s="15">
        <f t="shared" si="0"/>
        <v>78.925272879932834</v>
      </c>
      <c r="F35" s="54"/>
      <c r="G35" s="50"/>
      <c r="H35" s="51"/>
      <c r="I35" s="51"/>
      <c r="J35" s="51"/>
      <c r="K35" s="52"/>
      <c r="L35" s="55"/>
    </row>
    <row r="36" spans="1:12" x14ac:dyDescent="0.25">
      <c r="A36" s="53"/>
      <c r="B36" s="4" t="s">
        <v>120</v>
      </c>
      <c r="C36" s="44">
        <f>2818-70</f>
        <v>2748</v>
      </c>
      <c r="D36" s="5">
        <v>679</v>
      </c>
      <c r="E36" s="14">
        <f t="shared" si="0"/>
        <v>75.291120815138285</v>
      </c>
      <c r="F36" s="54" t="s">
        <v>361</v>
      </c>
      <c r="G36" s="50">
        <v>41844</v>
      </c>
      <c r="H36" s="51">
        <f>AVERAGE(D36:D42)</f>
        <v>399.57142857142856</v>
      </c>
      <c r="I36" s="51">
        <f>STDEV(D36:D42)</f>
        <v>184.59763193033035</v>
      </c>
      <c r="J36" s="51">
        <f>AVERAGE(E36:E42)</f>
        <v>64.58232373904869</v>
      </c>
      <c r="K36" s="52">
        <f>STDEV(E36:E42)</f>
        <v>7.8003719875584547</v>
      </c>
      <c r="L36" s="55" t="s">
        <v>331</v>
      </c>
    </row>
    <row r="37" spans="1:12" x14ac:dyDescent="0.25">
      <c r="A37" s="53"/>
      <c r="B37" s="4" t="s">
        <v>121</v>
      </c>
      <c r="C37" s="29">
        <f>1749-70</f>
        <v>1679</v>
      </c>
      <c r="D37" s="5">
        <v>542</v>
      </c>
      <c r="E37" s="14">
        <f t="shared" si="0"/>
        <v>67.718880285884453</v>
      </c>
      <c r="F37" s="54"/>
      <c r="G37" s="50"/>
      <c r="H37" s="51"/>
      <c r="I37" s="51"/>
      <c r="J37" s="51"/>
      <c r="K37" s="52"/>
      <c r="L37" s="55"/>
    </row>
    <row r="38" spans="1:12" x14ac:dyDescent="0.25">
      <c r="A38" s="53"/>
      <c r="B38" s="4" t="s">
        <v>122</v>
      </c>
      <c r="C38" s="29">
        <f>799-70</f>
        <v>729</v>
      </c>
      <c r="D38" s="5">
        <v>331</v>
      </c>
      <c r="E38" s="14">
        <f t="shared" si="0"/>
        <v>54.59533607681756</v>
      </c>
      <c r="F38" s="54"/>
      <c r="G38" s="50"/>
      <c r="H38" s="51"/>
      <c r="I38" s="51"/>
      <c r="J38" s="51"/>
      <c r="K38" s="52"/>
      <c r="L38" s="55"/>
    </row>
    <row r="39" spans="1:12" x14ac:dyDescent="0.25">
      <c r="A39" s="53"/>
      <c r="B39" s="4" t="s">
        <v>123</v>
      </c>
      <c r="C39" s="29">
        <f>541-70</f>
        <v>471</v>
      </c>
      <c r="D39" s="5">
        <v>179</v>
      </c>
      <c r="E39" s="14">
        <f t="shared" si="0"/>
        <v>61.995753715498935</v>
      </c>
      <c r="F39" s="54"/>
      <c r="G39" s="50"/>
      <c r="H39" s="51"/>
      <c r="I39" s="51"/>
      <c r="J39" s="51"/>
      <c r="K39" s="52"/>
      <c r="L39" s="55"/>
    </row>
    <row r="40" spans="1:12" x14ac:dyDescent="0.25">
      <c r="A40" s="53"/>
      <c r="B40" s="4" t="s">
        <v>124</v>
      </c>
      <c r="C40" s="29">
        <f>1691-70</f>
        <v>1621</v>
      </c>
      <c r="D40" s="5">
        <v>472</v>
      </c>
      <c r="E40" s="14">
        <f t="shared" si="0"/>
        <v>70.882171499074659</v>
      </c>
      <c r="F40" s="54"/>
      <c r="G40" s="50"/>
      <c r="H40" s="51"/>
      <c r="I40" s="51"/>
      <c r="J40" s="51"/>
      <c r="K40" s="52"/>
      <c r="L40" s="55"/>
    </row>
    <row r="41" spans="1:12" x14ac:dyDescent="0.25">
      <c r="A41" s="53"/>
      <c r="B41" s="4" t="s">
        <v>125</v>
      </c>
      <c r="C41" s="29">
        <f>475-70</f>
        <v>405</v>
      </c>
      <c r="D41" s="5">
        <v>182</v>
      </c>
      <c r="E41" s="14">
        <f t="shared" si="0"/>
        <v>55.061728395061728</v>
      </c>
      <c r="F41" s="54"/>
      <c r="G41" s="50"/>
      <c r="H41" s="51"/>
      <c r="I41" s="51"/>
      <c r="J41" s="51"/>
      <c r="K41" s="52"/>
      <c r="L41" s="55"/>
    </row>
    <row r="42" spans="1:12" x14ac:dyDescent="0.25">
      <c r="A42" s="53"/>
      <c r="B42" s="4" t="s">
        <v>126</v>
      </c>
      <c r="C42" s="29">
        <f>1301-70</f>
        <v>1231</v>
      </c>
      <c r="D42" s="5">
        <v>412</v>
      </c>
      <c r="E42" s="14">
        <f t="shared" si="0"/>
        <v>66.531275385865158</v>
      </c>
      <c r="F42" s="54"/>
      <c r="G42" s="50"/>
      <c r="H42" s="51"/>
      <c r="I42" s="51"/>
      <c r="J42" s="51"/>
      <c r="K42" s="52"/>
      <c r="L42" s="55"/>
    </row>
    <row r="43" spans="1:12" x14ac:dyDescent="0.25">
      <c r="A43" s="53"/>
      <c r="B43" s="8" t="s">
        <v>127</v>
      </c>
      <c r="C43" s="28">
        <v>937</v>
      </c>
      <c r="D43" s="28">
        <f>815-70</f>
        <v>745</v>
      </c>
      <c r="E43" s="41">
        <f t="shared" si="0"/>
        <v>20.490928495197437</v>
      </c>
      <c r="F43" s="61" t="s">
        <v>398</v>
      </c>
      <c r="G43" s="50">
        <v>41857</v>
      </c>
      <c r="H43" s="59">
        <f>AVERAGE(D43:D49)</f>
        <v>309.42857142857144</v>
      </c>
      <c r="I43" s="59">
        <f>STDEV(D43:D49)</f>
        <v>212.68588508475526</v>
      </c>
      <c r="J43" s="59">
        <f>AVERAGE(E43:E49)</f>
        <v>8.4243041321066539</v>
      </c>
      <c r="K43" s="69">
        <f>STDEV(E43:E49)</f>
        <v>5.4049985702756826</v>
      </c>
      <c r="L43" s="55" t="s">
        <v>331</v>
      </c>
    </row>
    <row r="44" spans="1:12" x14ac:dyDescent="0.25">
      <c r="A44" s="53"/>
      <c r="B44" s="8" t="s">
        <v>128</v>
      </c>
      <c r="C44" s="9">
        <v>409</v>
      </c>
      <c r="D44" s="9">
        <f>450-70</f>
        <v>380</v>
      </c>
      <c r="E44" s="15">
        <f t="shared" si="0"/>
        <v>7.0904645476772661</v>
      </c>
      <c r="F44" s="61"/>
      <c r="G44" s="50"/>
      <c r="H44" s="59"/>
      <c r="I44" s="59"/>
      <c r="J44" s="59"/>
      <c r="K44" s="69"/>
      <c r="L44" s="55"/>
    </row>
    <row r="45" spans="1:12" x14ac:dyDescent="0.25">
      <c r="A45" s="53"/>
      <c r="B45" s="8" t="s">
        <v>129</v>
      </c>
      <c r="C45" s="9">
        <v>354</v>
      </c>
      <c r="D45" s="9">
        <f>398-70</f>
        <v>328</v>
      </c>
      <c r="E45" s="15">
        <f t="shared" si="0"/>
        <v>7.3446327683615813</v>
      </c>
      <c r="F45" s="61"/>
      <c r="G45" s="50"/>
      <c r="H45" s="59"/>
      <c r="I45" s="59"/>
      <c r="J45" s="59"/>
      <c r="K45" s="69"/>
      <c r="L45" s="55"/>
    </row>
    <row r="46" spans="1:12" x14ac:dyDescent="0.25">
      <c r="A46" s="53"/>
      <c r="B46" s="8" t="s">
        <v>130</v>
      </c>
      <c r="C46" s="9">
        <v>177</v>
      </c>
      <c r="D46" s="9">
        <f>234-70</f>
        <v>164</v>
      </c>
      <c r="E46" s="15">
        <f t="shared" si="0"/>
        <v>7.3446327683615813</v>
      </c>
      <c r="F46" s="61"/>
      <c r="G46" s="50"/>
      <c r="H46" s="59"/>
      <c r="I46" s="59"/>
      <c r="J46" s="59"/>
      <c r="K46" s="69"/>
      <c r="L46" s="55"/>
    </row>
    <row r="47" spans="1:12" x14ac:dyDescent="0.25">
      <c r="A47" s="53"/>
      <c r="B47" s="8" t="s">
        <v>131</v>
      </c>
      <c r="C47" s="9">
        <v>249</v>
      </c>
      <c r="D47" s="9">
        <f>307-70</f>
        <v>237</v>
      </c>
      <c r="E47" s="15">
        <f t="shared" si="0"/>
        <v>4.8192771084337398</v>
      </c>
      <c r="F47" s="61"/>
      <c r="G47" s="50"/>
      <c r="H47" s="59"/>
      <c r="I47" s="59"/>
      <c r="J47" s="59"/>
      <c r="K47" s="69"/>
      <c r="L47" s="55"/>
    </row>
    <row r="48" spans="1:12" x14ac:dyDescent="0.25">
      <c r="A48" s="53"/>
      <c r="B48" s="8" t="s">
        <v>132</v>
      </c>
      <c r="C48" s="9">
        <v>125</v>
      </c>
      <c r="D48" s="9">
        <f>188-70</f>
        <v>118</v>
      </c>
      <c r="E48" s="15">
        <f t="shared" si="0"/>
        <v>5.600000000000005</v>
      </c>
      <c r="F48" s="61"/>
      <c r="G48" s="50"/>
      <c r="H48" s="59"/>
      <c r="I48" s="59"/>
      <c r="J48" s="59"/>
      <c r="K48" s="69"/>
      <c r="L48" s="55"/>
    </row>
    <row r="49" spans="1:12" x14ac:dyDescent="0.25">
      <c r="A49" s="53"/>
      <c r="B49" s="8" t="s">
        <v>133</v>
      </c>
      <c r="C49" s="9">
        <v>207</v>
      </c>
      <c r="D49" s="9">
        <f>264-70</f>
        <v>194</v>
      </c>
      <c r="E49" s="15">
        <f t="shared" si="0"/>
        <v>6.28019323671497</v>
      </c>
      <c r="F49" s="61"/>
      <c r="G49" s="50"/>
      <c r="H49" s="59"/>
      <c r="I49" s="59"/>
      <c r="J49" s="59"/>
      <c r="K49" s="69"/>
      <c r="L49" s="55"/>
    </row>
    <row r="50" spans="1:12" x14ac:dyDescent="0.25">
      <c r="A50" s="53"/>
      <c r="B50" s="45" t="s">
        <v>377</v>
      </c>
      <c r="C50" s="9" t="s">
        <v>20</v>
      </c>
      <c r="D50" s="28">
        <v>332.85</v>
      </c>
      <c r="E50" s="15" t="str">
        <f t="shared" si="0"/>
        <v>-</v>
      </c>
      <c r="F50" s="54" t="s">
        <v>397</v>
      </c>
      <c r="G50" s="50">
        <v>41857</v>
      </c>
      <c r="H50" s="59">
        <f>AVERAGE(D50:D56)</f>
        <v>99.241428571428585</v>
      </c>
      <c r="I50" s="59">
        <f>STDEV(D50:D56)</f>
        <v>106.26662794257524</v>
      </c>
      <c r="J50" s="59" t="s">
        <v>320</v>
      </c>
      <c r="K50" s="69" t="s">
        <v>320</v>
      </c>
      <c r="L50" s="62" t="s">
        <v>327</v>
      </c>
    </row>
    <row r="51" spans="1:12" x14ac:dyDescent="0.25">
      <c r="A51" s="53"/>
      <c r="B51" s="45" t="s">
        <v>378</v>
      </c>
      <c r="C51" s="9" t="s">
        <v>20</v>
      </c>
      <c r="D51" s="9">
        <v>99.55</v>
      </c>
      <c r="E51" s="15" t="str">
        <f t="shared" si="0"/>
        <v>-</v>
      </c>
      <c r="F51" s="54"/>
      <c r="G51" s="50"/>
      <c r="H51" s="59"/>
      <c r="I51" s="59"/>
      <c r="J51" s="59"/>
      <c r="K51" s="69"/>
      <c r="L51" s="62"/>
    </row>
    <row r="52" spans="1:12" x14ac:dyDescent="0.25">
      <c r="A52" s="53"/>
      <c r="B52" s="45" t="s">
        <v>379</v>
      </c>
      <c r="C52" s="9" t="s">
        <v>20</v>
      </c>
      <c r="D52" s="9">
        <v>85.52</v>
      </c>
      <c r="E52" s="15" t="str">
        <f t="shared" si="0"/>
        <v>-</v>
      </c>
      <c r="F52" s="54"/>
      <c r="G52" s="50"/>
      <c r="H52" s="59"/>
      <c r="I52" s="59"/>
      <c r="J52" s="59"/>
      <c r="K52" s="69"/>
      <c r="L52" s="62"/>
    </row>
    <row r="53" spans="1:12" x14ac:dyDescent="0.25">
      <c r="A53" s="53"/>
      <c r="B53" s="45" t="s">
        <v>376</v>
      </c>
      <c r="C53" s="9" t="s">
        <v>20</v>
      </c>
      <c r="D53" s="9">
        <v>38.28</v>
      </c>
      <c r="E53" s="15" t="str">
        <f t="shared" si="0"/>
        <v>-</v>
      </c>
      <c r="F53" s="54"/>
      <c r="G53" s="50"/>
      <c r="H53" s="59"/>
      <c r="I53" s="59"/>
      <c r="J53" s="59"/>
      <c r="K53" s="69"/>
      <c r="L53" s="62"/>
    </row>
    <row r="54" spans="1:12" x14ac:dyDescent="0.25">
      <c r="A54" s="53"/>
      <c r="B54" s="45" t="s">
        <v>380</v>
      </c>
      <c r="C54" s="9" t="s">
        <v>20</v>
      </c>
      <c r="D54" s="9">
        <v>64.73</v>
      </c>
      <c r="E54" s="15" t="str">
        <f t="shared" si="0"/>
        <v>-</v>
      </c>
      <c r="F54" s="54"/>
      <c r="G54" s="50"/>
      <c r="H54" s="59"/>
      <c r="I54" s="59"/>
      <c r="J54" s="59"/>
      <c r="K54" s="69"/>
      <c r="L54" s="62"/>
    </row>
    <row r="55" spans="1:12" x14ac:dyDescent="0.25">
      <c r="A55" s="53"/>
      <c r="B55" s="8" t="s">
        <v>381</v>
      </c>
      <c r="C55" s="9" t="s">
        <v>20</v>
      </c>
      <c r="D55" s="9">
        <v>24.45</v>
      </c>
      <c r="E55" s="15" t="str">
        <f t="shared" si="0"/>
        <v>-</v>
      </c>
      <c r="F55" s="54"/>
      <c r="G55" s="50"/>
      <c r="H55" s="59"/>
      <c r="I55" s="59"/>
      <c r="J55" s="59"/>
      <c r="K55" s="69"/>
      <c r="L55" s="62"/>
    </row>
    <row r="56" spans="1:12" x14ac:dyDescent="0.25">
      <c r="A56" s="53"/>
      <c r="B56" s="45" t="s">
        <v>382</v>
      </c>
      <c r="C56" s="9" t="s">
        <v>20</v>
      </c>
      <c r="D56" s="9">
        <v>49.31</v>
      </c>
      <c r="E56" s="15" t="str">
        <f t="shared" si="0"/>
        <v>-</v>
      </c>
      <c r="F56" s="54"/>
      <c r="G56" s="50"/>
      <c r="H56" s="59"/>
      <c r="I56" s="59"/>
      <c r="J56" s="59"/>
      <c r="K56" s="69"/>
      <c r="L56" s="62"/>
    </row>
    <row r="57" spans="1:12" x14ac:dyDescent="0.25">
      <c r="A57" s="55">
        <v>2015</v>
      </c>
      <c r="B57" s="4" t="s">
        <v>134</v>
      </c>
      <c r="C57" s="5">
        <v>321</v>
      </c>
      <c r="D57" s="5">
        <v>78</v>
      </c>
      <c r="E57" s="14">
        <f t="shared" si="0"/>
        <v>75.700934579439249</v>
      </c>
      <c r="G57" s="50">
        <v>42090</v>
      </c>
      <c r="H57" s="51">
        <f>AVERAGE(D57:D60)</f>
        <v>55</v>
      </c>
      <c r="I57" s="51">
        <f>STDEV(D57:D60)</f>
        <v>26.570660511172846</v>
      </c>
      <c r="J57" s="51">
        <f>AVERAGE(E57:E60)</f>
        <v>76.059195359439698</v>
      </c>
      <c r="K57" s="52">
        <f>STDEV(E57:E60)</f>
        <v>0.44248955396652856</v>
      </c>
      <c r="L57" s="55" t="s">
        <v>331</v>
      </c>
    </row>
    <row r="58" spans="1:12" x14ac:dyDescent="0.25">
      <c r="A58" s="55"/>
      <c r="B58" s="4" t="s">
        <v>135</v>
      </c>
      <c r="C58" s="5">
        <v>136</v>
      </c>
      <c r="D58" s="5">
        <v>33</v>
      </c>
      <c r="E58" s="14">
        <f t="shared" si="0"/>
        <v>75.735294117647058</v>
      </c>
      <c r="G58" s="50"/>
      <c r="H58" s="51"/>
      <c r="I58" s="51"/>
      <c r="J58" s="51"/>
      <c r="K58" s="52"/>
      <c r="L58" s="55"/>
    </row>
    <row r="59" spans="1:12" x14ac:dyDescent="0.25">
      <c r="A59" s="55"/>
      <c r="B59" s="4" t="s">
        <v>136</v>
      </c>
      <c r="C59" s="5">
        <v>334</v>
      </c>
      <c r="D59" s="5">
        <v>78</v>
      </c>
      <c r="E59" s="14">
        <f t="shared" si="0"/>
        <v>76.646706586826355</v>
      </c>
      <c r="G59" s="50"/>
      <c r="H59" s="51"/>
      <c r="I59" s="51"/>
      <c r="J59" s="51"/>
      <c r="K59" s="52"/>
      <c r="L59" s="55"/>
    </row>
    <row r="60" spans="1:12" x14ac:dyDescent="0.25">
      <c r="A60" s="55"/>
      <c r="B60" s="4" t="s">
        <v>137</v>
      </c>
      <c r="C60" s="5">
        <v>130</v>
      </c>
      <c r="D60" s="5">
        <v>31</v>
      </c>
      <c r="E60" s="14">
        <f t="shared" si="0"/>
        <v>76.153846153846146</v>
      </c>
      <c r="G60" s="50"/>
      <c r="H60" s="51"/>
      <c r="I60" s="51"/>
      <c r="J60" s="51"/>
      <c r="K60" s="52"/>
      <c r="L60" s="55"/>
    </row>
    <row r="61" spans="1:12" x14ac:dyDescent="0.25">
      <c r="A61" s="55"/>
      <c r="B61" s="8" t="s">
        <v>138</v>
      </c>
      <c r="C61" s="9">
        <v>331</v>
      </c>
      <c r="D61" s="9">
        <v>97</v>
      </c>
      <c r="E61" s="15">
        <f t="shared" si="0"/>
        <v>70.694864048338374</v>
      </c>
      <c r="G61" s="50">
        <v>42107</v>
      </c>
      <c r="H61" s="51">
        <f>AVERAGE(D61:D64)</f>
        <v>151.5</v>
      </c>
      <c r="I61" s="51">
        <f>STDEV(D61:D64)</f>
        <v>94.785723256898422</v>
      </c>
      <c r="J61" s="51">
        <f>AVERAGE(E61:E64)</f>
        <v>75.867663216300144</v>
      </c>
      <c r="K61" s="52">
        <f>STDEV(E61:E64)</f>
        <v>4.3058161986627956</v>
      </c>
      <c r="L61" s="55" t="s">
        <v>331</v>
      </c>
    </row>
    <row r="62" spans="1:12" x14ac:dyDescent="0.25">
      <c r="A62" s="55"/>
      <c r="B62" s="8" t="s">
        <v>139</v>
      </c>
      <c r="C62" s="9">
        <v>358</v>
      </c>
      <c r="D62" s="9">
        <v>92</v>
      </c>
      <c r="E62" s="15">
        <f t="shared" si="0"/>
        <v>74.30167597765363</v>
      </c>
      <c r="G62" s="50"/>
      <c r="H62" s="51"/>
      <c r="I62" s="51"/>
      <c r="J62" s="51"/>
      <c r="K62" s="52"/>
      <c r="L62" s="55"/>
    </row>
    <row r="63" spans="1:12" x14ac:dyDescent="0.25">
      <c r="A63" s="55"/>
      <c r="B63" s="8" t="s">
        <v>140</v>
      </c>
      <c r="C63" s="9">
        <v>1505</v>
      </c>
      <c r="D63" s="9">
        <v>292</v>
      </c>
      <c r="E63" s="15">
        <f t="shared" si="0"/>
        <v>80.598006644518279</v>
      </c>
      <c r="G63" s="50"/>
      <c r="H63" s="51"/>
      <c r="I63" s="51"/>
      <c r="J63" s="51"/>
      <c r="K63" s="52"/>
      <c r="L63" s="55"/>
    </row>
    <row r="64" spans="1:12" x14ac:dyDescent="0.25">
      <c r="A64" s="55"/>
      <c r="B64" s="8" t="s">
        <v>141</v>
      </c>
      <c r="C64" s="9">
        <v>565</v>
      </c>
      <c r="D64" s="9">
        <v>125</v>
      </c>
      <c r="E64" s="15">
        <f t="shared" si="0"/>
        <v>77.876106194690266</v>
      </c>
      <c r="G64" s="50"/>
      <c r="H64" s="51"/>
      <c r="I64" s="51"/>
      <c r="J64" s="51"/>
      <c r="K64" s="52"/>
      <c r="L64" s="55"/>
    </row>
    <row r="65" spans="1:12" x14ac:dyDescent="0.25">
      <c r="A65" s="55"/>
      <c r="B65" s="4" t="s">
        <v>142</v>
      </c>
      <c r="C65" s="5">
        <v>907</v>
      </c>
      <c r="D65" s="5">
        <v>258</v>
      </c>
      <c r="E65" s="14">
        <f t="shared" si="0"/>
        <v>71.554575523704528</v>
      </c>
      <c r="G65" s="50">
        <v>42122</v>
      </c>
      <c r="H65" s="51">
        <f>AVERAGE(D65:D68)</f>
        <v>335.5</v>
      </c>
      <c r="I65" s="51">
        <f>STDEV(D65:D68)</f>
        <v>129.60066872255456</v>
      </c>
      <c r="J65" s="51">
        <f>AVERAGE(E65:E68)</f>
        <v>75.803782113976425</v>
      </c>
      <c r="K65" s="52">
        <f>STDEV(E65:E68)</f>
        <v>3.2124849402042788</v>
      </c>
      <c r="L65" s="55" t="s">
        <v>331</v>
      </c>
    </row>
    <row r="66" spans="1:12" x14ac:dyDescent="0.25">
      <c r="A66" s="55"/>
      <c r="B66" s="4" t="s">
        <v>143</v>
      </c>
      <c r="C66" s="5">
        <v>913</v>
      </c>
      <c r="D66" s="5">
        <v>227</v>
      </c>
      <c r="E66" s="14">
        <f t="shared" si="0"/>
        <v>75.136911281489589</v>
      </c>
      <c r="G66" s="50"/>
      <c r="H66" s="51"/>
      <c r="I66" s="51"/>
      <c r="J66" s="51"/>
      <c r="K66" s="52"/>
      <c r="L66" s="55"/>
    </row>
    <row r="67" spans="1:12" x14ac:dyDescent="0.25">
      <c r="A67" s="55"/>
      <c r="B67" s="4" t="s">
        <v>144</v>
      </c>
      <c r="C67" s="5">
        <v>2422</v>
      </c>
      <c r="D67" s="5">
        <v>516</v>
      </c>
      <c r="E67" s="14">
        <f t="shared" si="0"/>
        <v>78.695293146160196</v>
      </c>
      <c r="G67" s="50"/>
      <c r="H67" s="51"/>
      <c r="I67" s="51"/>
      <c r="J67" s="51"/>
      <c r="K67" s="52"/>
      <c r="L67" s="55"/>
    </row>
    <row r="68" spans="1:12" x14ac:dyDescent="0.25">
      <c r="A68" s="55"/>
      <c r="B68" s="4" t="s">
        <v>145</v>
      </c>
      <c r="C68" s="5">
        <v>1538</v>
      </c>
      <c r="D68" s="5">
        <v>341</v>
      </c>
      <c r="E68" s="14">
        <f t="shared" si="0"/>
        <v>77.828348504551357</v>
      </c>
      <c r="G68" s="50"/>
      <c r="H68" s="51"/>
      <c r="I68" s="51"/>
      <c r="J68" s="51"/>
      <c r="K68" s="52"/>
      <c r="L68" s="55"/>
    </row>
    <row r="69" spans="1:12" x14ac:dyDescent="0.25">
      <c r="A69" s="55"/>
      <c r="B69" s="8" t="s">
        <v>146</v>
      </c>
      <c r="C69" s="9" t="s">
        <v>20</v>
      </c>
      <c r="D69" s="9" t="s">
        <v>20</v>
      </c>
      <c r="E69" s="15" t="str">
        <f t="shared" si="0"/>
        <v>-</v>
      </c>
      <c r="F69" s="54" t="s">
        <v>383</v>
      </c>
      <c r="G69" s="50">
        <v>42136</v>
      </c>
      <c r="H69" s="51" t="s">
        <v>320</v>
      </c>
      <c r="I69" s="51" t="s">
        <v>320</v>
      </c>
      <c r="J69" s="51" t="s">
        <v>320</v>
      </c>
      <c r="K69" s="52" t="s">
        <v>320</v>
      </c>
      <c r="L69" s="55" t="s">
        <v>331</v>
      </c>
    </row>
    <row r="70" spans="1:12" x14ac:dyDescent="0.25">
      <c r="A70" s="55"/>
      <c r="B70" s="8" t="s">
        <v>147</v>
      </c>
      <c r="C70" s="9" t="s">
        <v>20</v>
      </c>
      <c r="D70" s="9" t="s">
        <v>20</v>
      </c>
      <c r="E70" s="15" t="str">
        <f t="shared" si="0"/>
        <v>-</v>
      </c>
      <c r="F70" s="54"/>
      <c r="G70" s="50"/>
      <c r="H70" s="51"/>
      <c r="I70" s="51"/>
      <c r="J70" s="51"/>
      <c r="K70" s="52"/>
      <c r="L70" s="55"/>
    </row>
    <row r="71" spans="1:12" x14ac:dyDescent="0.25">
      <c r="A71" s="55"/>
      <c r="B71" s="8" t="s">
        <v>148</v>
      </c>
      <c r="C71" s="9" t="s">
        <v>20</v>
      </c>
      <c r="D71" s="9" t="s">
        <v>20</v>
      </c>
      <c r="E71" s="15" t="str">
        <f t="shared" ref="E71:E100" si="1">IF(AND(ISNUMBER(C71),ISNUMBER(D71)), 100*(1-D71/C71), "-")</f>
        <v>-</v>
      </c>
      <c r="F71" s="54"/>
      <c r="G71" s="50"/>
      <c r="H71" s="51"/>
      <c r="I71" s="51"/>
      <c r="J71" s="51"/>
      <c r="K71" s="52"/>
      <c r="L71" s="55"/>
    </row>
    <row r="72" spans="1:12" x14ac:dyDescent="0.25">
      <c r="A72" s="55"/>
      <c r="B72" s="8" t="s">
        <v>149</v>
      </c>
      <c r="C72" s="9" t="s">
        <v>20</v>
      </c>
      <c r="D72" s="9" t="s">
        <v>20</v>
      </c>
      <c r="E72" s="15" t="str">
        <f t="shared" si="1"/>
        <v>-</v>
      </c>
      <c r="F72" s="54"/>
      <c r="G72" s="50"/>
      <c r="H72" s="51"/>
      <c r="I72" s="51"/>
      <c r="J72" s="51"/>
      <c r="K72" s="52"/>
      <c r="L72" s="55"/>
    </row>
    <row r="73" spans="1:12" x14ac:dyDescent="0.25">
      <c r="A73" s="55"/>
      <c r="B73" s="4" t="s">
        <v>150</v>
      </c>
      <c r="C73" s="5">
        <v>3260</v>
      </c>
      <c r="D73" s="5">
        <v>760</v>
      </c>
      <c r="E73" s="14">
        <f t="shared" si="1"/>
        <v>76.687116564417181</v>
      </c>
      <c r="G73" s="50">
        <v>42150</v>
      </c>
      <c r="H73" s="51">
        <f>AVERAGE(D73:D76)</f>
        <v>851.25</v>
      </c>
      <c r="I73" s="51">
        <f>STDEV(D73:D76)</f>
        <v>169.30716661342683</v>
      </c>
      <c r="J73" s="51">
        <f>AVERAGE(E73:E76)</f>
        <v>77.552026855823186</v>
      </c>
      <c r="K73" s="52">
        <f>STDEV(E73:E76)</f>
        <v>1.0596340333494456</v>
      </c>
      <c r="L73" s="55" t="s">
        <v>331</v>
      </c>
    </row>
    <row r="74" spans="1:12" x14ac:dyDescent="0.25">
      <c r="A74" s="55"/>
      <c r="B74" s="4" t="s">
        <v>151</v>
      </c>
      <c r="C74" s="5">
        <v>3029</v>
      </c>
      <c r="D74" s="5">
        <v>687</v>
      </c>
      <c r="E74" s="14">
        <f t="shared" si="1"/>
        <v>77.319247276328824</v>
      </c>
      <c r="G74" s="50"/>
      <c r="H74" s="51"/>
      <c r="I74" s="51"/>
      <c r="J74" s="51"/>
      <c r="K74" s="52"/>
      <c r="L74" s="55"/>
    </row>
    <row r="75" spans="1:12" x14ac:dyDescent="0.25">
      <c r="A75" s="55"/>
      <c r="B75" s="4" t="s">
        <v>152</v>
      </c>
      <c r="C75" s="5">
        <v>4692</v>
      </c>
      <c r="D75" s="5">
        <v>1074</v>
      </c>
      <c r="E75" s="14">
        <f t="shared" si="1"/>
        <v>77.109974424552433</v>
      </c>
      <c r="G75" s="50"/>
      <c r="H75" s="51"/>
      <c r="I75" s="51"/>
      <c r="J75" s="51"/>
      <c r="K75" s="52"/>
      <c r="L75" s="55"/>
    </row>
    <row r="76" spans="1:12" x14ac:dyDescent="0.25">
      <c r="A76" s="55"/>
      <c r="B76" s="4" t="s">
        <v>153</v>
      </c>
      <c r="C76" s="5">
        <v>4228</v>
      </c>
      <c r="D76" s="5">
        <v>884</v>
      </c>
      <c r="E76" s="14">
        <f t="shared" si="1"/>
        <v>79.091769157994321</v>
      </c>
      <c r="G76" s="50"/>
      <c r="H76" s="51"/>
      <c r="I76" s="51"/>
      <c r="J76" s="51"/>
      <c r="K76" s="52"/>
      <c r="L76" s="55"/>
    </row>
    <row r="77" spans="1:12" x14ac:dyDescent="0.25">
      <c r="A77" s="55"/>
      <c r="B77" s="8" t="s">
        <v>154</v>
      </c>
      <c r="C77" s="9">
        <v>3938</v>
      </c>
      <c r="D77" s="9">
        <v>1156</v>
      </c>
      <c r="E77" s="15">
        <f t="shared" si="1"/>
        <v>70.644997460639928</v>
      </c>
      <c r="G77" s="50">
        <v>42163</v>
      </c>
      <c r="H77" s="51">
        <f>AVERAGE(D77:D80)</f>
        <v>1048.5</v>
      </c>
      <c r="I77" s="51">
        <f>STDEV(D77:D80)</f>
        <v>173.4944763770113</v>
      </c>
      <c r="J77" s="51">
        <f>AVERAGE(E77:E80)</f>
        <v>72.313372736092987</v>
      </c>
      <c r="K77" s="52">
        <f>STDEV(E77:E80)</f>
        <v>3.4522007842897242</v>
      </c>
      <c r="L77" s="55" t="s">
        <v>331</v>
      </c>
    </row>
    <row r="78" spans="1:12" x14ac:dyDescent="0.25">
      <c r="A78" s="55"/>
      <c r="B78" s="8" t="s">
        <v>155</v>
      </c>
      <c r="C78" s="9">
        <v>3297</v>
      </c>
      <c r="D78" s="9">
        <v>818</v>
      </c>
      <c r="E78" s="15">
        <f t="shared" si="1"/>
        <v>75.189566272368822</v>
      </c>
      <c r="G78" s="50"/>
      <c r="H78" s="51"/>
      <c r="I78" s="51"/>
      <c r="J78" s="51"/>
      <c r="K78" s="52"/>
      <c r="L78" s="55"/>
    </row>
    <row r="79" spans="1:12" x14ac:dyDescent="0.25">
      <c r="A79" s="55"/>
      <c r="B79" s="8" t="s">
        <v>156</v>
      </c>
      <c r="C79" s="9">
        <v>3795</v>
      </c>
      <c r="D79" s="9">
        <v>1205</v>
      </c>
      <c r="E79" s="15">
        <f t="shared" si="1"/>
        <v>68.247694334650859</v>
      </c>
      <c r="G79" s="50"/>
      <c r="H79" s="51"/>
      <c r="I79" s="51"/>
      <c r="J79" s="51"/>
      <c r="K79" s="52"/>
      <c r="L79" s="55"/>
    </row>
    <row r="80" spans="1:12" x14ac:dyDescent="0.25">
      <c r="A80" s="55"/>
      <c r="B80" s="8" t="s">
        <v>157</v>
      </c>
      <c r="C80" s="9">
        <v>4088</v>
      </c>
      <c r="D80" s="9">
        <v>1015</v>
      </c>
      <c r="E80" s="15">
        <f t="shared" si="1"/>
        <v>75.171232876712324</v>
      </c>
      <c r="G80" s="50"/>
      <c r="H80" s="51"/>
      <c r="I80" s="51"/>
      <c r="J80" s="51"/>
      <c r="K80" s="52"/>
      <c r="L80" s="55"/>
    </row>
    <row r="81" spans="1:12" x14ac:dyDescent="0.25">
      <c r="A81" s="55"/>
      <c r="B81" s="4" t="s">
        <v>158</v>
      </c>
      <c r="C81" s="5">
        <v>3020</v>
      </c>
      <c r="D81" s="5">
        <v>1179</v>
      </c>
      <c r="E81" s="14">
        <f t="shared" si="1"/>
        <v>60.960264900662253</v>
      </c>
      <c r="G81" s="50">
        <v>42177</v>
      </c>
      <c r="H81" s="51">
        <f>AVERAGE(D81:D84)</f>
        <v>1281.25</v>
      </c>
      <c r="I81" s="51">
        <f>STDEV(D81:D84)</f>
        <v>146.69781866135571</v>
      </c>
      <c r="J81" s="51">
        <f>AVERAGE(E81:E84)</f>
        <v>62.291287130497381</v>
      </c>
      <c r="K81" s="52">
        <f>STDEV(E81:E84)</f>
        <v>5.0946763871012211</v>
      </c>
      <c r="L81" s="55" t="s">
        <v>331</v>
      </c>
    </row>
    <row r="82" spans="1:12" x14ac:dyDescent="0.25">
      <c r="A82" s="55"/>
      <c r="B82" s="4" t="s">
        <v>159</v>
      </c>
      <c r="C82" s="5">
        <v>3613</v>
      </c>
      <c r="D82" s="5">
        <v>1189</v>
      </c>
      <c r="E82" s="14">
        <f t="shared" si="1"/>
        <v>67.091060060891223</v>
      </c>
      <c r="G82" s="50"/>
      <c r="H82" s="51"/>
      <c r="I82" s="51"/>
      <c r="J82" s="51"/>
      <c r="K82" s="52"/>
      <c r="L82" s="55"/>
    </row>
    <row r="83" spans="1:12" x14ac:dyDescent="0.25">
      <c r="A83" s="55"/>
      <c r="B83" s="4" t="s">
        <v>160</v>
      </c>
      <c r="C83" s="5">
        <v>3373</v>
      </c>
      <c r="D83" s="5">
        <v>1494</v>
      </c>
      <c r="E83" s="14">
        <f t="shared" si="1"/>
        <v>55.707085680403203</v>
      </c>
      <c r="G83" s="50"/>
      <c r="H83" s="51"/>
      <c r="I83" s="51"/>
      <c r="J83" s="51"/>
      <c r="K83" s="52"/>
      <c r="L83" s="55"/>
    </row>
    <row r="84" spans="1:12" x14ac:dyDescent="0.25">
      <c r="A84" s="55"/>
      <c r="B84" s="4" t="s">
        <v>161</v>
      </c>
      <c r="C84" s="5">
        <v>3651</v>
      </c>
      <c r="D84" s="5">
        <v>1263</v>
      </c>
      <c r="E84" s="14">
        <f t="shared" si="1"/>
        <v>65.406737880032864</v>
      </c>
      <c r="G84" s="50"/>
      <c r="H84" s="51"/>
      <c r="I84" s="51"/>
      <c r="J84" s="51"/>
      <c r="K84" s="52"/>
      <c r="L84" s="55"/>
    </row>
    <row r="85" spans="1:12" x14ac:dyDescent="0.25">
      <c r="A85" s="55"/>
      <c r="B85" s="8" t="s">
        <v>162</v>
      </c>
      <c r="C85" s="9">
        <v>2171</v>
      </c>
      <c r="D85" s="9">
        <v>1390</v>
      </c>
      <c r="E85" s="15">
        <f t="shared" si="1"/>
        <v>35.974205435283281</v>
      </c>
      <c r="G85" s="50">
        <v>42191</v>
      </c>
      <c r="H85" s="51">
        <f>AVERAGE(D85:D88)</f>
        <v>1284.5</v>
      </c>
      <c r="I85" s="51">
        <f>STDEV(D85:D88)</f>
        <v>80.04373804364711</v>
      </c>
      <c r="J85" s="51">
        <f>AVERAGE(E85:E88)</f>
        <v>36.747992602317453</v>
      </c>
      <c r="K85" s="52">
        <f>STDEV(E85:E88)</f>
        <v>13.236705613862769</v>
      </c>
      <c r="L85" s="55" t="s">
        <v>331</v>
      </c>
    </row>
    <row r="86" spans="1:12" x14ac:dyDescent="0.25">
      <c r="A86" s="55"/>
      <c r="B86" s="8" t="s">
        <v>163</v>
      </c>
      <c r="C86" s="9">
        <v>2133</v>
      </c>
      <c r="D86" s="9">
        <v>1217</v>
      </c>
      <c r="E86" s="15">
        <f t="shared" si="1"/>
        <v>42.944210032817629</v>
      </c>
      <c r="G86" s="50"/>
      <c r="H86" s="51"/>
      <c r="I86" s="51"/>
      <c r="J86" s="51"/>
      <c r="K86" s="52"/>
      <c r="L86" s="55"/>
    </row>
    <row r="87" spans="1:12" x14ac:dyDescent="0.25">
      <c r="A87" s="55"/>
      <c r="B87" s="8" t="s">
        <v>164</v>
      </c>
      <c r="C87" s="9">
        <v>1510</v>
      </c>
      <c r="D87" s="9">
        <v>1228</v>
      </c>
      <c r="E87" s="15">
        <f t="shared" si="1"/>
        <v>18.67549668874172</v>
      </c>
      <c r="G87" s="50"/>
      <c r="H87" s="51"/>
      <c r="I87" s="51"/>
      <c r="J87" s="51"/>
      <c r="K87" s="52"/>
      <c r="L87" s="55"/>
    </row>
    <row r="88" spans="1:12" x14ac:dyDescent="0.25">
      <c r="A88" s="55"/>
      <c r="B88" s="8" t="s">
        <v>165</v>
      </c>
      <c r="C88" s="9">
        <v>2575</v>
      </c>
      <c r="D88" s="9">
        <v>1303</v>
      </c>
      <c r="E88" s="15">
        <f t="shared" si="1"/>
        <v>49.398058252427177</v>
      </c>
      <c r="G88" s="50"/>
      <c r="H88" s="51"/>
      <c r="I88" s="51"/>
      <c r="J88" s="51"/>
      <c r="K88" s="52"/>
      <c r="L88" s="55"/>
    </row>
    <row r="89" spans="1:12" x14ac:dyDescent="0.25">
      <c r="A89" s="55"/>
      <c r="B89" s="4" t="s">
        <v>166</v>
      </c>
      <c r="C89" s="5">
        <v>1486</v>
      </c>
      <c r="D89" s="5">
        <v>1320</v>
      </c>
      <c r="E89" s="14">
        <f t="shared" si="1"/>
        <v>11.170928667563928</v>
      </c>
      <c r="F89" s="65" t="s">
        <v>384</v>
      </c>
      <c r="G89" s="50">
        <v>42205</v>
      </c>
      <c r="H89" s="51">
        <f>AVERAGE(D89:D92)</f>
        <v>1492</v>
      </c>
      <c r="I89" s="51">
        <f>STDEV(D89:D92)</f>
        <v>158.95492023421818</v>
      </c>
      <c r="J89" s="70">
        <f>AVERAGE(E89:E92)</f>
        <v>3.5287921644923421</v>
      </c>
      <c r="K89" s="68">
        <f>STDEV(E89:E92)</f>
        <v>7.4174733616225161</v>
      </c>
      <c r="L89" s="55" t="s">
        <v>331</v>
      </c>
    </row>
    <row r="90" spans="1:12" x14ac:dyDescent="0.25">
      <c r="A90" s="55"/>
      <c r="B90" s="4" t="s">
        <v>167</v>
      </c>
      <c r="C90" s="5">
        <v>1524</v>
      </c>
      <c r="D90" s="5">
        <v>1394</v>
      </c>
      <c r="E90" s="14">
        <f t="shared" si="1"/>
        <v>8.5301837270341245</v>
      </c>
      <c r="F90" s="65"/>
      <c r="G90" s="50"/>
      <c r="H90" s="51"/>
      <c r="I90" s="51"/>
      <c r="J90" s="70"/>
      <c r="K90" s="68"/>
      <c r="L90" s="55"/>
    </row>
    <row r="91" spans="1:12" x14ac:dyDescent="0.25">
      <c r="A91" s="55"/>
      <c r="B91" s="4" t="s">
        <v>168</v>
      </c>
      <c r="C91" s="5">
        <v>1560</v>
      </c>
      <c r="D91" s="5">
        <v>1618</v>
      </c>
      <c r="E91" s="14">
        <f t="shared" si="1"/>
        <v>-3.7179487179487269</v>
      </c>
      <c r="F91" s="65"/>
      <c r="G91" s="50"/>
      <c r="H91" s="51"/>
      <c r="I91" s="51"/>
      <c r="J91" s="70"/>
      <c r="K91" s="68"/>
      <c r="L91" s="55"/>
    </row>
    <row r="92" spans="1:12" x14ac:dyDescent="0.25">
      <c r="A92" s="55"/>
      <c r="B92" s="4" t="s">
        <v>169</v>
      </c>
      <c r="C92" s="5">
        <v>1606</v>
      </c>
      <c r="D92" s="5">
        <v>1636</v>
      </c>
      <c r="E92" s="14">
        <f t="shared" si="1"/>
        <v>-1.8679950186799577</v>
      </c>
      <c r="F92" s="65"/>
      <c r="G92" s="50"/>
      <c r="H92" s="51"/>
      <c r="I92" s="51"/>
      <c r="J92" s="70"/>
      <c r="K92" s="68"/>
      <c r="L92" s="55"/>
    </row>
    <row r="93" spans="1:12" x14ac:dyDescent="0.25">
      <c r="A93" s="55"/>
      <c r="B93" t="s">
        <v>389</v>
      </c>
      <c r="C93" s="9" t="s">
        <v>20</v>
      </c>
      <c r="D93" s="32">
        <v>234.84</v>
      </c>
      <c r="E93" s="15" t="str">
        <f t="shared" si="1"/>
        <v>-</v>
      </c>
      <c r="F93" s="65" t="s">
        <v>399</v>
      </c>
      <c r="G93" s="50">
        <v>42205</v>
      </c>
      <c r="H93" s="67">
        <f>AVERAGE(D94:D96)</f>
        <v>395.84</v>
      </c>
      <c r="I93" s="67">
        <f>STDEV(D94:D96)</f>
        <v>46.666991546488191</v>
      </c>
      <c r="J93" s="51" t="s">
        <v>320</v>
      </c>
      <c r="K93" s="51" t="s">
        <v>320</v>
      </c>
      <c r="L93" s="55" t="s">
        <v>327</v>
      </c>
    </row>
    <row r="94" spans="1:12" x14ac:dyDescent="0.25">
      <c r="A94" s="55"/>
      <c r="B94" t="s">
        <v>390</v>
      </c>
      <c r="C94" s="9" t="s">
        <v>20</v>
      </c>
      <c r="D94" s="9">
        <v>370.63</v>
      </c>
      <c r="E94" s="15" t="str">
        <f t="shared" si="1"/>
        <v>-</v>
      </c>
      <c r="F94" s="65"/>
      <c r="G94" s="50"/>
      <c r="H94" s="67"/>
      <c r="I94" s="67"/>
      <c r="J94" s="51"/>
      <c r="K94" s="51"/>
      <c r="L94" s="55"/>
    </row>
    <row r="95" spans="1:12" x14ac:dyDescent="0.25">
      <c r="A95" s="55"/>
      <c r="B95" t="s">
        <v>391</v>
      </c>
      <c r="C95" s="9" t="s">
        <v>20</v>
      </c>
      <c r="D95" s="9">
        <v>449.69</v>
      </c>
      <c r="E95" s="15" t="str">
        <f t="shared" si="1"/>
        <v>-</v>
      </c>
      <c r="F95" s="65"/>
      <c r="G95" s="50"/>
      <c r="H95" s="67"/>
      <c r="I95" s="67"/>
      <c r="J95" s="51"/>
      <c r="K95" s="51"/>
      <c r="L95" s="55"/>
    </row>
    <row r="96" spans="1:12" x14ac:dyDescent="0.25">
      <c r="A96" s="55"/>
      <c r="B96" t="s">
        <v>392</v>
      </c>
      <c r="C96" s="9" t="s">
        <v>20</v>
      </c>
      <c r="D96" s="9">
        <v>367.2</v>
      </c>
      <c r="E96" s="15" t="str">
        <f t="shared" si="1"/>
        <v>-</v>
      </c>
      <c r="F96" s="65"/>
      <c r="G96" s="50"/>
      <c r="H96" s="67"/>
      <c r="I96" s="67"/>
      <c r="J96" s="51"/>
      <c r="K96" s="51"/>
      <c r="L96" s="55"/>
    </row>
    <row r="97" spans="1:12" x14ac:dyDescent="0.25">
      <c r="A97" s="55"/>
      <c r="B97" s="4" t="s">
        <v>326</v>
      </c>
      <c r="C97" s="5">
        <v>445</v>
      </c>
      <c r="D97" s="5">
        <v>428</v>
      </c>
      <c r="E97" s="14">
        <f t="shared" si="1"/>
        <v>3.8202247191011285</v>
      </c>
      <c r="G97" s="50">
        <v>42219</v>
      </c>
      <c r="H97" s="51">
        <f>AVERAGE(D97:D100)</f>
        <v>404.25</v>
      </c>
      <c r="I97" s="51">
        <f>STDEV(D97:D100)</f>
        <v>65.809700399459857</v>
      </c>
      <c r="J97" s="51">
        <f>AVERAGE(E97:E100)</f>
        <v>3.7239894327173784</v>
      </c>
      <c r="K97" s="52">
        <f>STDEV(E97:E100)</f>
        <v>0.24031883110658855</v>
      </c>
      <c r="L97" s="62" t="s">
        <v>332</v>
      </c>
    </row>
    <row r="98" spans="1:12" x14ac:dyDescent="0.25">
      <c r="A98" s="55"/>
      <c r="B98" s="4" t="s">
        <v>325</v>
      </c>
      <c r="C98" s="5">
        <v>506</v>
      </c>
      <c r="D98" s="5">
        <v>486</v>
      </c>
      <c r="E98" s="14">
        <f t="shared" si="1"/>
        <v>3.9525691699604737</v>
      </c>
      <c r="G98" s="50"/>
      <c r="H98" s="51"/>
      <c r="I98" s="51"/>
      <c r="J98" s="51"/>
      <c r="K98" s="52"/>
      <c r="L98" s="62"/>
    </row>
    <row r="99" spans="1:12" x14ac:dyDescent="0.25">
      <c r="A99" s="55"/>
      <c r="B99" s="4" t="s">
        <v>324</v>
      </c>
      <c r="C99" s="5">
        <v>354</v>
      </c>
      <c r="D99" s="5">
        <v>342</v>
      </c>
      <c r="E99" s="14">
        <f t="shared" si="1"/>
        <v>3.3898305084745783</v>
      </c>
      <c r="G99" s="50"/>
      <c r="H99" s="51"/>
      <c r="I99" s="51"/>
      <c r="J99" s="51"/>
      <c r="K99" s="52"/>
      <c r="L99" s="62"/>
    </row>
    <row r="100" spans="1:12" x14ac:dyDescent="0.25">
      <c r="A100" s="55"/>
      <c r="B100" s="4" t="s">
        <v>323</v>
      </c>
      <c r="C100" s="5">
        <v>375</v>
      </c>
      <c r="D100" s="5">
        <v>361</v>
      </c>
      <c r="E100" s="14">
        <f t="shared" si="1"/>
        <v>3.7333333333333329</v>
      </c>
      <c r="G100" s="50"/>
      <c r="H100" s="51"/>
      <c r="I100" s="51"/>
      <c r="J100" s="51"/>
      <c r="K100" s="52"/>
      <c r="L100" s="62"/>
    </row>
    <row r="101" spans="1:12" x14ac:dyDescent="0.25">
      <c r="B101" s="8"/>
      <c r="C101" s="9"/>
      <c r="D101" s="9"/>
      <c r="E101" s="15"/>
    </row>
    <row r="102" spans="1:12" x14ac:dyDescent="0.25">
      <c r="B102" s="8"/>
      <c r="C102" s="9"/>
      <c r="D102" s="9"/>
      <c r="E102" s="15"/>
    </row>
  </sheetData>
  <mergeCells count="133">
    <mergeCell ref="G43:G49"/>
    <mergeCell ref="L50:L56"/>
    <mergeCell ref="G57:G60"/>
    <mergeCell ref="F43:F49"/>
    <mergeCell ref="L97:L100"/>
    <mergeCell ref="L57:L60"/>
    <mergeCell ref="L61:L64"/>
    <mergeCell ref="L65:L68"/>
    <mergeCell ref="L69:L72"/>
    <mergeCell ref="L73:L76"/>
    <mergeCell ref="J57:J60"/>
    <mergeCell ref="K57:K60"/>
    <mergeCell ref="J61:J64"/>
    <mergeCell ref="K61:K64"/>
    <mergeCell ref="K65:K68"/>
    <mergeCell ref="J69:J72"/>
    <mergeCell ref="K69:K72"/>
    <mergeCell ref="J73:J76"/>
    <mergeCell ref="K73:K76"/>
    <mergeCell ref="J97:J100"/>
    <mergeCell ref="K97:K100"/>
    <mergeCell ref="L43:L49"/>
    <mergeCell ref="J43:J49"/>
    <mergeCell ref="K43:K49"/>
    <mergeCell ref="L2:L5"/>
    <mergeCell ref="L6:L9"/>
    <mergeCell ref="L36:L42"/>
    <mergeCell ref="J22:J28"/>
    <mergeCell ref="K22:K28"/>
    <mergeCell ref="J29:J35"/>
    <mergeCell ref="K29:K35"/>
    <mergeCell ref="J36:J42"/>
    <mergeCell ref="K36:K42"/>
    <mergeCell ref="K2:K5"/>
    <mergeCell ref="K6:K9"/>
    <mergeCell ref="L22:L28"/>
    <mergeCell ref="L29:L35"/>
    <mergeCell ref="G97:G100"/>
    <mergeCell ref="H97:H100"/>
    <mergeCell ref="I97:I100"/>
    <mergeCell ref="G61:G64"/>
    <mergeCell ref="H61:H64"/>
    <mergeCell ref="I61:I64"/>
    <mergeCell ref="G65:G68"/>
    <mergeCell ref="H65:H68"/>
    <mergeCell ref="I65:I68"/>
    <mergeCell ref="G69:G72"/>
    <mergeCell ref="G73:G76"/>
    <mergeCell ref="H73:H76"/>
    <mergeCell ref="H81:H84"/>
    <mergeCell ref="I81:I84"/>
    <mergeCell ref="H69:H72"/>
    <mergeCell ref="I69:I72"/>
    <mergeCell ref="I73:I76"/>
    <mergeCell ref="I77:I80"/>
    <mergeCell ref="I85:I88"/>
    <mergeCell ref="G89:G92"/>
    <mergeCell ref="H89:H92"/>
    <mergeCell ref="H77:H80"/>
    <mergeCell ref="G85:G88"/>
    <mergeCell ref="H85:H88"/>
    <mergeCell ref="A57:A100"/>
    <mergeCell ref="J2:J5"/>
    <mergeCell ref="J65:J68"/>
    <mergeCell ref="J77:J80"/>
    <mergeCell ref="J89:J92"/>
    <mergeCell ref="L18:L21"/>
    <mergeCell ref="K18:K21"/>
    <mergeCell ref="J18:J21"/>
    <mergeCell ref="I18:I21"/>
    <mergeCell ref="H18:H21"/>
    <mergeCell ref="G18:G21"/>
    <mergeCell ref="L10:L17"/>
    <mergeCell ref="G50:G56"/>
    <mergeCell ref="H50:H56"/>
    <mergeCell ref="G22:G28"/>
    <mergeCell ref="H22:H28"/>
    <mergeCell ref="I22:I28"/>
    <mergeCell ref="H29:H35"/>
    <mergeCell ref="I29:I35"/>
    <mergeCell ref="H36:H42"/>
    <mergeCell ref="I36:I42"/>
    <mergeCell ref="G29:G35"/>
    <mergeCell ref="G36:G42"/>
    <mergeCell ref="J50:J56"/>
    <mergeCell ref="F6:F9"/>
    <mergeCell ref="G10:G17"/>
    <mergeCell ref="H10:H17"/>
    <mergeCell ref="I10:I17"/>
    <mergeCell ref="J10:J17"/>
    <mergeCell ref="K10:K17"/>
    <mergeCell ref="A2:A21"/>
    <mergeCell ref="F14:F17"/>
    <mergeCell ref="A22:A56"/>
    <mergeCell ref="F50:F56"/>
    <mergeCell ref="G2:G5"/>
    <mergeCell ref="G6:G9"/>
    <mergeCell ref="H2:H5"/>
    <mergeCell ref="H6:H9"/>
    <mergeCell ref="F36:F42"/>
    <mergeCell ref="F22:F28"/>
    <mergeCell ref="F29:F35"/>
    <mergeCell ref="H43:H49"/>
    <mergeCell ref="I43:I49"/>
    <mergeCell ref="J6:J9"/>
    <mergeCell ref="I2:I5"/>
    <mergeCell ref="I6:I9"/>
    <mergeCell ref="I50:I56"/>
    <mergeCell ref="K50:K56"/>
    <mergeCell ref="H57:H60"/>
    <mergeCell ref="F93:F96"/>
    <mergeCell ref="L93:L96"/>
    <mergeCell ref="H93:H96"/>
    <mergeCell ref="I93:I96"/>
    <mergeCell ref="J93:J96"/>
    <mergeCell ref="K93:K96"/>
    <mergeCell ref="G93:G96"/>
    <mergeCell ref="F69:F72"/>
    <mergeCell ref="F89:F92"/>
    <mergeCell ref="I89:I92"/>
    <mergeCell ref="G77:G80"/>
    <mergeCell ref="J85:J88"/>
    <mergeCell ref="L89:L92"/>
    <mergeCell ref="G81:G84"/>
    <mergeCell ref="L77:L80"/>
    <mergeCell ref="L81:L84"/>
    <mergeCell ref="L85:L88"/>
    <mergeCell ref="K89:K92"/>
    <mergeCell ref="K85:K88"/>
    <mergeCell ref="K77:K80"/>
    <mergeCell ref="J81:J84"/>
    <mergeCell ref="K81:K84"/>
    <mergeCell ref="I57:I60"/>
  </mergeCells>
  <printOptions gridLines="1"/>
  <pageMargins left="0.25" right="0.25" top="0.75" bottom="0.75" header="0.3" footer="0.3"/>
  <pageSetup scale="65" fitToHeight="0" orientation="landscape" horizontalDpi="4294967294" verticalDpi="0" r:id="rId1"/>
  <headerFooter>
    <oddHeader>&amp;L&amp;F&amp;C&amp;A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CFCT</vt:lpstr>
      <vt:lpstr>CFNT</vt:lpstr>
      <vt:lpstr>LIND</vt:lpstr>
      <vt:lpstr>MMTN</vt:lpstr>
      <vt:lpstr>CFCT!Print_Area</vt:lpstr>
      <vt:lpstr>CFNT!Print_Area</vt:lpstr>
      <vt:lpstr>LIND!Print_Area</vt:lpstr>
      <vt:lpstr>MMTN!Print_Area</vt:lpstr>
      <vt:lpstr>CFCT!Print_Titles</vt:lpstr>
      <vt:lpstr>CFNT!Print_Titles</vt:lpstr>
      <vt:lpstr>LIND!Print_Titles</vt:lpstr>
      <vt:lpstr>MMTN!Print_Titles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Patrick O'Keeffe</cp:lastModifiedBy>
  <cp:lastPrinted>2015-10-07T20:53:44Z</cp:lastPrinted>
  <dcterms:created xsi:type="dcterms:W3CDTF">2015-06-04T22:50:58Z</dcterms:created>
  <dcterms:modified xsi:type="dcterms:W3CDTF">2015-09-16T22:49:05Z</dcterms:modified>
</cp:coreProperties>
</file>