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2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</sheets>
  <calcPr calcId="152511"/>
</workbook>
</file>

<file path=xl/calcChain.xml><?xml version="1.0" encoding="utf-8"?>
<calcChain xmlns="http://schemas.openxmlformats.org/spreadsheetml/2006/main">
  <c r="B29" i="3" l="1"/>
  <c r="B28" i="3"/>
  <c r="B25" i="3"/>
  <c r="B24" i="3"/>
  <c r="B26" i="3"/>
  <c r="M22" i="3"/>
  <c r="M23" i="3"/>
  <c r="M24" i="3"/>
  <c r="M25" i="3"/>
  <c r="M26" i="3"/>
  <c r="M27" i="3"/>
  <c r="M28" i="3"/>
  <c r="M29" i="3"/>
  <c r="M30" i="3"/>
  <c r="M31" i="3"/>
  <c r="B8" i="2" l="1"/>
  <c r="H14" i="1"/>
  <c r="H13" i="1"/>
  <c r="A4" i="3"/>
  <c r="B4" i="3"/>
  <c r="C4" i="3"/>
  <c r="B3" i="3"/>
  <c r="C3" i="3"/>
  <c r="A3" i="3"/>
  <c r="A4" i="4"/>
  <c r="B4" i="4"/>
  <c r="B14" i="4" s="1"/>
  <c r="C4" i="4"/>
  <c r="B3" i="4"/>
  <c r="C3" i="4"/>
  <c r="A3" i="4"/>
  <c r="B15" i="4" l="1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20" i="3"/>
  <c r="B21" i="3" s="1"/>
  <c r="B23" i="3"/>
  <c r="F3" i="3" l="1"/>
  <c r="G3" i="3" s="1"/>
  <c r="I3" i="3" s="1"/>
  <c r="F22" i="3"/>
  <c r="F24" i="3"/>
  <c r="F26" i="3"/>
  <c r="F28" i="3"/>
  <c r="F30" i="3"/>
  <c r="F23" i="3"/>
  <c r="F25" i="3"/>
  <c r="F27" i="3"/>
  <c r="F29" i="3"/>
  <c r="F31" i="3"/>
  <c r="F21" i="3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2" i="3"/>
  <c r="J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J21" i="3"/>
  <c r="H3" i="3"/>
  <c r="J3" i="3"/>
  <c r="H10" i="3"/>
  <c r="F6" i="3"/>
  <c r="G6" i="3" s="1"/>
  <c r="F4" i="3"/>
  <c r="G4" i="3" s="1"/>
  <c r="K3" i="3" l="1"/>
  <c r="L3" i="3" s="1"/>
  <c r="O3" i="3"/>
  <c r="K17" i="3"/>
  <c r="L17" i="3" s="1"/>
  <c r="O17" i="3"/>
  <c r="K21" i="3"/>
  <c r="L21" i="3" s="1"/>
  <c r="O21" i="3"/>
  <c r="H19" i="3"/>
  <c r="H8" i="3"/>
  <c r="G29" i="3"/>
  <c r="J29" i="3"/>
  <c r="G25" i="3"/>
  <c r="J25" i="3"/>
  <c r="G30" i="3"/>
  <c r="J30" i="3"/>
  <c r="G26" i="3"/>
  <c r="J26" i="3"/>
  <c r="G22" i="3"/>
  <c r="J22" i="3"/>
  <c r="H7" i="3"/>
  <c r="I9" i="3"/>
  <c r="H11" i="3"/>
  <c r="G31" i="3"/>
  <c r="J31" i="3"/>
  <c r="G27" i="3"/>
  <c r="J27" i="3"/>
  <c r="G23" i="3"/>
  <c r="J23" i="3"/>
  <c r="G28" i="3"/>
  <c r="J28" i="3"/>
  <c r="G24" i="3"/>
  <c r="J24" i="3"/>
  <c r="H15" i="3"/>
  <c r="J13" i="3"/>
  <c r="I5" i="3"/>
  <c r="J9" i="3"/>
  <c r="H13" i="3"/>
  <c r="H17" i="3"/>
  <c r="H21" i="3"/>
  <c r="J7" i="3"/>
  <c r="J15" i="3"/>
  <c r="J19" i="3"/>
  <c r="J12" i="3"/>
  <c r="J14" i="3"/>
  <c r="J16" i="3"/>
  <c r="J18" i="3"/>
  <c r="J20" i="3"/>
  <c r="J10" i="3"/>
  <c r="J8" i="3"/>
  <c r="J5" i="3"/>
  <c r="I12" i="3"/>
  <c r="H12" i="3"/>
  <c r="I16" i="3"/>
  <c r="H16" i="3"/>
  <c r="I20" i="3"/>
  <c r="H20" i="3"/>
  <c r="I14" i="3"/>
  <c r="H14" i="3"/>
  <c r="I18" i="3"/>
  <c r="H18" i="3"/>
  <c r="J6" i="3"/>
  <c r="J11" i="3"/>
  <c r="H4" i="3"/>
  <c r="I4" i="3"/>
  <c r="H6" i="3"/>
  <c r="I6" i="3"/>
  <c r="J4" i="3"/>
  <c r="K20" i="3" l="1"/>
  <c r="L20" i="3" s="1"/>
  <c r="O20" i="3" s="1"/>
  <c r="K12" i="3"/>
  <c r="L12" i="3" s="1"/>
  <c r="O12" i="3"/>
  <c r="K22" i="3"/>
  <c r="L22" i="3" s="1"/>
  <c r="O22" i="3"/>
  <c r="K26" i="3"/>
  <c r="L26" i="3" s="1"/>
  <c r="O26" i="3" s="1"/>
  <c r="K30" i="3"/>
  <c r="L30" i="3" s="1"/>
  <c r="O30" i="3" s="1"/>
  <c r="K25" i="3"/>
  <c r="L25" i="3" s="1"/>
  <c r="O25" i="3" s="1"/>
  <c r="K29" i="3"/>
  <c r="L29" i="3" s="1"/>
  <c r="O29" i="3" s="1"/>
  <c r="K4" i="3"/>
  <c r="L4" i="3" s="1"/>
  <c r="O4" i="3"/>
  <c r="K6" i="3"/>
  <c r="L6" i="3" s="1"/>
  <c r="O6" i="3"/>
  <c r="K8" i="3"/>
  <c r="L8" i="3" s="1"/>
  <c r="O8" i="3"/>
  <c r="K16" i="3"/>
  <c r="L16" i="3" s="1"/>
  <c r="O16" i="3"/>
  <c r="K15" i="3"/>
  <c r="L15" i="3" s="1"/>
  <c r="O15" i="3"/>
  <c r="K11" i="3"/>
  <c r="L11" i="3" s="1"/>
  <c r="O11" i="3"/>
  <c r="K5" i="3"/>
  <c r="L5" i="3" s="1"/>
  <c r="O5" i="3"/>
  <c r="K10" i="3"/>
  <c r="L10" i="3" s="1"/>
  <c r="O10" i="3"/>
  <c r="K18" i="3"/>
  <c r="L18" i="3" s="1"/>
  <c r="O18" i="3"/>
  <c r="K14" i="3"/>
  <c r="L14" i="3" s="1"/>
  <c r="O14" i="3"/>
  <c r="K19" i="3"/>
  <c r="L19" i="3" s="1"/>
  <c r="O19" i="3"/>
  <c r="K7" i="3"/>
  <c r="L7" i="3" s="1"/>
  <c r="O7" i="3"/>
  <c r="K9" i="3"/>
  <c r="L9" i="3" s="1"/>
  <c r="O9" i="3"/>
  <c r="K13" i="3"/>
  <c r="L13" i="3" s="1"/>
  <c r="O13" i="3"/>
  <c r="K24" i="3"/>
  <c r="L24" i="3" s="1"/>
  <c r="O24" i="3"/>
  <c r="K28" i="3"/>
  <c r="L28" i="3" s="1"/>
  <c r="O28" i="3" s="1"/>
  <c r="K23" i="3"/>
  <c r="L23" i="3" s="1"/>
  <c r="O23" i="3" s="1"/>
  <c r="K27" i="3"/>
  <c r="L27" i="3" s="1"/>
  <c r="O27" i="3" s="1"/>
  <c r="K31" i="3"/>
  <c r="L31" i="3" s="1"/>
  <c r="O31" i="3" s="1"/>
  <c r="I24" i="3"/>
  <c r="H24" i="3"/>
  <c r="I28" i="3"/>
  <c r="H28" i="3"/>
  <c r="I23" i="3"/>
  <c r="H23" i="3"/>
  <c r="I27" i="3"/>
  <c r="H27" i="3"/>
  <c r="I31" i="3"/>
  <c r="H31" i="3"/>
  <c r="I22" i="3"/>
  <c r="H22" i="3"/>
  <c r="I26" i="3"/>
  <c r="H26" i="3"/>
  <c r="I30" i="3"/>
  <c r="H30" i="3"/>
  <c r="I25" i="3"/>
  <c r="H25" i="3"/>
  <c r="I29" i="3"/>
  <c r="H29" i="3"/>
  <c r="B36" i="2"/>
  <c r="F24" i="2"/>
  <c r="F17" i="2"/>
  <c r="G14" i="1"/>
  <c r="I14" i="1" s="1"/>
  <c r="G16" i="1"/>
  <c r="I16" i="1" s="1"/>
  <c r="G15" i="1"/>
  <c r="I15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" i="1"/>
  <c r="B1" i="2" s="1"/>
  <c r="G5" i="1"/>
  <c r="I5" i="1" s="1"/>
  <c r="I2" i="1"/>
  <c r="B3" i="2" s="1"/>
  <c r="B4" i="2" s="1"/>
  <c r="B27" i="3" l="1"/>
  <c r="B9" i="2"/>
  <c r="B2" i="2"/>
  <c r="B22" i="2" l="1"/>
  <c r="B23" i="2" s="1"/>
  <c r="B24" i="2" s="1"/>
  <c r="B29" i="2"/>
  <c r="B30" i="2" s="1"/>
  <c r="B31" i="2" s="1"/>
  <c r="E28" i="2" s="1"/>
  <c r="B17" i="2"/>
  <c r="F18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O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pressure drop across 3-way sampling valve in normally open position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as &lt; 2 in Hg which ~= 1psi ~= 70 mb. Use 50 mb as fairly conservative value.</t>
        </r>
      </text>
    </comment>
    <comment ref="A2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Maximum pressure at pump inlet, determined by barometric pressure less wall friction and pressure drop across mass flow controller or orifices+valves (whichever is greater)</t>
        </r>
      </text>
    </comment>
    <comment ref="A28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pressure in canisters, determined by barometric pressure and safety margin specified on "Canisters" spreadsheet</t>
        </r>
      </text>
    </comment>
    <comment ref="A29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Lesser of pump vs. canister maximum pressure</t>
        </r>
      </text>
    </comment>
    <comment ref="B29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Shop for pumps capable of drawing min. turbulent flow rate at this pressure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F14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Choices: 6, 12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</commentList>
</comments>
</file>

<file path=xl/sharedStrings.xml><?xml version="1.0" encoding="utf-8"?>
<sst xmlns="http://schemas.openxmlformats.org/spreadsheetml/2006/main" count="244" uniqueCount="195">
  <si>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</si>
  <si>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</si>
  <si>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</si>
  <si>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</si>
  <si>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</si>
  <si>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</si>
  <si>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</si>
  <si>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</si>
  <si>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</si>
  <si>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</si>
  <si>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</si>
  <si>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</si>
  <si>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</si>
  <si>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</si>
  <si>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</si>
  <si>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</si>
  <si>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</si>
  <si>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</si>
  <si>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</si>
  <si>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</si>
  <si>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</si>
  <si>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</si>
  <si>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</si>
  <si>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</si>
  <si>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</si>
  <si>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</si>
  <si>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</si>
  <si>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</si>
  <si>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</si>
  <si>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</si>
  <si>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</si>
  <si>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</si>
  <si>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</si>
  <si>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</si>
  <si>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</si>
  <si>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</si>
  <si>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</si>
  <si>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Mass flow controller</t>
  </si>
  <si>
    <t>MC-20SLPM-D</t>
  </si>
  <si>
    <t>12-30Vdc @ 250mA</t>
  </si>
  <si>
    <t>Pump</t>
  </si>
  <si>
    <t>KNF</t>
  </si>
  <si>
    <t>12Vdc @ 5.2A</t>
  </si>
  <si>
    <t>Valve control relay</t>
  </si>
  <si>
    <t>ODC5</t>
  </si>
  <si>
    <t>12mA @ nominal logic voltage (1mA off-state leakage)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</si>
  <si>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</si>
  <si>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</si>
  <si>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</si>
  <si>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</si>
  <si>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</si>
  <si>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</si>
  <si>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</si>
  <si>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</si>
  <si>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</si>
  <si>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</si>
  <si>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</si>
  <si>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</si>
  <si>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</si>
  <si>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</si>
  <si>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</si>
  <si>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</si>
  <si>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</si>
  <si>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</si>
  <si>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</si>
  <si>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</si>
  <si>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</si>
  <si>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</si>
  <si>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</si>
  <si>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</si>
  <si>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Surrette S-550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</si>
  <si>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</si>
  <si>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</si>
  <si>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</si>
  <si>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</si>
  <si>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</si>
  <si>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</si>
  <si>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</si>
  <si>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</si>
  <si>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</si>
  <si>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</si>
  <si>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</si>
  <si>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</si>
  <si>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</si>
  <si>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</si>
  <si>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</si>
  <si>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</si>
  <si>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</si>
  <si>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</si>
  <si>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</si>
  <si>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</si>
  <si>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</si>
  <si>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</si>
  <si>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</si>
  <si>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</si>
  <si>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</si>
  <si>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</si>
  <si>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Charge controller min. amperage</t>
  </si>
  <si>
    <t>Amps in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</si>
  <si>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</si>
  <si>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</si>
  <si>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</si>
  <si>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</si>
  <si>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</si>
  <si>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</si>
  <si>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</si>
  <si>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</si>
  <si>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</si>
  <si>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</si>
  <si>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</si>
  <si>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</si>
  <si>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</si>
  <si>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</si>
  <si>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</si>
  <si>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</si>
  <si>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</si>
  <si>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</si>
  <si>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</si>
  <si>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</si>
  <si>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</si>
  <si>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</si>
  <si>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</si>
  <si>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</si>
  <si>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</si>
  <si>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</si>
  <si>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</si>
  <si>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</si>
  <si>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</si>
  <si>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</si>
  <si>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</si>
  <si>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</si>
  <si>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</si>
  <si>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</si>
  <si>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</si>
  <si>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</si>
  <si>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</si>
  <si>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</si>
  <si>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</si>
  <si>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</si>
  <si>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</si>
  <si>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</si>
  <si>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</si>
  <si>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</si>
  <si>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</si>
  <si>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</si>
  <si>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</si>
  <si>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</si>
  <si>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</si>
  <si>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</si>
  <si>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</si>
  <si>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</si>
  <si>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</si>
  <si>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</si>
  <si>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</si>
  <si>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</si>
  <si>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</si>
  <si>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</si>
  <si>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</si>
  <si>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</si>
  <si>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</si>
  <si>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</si>
  <si>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</si>
  <si>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</si>
  <si>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</si>
  <si>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</si>
  <si>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</si>
  <si>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</si>
  <si>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</si>
  <si>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</si>
  <si>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</si>
  <si>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</si>
  <si>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</si>
  <si>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</si>
  <si>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</si>
  <si>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</si>
  <si>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</si>
  <si>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</si>
  <si>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</si>
  <si>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</si>
  <si>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</si>
  <si>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</si>
  <si>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</si>
  <si>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</si>
  <si>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</si>
  <si>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</si>
  <si>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across valve</t>
  </si>
  <si>
    <t>ΔP across MFC</t>
  </si>
  <si>
    <t>Filtered</t>
  </si>
  <si>
    <t>Turbulence threshold (Re#)</t>
  </si>
  <si>
    <t>ΔP across orifice+valve</t>
  </si>
  <si>
    <t>psi</t>
  </si>
  <si>
    <t>mbar (diff)</t>
  </si>
  <si>
    <t>Max pressure @ pump inlet</t>
  </si>
  <si>
    <t>Max pressure @ canisters</t>
  </si>
  <si>
    <t>Target design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</si>
</sst>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7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Border="0" applyAlignment="0" applyProtection="0"/>
    <xf numFmtId="0" fontId="6" fillId="0" borderId="0"/>
    <xf numFmtId="0" fontId="9" fillId="0" borderId="0"/>
    <xf numFmtId="9" fontId="9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1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2" fillId="0" borderId="0" xfId="3" applyFont="1" applyFill="1" applyAlignment="1">
      <alignment horizontal="center"/>
    </xf>
    <xf numFmtId="0" fontId="12" fillId="0" borderId="0" xfId="3" applyFont="1" applyFill="1"/>
    <xf numFmtId="0" fontId="12" fillId="0" borderId="0" xfId="3" applyFont="1"/>
    <xf numFmtId="0" fontId="12" fillId="0" borderId="0" xfId="3" applyFont="1" applyAlignment="1">
      <alignment horizontal="center"/>
    </xf>
    <xf numFmtId="0" fontId="12" fillId="3" borderId="0" xfId="3" applyFont="1" applyFill="1" applyAlignment="1">
      <alignment horizontal="center"/>
    </xf>
    <xf numFmtId="9" fontId="12" fillId="3" borderId="0" xfId="4" applyFont="1" applyFill="1" applyAlignment="1">
      <alignment horizontal="center"/>
    </xf>
    <xf numFmtId="165" fontId="12" fillId="0" borderId="0" xfId="3" applyNumberFormat="1" applyFont="1" applyAlignment="1">
      <alignment horizontal="center"/>
    </xf>
    <xf numFmtId="9" fontId="12" fillId="0" borderId="0" xfId="4" applyFont="1" applyAlignment="1">
      <alignment horizontal="center"/>
    </xf>
    <xf numFmtId="2" fontId="12" fillId="0" borderId="0" xfId="3" applyNumberFormat="1" applyFont="1" applyAlignment="1">
      <alignment horizont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 vertical="center"/>
    </xf>
    <xf numFmtId="0" fontId="15" fillId="0" borderId="0" xfId="2" applyFont="1"/>
    <xf numFmtId="0" fontId="14" fillId="0" borderId="0" xfId="2" applyFont="1" applyBorder="1" applyAlignment="1">
      <alignment horizontal="center"/>
    </xf>
    <xf numFmtId="1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/>
    </xf>
    <xf numFmtId="165" fontId="14" fillId="0" borderId="0" xfId="2" applyNumberFormat="1" applyFont="1" applyAlignment="1">
      <alignment horizontal="center"/>
    </xf>
    <xf numFmtId="164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left" indent="2"/>
    </xf>
    <xf numFmtId="0" fontId="14" fillId="0" borderId="0" xfId="2" applyFont="1" applyBorder="1"/>
    <xf numFmtId="165" fontId="14" fillId="0" borderId="0" xfId="2" applyNumberFormat="1" applyFont="1"/>
    <xf numFmtId="164" fontId="14" fillId="0" borderId="0" xfId="2" applyNumberFormat="1" applyFont="1"/>
    <xf numFmtId="167" fontId="14" fillId="0" borderId="0" xfId="2" applyNumberFormat="1" applyFont="1"/>
    <xf numFmtId="166" fontId="14" fillId="0" borderId="0" xfId="2" applyNumberFormat="1" applyFont="1"/>
    <xf numFmtId="0" fontId="14" fillId="0" borderId="0" xfId="2" applyFont="1" applyAlignment="1"/>
    <xf numFmtId="1" fontId="14" fillId="0" borderId="0" xfId="2" applyNumberFormat="1" applyFont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4" fillId="3" borderId="0" xfId="2" applyFont="1" applyFill="1" applyBorder="1" applyAlignment="1">
      <alignment horizontal="center"/>
    </xf>
    <xf numFmtId="0" fontId="14" fillId="3" borderId="0" xfId="2" applyFont="1" applyFill="1" applyAlignment="1">
      <alignment horizontal="center"/>
    </xf>
    <xf numFmtId="1" fontId="16" fillId="0" borderId="0" xfId="2" applyNumberFormat="1" applyFont="1" applyFill="1"/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4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A14" sqref="A14"/>
    </sheetView>
  </sheetViews>
  <sheetFormatPr defaultRowHeight="12.75" x14ac:dyDescent="0.2"/>
  <cols>
    <col min="1" max="1" width="20" style="23" customWidth="1"/>
    <col min="2" max="2" width="9.140625" style="25"/>
    <col min="3" max="16384" width="9.140625" style="23"/>
  </cols>
  <sheetData>
    <row r="2" spans="1:3" x14ac:dyDescent="0.2">
      <c r="A2" s="20" t="s">
        <v>48</v>
      </c>
      <c r="B2" s="21"/>
      <c r="C2" s="22"/>
    </row>
    <row r="3" spans="1:3" x14ac:dyDescent="0.2">
      <c r="A3" s="22" t="s">
        <v>135</v>
      </c>
      <c r="B3" s="21"/>
      <c r="C3" s="22"/>
    </row>
    <row r="4" spans="1:3" x14ac:dyDescent="0.2">
      <c r="A4" s="24" t="s">
        <v>179</v>
      </c>
      <c r="B4" s="21">
        <v>1013</v>
      </c>
      <c r="C4" s="22" t="s">
        <v>173</v>
      </c>
    </row>
    <row r="5" spans="1:3" x14ac:dyDescent="0.2">
      <c r="A5" s="24" t="s">
        <v>178</v>
      </c>
      <c r="B5" s="21">
        <v>923</v>
      </c>
      <c r="C5" s="22" t="s">
        <v>173</v>
      </c>
    </row>
    <row r="6" spans="1:3" x14ac:dyDescent="0.2">
      <c r="A6" s="24" t="s">
        <v>177</v>
      </c>
      <c r="B6" s="21">
        <v>834</v>
      </c>
      <c r="C6" s="22" t="s">
        <v>173</v>
      </c>
    </row>
    <row r="10" spans="1:3" x14ac:dyDescent="0.2">
      <c r="A10" s="19" t="s">
        <v>176</v>
      </c>
    </row>
    <row r="11" spans="1:3" x14ac:dyDescent="0.2">
      <c r="A11" s="23" t="s">
        <v>180</v>
      </c>
      <c r="B11" s="52">
        <v>55</v>
      </c>
      <c r="C11" s="23" t="s">
        <v>172</v>
      </c>
    </row>
    <row r="12" spans="1:3" x14ac:dyDescent="0.2">
      <c r="A12" s="23" t="s">
        <v>135</v>
      </c>
      <c r="B12" s="53">
        <v>923</v>
      </c>
      <c r="C12" s="23" t="s">
        <v>173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7" sqref="B17"/>
    </sheetView>
  </sheetViews>
  <sheetFormatPr defaultColWidth="12.5703125" defaultRowHeight="12.75" x14ac:dyDescent="0.2"/>
  <cols>
    <col min="1" max="1" width="29.140625" style="28" bestFit="1" customWidth="1"/>
    <col min="2" max="2" width="12.5703125" style="29"/>
    <col min="3" max="16384" width="12.5703125" style="28"/>
  </cols>
  <sheetData>
    <row r="2" spans="1:3" x14ac:dyDescent="0.2">
      <c r="A2" s="20" t="s">
        <v>181</v>
      </c>
      <c r="B2" s="26"/>
      <c r="C2" s="27"/>
    </row>
    <row r="3" spans="1:3" x14ac:dyDescent="0.2">
      <c r="A3" s="28" t="str">
        <f>Conditions!A11</f>
        <v>Ambient temperature</v>
      </c>
      <c r="B3" s="29">
        <f>Conditions!B11</f>
        <v>55</v>
      </c>
      <c r="C3" s="28" t="str">
        <f>Conditions!C11</f>
        <v>ºF</v>
      </c>
    </row>
    <row r="4" spans="1:3" x14ac:dyDescent="0.2">
      <c r="A4" s="28" t="str">
        <f>Conditions!A12</f>
        <v>Barometric pressure</v>
      </c>
      <c r="B4" s="29">
        <f>Conditions!B12</f>
        <v>923</v>
      </c>
      <c r="C4" s="28" t="str">
        <f>Conditions!C12</f>
        <v>mbar</v>
      </c>
    </row>
    <row r="5" spans="1:3" x14ac:dyDescent="0.2">
      <c r="B5" s="26"/>
      <c r="C5" s="27"/>
    </row>
    <row r="6" spans="1:3" x14ac:dyDescent="0.2">
      <c r="A6" s="20" t="s">
        <v>176</v>
      </c>
    </row>
    <row r="7" spans="1:3" x14ac:dyDescent="0.2">
      <c r="A7" s="28" t="s">
        <v>175</v>
      </c>
      <c r="B7" s="30">
        <v>6</v>
      </c>
      <c r="C7" s="28" t="s">
        <v>174</v>
      </c>
    </row>
    <row r="8" spans="1:3" x14ac:dyDescent="0.2">
      <c r="A8" s="28" t="s">
        <v>171</v>
      </c>
      <c r="B8" s="30">
        <v>33</v>
      </c>
      <c r="C8" s="28" t="s">
        <v>170</v>
      </c>
    </row>
    <row r="9" spans="1:3" x14ac:dyDescent="0.2">
      <c r="A9" s="28" t="s">
        <v>169</v>
      </c>
      <c r="B9" s="31">
        <v>0.1</v>
      </c>
    </row>
    <row r="10" spans="1:3" x14ac:dyDescent="0.2">
      <c r="A10" s="28" t="s">
        <v>168</v>
      </c>
      <c r="B10" s="30">
        <v>0.85</v>
      </c>
      <c r="C10" s="28" t="s">
        <v>167</v>
      </c>
    </row>
    <row r="11" spans="1:3" x14ac:dyDescent="0.2">
      <c r="A11" s="28" t="s">
        <v>166</v>
      </c>
      <c r="B11" s="30">
        <v>18</v>
      </c>
      <c r="C11" s="28" t="s">
        <v>165</v>
      </c>
    </row>
    <row r="13" spans="1:3" x14ac:dyDescent="0.2">
      <c r="A13" s="20" t="s">
        <v>164</v>
      </c>
    </row>
    <row r="14" spans="1:3" x14ac:dyDescent="0.2">
      <c r="A14" s="28" t="s">
        <v>163</v>
      </c>
      <c r="B14" s="32">
        <f>B7*(14.7/(B4/68.947573))*((B3+460)/530)</f>
        <v>6.4020229530019002</v>
      </c>
      <c r="C14" s="28" t="s">
        <v>162</v>
      </c>
    </row>
    <row r="15" spans="1:3" x14ac:dyDescent="0.2">
      <c r="A15" s="28" t="s">
        <v>161</v>
      </c>
      <c r="B15" s="33">
        <f>ERF(B10/SQRT(2))</f>
        <v>0.60467491375461524</v>
      </c>
    </row>
    <row r="16" spans="1:3" x14ac:dyDescent="0.2">
      <c r="A16" s="28" t="s">
        <v>160</v>
      </c>
      <c r="B16" s="33">
        <f>(1-B15)/2</f>
        <v>0.19766254312269238</v>
      </c>
    </row>
    <row r="17" spans="1:3" x14ac:dyDescent="0.2">
      <c r="A17" s="28" t="s">
        <v>159</v>
      </c>
      <c r="B17" s="34">
        <f>B8*(0.528-B9)*1000/(B14*B16*60*B11)</f>
        <v>10.334568491116546</v>
      </c>
      <c r="C17" s="28" t="s">
        <v>72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O45"/>
  <sheetViews>
    <sheetView tabSelected="1" zoomScaleNormal="100" workbookViewId="0">
      <selection activeCell="F34" sqref="F34"/>
    </sheetView>
  </sheetViews>
  <sheetFormatPr defaultRowHeight="12.75" x14ac:dyDescent="0.2"/>
  <cols>
    <col min="1" max="1" width="25.7109375" style="35" bestFit="1" customWidth="1"/>
    <col min="2" max="2" width="12" style="35" bestFit="1" customWidth="1"/>
    <col min="3" max="3" width="12.85546875" style="35" bestFit="1" customWidth="1"/>
    <col min="4" max="4" width="2.7109375" style="35" customWidth="1"/>
    <col min="5" max="5" width="5.5703125" style="36" bestFit="1" customWidth="1"/>
    <col min="6" max="6" width="7.7109375" style="36" bestFit="1" customWidth="1"/>
    <col min="7" max="7" width="5.7109375" style="36" bestFit="1" customWidth="1"/>
    <col min="8" max="9" width="6.85546875" style="36" customWidth="1"/>
    <col min="10" max="10" width="10.28515625" style="36" bestFit="1" customWidth="1"/>
    <col min="11" max="11" width="7.140625" style="36" bestFit="1" customWidth="1"/>
    <col min="12" max="12" width="9.42578125" style="36" bestFit="1" customWidth="1"/>
    <col min="13" max="13" width="6.85546875" style="36" bestFit="1" customWidth="1"/>
    <col min="14" max="14" width="9.140625" style="35"/>
    <col min="15" max="15" width="0" style="35" hidden="1" customWidth="1"/>
    <col min="16" max="16384" width="9.140625" style="35"/>
  </cols>
  <sheetData>
    <row r="1" spans="1:15" x14ac:dyDescent="0.2">
      <c r="E1" s="36" t="s">
        <v>158</v>
      </c>
      <c r="F1" s="36" t="s">
        <v>157</v>
      </c>
      <c r="G1" s="36" t="s">
        <v>156</v>
      </c>
      <c r="H1" s="37" t="s">
        <v>155</v>
      </c>
      <c r="I1" s="37"/>
      <c r="J1" s="35"/>
      <c r="K1" s="36" t="s">
        <v>183</v>
      </c>
      <c r="L1" s="35"/>
      <c r="O1" s="35" t="s">
        <v>187</v>
      </c>
    </row>
    <row r="2" spans="1:15" x14ac:dyDescent="0.2">
      <c r="A2" s="38" t="s">
        <v>181</v>
      </c>
      <c r="E2" s="36" t="s">
        <v>154</v>
      </c>
      <c r="F2" s="36" t="s">
        <v>153</v>
      </c>
      <c r="G2" s="36" t="s">
        <v>152</v>
      </c>
      <c r="H2" s="36" t="s">
        <v>151</v>
      </c>
      <c r="I2" s="36" t="s">
        <v>150</v>
      </c>
      <c r="J2" s="36" t="s">
        <v>149</v>
      </c>
      <c r="K2" s="36" t="s">
        <v>184</v>
      </c>
      <c r="L2" s="36" t="s">
        <v>148</v>
      </c>
      <c r="M2" s="36" t="s">
        <v>147</v>
      </c>
      <c r="O2" s="36" t="s">
        <v>148</v>
      </c>
    </row>
    <row r="3" spans="1:15" x14ac:dyDescent="0.2">
      <c r="A3" s="35" t="str">
        <f>Conditions!A11</f>
        <v>Ambient temperature</v>
      </c>
      <c r="B3" s="36">
        <f>Conditions!B11</f>
        <v>55</v>
      </c>
      <c r="C3" s="35" t="str">
        <f>Conditions!C11</f>
        <v>ºF</v>
      </c>
      <c r="E3" s="39">
        <v>1.1000000000000001</v>
      </c>
      <c r="F3" s="40">
        <f>E3*$B$40^2/($B$23*$B$41*$B$42)</f>
        <v>37.649481131227979</v>
      </c>
      <c r="G3" s="41">
        <f>$B$15/(F3*$B$44)</f>
        <v>0.16190668095716548</v>
      </c>
      <c r="H3" s="42">
        <f t="shared" ref="H3:H31" si="0">G3*1000/100</f>
        <v>1.6190668095716549</v>
      </c>
      <c r="I3" s="42">
        <f t="shared" ref="I3:I21" si="1">G3*1000/50</f>
        <v>3.2381336191433099</v>
      </c>
      <c r="J3" s="40">
        <f>$B$21*F3*$B$14/($B$22*$B$40)</f>
        <v>1851.1071970037769</v>
      </c>
      <c r="K3" s="43">
        <f t="shared" ref="K3:K31" si="2">0.316/J3^0.25</f>
        <v>4.8175828294676787E-2</v>
      </c>
      <c r="L3" s="41">
        <f>K3*$B$15*$B$21*$B$43*$B$38/(2*$B$14*$B$45)</f>
        <v>2.0971255907323441</v>
      </c>
      <c r="M3" s="41">
        <f t="shared" ref="M3:M21" si="3">100*(2*6/1000)/E3</f>
        <v>1.0909090909090908</v>
      </c>
      <c r="O3" s="35" t="str">
        <f>IF($J3&lt;$B$17," ",$L3)</f>
        <v xml:space="preserve"> </v>
      </c>
    </row>
    <row r="4" spans="1:15" x14ac:dyDescent="0.2">
      <c r="A4" s="35" t="str">
        <f>Conditions!A12</f>
        <v>Barometric pressure</v>
      </c>
      <c r="B4" s="36">
        <f>Conditions!B12</f>
        <v>923</v>
      </c>
      <c r="C4" s="35" t="str">
        <f>Conditions!C12</f>
        <v>mbar</v>
      </c>
      <c r="E4" s="39">
        <v>1.2</v>
      </c>
      <c r="F4" s="40">
        <f>E4*$B$40^2/($B$23*$B$41*$B$42)</f>
        <v>41.072161234066883</v>
      </c>
      <c r="G4" s="41">
        <f>$B$15/(F4*$B$44)</f>
        <v>0.14841445754406835</v>
      </c>
      <c r="H4" s="42">
        <f t="shared" si="0"/>
        <v>1.4841445754406835</v>
      </c>
      <c r="I4" s="42">
        <f t="shared" si="1"/>
        <v>2.9682891508813669</v>
      </c>
      <c r="J4" s="40">
        <f>$B$21*F4*$B$14/($B$22*$B$40)</f>
        <v>2019.3896694586658</v>
      </c>
      <c r="K4" s="43">
        <f t="shared" si="2"/>
        <v>4.7139182875338852E-2</v>
      </c>
      <c r="L4" s="41">
        <f>K4*$B$15*$B$21*$B$43*$B$38/(2*$B$14*$B$45)</f>
        <v>2.0519997316788885</v>
      </c>
      <c r="M4" s="41">
        <f t="shared" si="3"/>
        <v>1</v>
      </c>
      <c r="O4" s="35" t="str">
        <f t="shared" ref="O4:O31" si="4">IF($J4&lt;$B$17," ",$L4)</f>
        <v xml:space="preserve"> </v>
      </c>
    </row>
    <row r="5" spans="1:15" x14ac:dyDescent="0.2">
      <c r="E5" s="39">
        <v>1.3</v>
      </c>
      <c r="F5" s="40">
        <f>E5*$B$40^2/($B$23*$B$41*$B$42)</f>
        <v>44.494841336905786</v>
      </c>
      <c r="G5" s="41">
        <f>$B$15/(F5*$B$44)</f>
        <v>0.13699796080990928</v>
      </c>
      <c r="H5" s="42">
        <f t="shared" si="0"/>
        <v>1.3699796080990927</v>
      </c>
      <c r="I5" s="42">
        <f t="shared" si="1"/>
        <v>2.7399592161981854</v>
      </c>
      <c r="J5" s="40">
        <f>$B$21*F5*$B$14/($B$22*$B$40)</f>
        <v>2187.6721419135547</v>
      </c>
      <c r="K5" s="43">
        <f t="shared" si="2"/>
        <v>4.6205271182628696E-2</v>
      </c>
      <c r="L5" s="41">
        <f>K5*$B$15*$B$21*$B$43*$B$38/(2*$B$14*$B$45)</f>
        <v>2.011345939526382</v>
      </c>
      <c r="M5" s="41">
        <f t="shared" si="3"/>
        <v>0.92307692307692302</v>
      </c>
      <c r="O5" s="35" t="str">
        <f t="shared" si="4"/>
        <v xml:space="preserve"> </v>
      </c>
    </row>
    <row r="6" spans="1:15" x14ac:dyDescent="0.2">
      <c r="A6" s="38" t="s">
        <v>48</v>
      </c>
      <c r="E6" s="39">
        <v>1.4</v>
      </c>
      <c r="F6" s="40">
        <f>E6*$B$40^2/($B$23*$B$41*$B$42)</f>
        <v>47.917521439744689</v>
      </c>
      <c r="G6" s="41">
        <f>$B$15/(F6*$B$44)</f>
        <v>0.12721239218063005</v>
      </c>
      <c r="H6" s="42">
        <f t="shared" si="0"/>
        <v>1.2721239218063005</v>
      </c>
      <c r="I6" s="42">
        <f t="shared" si="1"/>
        <v>2.544247843612601</v>
      </c>
      <c r="J6" s="40">
        <f>$B$21*F6*$B$14/($B$22*$B$40)</f>
        <v>2355.9546143684433</v>
      </c>
      <c r="K6" s="43">
        <f t="shared" si="2"/>
        <v>4.535710766571046E-2</v>
      </c>
      <c r="L6" s="41">
        <f>K6*$B$15*$B$21*$B$43*$B$38/(2*$B$14*$B$45)</f>
        <v>1.9744248220403473</v>
      </c>
      <c r="M6" s="41">
        <f t="shared" si="3"/>
        <v>0.85714285714285721</v>
      </c>
      <c r="O6" s="35" t="str">
        <f t="shared" si="4"/>
        <v xml:space="preserve"> </v>
      </c>
    </row>
    <row r="7" spans="1:15" x14ac:dyDescent="0.2">
      <c r="A7" s="35" t="s">
        <v>146</v>
      </c>
      <c r="B7" s="35">
        <v>7</v>
      </c>
      <c r="C7" s="35" t="s">
        <v>190</v>
      </c>
      <c r="E7" s="39">
        <v>1.5</v>
      </c>
      <c r="F7" s="40">
        <f>E7*$B$40^2/($B$23*$B$41*$B$42)</f>
        <v>51.3402015425836</v>
      </c>
      <c r="G7" s="41">
        <f>$B$15/(F7*$B$44)</f>
        <v>0.11873156603525468</v>
      </c>
      <c r="H7" s="42">
        <f t="shared" si="0"/>
        <v>1.1873156603525468</v>
      </c>
      <c r="I7" s="42">
        <f t="shared" si="1"/>
        <v>2.3746313207050935</v>
      </c>
      <c r="J7" s="40">
        <f>$B$21*F7*$B$14/($B$22*$B$40)</f>
        <v>2524.237086823332</v>
      </c>
      <c r="K7" s="43">
        <f t="shared" si="2"/>
        <v>4.4581486659617912E-2</v>
      </c>
      <c r="L7" s="41">
        <f>K7*$B$15*$B$21*$B$43*$B$38/(2*$B$14*$B$45)</f>
        <v>1.9406615279120769</v>
      </c>
      <c r="M7" s="41">
        <f t="shared" si="3"/>
        <v>0.79999999999999993</v>
      </c>
      <c r="O7" s="35" t="str">
        <f t="shared" si="4"/>
        <v xml:space="preserve"> </v>
      </c>
    </row>
    <row r="8" spans="1:15" x14ac:dyDescent="0.2">
      <c r="A8" s="35" t="s">
        <v>145</v>
      </c>
      <c r="B8" s="35" t="s">
        <v>144</v>
      </c>
      <c r="E8" s="39">
        <v>1.6</v>
      </c>
      <c r="F8" s="40">
        <f>E8*$B$40^2/($B$23*$B$41*$B$42)</f>
        <v>54.76288164542251</v>
      </c>
      <c r="G8" s="41">
        <f>$B$15/(F8*$B$44)</f>
        <v>0.11131084315805127</v>
      </c>
      <c r="H8" s="42">
        <f t="shared" si="0"/>
        <v>1.1131084315805126</v>
      </c>
      <c r="I8" s="42">
        <f t="shared" si="1"/>
        <v>2.2262168631610253</v>
      </c>
      <c r="J8" s="40">
        <f>$B$21*F8*$B$14/($B$22*$B$40)</f>
        <v>2692.5195592782211</v>
      </c>
      <c r="K8" s="43">
        <f t="shared" si="2"/>
        <v>4.3867952637892817E-2</v>
      </c>
      <c r="L8" s="41">
        <f>K8*$B$15*$B$21*$B$43*$B$38/(2*$B$14*$B$45)</f>
        <v>1.9096009211765779</v>
      </c>
      <c r="M8" s="41">
        <f t="shared" si="3"/>
        <v>0.74999999999999989</v>
      </c>
      <c r="O8" s="35" t="str">
        <f t="shared" si="4"/>
        <v xml:space="preserve"> </v>
      </c>
    </row>
    <row r="9" spans="1:15" x14ac:dyDescent="0.2">
      <c r="A9" s="44" t="s">
        <v>143</v>
      </c>
      <c r="B9" s="35">
        <f>0.25-2*0.047</f>
        <v>0.156</v>
      </c>
      <c r="C9" s="35" t="s">
        <v>138</v>
      </c>
      <c r="E9" s="39">
        <v>1.7</v>
      </c>
      <c r="F9" s="40">
        <f>E9*$B$40^2/($B$23*$B$41*$B$42)</f>
        <v>58.185561748261414</v>
      </c>
      <c r="G9" s="41">
        <f>$B$15/(F9*$B$44)</f>
        <v>0.10476314650169533</v>
      </c>
      <c r="H9" s="42">
        <f t="shared" si="0"/>
        <v>1.0476314650169534</v>
      </c>
      <c r="I9" s="42">
        <f t="shared" si="1"/>
        <v>2.0952629300339067</v>
      </c>
      <c r="J9" s="40">
        <f>$B$21*F9*$B$14/($B$22*$B$40)</f>
        <v>2860.8020317331093</v>
      </c>
      <c r="K9" s="43">
        <f t="shared" si="2"/>
        <v>4.3208096202814267E-2</v>
      </c>
      <c r="L9" s="41">
        <f>K9*$B$15*$B$21*$B$43*$B$38/(2*$B$14*$B$45)</f>
        <v>1.880876935202775</v>
      </c>
      <c r="M9" s="41">
        <f t="shared" si="3"/>
        <v>0.70588235294117652</v>
      </c>
      <c r="O9" s="35" t="str">
        <f t="shared" si="4"/>
        <v xml:space="preserve"> </v>
      </c>
    </row>
    <row r="10" spans="1:15" x14ac:dyDescent="0.2">
      <c r="A10" s="44" t="s">
        <v>142</v>
      </c>
      <c r="B10" s="35">
        <f>0.25-2*0.062</f>
        <v>0.126</v>
      </c>
      <c r="C10" s="35" t="s">
        <v>138</v>
      </c>
      <c r="E10" s="39">
        <v>1.8</v>
      </c>
      <c r="F10" s="40">
        <f>E10*$B$40^2/($B$23*$B$41*$B$42)</f>
        <v>61.608241851100324</v>
      </c>
      <c r="G10" s="41">
        <f>$B$15/(F10*$B$44)</f>
        <v>9.8942971696045573E-2</v>
      </c>
      <c r="H10" s="42">
        <f t="shared" si="0"/>
        <v>0.98942971696045579</v>
      </c>
      <c r="I10" s="42">
        <f t="shared" si="1"/>
        <v>1.9788594339209116</v>
      </c>
      <c r="J10" s="40">
        <f>$B$21*F10*$B$14/($B$22*$B$40)</f>
        <v>3029.0845041879988</v>
      </c>
      <c r="K10" s="43">
        <f t="shared" si="2"/>
        <v>4.2595060094687061E-2</v>
      </c>
      <c r="L10" s="41">
        <f>K10*$B$15*$B$21*$B$43*$B$38/(2*$B$14*$B$45)</f>
        <v>1.854191068951907</v>
      </c>
      <c r="M10" s="41">
        <f t="shared" si="3"/>
        <v>0.66666666666666663</v>
      </c>
      <c r="O10" s="35" t="str">
        <f t="shared" si="4"/>
        <v xml:space="preserve"> </v>
      </c>
    </row>
    <row r="11" spans="1:15" x14ac:dyDescent="0.2">
      <c r="A11" s="44" t="s">
        <v>141</v>
      </c>
      <c r="B11" s="35">
        <f>0.125-2*0.047</f>
        <v>3.1E-2</v>
      </c>
      <c r="C11" s="35" t="s">
        <v>138</v>
      </c>
      <c r="E11" s="39">
        <v>1.9</v>
      </c>
      <c r="F11" s="40">
        <f>E11*$B$40^2/($B$23*$B$41*$B$42)</f>
        <v>65.030921953939227</v>
      </c>
      <c r="G11" s="41">
        <f>$B$15/(F11*$B$44)</f>
        <v>9.3735446869937913E-2</v>
      </c>
      <c r="H11" s="42">
        <f t="shared" si="0"/>
        <v>0.93735446869937922</v>
      </c>
      <c r="I11" s="42">
        <f t="shared" si="1"/>
        <v>1.8747089373987584</v>
      </c>
      <c r="J11" s="40">
        <f>$B$21*F11*$B$14/($B$22*$B$40)</f>
        <v>3197.3669766428875</v>
      </c>
      <c r="K11" s="43">
        <f t="shared" si="2"/>
        <v>4.2023184631517101E-2</v>
      </c>
      <c r="L11" s="41">
        <f>K11*$B$15*$B$21*$B$43*$B$38/(2*$B$14*$B$45)</f>
        <v>1.8292969527326712</v>
      </c>
      <c r="M11" s="41">
        <f t="shared" si="3"/>
        <v>0.63157894736842102</v>
      </c>
      <c r="O11" s="35" t="str">
        <f t="shared" si="4"/>
        <v xml:space="preserve"> </v>
      </c>
    </row>
    <row r="12" spans="1:15" x14ac:dyDescent="0.2">
      <c r="E12" s="39">
        <v>2</v>
      </c>
      <c r="F12" s="40">
        <f>E12*$B$40^2/($B$23*$B$41*$B$42)</f>
        <v>68.453602056778138</v>
      </c>
      <c r="G12" s="41">
        <f>$B$15/(F12*$B$44)</f>
        <v>8.904867452644101E-2</v>
      </c>
      <c r="H12" s="42">
        <f t="shared" si="0"/>
        <v>0.89048674526441007</v>
      </c>
      <c r="I12" s="42">
        <f t="shared" si="1"/>
        <v>1.7809734905288201</v>
      </c>
      <c r="J12" s="40">
        <f>$B$21*F12*$B$14/($B$22*$B$40)</f>
        <v>3365.6494490977766</v>
      </c>
      <c r="K12" s="43">
        <f t="shared" si="2"/>
        <v>4.1487748111435852E-2</v>
      </c>
      <c r="L12" s="41">
        <f>K12*$B$15*$B$21*$B$43*$B$38/(2*$B$14*$B$45)</f>
        <v>1.8059890477474829</v>
      </c>
      <c r="M12" s="41">
        <f t="shared" si="3"/>
        <v>0.6</v>
      </c>
      <c r="O12" s="35" t="str">
        <f t="shared" si="4"/>
        <v xml:space="preserve"> </v>
      </c>
    </row>
    <row r="13" spans="1:15" x14ac:dyDescent="0.2">
      <c r="A13" s="38" t="s">
        <v>140</v>
      </c>
      <c r="E13" s="39">
        <v>2.1</v>
      </c>
      <c r="F13" s="40">
        <f>E13*$B$40^2/($B$23*$B$41*$B$42)</f>
        <v>71.876282159617048</v>
      </c>
      <c r="G13" s="41">
        <f>$B$15/(F13*$B$44)</f>
        <v>8.4808261453753336E-2</v>
      </c>
      <c r="H13" s="42">
        <f t="shared" si="0"/>
        <v>0.84808261453753331</v>
      </c>
      <c r="I13" s="42">
        <f t="shared" si="1"/>
        <v>1.6961652290750666</v>
      </c>
      <c r="J13" s="40">
        <f>$B$21*F13*$B$14/($B$22*$B$40)</f>
        <v>3533.9319215526652</v>
      </c>
      <c r="K13" s="43">
        <f t="shared" si="2"/>
        <v>4.0984773364683418E-2</v>
      </c>
      <c r="L13" s="41">
        <f>K13*$B$15*$B$21*$B$43*$B$38/(2*$B$14*$B$45)</f>
        <v>1.784094225172669</v>
      </c>
      <c r="M13" s="41">
        <f t="shared" si="3"/>
        <v>0.5714285714285714</v>
      </c>
      <c r="O13" s="35" t="str">
        <f t="shared" si="4"/>
        <v xml:space="preserve"> </v>
      </c>
    </row>
    <row r="14" spans="1:15" x14ac:dyDescent="0.2">
      <c r="A14" s="35" t="s">
        <v>139</v>
      </c>
      <c r="B14" s="71">
        <v>3.1E-2</v>
      </c>
      <c r="C14" s="35" t="s">
        <v>138</v>
      </c>
      <c r="E14" s="39">
        <v>2.2000000000000002</v>
      </c>
      <c r="F14" s="40">
        <f>E14*$B$40^2/($B$23*$B$41*$B$42)</f>
        <v>75.298962262455959</v>
      </c>
      <c r="G14" s="41">
        <f>$B$15/(F14*$B$44)</f>
        <v>8.0953340478582742E-2</v>
      </c>
      <c r="H14" s="42">
        <f t="shared" si="0"/>
        <v>0.80953340478582747</v>
      </c>
      <c r="I14" s="42">
        <f t="shared" si="1"/>
        <v>1.6190668095716549</v>
      </c>
      <c r="J14" s="40">
        <f>$B$21*F14*$B$14/($B$22*$B$40)</f>
        <v>3702.2143940075539</v>
      </c>
      <c r="K14" s="43">
        <f t="shared" si="2"/>
        <v>4.0510881314872176E-2</v>
      </c>
      <c r="L14" s="41">
        <f>K14*$B$15*$B$21*$B$43*$B$38/(2*$B$14*$B$45)</f>
        <v>1.763465391583656</v>
      </c>
      <c r="M14" s="41">
        <f t="shared" si="3"/>
        <v>0.54545454545454541</v>
      </c>
      <c r="O14" s="35" t="str">
        <f t="shared" si="4"/>
        <v xml:space="preserve"> </v>
      </c>
    </row>
    <row r="15" spans="1:15" x14ac:dyDescent="0.2">
      <c r="A15" s="35" t="s">
        <v>137</v>
      </c>
      <c r="B15" s="71">
        <v>20</v>
      </c>
      <c r="C15" s="35" t="s">
        <v>136</v>
      </c>
      <c r="E15" s="39">
        <v>2.2999999999999998</v>
      </c>
      <c r="F15" s="40">
        <f>E15*$B$40^2/($B$23*$B$41*$B$42)</f>
        <v>78.721642365294855</v>
      </c>
      <c r="G15" s="41">
        <f>$B$15/(F15*$B$44)</f>
        <v>7.7433630022992195E-2</v>
      </c>
      <c r="H15" s="42">
        <f t="shared" si="0"/>
        <v>0.77433630022992195</v>
      </c>
      <c r="I15" s="42">
        <f t="shared" si="1"/>
        <v>1.5486726004598439</v>
      </c>
      <c r="J15" s="40">
        <f>$B$21*F15*$B$14/($B$22*$B$40)</f>
        <v>3870.496866462443</v>
      </c>
      <c r="K15" s="43">
        <f t="shared" si="2"/>
        <v>4.0063178550064631E-2</v>
      </c>
      <c r="L15" s="41">
        <f>K15*$B$15*$B$21*$B$43*$B$38/(2*$B$14*$B$45)</f>
        <v>1.743976594849812</v>
      </c>
      <c r="M15" s="41">
        <f t="shared" si="3"/>
        <v>0.52173913043478259</v>
      </c>
      <c r="O15" s="35" t="str">
        <f t="shared" si="4"/>
        <v xml:space="preserve"> </v>
      </c>
    </row>
    <row r="16" spans="1:15" x14ac:dyDescent="0.2">
      <c r="A16" s="35" t="s">
        <v>185</v>
      </c>
      <c r="B16" s="72">
        <v>50</v>
      </c>
      <c r="C16" s="35" t="s">
        <v>173</v>
      </c>
      <c r="E16" s="39">
        <v>2.4</v>
      </c>
      <c r="F16" s="40">
        <f>E16*$B$40^2/($B$23*$B$41*$B$42)</f>
        <v>82.144322468133765</v>
      </c>
      <c r="G16" s="41">
        <f>$B$15/(F16*$B$44)</f>
        <v>7.4207228772034173E-2</v>
      </c>
      <c r="H16" s="42">
        <f t="shared" si="0"/>
        <v>0.74207228772034173</v>
      </c>
      <c r="I16" s="42">
        <f t="shared" si="1"/>
        <v>1.4841445754406835</v>
      </c>
      <c r="J16" s="40">
        <f>$B$21*F16*$B$14/($B$22*$B$40)</f>
        <v>4038.7793389173316</v>
      </c>
      <c r="K16" s="43">
        <f t="shared" si="2"/>
        <v>3.9639169897861731E-2</v>
      </c>
      <c r="L16" s="41">
        <f>K16*$B$15*$B$21*$B$43*$B$38/(2*$B$14*$B$45)</f>
        <v>1.7255192184703614</v>
      </c>
      <c r="M16" s="41">
        <f t="shared" si="3"/>
        <v>0.5</v>
      </c>
      <c r="O16" s="35" t="str">
        <f t="shared" si="4"/>
        <v xml:space="preserve"> </v>
      </c>
    </row>
    <row r="17" spans="1:15" x14ac:dyDescent="0.2">
      <c r="A17" s="35" t="s">
        <v>188</v>
      </c>
      <c r="B17" s="72">
        <v>4100</v>
      </c>
      <c r="E17" s="39">
        <v>2.5</v>
      </c>
      <c r="F17" s="40">
        <f>E17*$B$40^2/($B$23*$B$41*$B$42)</f>
        <v>85.567002570972676</v>
      </c>
      <c r="G17" s="41">
        <f>$B$15/(F17*$B$44)</f>
        <v>7.1238939621152811E-2</v>
      </c>
      <c r="H17" s="42">
        <f t="shared" si="0"/>
        <v>0.71238939621152808</v>
      </c>
      <c r="I17" s="42">
        <f t="shared" si="1"/>
        <v>1.4247787924230562</v>
      </c>
      <c r="J17" s="40">
        <f>$B$21*F17*$B$14/($B$22*$B$40)</f>
        <v>4207.0618113722203</v>
      </c>
      <c r="K17" s="43">
        <f t="shared" si="2"/>
        <v>3.9236689652827825E-2</v>
      </c>
      <c r="L17" s="41">
        <f>K17*$B$15*$B$21*$B$43*$B$38/(2*$B$14*$B$45)</f>
        <v>1.7079989878588189</v>
      </c>
      <c r="M17" s="41">
        <f t="shared" si="3"/>
        <v>0.48</v>
      </c>
      <c r="O17" s="35">
        <f t="shared" si="4"/>
        <v>1.7079989878588189</v>
      </c>
    </row>
    <row r="18" spans="1:15" x14ac:dyDescent="0.2">
      <c r="E18" s="39">
        <v>2.6</v>
      </c>
      <c r="F18" s="40">
        <f>E18*$B$40^2/($B$23*$B$41*$B$42)</f>
        <v>88.989682673811572</v>
      </c>
      <c r="G18" s="41">
        <f>$B$15/(F18*$B$44)</f>
        <v>6.849898040495464E-2</v>
      </c>
      <c r="H18" s="42">
        <f t="shared" si="0"/>
        <v>0.68498980404954635</v>
      </c>
      <c r="I18" s="42">
        <f t="shared" si="1"/>
        <v>1.3699796080990927</v>
      </c>
      <c r="J18" s="40">
        <f>$B$21*F18*$B$14/($B$22*$B$40)</f>
        <v>4375.3442838271094</v>
      </c>
      <c r="K18" s="43">
        <f t="shared" si="2"/>
        <v>3.8853846903298218E-2</v>
      </c>
      <c r="L18" s="41">
        <f>K18*$B$15*$B$21*$B$43*$B$38/(2*$B$14*$B$45)</f>
        <v>1.6913335903828486</v>
      </c>
      <c r="M18" s="41">
        <f t="shared" si="3"/>
        <v>0.46153846153846151</v>
      </c>
      <c r="O18" s="35">
        <f t="shared" si="4"/>
        <v>1.6913335903828486</v>
      </c>
    </row>
    <row r="19" spans="1:15" x14ac:dyDescent="0.2">
      <c r="A19" s="38" t="s">
        <v>117</v>
      </c>
      <c r="E19" s="39">
        <v>2.7</v>
      </c>
      <c r="F19" s="40">
        <f>E19*$B$40^2/($B$23*$B$41*$B$42)</f>
        <v>92.412362776650482</v>
      </c>
      <c r="G19" s="41">
        <f>$B$15/(F19*$B$44)</f>
        <v>6.5961981130697039E-2</v>
      </c>
      <c r="H19" s="42">
        <f t="shared" si="0"/>
        <v>0.65961981130697045</v>
      </c>
      <c r="I19" s="42">
        <f t="shared" si="1"/>
        <v>1.3192396226139409</v>
      </c>
      <c r="J19" s="40">
        <f>$B$21*F19*$B$14/($B$22*$B$40)</f>
        <v>4543.6267562819985</v>
      </c>
      <c r="K19" s="43">
        <f t="shared" si="2"/>
        <v>3.8488981645440984E-2</v>
      </c>
      <c r="L19" s="41">
        <f>K19*$B$15*$B$21*$B$43*$B$38/(2*$B$14*$B$45)</f>
        <v>1.6754507649804236</v>
      </c>
      <c r="M19" s="41">
        <f t="shared" si="3"/>
        <v>0.44444444444444442</v>
      </c>
      <c r="O19" s="35">
        <f t="shared" si="4"/>
        <v>1.6754507649804236</v>
      </c>
    </row>
    <row r="20" spans="1:15" x14ac:dyDescent="0.2">
      <c r="A20" s="35" t="s">
        <v>116</v>
      </c>
      <c r="B20" s="46">
        <f>(B3-32)*5/9</f>
        <v>12.777777777777779</v>
      </c>
      <c r="C20" s="35" t="s">
        <v>115</v>
      </c>
      <c r="E20" s="39">
        <v>2.8</v>
      </c>
      <c r="F20" s="40">
        <f>E20*$B$40^2/($B$23*$B$41*$B$42)</f>
        <v>95.835042879489379</v>
      </c>
      <c r="G20" s="41">
        <f>$B$15/(F20*$B$44)</f>
        <v>6.3606196090315023E-2</v>
      </c>
      <c r="H20" s="42">
        <f t="shared" si="0"/>
        <v>0.63606196090315026</v>
      </c>
      <c r="I20" s="42">
        <f t="shared" si="1"/>
        <v>1.2721239218063005</v>
      </c>
      <c r="J20" s="40">
        <f>$B$21*F20*$B$14/($B$22*$B$40)</f>
        <v>4711.9092287368867</v>
      </c>
      <c r="K20" s="43">
        <f t="shared" si="2"/>
        <v>3.8140629242372701E-2</v>
      </c>
      <c r="L20" s="41">
        <f>K20*$B$15*$B$21*$B$43*$B$38/(2*$B$14*$B$45)</f>
        <v>1.6602867550416818</v>
      </c>
      <c r="M20" s="41">
        <f t="shared" si="3"/>
        <v>0.4285714285714286</v>
      </c>
      <c r="O20" s="35">
        <f t="shared" si="4"/>
        <v>1.6602867550416818</v>
      </c>
    </row>
    <row r="21" spans="1:15" x14ac:dyDescent="0.2">
      <c r="A21" s="35" t="s">
        <v>114</v>
      </c>
      <c r="B21" s="47">
        <f>1000*(B4/B38)/(B34*(B20+273.15))</f>
        <v>1.1245420441113285</v>
      </c>
      <c r="C21" s="35" t="s">
        <v>113</v>
      </c>
      <c r="E21" s="39">
        <v>2.9</v>
      </c>
      <c r="F21" s="40">
        <f>E21*$B$40^2/($B$23*$B$41*$B$42)</f>
        <v>99.257722982328303</v>
      </c>
      <c r="G21" s="41">
        <f>$B$15/(F21*$B$44)</f>
        <v>6.1412878983752424E-2</v>
      </c>
      <c r="H21" s="42">
        <f t="shared" si="0"/>
        <v>0.61412878983752417</v>
      </c>
      <c r="I21" s="42">
        <f t="shared" si="1"/>
        <v>1.2282575796750483</v>
      </c>
      <c r="J21" s="40">
        <f>$B$21*F21*$B$14/($B$22*$B$40)</f>
        <v>4880.1917011917758</v>
      </c>
      <c r="K21" s="43">
        <f t="shared" si="2"/>
        <v>3.7807491405126334E-2</v>
      </c>
      <c r="L21" s="41">
        <f>K21*$B$15*$B$21*$B$43*$B$38/(2*$B$14*$B$45)</f>
        <v>1.6457850451913132</v>
      </c>
      <c r="M21" s="41">
        <f t="shared" si="3"/>
        <v>0.41379310344827586</v>
      </c>
      <c r="O21" s="35">
        <f t="shared" si="4"/>
        <v>1.6457850451913132</v>
      </c>
    </row>
    <row r="22" spans="1:15" x14ac:dyDescent="0.2">
      <c r="A22" s="35" t="s">
        <v>112</v>
      </c>
      <c r="B22" s="48">
        <f>B36*(B20+273.15)^1.5/((B20+273.15+B35)*10^6)</f>
        <v>1.8009406563349156E-5</v>
      </c>
      <c r="C22" s="35" t="s">
        <v>111</v>
      </c>
      <c r="E22" s="39">
        <v>3</v>
      </c>
      <c r="F22" s="40">
        <f>E22*$B$40^2/($B$23*$B$41*$B$42)</f>
        <v>102.6804030851672</v>
      </c>
      <c r="G22" s="41">
        <f>$B$15/(F22*$B$44)</f>
        <v>5.9365783017627342E-2</v>
      </c>
      <c r="H22" s="42">
        <f t="shared" si="0"/>
        <v>0.59365783017627338</v>
      </c>
      <c r="I22" s="42">
        <f t="shared" ref="I22:I31" si="5">G22*1000/50</f>
        <v>1.1873156603525468</v>
      </c>
      <c r="J22" s="40">
        <f>$B$21*F22*$B$14/($B$22*$B$40)</f>
        <v>5048.474173646664</v>
      </c>
      <c r="K22" s="43">
        <f t="shared" si="2"/>
        <v>3.7488412318754001E-2</v>
      </c>
      <c r="L22" s="41">
        <f>K22*$B$15*$B$21*$B$43*$B$38/(2*$B$14*$B$45)</f>
        <v>1.6318953220420618</v>
      </c>
      <c r="M22" s="41">
        <f t="shared" ref="M22:M31" si="6">100*(2*6/1000)/E22</f>
        <v>0.39999999999999997</v>
      </c>
      <c r="O22" s="35">
        <f t="shared" si="4"/>
        <v>1.6318953220420618</v>
      </c>
    </row>
    <row r="23" spans="1:15" x14ac:dyDescent="0.2">
      <c r="A23" s="35" t="s">
        <v>110</v>
      </c>
      <c r="B23" s="49">
        <f>PI()*(B14/2)^2</f>
        <v>7.5476763502494771E-4</v>
      </c>
      <c r="C23" s="35" t="s">
        <v>109</v>
      </c>
      <c r="E23" s="39">
        <v>3.1</v>
      </c>
      <c r="F23" s="40">
        <f>E23*$B$40^2/($B$23*$B$41*$B$42)</f>
        <v>106.10308318800611</v>
      </c>
      <c r="G23" s="41">
        <f>$B$15/(F23*$B$44)</f>
        <v>5.7450757758994206E-2</v>
      </c>
      <c r="H23" s="42">
        <f t="shared" si="0"/>
        <v>0.57450757758994209</v>
      </c>
      <c r="I23" s="42">
        <f t="shared" si="5"/>
        <v>1.1490151551798842</v>
      </c>
      <c r="J23" s="40">
        <f>$B$21*F23*$B$14/($B$22*$B$40)</f>
        <v>5216.7566461015531</v>
      </c>
      <c r="K23" s="43">
        <f t="shared" si="2"/>
        <v>3.7182358862969465E-2</v>
      </c>
      <c r="L23" s="41">
        <f>K23*$B$15*$B$21*$B$43*$B$38/(2*$B$14*$B$45)</f>
        <v>1.6185726131862448</v>
      </c>
      <c r="M23" s="41">
        <f t="shared" si="6"/>
        <v>0.38709677419354838</v>
      </c>
      <c r="O23" s="35">
        <f t="shared" si="4"/>
        <v>1.6185726131862448</v>
      </c>
    </row>
    <row r="24" spans="1:15" x14ac:dyDescent="0.2">
      <c r="A24" s="50" t="s">
        <v>186</v>
      </c>
      <c r="B24" s="51">
        <f>-1*B7*B39</f>
        <v>-482.58</v>
      </c>
      <c r="C24" s="35" t="s">
        <v>191</v>
      </c>
      <c r="E24" s="39">
        <v>3.2</v>
      </c>
      <c r="F24" s="40">
        <f>E24*$B$40^2/($B$23*$B$41*$B$42)</f>
        <v>109.52576329084502</v>
      </c>
      <c r="G24" s="41">
        <f>$B$15/(F24*$B$44)</f>
        <v>5.5655421579025637E-2</v>
      </c>
      <c r="H24" s="42">
        <f t="shared" si="0"/>
        <v>0.55655421579025632</v>
      </c>
      <c r="I24" s="42">
        <f t="shared" si="5"/>
        <v>1.1131084315805126</v>
      </c>
      <c r="J24" s="40">
        <f>$B$21*F24*$B$14/($B$22*$B$40)</f>
        <v>5385.0391185564422</v>
      </c>
      <c r="K24" s="43">
        <f t="shared" si="2"/>
        <v>3.6888404117723796E-2</v>
      </c>
      <c r="L24" s="41">
        <f>K24*$B$15*$B$21*$B$43*$B$38/(2*$B$14*$B$45)</f>
        <v>1.6057765691825754</v>
      </c>
      <c r="M24" s="41">
        <f t="shared" si="6"/>
        <v>0.37499999999999994</v>
      </c>
      <c r="O24" s="35">
        <f t="shared" si="4"/>
        <v>1.6057765691825754</v>
      </c>
    </row>
    <row r="25" spans="1:15" x14ac:dyDescent="0.2">
      <c r="A25" s="50" t="s">
        <v>189</v>
      </c>
      <c r="B25" s="51">
        <f>-1*(1-$B$37)*$B$4-$B$16</f>
        <v>-485.65599999999995</v>
      </c>
      <c r="C25" s="35" t="s">
        <v>191</v>
      </c>
      <c r="E25" s="39">
        <v>3.3</v>
      </c>
      <c r="F25" s="40">
        <f>E25*$B$40^2/($B$23*$B$41*$B$42)</f>
        <v>112.94844339368392</v>
      </c>
      <c r="G25" s="41">
        <f>$B$15/(F25*$B$44)</f>
        <v>5.3968893652388494E-2</v>
      </c>
      <c r="H25" s="42">
        <f t="shared" si="0"/>
        <v>0.53968893652388494</v>
      </c>
      <c r="I25" s="42">
        <f t="shared" si="5"/>
        <v>1.0793778730477699</v>
      </c>
      <c r="J25" s="40">
        <f>$B$21*F25*$B$14/($B$22*$B$40)</f>
        <v>5553.3215910113304</v>
      </c>
      <c r="K25" s="43">
        <f t="shared" si="2"/>
        <v>3.6605713524119135E-2</v>
      </c>
      <c r="L25" s="41">
        <f>K25*$B$15*$B$21*$B$43*$B$38/(2*$B$14*$B$45)</f>
        <v>1.5934708611316117</v>
      </c>
      <c r="M25" s="41">
        <f t="shared" si="6"/>
        <v>0.36363636363636365</v>
      </c>
      <c r="O25" s="35">
        <f t="shared" si="4"/>
        <v>1.5934708611316117</v>
      </c>
    </row>
    <row r="26" spans="1:15" x14ac:dyDescent="0.2">
      <c r="A26" s="35" t="s">
        <v>108</v>
      </c>
      <c r="B26" s="51">
        <f>$B$4*$B$37</f>
        <v>487.34400000000005</v>
      </c>
      <c r="C26" s="35" t="s">
        <v>182</v>
      </c>
      <c r="E26" s="39">
        <v>3.4</v>
      </c>
      <c r="F26" s="40">
        <f>E26*$B$40^2/($B$23*$B$41*$B$42)</f>
        <v>116.37112349652283</v>
      </c>
      <c r="G26" s="41">
        <f>$B$15/(F26*$B$44)</f>
        <v>5.2381573250847663E-2</v>
      </c>
      <c r="H26" s="42">
        <f t="shared" si="0"/>
        <v>0.52381573250847668</v>
      </c>
      <c r="I26" s="42">
        <f t="shared" si="5"/>
        <v>1.0476314650169534</v>
      </c>
      <c r="J26" s="40">
        <f>$B$21*F26*$B$14/($B$22*$B$40)</f>
        <v>5721.6040634662186</v>
      </c>
      <c r="K26" s="43">
        <f t="shared" si="2"/>
        <v>3.633353320688415E-2</v>
      </c>
      <c r="L26" s="41">
        <f>K26*$B$15*$B$21*$B$43*$B$38/(2*$B$14*$B$45)</f>
        <v>1.5816226723454063</v>
      </c>
      <c r="M26" s="41">
        <f t="shared" si="6"/>
        <v>0.35294117647058826</v>
      </c>
      <c r="O26" s="35">
        <f t="shared" si="4"/>
        <v>1.5816226723454063</v>
      </c>
    </row>
    <row r="27" spans="1:15" x14ac:dyDescent="0.2">
      <c r="A27" s="35" t="s">
        <v>192</v>
      </c>
      <c r="B27" s="51">
        <f>$B$4+MIN($B$24:$B$25)-MAX($O$3:$O$31)</f>
        <v>435.63600101214121</v>
      </c>
      <c r="C27" s="35" t="s">
        <v>182</v>
      </c>
      <c r="E27" s="39">
        <v>3.5</v>
      </c>
      <c r="F27" s="40">
        <f>E27*$B$40^2/($B$23*$B$41*$B$42)</f>
        <v>119.79380359936174</v>
      </c>
      <c r="G27" s="41">
        <f>$B$15/(F27*$B$44)</f>
        <v>5.0884956872252009E-2</v>
      </c>
      <c r="H27" s="42">
        <f t="shared" si="0"/>
        <v>0.50884956872252007</v>
      </c>
      <c r="I27" s="42">
        <f t="shared" si="5"/>
        <v>1.0176991374450401</v>
      </c>
      <c r="J27" s="40">
        <f>$B$21*F27*$B$14/($B$22*$B$40)</f>
        <v>5889.8865359211077</v>
      </c>
      <c r="K27" s="43">
        <f t="shared" si="2"/>
        <v>3.607118006807513E-2</v>
      </c>
      <c r="L27" s="41">
        <f>K27*$B$15*$B$21*$B$43*$B$38/(2*$B$14*$B$45)</f>
        <v>1.5702022671197815</v>
      </c>
      <c r="M27" s="41">
        <f t="shared" si="6"/>
        <v>0.34285714285714286</v>
      </c>
      <c r="O27" s="35">
        <f t="shared" si="4"/>
        <v>1.5702022671197815</v>
      </c>
    </row>
    <row r="28" spans="1:15" x14ac:dyDescent="0.2">
      <c r="A28" s="35" t="s">
        <v>193</v>
      </c>
      <c r="B28" s="51">
        <f>$B$4*($B$37-Canisters!B9)</f>
        <v>395.04400000000004</v>
      </c>
      <c r="C28" s="35" t="s">
        <v>182</v>
      </c>
      <c r="E28" s="39">
        <v>3.6</v>
      </c>
      <c r="F28" s="40">
        <f>E28*$B$40^2/($B$23*$B$41*$B$42)</f>
        <v>123.21648370220065</v>
      </c>
      <c r="G28" s="41">
        <f>$B$15/(F28*$B$44)</f>
        <v>4.9471485848022786E-2</v>
      </c>
      <c r="H28" s="42">
        <f t="shared" si="0"/>
        <v>0.49471485848022789</v>
      </c>
      <c r="I28" s="42">
        <f t="shared" si="5"/>
        <v>0.98942971696045579</v>
      </c>
      <c r="J28" s="40">
        <f>$B$21*F28*$B$14/($B$22*$B$40)</f>
        <v>6058.1690083759977</v>
      </c>
      <c r="K28" s="43">
        <f t="shared" si="2"/>
        <v>3.5818033341138901E-2</v>
      </c>
      <c r="L28" s="41">
        <f>K28*$B$15*$B$21*$B$43*$B$38/(2*$B$14*$B$45)</f>
        <v>1.559182623077112</v>
      </c>
      <c r="M28" s="41">
        <f t="shared" si="6"/>
        <v>0.33333333333333331</v>
      </c>
      <c r="O28" s="35">
        <f t="shared" si="4"/>
        <v>1.559182623077112</v>
      </c>
    </row>
    <row r="29" spans="1:15" x14ac:dyDescent="0.2">
      <c r="A29" s="35" t="s">
        <v>194</v>
      </c>
      <c r="B29" s="73">
        <f>MIN(B27:B28)</f>
        <v>395.04400000000004</v>
      </c>
      <c r="C29" s="35" t="s">
        <v>182</v>
      </c>
      <c r="E29" s="39">
        <v>3.7</v>
      </c>
      <c r="F29" s="40">
        <f>E29*$B$40^2/($B$23*$B$41*$B$42)</f>
        <v>126.63916380503954</v>
      </c>
      <c r="G29" s="41">
        <f>$B$15/(F29*$B$44)</f>
        <v>4.8134418662941096E-2</v>
      </c>
      <c r="H29" s="42">
        <f t="shared" si="0"/>
        <v>0.48134418662941092</v>
      </c>
      <c r="I29" s="42">
        <f t="shared" si="5"/>
        <v>0.96268837325882184</v>
      </c>
      <c r="J29" s="40">
        <f>$B$21*F29*$B$14/($B$22*$B$40)</f>
        <v>6226.4514808308859</v>
      </c>
      <c r="K29" s="43">
        <f t="shared" si="2"/>
        <v>3.5573527356037013E-2</v>
      </c>
      <c r="L29" s="41">
        <f>K29*$B$15*$B$21*$B$43*$B$38/(2*$B$14*$B$45)</f>
        <v>1.5485391162274114</v>
      </c>
      <c r="M29" s="41">
        <f t="shared" si="6"/>
        <v>0.32432432432432429</v>
      </c>
      <c r="O29" s="35">
        <f t="shared" si="4"/>
        <v>1.5485391162274114</v>
      </c>
    </row>
    <row r="30" spans="1:15" x14ac:dyDescent="0.2">
      <c r="E30" s="39">
        <v>3.8</v>
      </c>
      <c r="F30" s="40">
        <f>E30*$B$40^2/($B$23*$B$41*$B$42)</f>
        <v>130.06184390787845</v>
      </c>
      <c r="G30" s="41">
        <f>$B$15/(F30*$B$44)</f>
        <v>4.6867723434968957E-2</v>
      </c>
      <c r="H30" s="42">
        <f t="shared" si="0"/>
        <v>0.46867723434968961</v>
      </c>
      <c r="I30" s="42">
        <f t="shared" si="5"/>
        <v>0.93735446869937922</v>
      </c>
      <c r="J30" s="40">
        <f>$B$21*F30*$B$14/($B$22*$B$40)</f>
        <v>6394.733953285775</v>
      </c>
      <c r="K30" s="43">
        <f t="shared" si="2"/>
        <v>3.5337145314187718E-2</v>
      </c>
      <c r="L30" s="41">
        <f>K30*$B$15*$B$21*$B$43*$B$38/(2*$B$14*$B$45)</f>
        <v>1.5382492499874467</v>
      </c>
      <c r="M30" s="41">
        <f t="shared" si="6"/>
        <v>0.31578947368421051</v>
      </c>
      <c r="O30" s="35">
        <f t="shared" si="4"/>
        <v>1.5382492499874467</v>
      </c>
    </row>
    <row r="31" spans="1:15" x14ac:dyDescent="0.2">
      <c r="E31" s="39">
        <v>3.9</v>
      </c>
      <c r="F31" s="40">
        <f>E31*$B$40^2/($B$23*$B$41*$B$42)</f>
        <v>133.48452401071734</v>
      </c>
      <c r="G31" s="41">
        <f>$B$15/(F31*$B$44)</f>
        <v>4.5665986936636427E-2</v>
      </c>
      <c r="H31" s="42">
        <f t="shared" si="0"/>
        <v>0.45665986936636427</v>
      </c>
      <c r="I31" s="42">
        <f t="shared" si="5"/>
        <v>0.91331973873272854</v>
      </c>
      <c r="J31" s="40">
        <f>$B$21*F31*$B$14/($B$22*$B$40)</f>
        <v>6563.0164257406623</v>
      </c>
      <c r="K31" s="43">
        <f t="shared" si="2"/>
        <v>3.5108413909770438E-2</v>
      </c>
      <c r="L31" s="41">
        <f>K31*$B$15*$B$21*$B$43*$B$38/(2*$B$14*$B$45)</f>
        <v>1.5282924210425748</v>
      </c>
      <c r="M31" s="41">
        <f t="shared" si="6"/>
        <v>0.30769230769230771</v>
      </c>
      <c r="O31" s="35">
        <f t="shared" si="4"/>
        <v>1.5282924210425748</v>
      </c>
    </row>
    <row r="33" spans="1:3" x14ac:dyDescent="0.2">
      <c r="A33" s="38" t="s">
        <v>134</v>
      </c>
    </row>
    <row r="34" spans="1:3" x14ac:dyDescent="0.2">
      <c r="A34" s="35" t="s">
        <v>133</v>
      </c>
      <c r="B34" s="45">
        <v>287.05799999999999</v>
      </c>
      <c r="C34" s="35" t="s">
        <v>132</v>
      </c>
    </row>
    <row r="35" spans="1:3" x14ac:dyDescent="0.2">
      <c r="A35" s="35" t="s">
        <v>131</v>
      </c>
      <c r="B35" s="35">
        <v>120</v>
      </c>
      <c r="C35" s="35" t="s">
        <v>130</v>
      </c>
    </row>
    <row r="36" spans="1:3" x14ac:dyDescent="0.2">
      <c r="A36" s="35" t="s">
        <v>129</v>
      </c>
      <c r="B36" s="35">
        <v>1.512041288</v>
      </c>
      <c r="C36" s="35" t="s">
        <v>128</v>
      </c>
    </row>
    <row r="37" spans="1:3" x14ac:dyDescent="0.2">
      <c r="A37" s="35" t="s">
        <v>127</v>
      </c>
      <c r="B37" s="35">
        <v>0.52800000000000002</v>
      </c>
    </row>
    <row r="38" spans="1:3" x14ac:dyDescent="0.2">
      <c r="A38" s="35" t="s">
        <v>126</v>
      </c>
      <c r="B38" s="35">
        <v>10</v>
      </c>
      <c r="C38" s="35" t="s">
        <v>118</v>
      </c>
    </row>
    <row r="39" spans="1:3" x14ac:dyDescent="0.2">
      <c r="A39" s="35" t="s">
        <v>125</v>
      </c>
      <c r="B39" s="35">
        <v>68.94</v>
      </c>
      <c r="C39" s="35" t="s">
        <v>118</v>
      </c>
    </row>
    <row r="40" spans="1:3" x14ac:dyDescent="0.2">
      <c r="A40" s="35" t="s">
        <v>124</v>
      </c>
      <c r="B40" s="35">
        <v>39.369999999999997</v>
      </c>
      <c r="C40" s="35" t="s">
        <v>118</v>
      </c>
    </row>
    <row r="41" spans="1:3" x14ac:dyDescent="0.2">
      <c r="A41" s="35" t="s">
        <v>123</v>
      </c>
      <c r="B41" s="35">
        <v>60</v>
      </c>
      <c r="C41" s="35" t="s">
        <v>118</v>
      </c>
    </row>
    <row r="42" spans="1:3" x14ac:dyDescent="0.2">
      <c r="A42" s="35" t="s">
        <v>122</v>
      </c>
      <c r="B42" s="35">
        <v>1000</v>
      </c>
      <c r="C42" s="35" t="s">
        <v>118</v>
      </c>
    </row>
    <row r="43" spans="1:3" x14ac:dyDescent="0.2">
      <c r="A43" s="35" t="s">
        <v>121</v>
      </c>
      <c r="B43" s="35">
        <v>12</v>
      </c>
      <c r="C43" s="35" t="s">
        <v>118</v>
      </c>
    </row>
    <row r="44" spans="1:3" x14ac:dyDescent="0.2">
      <c r="A44" s="35" t="s">
        <v>120</v>
      </c>
      <c r="B44" s="35">
        <v>3.2810000000000001</v>
      </c>
      <c r="C44" s="35" t="s">
        <v>118</v>
      </c>
    </row>
    <row r="45" spans="1:3" x14ac:dyDescent="0.2">
      <c r="A45" s="35" t="s">
        <v>119</v>
      </c>
      <c r="B45" s="35">
        <v>1000</v>
      </c>
      <c r="C45" s="35" t="s">
        <v>118</v>
      </c>
    </row>
  </sheetData>
  <mergeCells count="1">
    <mergeCell ref="H1:I1"/>
  </mergeCells>
  <conditionalFormatting sqref="J3:J31">
    <cfRule type="cellIs" dxfId="1" priority="1" operator="lessThan">
      <formula>$B$17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6"/>
  <sheetViews>
    <sheetView zoomScaleNormal="100" workbookViewId="0">
      <selection activeCell="C20" sqref="C20"/>
    </sheetView>
  </sheetViews>
  <sheetFormatPr defaultRowHeight="12.75" x14ac:dyDescent="0.2"/>
  <cols>
    <col min="1" max="1" width="23.7109375"/>
    <col min="2" max="2" width="13.7109375"/>
    <col min="3" max="3" width="47.28515625"/>
    <col min="4" max="5" width="5.5703125" style="1"/>
    <col min="6" max="6" width="6.28515625" style="2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SUM(I5:I33)</f>
        <v>73.299620540119349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107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1">
        <v>1</v>
      </c>
      <c r="E5" s="1">
        <v>12</v>
      </c>
      <c r="F5" s="2">
        <v>0.01</v>
      </c>
      <c r="G5" s="1">
        <f t="shared" ref="G5:G11" si="0">E5*F5</f>
        <v>0.12</v>
      </c>
      <c r="H5" s="15">
        <v>1</v>
      </c>
      <c r="I5" s="54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1">
        <v>1</v>
      </c>
      <c r="E6" s="1">
        <v>12</v>
      </c>
      <c r="F6" s="2">
        <v>4.2999999999999997E-2</v>
      </c>
      <c r="G6" s="1">
        <f t="shared" si="0"/>
        <v>0.51600000000000001</v>
      </c>
      <c r="H6" s="15">
        <v>1</v>
      </c>
      <c r="I6" s="54">
        <f t="shared" ref="I6:I16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1">
        <v>1</v>
      </c>
      <c r="E7" s="1">
        <v>12</v>
      </c>
      <c r="F7" s="2">
        <v>6.5000000000000002E-2</v>
      </c>
      <c r="G7" s="1">
        <f t="shared" si="0"/>
        <v>0.78</v>
      </c>
      <c r="H7" s="15">
        <v>1</v>
      </c>
      <c r="I7" s="54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1">
        <v>2</v>
      </c>
      <c r="E8" s="1">
        <v>12</v>
      </c>
      <c r="F8" s="2">
        <v>0.01</v>
      </c>
      <c r="G8" s="1">
        <f t="shared" si="0"/>
        <v>0.12</v>
      </c>
      <c r="H8" s="15">
        <v>1</v>
      </c>
      <c r="I8" s="54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1">
        <v>1</v>
      </c>
      <c r="E9" s="1">
        <v>12</v>
      </c>
      <c r="F9" s="2">
        <v>0.01</v>
      </c>
      <c r="G9" s="1">
        <f t="shared" si="0"/>
        <v>0.12</v>
      </c>
      <c r="H9" s="15">
        <v>1</v>
      </c>
      <c r="I9" s="54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1">
        <v>1</v>
      </c>
      <c r="E10" s="1">
        <v>12</v>
      </c>
      <c r="F10" s="2">
        <v>0.11</v>
      </c>
      <c r="G10" s="1">
        <f t="shared" si="0"/>
        <v>1.32</v>
      </c>
      <c r="H10" s="15">
        <v>1</v>
      </c>
      <c r="I10" s="54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1">
        <v>1</v>
      </c>
      <c r="E11" s="1">
        <v>12</v>
      </c>
      <c r="F11" s="2">
        <v>3.0000000000000001E-3</v>
      </c>
      <c r="G11" s="1">
        <f t="shared" si="0"/>
        <v>3.6000000000000004E-2</v>
      </c>
      <c r="H11" s="15">
        <v>1</v>
      </c>
      <c r="I11" s="54">
        <f t="shared" si="1"/>
        <v>3.6000000000000004E-2</v>
      </c>
    </row>
    <row r="12" spans="1:10" x14ac:dyDescent="0.2">
      <c r="H12" s="15"/>
      <c r="I12" s="54"/>
    </row>
    <row r="13" spans="1:10" x14ac:dyDescent="0.2">
      <c r="A13" t="s">
        <v>33</v>
      </c>
      <c r="B13" t="s">
        <v>34</v>
      </c>
      <c r="C13" t="s">
        <v>35</v>
      </c>
      <c r="D13" s="1">
        <v>2</v>
      </c>
      <c r="E13" s="1">
        <v>12</v>
      </c>
      <c r="F13" s="2">
        <v>1</v>
      </c>
      <c r="G13" s="1">
        <f>E13*F13</f>
        <v>12</v>
      </c>
      <c r="H13" s="15">
        <f>Canisters!$B$16</f>
        <v>0.19766254312269238</v>
      </c>
      <c r="I13" s="54">
        <f t="shared" si="1"/>
        <v>4.7439010349446171</v>
      </c>
      <c r="J13" t="s">
        <v>36</v>
      </c>
    </row>
    <row r="14" spans="1:10" x14ac:dyDescent="0.2">
      <c r="A14" t="s">
        <v>43</v>
      </c>
      <c r="B14" t="s">
        <v>44</v>
      </c>
      <c r="C14" t="s">
        <v>45</v>
      </c>
      <c r="D14" s="1">
        <v>2</v>
      </c>
      <c r="E14" s="1">
        <v>5</v>
      </c>
      <c r="F14" s="2">
        <v>1.2E-2</v>
      </c>
      <c r="G14" s="1">
        <f>E14*F14</f>
        <v>0.06</v>
      </c>
      <c r="H14" s="15">
        <f>Canisters!$B$16</f>
        <v>0.19766254312269238</v>
      </c>
      <c r="I14" s="54">
        <f t="shared" si="1"/>
        <v>2.3719505174723085E-2</v>
      </c>
    </row>
    <row r="15" spans="1:10" x14ac:dyDescent="0.2">
      <c r="A15" t="s">
        <v>37</v>
      </c>
      <c r="B15" t="s">
        <v>38</v>
      </c>
      <c r="C15" t="s">
        <v>39</v>
      </c>
      <c r="D15" s="1">
        <v>1</v>
      </c>
      <c r="E15" s="1">
        <v>12</v>
      </c>
      <c r="F15" s="2">
        <v>0.25</v>
      </c>
      <c r="G15" s="1">
        <f>E15*F15</f>
        <v>3</v>
      </c>
      <c r="H15" s="15">
        <v>1</v>
      </c>
      <c r="I15" s="54">
        <f t="shared" si="1"/>
        <v>3</v>
      </c>
    </row>
    <row r="16" spans="1:10" x14ac:dyDescent="0.2">
      <c r="A16" t="s">
        <v>40</v>
      </c>
      <c r="B16" t="s">
        <v>41</v>
      </c>
      <c r="C16" t="s">
        <v>42</v>
      </c>
      <c r="D16" s="1">
        <v>1</v>
      </c>
      <c r="E16" s="1">
        <v>12</v>
      </c>
      <c r="F16" s="2">
        <v>5.2</v>
      </c>
      <c r="G16" s="1">
        <f>E16*F16</f>
        <v>62.400000000000006</v>
      </c>
      <c r="H16" s="15">
        <v>1</v>
      </c>
      <c r="I16" s="54">
        <f t="shared" si="1"/>
        <v>62.400000000000006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5"/>
  <sheetViews>
    <sheetView zoomScaleNormal="100" workbookViewId="0">
      <selection activeCell="E31" sqref="E31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5703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46</v>
      </c>
      <c r="B1" s="16">
        <f>Consumption!I1</f>
        <v>73.299620540119349</v>
      </c>
      <c r="C1" t="s">
        <v>1</v>
      </c>
      <c r="E1" s="17" t="s">
        <v>47</v>
      </c>
      <c r="F1" s="17"/>
      <c r="G1" s="17"/>
      <c r="I1" s="4" t="s">
        <v>48</v>
      </c>
    </row>
    <row r="2" spans="1:12" x14ac:dyDescent="0.2">
      <c r="B2" s="16">
        <f>B1/B13</f>
        <v>6.1083017116766127</v>
      </c>
      <c r="C2" t="s">
        <v>8</v>
      </c>
      <c r="E2" s="55" t="s">
        <v>49</v>
      </c>
      <c r="F2" s="56" t="s">
        <v>49</v>
      </c>
      <c r="G2" s="57"/>
      <c r="J2" s="17" t="s">
        <v>50</v>
      </c>
      <c r="K2" s="17"/>
    </row>
    <row r="3" spans="1:12" x14ac:dyDescent="0.2">
      <c r="A3" t="s">
        <v>51</v>
      </c>
      <c r="B3" s="16">
        <f>Consumption!I2</f>
        <v>3.1320000000000001</v>
      </c>
      <c r="C3" t="s">
        <v>1</v>
      </c>
      <c r="E3" s="58" t="s">
        <v>52</v>
      </c>
      <c r="F3" s="59" t="s">
        <v>53</v>
      </c>
      <c r="G3" s="60" t="s">
        <v>54</v>
      </c>
      <c r="I3" s="4" t="s">
        <v>55</v>
      </c>
      <c r="J3" s="5" t="s">
        <v>56</v>
      </c>
      <c r="K3" s="5" t="s">
        <v>57</v>
      </c>
    </row>
    <row r="4" spans="1:12" x14ac:dyDescent="0.2">
      <c r="B4" s="16">
        <f>B3/B13</f>
        <v>0.26100000000000001</v>
      </c>
      <c r="C4" t="s">
        <v>8</v>
      </c>
      <c r="E4" s="61">
        <v>80</v>
      </c>
      <c r="F4" s="62">
        <v>26</v>
      </c>
      <c r="G4" s="63">
        <v>1</v>
      </c>
      <c r="I4" t="s">
        <v>58</v>
      </c>
      <c r="J4" s="1">
        <v>4</v>
      </c>
      <c r="K4" s="1">
        <v>2</v>
      </c>
      <c r="L4" t="s">
        <v>59</v>
      </c>
    </row>
    <row r="5" spans="1:12" x14ac:dyDescent="0.2">
      <c r="E5" s="64">
        <v>70</v>
      </c>
      <c r="F5" s="10">
        <v>21.2</v>
      </c>
      <c r="G5" s="65">
        <v>1.04</v>
      </c>
      <c r="J5" s="1"/>
      <c r="K5" s="1"/>
    </row>
    <row r="6" spans="1:12" x14ac:dyDescent="0.2">
      <c r="E6" s="64">
        <v>60</v>
      </c>
      <c r="F6" s="10">
        <v>15.6</v>
      </c>
      <c r="G6" s="65">
        <v>1.1100000000000001</v>
      </c>
      <c r="J6" s="1"/>
      <c r="K6" s="1"/>
    </row>
    <row r="7" spans="1:12" x14ac:dyDescent="0.2">
      <c r="A7" s="4" t="s">
        <v>60</v>
      </c>
      <c r="E7" s="64">
        <v>50</v>
      </c>
      <c r="F7" s="10">
        <v>10</v>
      </c>
      <c r="G7" s="65">
        <v>1.19</v>
      </c>
      <c r="J7" s="1"/>
      <c r="K7" s="1"/>
    </row>
    <row r="8" spans="1:12" x14ac:dyDescent="0.2">
      <c r="A8" t="s">
        <v>61</v>
      </c>
      <c r="B8" s="70">
        <f>Canisters!B11</f>
        <v>18</v>
      </c>
      <c r="C8" t="s">
        <v>62</v>
      </c>
      <c r="D8" s="8"/>
      <c r="E8" s="64">
        <v>40</v>
      </c>
      <c r="F8" s="10">
        <v>4.4000000000000004</v>
      </c>
      <c r="G8" s="65">
        <v>1.3</v>
      </c>
    </row>
    <row r="9" spans="1:12" x14ac:dyDescent="0.2">
      <c r="A9" s="8" t="s">
        <v>63</v>
      </c>
      <c r="B9" s="9">
        <f>B8*B1+(24-B8)*B3</f>
        <v>1338.1851697221482</v>
      </c>
      <c r="C9" s="8" t="s">
        <v>64</v>
      </c>
      <c r="E9" s="64">
        <v>30</v>
      </c>
      <c r="F9" s="10">
        <v>-1.1000000000000001</v>
      </c>
      <c r="G9" s="65">
        <v>1.4</v>
      </c>
    </row>
    <row r="10" spans="1:12" x14ac:dyDescent="0.2">
      <c r="E10" s="66">
        <v>20</v>
      </c>
      <c r="F10" s="67">
        <v>-6.7</v>
      </c>
      <c r="G10" s="68">
        <v>1.59</v>
      </c>
    </row>
    <row r="12" spans="1:12" x14ac:dyDescent="0.2">
      <c r="A12" s="4" t="s">
        <v>65</v>
      </c>
      <c r="E12" s="4" t="s">
        <v>66</v>
      </c>
    </row>
    <row r="13" spans="1:12" x14ac:dyDescent="0.2">
      <c r="A13" s="8" t="s">
        <v>67</v>
      </c>
      <c r="B13" s="10">
        <v>12</v>
      </c>
      <c r="C13" s="8" t="s">
        <v>68</v>
      </c>
      <c r="D13" s="8"/>
      <c r="E13" t="s">
        <v>69</v>
      </c>
      <c r="F13" s="18" t="s">
        <v>70</v>
      </c>
      <c r="G13" s="18"/>
    </row>
    <row r="14" spans="1:12" x14ac:dyDescent="0.2">
      <c r="A14" s="8" t="s">
        <v>71</v>
      </c>
      <c r="B14" s="11">
        <v>4</v>
      </c>
      <c r="C14" s="8" t="s">
        <v>72</v>
      </c>
      <c r="D14" s="8"/>
      <c r="E14" t="s">
        <v>73</v>
      </c>
      <c r="F14" s="7">
        <v>6</v>
      </c>
      <c r="G14" t="s">
        <v>7</v>
      </c>
    </row>
    <row r="15" spans="1:12" x14ac:dyDescent="0.2">
      <c r="A15" s="8" t="s">
        <v>74</v>
      </c>
      <c r="B15" s="12">
        <v>0.4</v>
      </c>
      <c r="C15" s="8"/>
      <c r="D15" s="8"/>
      <c r="E15" t="s">
        <v>75</v>
      </c>
      <c r="F15" s="7">
        <v>524</v>
      </c>
      <c r="G15" t="s">
        <v>76</v>
      </c>
    </row>
    <row r="16" spans="1:12" x14ac:dyDescent="0.2">
      <c r="A16" s="8" t="s">
        <v>77</v>
      </c>
      <c r="B16" s="11">
        <v>1.59</v>
      </c>
      <c r="C16" s="8"/>
      <c r="D16" s="8"/>
      <c r="E16" t="s">
        <v>78</v>
      </c>
      <c r="F16" s="7">
        <v>4</v>
      </c>
      <c r="G16" t="s">
        <v>79</v>
      </c>
    </row>
    <row r="17" spans="1:7" x14ac:dyDescent="0.2">
      <c r="A17" s="8" t="s">
        <v>80</v>
      </c>
      <c r="B17" s="13">
        <f>(B9*B14*B16)/(B13*B15)</f>
        <v>1773.0953498818465</v>
      </c>
      <c r="C17" s="8" t="s">
        <v>81</v>
      </c>
      <c r="D17" s="8"/>
      <c r="E17" t="s">
        <v>82</v>
      </c>
      <c r="F17" s="1">
        <f>F15*F16*(F14/B13)</f>
        <v>1048</v>
      </c>
      <c r="G17" t="s">
        <v>76</v>
      </c>
    </row>
    <row r="18" spans="1:7" x14ac:dyDescent="0.2">
      <c r="E18" t="s">
        <v>83</v>
      </c>
      <c r="F18" s="14">
        <f>IF(F14&lt;12, EVEN((B17/F15)*(B13/F14)), CEILING((B17/F15)*(B13/F14),1))</f>
        <v>8</v>
      </c>
      <c r="G18" t="s">
        <v>79</v>
      </c>
    </row>
    <row r="20" spans="1:7" x14ac:dyDescent="0.2">
      <c r="A20" s="4" t="s">
        <v>84</v>
      </c>
      <c r="E20" s="4" t="s">
        <v>85</v>
      </c>
    </row>
    <row r="21" spans="1:7" x14ac:dyDescent="0.2">
      <c r="A21" t="s">
        <v>86</v>
      </c>
      <c r="B21" s="11">
        <v>4</v>
      </c>
      <c r="C21" t="s">
        <v>62</v>
      </c>
      <c r="E21" t="s">
        <v>69</v>
      </c>
      <c r="F21" s="18" t="s">
        <v>87</v>
      </c>
      <c r="G21" s="18"/>
    </row>
    <row r="22" spans="1:7" x14ac:dyDescent="0.2">
      <c r="A22" t="s">
        <v>88</v>
      </c>
      <c r="B22" s="14">
        <f>$B$9/B21</f>
        <v>334.54629243053705</v>
      </c>
      <c r="C22" t="s">
        <v>89</v>
      </c>
      <c r="E22" t="s">
        <v>90</v>
      </c>
      <c r="F22" s="7">
        <v>8.5299999999999994</v>
      </c>
      <c r="G22" t="s">
        <v>8</v>
      </c>
    </row>
    <row r="23" spans="1:7" x14ac:dyDescent="0.2">
      <c r="A23" t="s">
        <v>91</v>
      </c>
      <c r="B23" s="1">
        <f>CEILING(B22/F24,1)</f>
        <v>2</v>
      </c>
      <c r="C23" t="s">
        <v>92</v>
      </c>
      <c r="E23" t="s">
        <v>73</v>
      </c>
      <c r="F23" s="7">
        <v>35.770000000000003</v>
      </c>
      <c r="G23" t="s">
        <v>7</v>
      </c>
    </row>
    <row r="24" spans="1:7" x14ac:dyDescent="0.2">
      <c r="A24" t="s">
        <v>93</v>
      </c>
      <c r="B24" s="14">
        <f>B23*F22</f>
        <v>17.059999999999999</v>
      </c>
      <c r="C24" t="s">
        <v>8</v>
      </c>
      <c r="E24" t="s">
        <v>94</v>
      </c>
      <c r="F24" s="1">
        <f>ROUND(F23*F22, 0)</f>
        <v>305</v>
      </c>
      <c r="G24" t="s">
        <v>95</v>
      </c>
    </row>
    <row r="27" spans="1:7" x14ac:dyDescent="0.2">
      <c r="A27" s="4" t="s">
        <v>96</v>
      </c>
      <c r="E27" s="4" t="s">
        <v>97</v>
      </c>
    </row>
    <row r="28" spans="1:7" x14ac:dyDescent="0.2">
      <c r="A28" t="s">
        <v>86</v>
      </c>
      <c r="B28" s="11">
        <v>2</v>
      </c>
      <c r="C28" t="s">
        <v>62</v>
      </c>
      <c r="E28" s="14">
        <f>B31/G28</f>
        <v>31.987499999999994</v>
      </c>
      <c r="F28" t="s">
        <v>98</v>
      </c>
      <c r="G28" s="69">
        <v>0.8</v>
      </c>
    </row>
    <row r="29" spans="1:7" x14ac:dyDescent="0.2">
      <c r="A29" t="s">
        <v>88</v>
      </c>
      <c r="B29" s="14">
        <f>$B$9/B28</f>
        <v>669.0925848610741</v>
      </c>
      <c r="C29" t="s">
        <v>89</v>
      </c>
      <c r="E29" s="14"/>
      <c r="G29" s="1"/>
    </row>
    <row r="30" spans="1:7" x14ac:dyDescent="0.2">
      <c r="A30" t="s">
        <v>91</v>
      </c>
      <c r="B30" s="1">
        <f>CEILING(B29/F24,1)</f>
        <v>3</v>
      </c>
      <c r="C30" t="s">
        <v>92</v>
      </c>
    </row>
    <row r="31" spans="1:7" x14ac:dyDescent="0.2">
      <c r="A31" t="s">
        <v>93</v>
      </c>
      <c r="B31" s="14">
        <f>B30*F22</f>
        <v>25.589999999999996</v>
      </c>
      <c r="C31" t="s">
        <v>8</v>
      </c>
    </row>
    <row r="35" spans="1:3" x14ac:dyDescent="0.2">
      <c r="A35" s="4" t="s">
        <v>99</v>
      </c>
    </row>
    <row r="36" spans="1:3" x14ac:dyDescent="0.2">
      <c r="A36" t="s">
        <v>100</v>
      </c>
      <c r="B36" s="1">
        <f>F23</f>
        <v>35.770000000000003</v>
      </c>
      <c r="C36" t="s">
        <v>7</v>
      </c>
    </row>
    <row r="40" spans="1:3" x14ac:dyDescent="0.2">
      <c r="A40" t="s">
        <v>101</v>
      </c>
    </row>
    <row r="41" spans="1:3" x14ac:dyDescent="0.2">
      <c r="A41" t="s">
        <v>102</v>
      </c>
    </row>
    <row r="42" spans="1:3" x14ac:dyDescent="0.2">
      <c r="A42" t="s">
        <v>103</v>
      </c>
    </row>
    <row r="43" spans="1:3" x14ac:dyDescent="0.2">
      <c r="A43" t="s">
        <v>104</v>
      </c>
    </row>
    <row r="44" spans="1:3" x14ac:dyDescent="0.2">
      <c r="A44" t="s">
        <v>105</v>
      </c>
    </row>
    <row r="45" spans="1:3" x14ac:dyDescent="0.2">
      <c r="A45" t="s">
        <v>106</v>
      </c>
    </row>
  </sheetData>
  <mergeCells count="4">
    <mergeCell ref="E1:G1"/>
    <mergeCell ref="J2:K2"/>
    <mergeCell ref="F13:G13"/>
    <mergeCell ref="F21:G21"/>
  </mergeCells>
  <conditionalFormatting sqref="F17">
    <cfRule type="cellIs" dxfId="0" priority="1" operator="lessThan">
      <formula>$B$17</formula>
    </cfRule>
  </conditionalFormatting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Conditions</vt:lpstr>
      <vt:lpstr>Canisters</vt:lpstr>
      <vt:lpstr>Flow</vt:lpstr>
      <vt:lpstr>Consumption</vt:lpstr>
      <vt:lpstr>PV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2014-09-15T21:51:43Z</dcterms:modified>
  <dc:language>en-US</dc:language>
</cp:coreProperties>
</file>