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J:\WSU SMART REA\design.git\engr\"/>
    </mc:Choice>
  </mc:AlternateContent>
  <bookViews>
    <workbookView xWindow="0" yWindow="0" windowWidth="16380" windowHeight="8190" tabRatio="487"/>
  </bookViews>
  <sheets>
    <sheet name="Flow" sheetId="1" r:id="rId1"/>
  </sheets>
  <calcPr calcId="152511" iterateDelta="1E-4"/>
</workbook>
</file>

<file path=xl/calcChain.xml><?xml version="1.0" encoding="utf-8"?>
<calcChain xmlns="http://schemas.openxmlformats.org/spreadsheetml/2006/main">
  <c r="M4" i="1" l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3" i="1"/>
  <c r="B34" i="1"/>
  <c r="B35" i="1" s="1"/>
  <c r="B33" i="1"/>
  <c r="F20" i="1" s="1"/>
  <c r="G20" i="1" s="1"/>
  <c r="B30" i="1"/>
  <c r="B32" i="1" s="1"/>
  <c r="F21" i="1"/>
  <c r="G21" i="1" s="1"/>
  <c r="I21" i="1" s="1"/>
  <c r="F19" i="1"/>
  <c r="G19" i="1" s="1"/>
  <c r="I19" i="1" s="1"/>
  <c r="F17" i="1"/>
  <c r="G17" i="1" s="1"/>
  <c r="I17" i="1" s="1"/>
  <c r="F15" i="1"/>
  <c r="G15" i="1" s="1"/>
  <c r="I15" i="1" s="1"/>
  <c r="F13" i="1"/>
  <c r="G13" i="1" s="1"/>
  <c r="I13" i="1" s="1"/>
  <c r="F11" i="1"/>
  <c r="G11" i="1" s="1"/>
  <c r="I11" i="1" s="1"/>
  <c r="F9" i="1"/>
  <c r="G9" i="1" s="1"/>
  <c r="I9" i="1" s="1"/>
  <c r="F7" i="1"/>
  <c r="G7" i="1" s="1"/>
  <c r="I7" i="1" s="1"/>
  <c r="B7" i="1"/>
  <c r="F6" i="1"/>
  <c r="G6" i="1" s="1"/>
  <c r="I6" i="1" s="1"/>
  <c r="B6" i="1"/>
  <c r="F5" i="1"/>
  <c r="G5" i="1" s="1"/>
  <c r="I5" i="1" s="1"/>
  <c r="B5" i="1"/>
  <c r="F4" i="1"/>
  <c r="G4" i="1" s="1"/>
  <c r="I4" i="1" s="1"/>
  <c r="F3" i="1" l="1"/>
  <c r="G3" i="1" s="1"/>
  <c r="H3" i="1" s="1"/>
  <c r="F8" i="1"/>
  <c r="G8" i="1" s="1"/>
  <c r="I8" i="1" s="1"/>
  <c r="F10" i="1"/>
  <c r="G10" i="1" s="1"/>
  <c r="H10" i="1" s="1"/>
  <c r="F12" i="1"/>
  <c r="G12" i="1" s="1"/>
  <c r="I12" i="1" s="1"/>
  <c r="F14" i="1"/>
  <c r="G14" i="1" s="1"/>
  <c r="H14" i="1" s="1"/>
  <c r="F16" i="1"/>
  <c r="G16" i="1" s="1"/>
  <c r="I16" i="1" s="1"/>
  <c r="F18" i="1"/>
  <c r="G18" i="1" s="1"/>
  <c r="H18" i="1" s="1"/>
  <c r="H20" i="1"/>
  <c r="I20" i="1"/>
  <c r="H4" i="1"/>
  <c r="H5" i="1"/>
  <c r="H6" i="1"/>
  <c r="H7" i="1"/>
  <c r="H9" i="1"/>
  <c r="H11" i="1"/>
  <c r="H13" i="1"/>
  <c r="H15" i="1"/>
  <c r="H17" i="1"/>
  <c r="H19" i="1"/>
  <c r="H21" i="1"/>
  <c r="B31" i="1"/>
  <c r="I3" i="1" l="1"/>
  <c r="H8" i="1"/>
  <c r="I14" i="1"/>
  <c r="H16" i="1"/>
  <c r="I18" i="1"/>
  <c r="I10" i="1"/>
  <c r="H12" i="1"/>
  <c r="J20" i="1"/>
  <c r="K20" i="1" s="1"/>
  <c r="L20" i="1" s="1"/>
  <c r="J18" i="1"/>
  <c r="K18" i="1" s="1"/>
  <c r="L18" i="1" s="1"/>
  <c r="J16" i="1"/>
  <c r="K16" i="1" s="1"/>
  <c r="L16" i="1" s="1"/>
  <c r="J14" i="1"/>
  <c r="K14" i="1" s="1"/>
  <c r="L14" i="1" s="1"/>
  <c r="J12" i="1"/>
  <c r="K12" i="1" s="1"/>
  <c r="L12" i="1" s="1"/>
  <c r="J10" i="1"/>
  <c r="K10" i="1" s="1"/>
  <c r="L10" i="1" s="1"/>
  <c r="J8" i="1"/>
  <c r="K8" i="1" s="1"/>
  <c r="L8" i="1" s="1"/>
  <c r="J3" i="1"/>
  <c r="K3" i="1" s="1"/>
  <c r="L3" i="1" s="1"/>
  <c r="J21" i="1"/>
  <c r="K21" i="1" s="1"/>
  <c r="L21" i="1" s="1"/>
  <c r="J19" i="1"/>
  <c r="K19" i="1" s="1"/>
  <c r="L19" i="1" s="1"/>
  <c r="J17" i="1"/>
  <c r="K17" i="1" s="1"/>
  <c r="L17" i="1" s="1"/>
  <c r="J15" i="1"/>
  <c r="K15" i="1" s="1"/>
  <c r="L15" i="1" s="1"/>
  <c r="J13" i="1"/>
  <c r="K13" i="1" s="1"/>
  <c r="L13" i="1" s="1"/>
  <c r="J11" i="1"/>
  <c r="K11" i="1" s="1"/>
  <c r="L11" i="1" s="1"/>
  <c r="J9" i="1"/>
  <c r="K9" i="1" s="1"/>
  <c r="L9" i="1" s="1"/>
  <c r="J7" i="1"/>
  <c r="K7" i="1" s="1"/>
  <c r="L7" i="1" s="1"/>
  <c r="J6" i="1"/>
  <c r="K6" i="1" s="1"/>
  <c r="L6" i="1" s="1"/>
  <c r="J5" i="1"/>
  <c r="K5" i="1" s="1"/>
  <c r="L5" i="1" s="1"/>
  <c r="J4" i="1"/>
  <c r="K4" i="1" s="1"/>
  <c r="L4" i="1" s="1"/>
  <c r="B36" i="1" l="1"/>
</calcChain>
</file>

<file path=xl/comments1.xml><?xml version="1.0" encoding="utf-8"?>
<comments xmlns="http://schemas.openxmlformats.org/spreadsheetml/2006/main">
  <authors>
    <author/>
    <author>Patrick O'Keeffe</author>
  </authors>
  <commentList>
    <comment ref="G1" authorId="0" shapeId="0">
      <text>
        <r>
          <rPr>
            <b/>
            <sz val="8"/>
            <color rgb="FF000000"/>
            <rFont val="Tahoma"/>
            <family val="2"/>
            <charset val="1"/>
          </rPr>
          <t xml:space="preserve">Patrick O'Keeffe:
</t>
        </r>
        <r>
          <rPr>
            <sz val="8"/>
            <color rgb="FF000000"/>
            <rFont val="Tahoma"/>
            <family val="2"/>
            <charset val="1"/>
          </rPr>
          <t>Time to travel full length of tubing</t>
        </r>
      </text>
    </comment>
    <comment ref="K2" authorId="0" shapeId="0">
      <text>
        <r>
          <rPr>
            <b/>
            <sz val="8"/>
            <color rgb="FF000000"/>
            <rFont val="Tahoma"/>
            <family val="2"/>
            <charset val="1"/>
          </rPr>
          <t xml:space="preserve">Patrick O'Keeffe:
</t>
        </r>
        <r>
          <rPr>
            <sz val="8"/>
            <color rgb="FF000000"/>
            <rFont val="Tahoma"/>
            <family val="2"/>
            <charset val="1"/>
          </rPr>
          <t>Blasius formula, valid for: 
- smooth walls 
- Re &lt; 10^5</t>
        </r>
      </text>
    </comment>
    <comment ref="L2" authorId="0" shapeId="0">
      <text>
        <r>
          <rPr>
            <b/>
            <sz val="8"/>
            <color rgb="FF000000"/>
            <rFont val="Tahoma"/>
            <family val="2"/>
            <charset val="1"/>
          </rPr>
          <t xml:space="preserve">Patrick O'Keeffe:
</t>
        </r>
        <r>
          <rPr>
            <sz val="8"/>
            <color rgb="FF000000"/>
            <rFont val="Tahoma"/>
            <family val="2"/>
            <charset val="1"/>
          </rPr>
          <t>Pressure drop due to wall friction only</t>
        </r>
      </text>
    </comment>
    <comment ref="M2" authorId="0" shapeId="0">
      <text>
        <r>
          <rPr>
            <b/>
            <sz val="8"/>
            <color rgb="FF000000"/>
            <rFont val="Tahoma"/>
            <family val="2"/>
            <charset val="1"/>
          </rPr>
          <t xml:space="preserve">Patrick O'Keeffe:
</t>
        </r>
        <r>
          <rPr>
            <sz val="8"/>
            <color rgb="FF000000"/>
            <rFont val="Tahoma"/>
            <family val="2"/>
            <charset val="1"/>
          </rPr>
          <t>Variance in flow rate through flush line due to variable presence of flow through orifices</t>
        </r>
      </text>
    </comment>
    <comment ref="A3" authorId="0" shapeId="0">
      <text>
        <r>
          <rPr>
            <b/>
            <sz val="8"/>
            <color rgb="FF000000"/>
            <rFont val="Tahoma"/>
            <family val="2"/>
            <charset val="1"/>
          </rPr>
          <t xml:space="preserve">Patrick O'Keeffe:
</t>
        </r>
        <r>
          <rPr>
            <sz val="8"/>
            <color rgb="FF000000"/>
            <rFont val="Tahoma"/>
            <family val="2"/>
            <charset val="1"/>
          </rPr>
          <t>Pressure drop at full scale (50 sLpm) flow venting to atmosphere (mnfctr specs)</t>
        </r>
      </text>
    </comment>
    <comment ref="B3" authorId="1" shapeId="0">
      <text>
        <r>
          <rPr>
            <b/>
            <sz val="8"/>
            <color indexed="81"/>
            <rFont val="Tahoma"/>
            <charset val="1"/>
          </rPr>
          <t>Patrick O'Keeffe:</t>
        </r>
        <r>
          <rPr>
            <sz val="8"/>
            <color indexed="81"/>
            <rFont val="Tahoma"/>
            <charset val="1"/>
          </rPr>
          <t xml:space="preserve">
Measured pressure drop across orifice+3-way valve as 19 in Hg = 9.3 psi</t>
        </r>
      </text>
    </comment>
    <comment ref="A5" authorId="0" shapeId="0">
      <text>
        <r>
          <rPr>
            <b/>
            <sz val="8"/>
            <color rgb="FF000000"/>
            <rFont val="Tahoma"/>
            <family val="2"/>
            <charset val="1"/>
          </rPr>
          <t xml:space="preserve">Patrick O'Keeffe:
</t>
        </r>
        <r>
          <rPr>
            <sz val="8"/>
            <color rgb="FF000000"/>
            <rFont val="Tahoma"/>
            <family val="2"/>
            <charset val="1"/>
          </rPr>
          <t xml:space="preserve">This is the size we purchased </t>
        </r>
      </text>
    </comment>
    <comment ref="A11" authorId="0" shapeId="0">
      <text>
        <r>
          <rPr>
            <b/>
            <sz val="8"/>
            <color rgb="FF000000"/>
            <rFont val="Tahoma"/>
            <family val="2"/>
            <charset val="1"/>
          </rPr>
          <t xml:space="preserve">Patrick O'Keeffe:
</t>
        </r>
        <r>
          <rPr>
            <sz val="8"/>
            <color rgb="FF000000"/>
            <rFont val="Tahoma"/>
            <family val="2"/>
            <charset val="1"/>
          </rPr>
          <t xml:space="preserve">Total length </t>
        </r>
        <r>
          <rPr>
            <b/>
            <sz val="8"/>
            <color rgb="FF000000"/>
            <rFont val="Tahoma"/>
            <family val="2"/>
            <charset val="1"/>
          </rPr>
          <t>upstream</t>
        </r>
        <r>
          <rPr>
            <sz val="8"/>
            <color rgb="FF000000"/>
            <rFont val="Tahoma"/>
            <family val="2"/>
            <charset val="1"/>
          </rPr>
          <t xml:space="preserve"> of pump</t>
        </r>
      </text>
    </comment>
    <comment ref="A19" authorId="0" shapeId="0">
      <text>
        <r>
          <rPr>
            <b/>
            <sz val="8"/>
            <color rgb="FF000000"/>
            <rFont val="Tahoma"/>
            <family val="2"/>
            <charset val="1"/>
          </rPr>
          <t xml:space="preserve">Patrick O'Keeffe:
</t>
        </r>
        <r>
          <rPr>
            <sz val="8"/>
            <color rgb="FF000000"/>
            <rFont val="Tahoma"/>
            <family val="2"/>
            <charset val="1"/>
          </rPr>
          <t>Max ratio of abs. press. downstream of orifice vs. abs. press. upstream of orifice</t>
        </r>
      </text>
    </comment>
    <comment ref="A34" authorId="0" shapeId="0">
      <text>
        <r>
          <rPr>
            <b/>
            <sz val="8"/>
            <color rgb="FF000000"/>
            <rFont val="Tahoma"/>
            <family val="2"/>
            <charset val="1"/>
          </rPr>
          <t xml:space="preserve">Patrick O'Keeffe:
</t>
        </r>
        <r>
          <rPr>
            <sz val="8"/>
            <color rgb="FF000000"/>
            <rFont val="Tahoma"/>
            <family val="2"/>
            <charset val="1"/>
          </rPr>
          <t>Max absolute pressure downstream of orifice resulting in choked flow</t>
        </r>
      </text>
    </comment>
    <comment ref="A35" authorId="0" shapeId="0">
      <text>
        <r>
          <rPr>
            <b/>
            <sz val="8"/>
            <color rgb="FF000000"/>
            <rFont val="Tahoma"/>
            <family val="2"/>
            <charset val="1"/>
          </rPr>
          <t xml:space="preserve">Patrick O'Keeffe:
</t>
        </r>
        <r>
          <rPr>
            <sz val="8"/>
            <color rgb="FF000000"/>
            <rFont val="Tahoma"/>
            <family val="2"/>
            <charset val="1"/>
          </rPr>
          <t>Minimum pressure drop across orifice to achieve choked flow</t>
        </r>
      </text>
    </comment>
    <comment ref="A36" authorId="0" shapeId="0">
      <text>
        <r>
          <rPr>
            <b/>
            <sz val="8"/>
            <color rgb="FF000000"/>
            <rFont val="Tahoma"/>
            <family val="2"/>
            <charset val="1"/>
          </rPr>
          <t xml:space="preserve">Patrick O'Keeffe:
</t>
        </r>
        <r>
          <rPr>
            <sz val="8"/>
            <color rgb="FF000000"/>
            <rFont val="Tahoma"/>
            <family val="2"/>
            <charset val="1"/>
          </rPr>
          <t>Vacuum level resulting from pressure drop across mass flow controller and wall friction</t>
        </r>
      </text>
    </comment>
    <comment ref="B36" authorId="0" shapeId="0">
      <text>
        <r>
          <rPr>
            <b/>
            <sz val="8"/>
            <color rgb="FF000000"/>
            <rFont val="Tahoma"/>
            <family val="2"/>
            <charset val="1"/>
          </rPr>
          <t xml:space="preserve">Patrick O'Keeffe:
</t>
        </r>
        <r>
          <rPr>
            <sz val="8"/>
            <color rgb="FF000000"/>
            <rFont val="Tahoma"/>
            <family val="2"/>
            <charset val="1"/>
          </rPr>
          <t>Use this value when evaluating pumps</t>
        </r>
      </text>
    </comment>
  </commentList>
</comments>
</file>

<file path=xl/sharedStrings.xml><?xml version="1.0" encoding="utf-8"?>
<sst xmlns="http://schemas.openxmlformats.org/spreadsheetml/2006/main" count="72" uniqueCount="59">
  <si>
    <t>Flow</t>
  </si>
  <si>
    <t>Velocity</t>
  </si>
  <si>
    <t>Delay</t>
  </si>
  <si>
    <t>Delay (# scans)</t>
  </si>
  <si>
    <t>Reference</t>
  </si>
  <si>
    <t>L/min</t>
  </si>
  <si>
    <t>m/s</t>
  </si>
  <si>
    <t>s</t>
  </si>
  <si>
    <t>10Hz</t>
  </si>
  <si>
    <t>20Hz</t>
  </si>
  <si>
    <t>Reynolds #</t>
  </si>
  <si>
    <t>Friction factor</t>
  </si>
  <si>
    <t>ΔP (mbar)</t>
  </si>
  <si>
    <t>Pressure drop across MFC</t>
  </si>
  <si>
    <t>psid</t>
  </si>
  <si>
    <t>Tubing size</t>
  </si>
  <si>
    <t>I.D.</t>
  </si>
  <si>
    <t>1/4" (0.047)</t>
  </si>
  <si>
    <t>in</t>
  </si>
  <si>
    <t>1/4" (0.062)</t>
  </si>
  <si>
    <t>1/8" (0.047)</t>
  </si>
  <si>
    <t>User input</t>
  </si>
  <si>
    <t>Tubing inner diameter</t>
  </si>
  <si>
    <t>Tubing length</t>
  </si>
  <si>
    <t>ft</t>
  </si>
  <si>
    <t>Barometric pressure</t>
  </si>
  <si>
    <t>kPa (abs)</t>
  </si>
  <si>
    <t>Air temperature</t>
  </si>
  <si>
    <t>degF</t>
  </si>
  <si>
    <t>Constants</t>
  </si>
  <si>
    <t>Gas constant, dry air</t>
  </si>
  <si>
    <t>J/(kg K)</t>
  </si>
  <si>
    <t>Sutherland's formula (air): C</t>
  </si>
  <si>
    <t>K</t>
  </si>
  <si>
    <t>Sutherland's formula (air): λ</t>
  </si>
  <si>
    <t>(μPa*s)/K^-1/2</t>
  </si>
  <si>
    <t>Choked flow ratio (P2/P1)</t>
  </si>
  <si>
    <t>Unit conversion: mbar/kPa</t>
  </si>
  <si>
    <t>unity</t>
  </si>
  <si>
    <t>Unit conversion: mbar/psi</t>
  </si>
  <si>
    <t>Unit conversion: in/m</t>
  </si>
  <si>
    <t>Unit conversion: s/min</t>
  </si>
  <si>
    <t>Unit conversion: L/m^3</t>
  </si>
  <si>
    <t>Unit conversion: in/ft</t>
  </si>
  <si>
    <t>Unit conversion: ft/m</t>
  </si>
  <si>
    <t>Unit conversion: Pa/kPa</t>
  </si>
  <si>
    <t>Derived values</t>
  </si>
  <si>
    <t>degC</t>
  </si>
  <si>
    <t>Density of air</t>
  </si>
  <si>
    <t>kg/m^3</t>
  </si>
  <si>
    <t>Dynamic viscosity of air</t>
  </si>
  <si>
    <t>Pa*s</t>
  </si>
  <si>
    <t>Tubing cross-section area</t>
  </si>
  <si>
    <t>in^2</t>
  </si>
  <si>
    <t>Max pressure for choked flow</t>
  </si>
  <si>
    <t>ΔP for choked flow across orifice</t>
  </si>
  <si>
    <t>mbar (gage)</t>
  </si>
  <si>
    <t>Min. vacuum at pump inlet</t>
  </si>
  <si>
    <t>ΔF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</si>
</sst>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0.000"/>
    <numFmt numFmtId="166" formatCode="0.000E+00"/>
    <numFmt numFmtId="167" formatCode="0.0000"/>
  </numFmts>
  <fonts count="6" x14ac:knownFonts="1">
    <font>
      <sz val="11"/>
      <color rgb="FF000000"/>
      <name val="Calibri"/>
      <family val="2"/>
      <charset val="1"/>
    </font>
    <font>
      <b/>
      <i/>
      <sz val="11"/>
      <color rgb="FF000000"/>
      <name val="Calibri"/>
      <family val="2"/>
      <charset val="1"/>
    </font>
    <font>
      <b/>
      <sz val="8"/>
      <color rgb="FF000000"/>
      <name val="Tahoma"/>
      <family val="2"/>
      <charset val="1"/>
    </font>
    <font>
      <sz val="8"/>
      <color rgb="FF000000"/>
      <name val="Tahoma"/>
      <family val="2"/>
      <charset val="1"/>
    </font>
    <font>
      <sz val="8"/>
      <color indexed="81"/>
      <name val="Tahoma"/>
      <charset val="1"/>
    </font>
    <font>
      <b/>
      <sz val="8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rgb="FFDEEBF7"/>
        <bgColor rgb="FFCCFFFF"/>
      </patternFill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1" fillId="0" borderId="0" xfId="0" applyFont="1"/>
    <xf numFmtId="0" fontId="0" fillId="0" borderId="0" xfId="0" applyBorder="1" applyAlignment="1">
      <alignment horizontal="center"/>
    </xf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Font="1" applyAlignment="1">
      <alignment horizontal="left" indent="2"/>
    </xf>
    <xf numFmtId="0" fontId="0" fillId="0" borderId="0" xfId="0" applyFont="1" applyAlignment="1">
      <alignment horizontal="left" indent="2"/>
    </xf>
    <xf numFmtId="0" fontId="0" fillId="2" borderId="1" xfId="0" applyFill="1" applyBorder="1"/>
    <xf numFmtId="0" fontId="0" fillId="2" borderId="2" xfId="0" applyFill="1" applyBorder="1"/>
    <xf numFmtId="0" fontId="0" fillId="0" borderId="0" xfId="0" applyBorder="1"/>
    <xf numFmtId="0" fontId="0" fillId="0" borderId="0" xfId="0" applyFon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0" fillId="0" borderId="0" xfId="0" applyFont="1" applyAlignment="1"/>
    <xf numFmtId="1" fontId="0" fillId="0" borderId="0" xfId="0" applyNumberFormat="1"/>
    <xf numFmtId="0" fontId="0" fillId="0" borderId="0" xfId="0" applyFont="1" applyAlignment="1">
      <alignment horizontal="center" vertical="center"/>
    </xf>
  </cellXfs>
  <cellStyles count="1">
    <cellStyle name="Normal" xfId="0" builtinId="0"/>
  </cellStyles>
  <dxfs count="1">
    <dxf>
      <font>
        <sz val="11"/>
        <color rgb="FF9C0006"/>
        <name val="Calibri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28575</xdr:colOff>
      <xdr:row>50</xdr:row>
      <xdr:rowOff>0</xdr:rowOff>
    </xdr:to>
    <xdr:sp macro="" textlink="">
      <xdr:nvSpPr>
        <xdr:cNvPr id="104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28575</xdr:colOff>
      <xdr:row>50</xdr:row>
      <xdr:rowOff>0</xdr:rowOff>
    </xdr:to>
    <xdr:sp macro="" textlink="">
      <xdr:nvSpPr>
        <xdr:cNvPr id="104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28575</xdr:colOff>
      <xdr:row>50</xdr:row>
      <xdr:rowOff>0</xdr:rowOff>
    </xdr:to>
    <xdr:sp macro="" textlink="">
      <xdr:nvSpPr>
        <xdr:cNvPr id="104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28575</xdr:colOff>
      <xdr:row>50</xdr:row>
      <xdr:rowOff>0</xdr:rowOff>
    </xdr:to>
    <xdr:sp macro="" textlink="">
      <xdr:nvSpPr>
        <xdr:cNvPr id="104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28575</xdr:colOff>
      <xdr:row>50</xdr:row>
      <xdr:rowOff>0</xdr:rowOff>
    </xdr:to>
    <xdr:sp macro="" textlink="">
      <xdr:nvSpPr>
        <xdr:cNvPr id="103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28575</xdr:colOff>
      <xdr:row>50</xdr:row>
      <xdr:rowOff>0</xdr:rowOff>
    </xdr:to>
    <xdr:sp macro="" textlink="">
      <xdr:nvSpPr>
        <xdr:cNvPr id="103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28575</xdr:colOff>
      <xdr:row>50</xdr:row>
      <xdr:rowOff>0</xdr:rowOff>
    </xdr:to>
    <xdr:sp macro="" textlink="">
      <xdr:nvSpPr>
        <xdr:cNvPr id="103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28575</xdr:colOff>
      <xdr:row>50</xdr:row>
      <xdr:rowOff>0</xdr:rowOff>
    </xdr:to>
    <xdr:sp macro="" textlink="">
      <xdr:nvSpPr>
        <xdr:cNvPr id="103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28575</xdr:colOff>
      <xdr:row>50</xdr:row>
      <xdr:rowOff>0</xdr:rowOff>
    </xdr:to>
    <xdr:sp macro="" textlink="">
      <xdr:nvSpPr>
        <xdr:cNvPr id="103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28575</xdr:colOff>
      <xdr:row>50</xdr:row>
      <xdr:rowOff>0</xdr:rowOff>
    </xdr:to>
    <xdr:sp macro="" textlink="">
      <xdr:nvSpPr>
        <xdr:cNvPr id="102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28575</xdr:colOff>
      <xdr:row>50</xdr:row>
      <xdr:rowOff>0</xdr:rowOff>
    </xdr:to>
    <xdr:sp macro="" textlink="">
      <xdr:nvSpPr>
        <xdr:cNvPr id="102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FF"/>
  </sheetPr>
  <dimension ref="A1:M36"/>
  <sheetViews>
    <sheetView tabSelected="1" zoomScaleNormal="100" workbookViewId="0">
      <selection activeCell="B13" sqref="B13"/>
    </sheetView>
  </sheetViews>
  <sheetFormatPr defaultRowHeight="15" x14ac:dyDescent="0.25"/>
  <cols>
    <col min="1" max="1" width="30.28515625" bestFit="1" customWidth="1"/>
    <col min="2" max="2" width="12"/>
    <col min="3" max="3" width="14.28515625"/>
    <col min="4" max="4" width="2.140625"/>
    <col min="5" max="5" width="5.85546875" style="1"/>
    <col min="6" max="6" width="7.5703125" style="1"/>
    <col min="7" max="7" width="6" style="1"/>
    <col min="8" max="9" width="7.7109375" style="1"/>
    <col min="10" max="10" width="10.5703125" style="1"/>
    <col min="11" max="11" width="13.42578125" style="1"/>
    <col min="12" max="12" width="9.5703125" style="1"/>
    <col min="13" max="13" width="8.5703125" style="1"/>
    <col min="14" max="1025" width="8.5703125"/>
  </cols>
  <sheetData>
    <row r="1" spans="1:13" x14ac:dyDescent="0.25">
      <c r="E1" s="2" t="s">
        <v>0</v>
      </c>
      <c r="F1" s="2" t="s">
        <v>1</v>
      </c>
      <c r="G1" s="2" t="s">
        <v>2</v>
      </c>
      <c r="H1" s="21" t="s">
        <v>3</v>
      </c>
      <c r="I1" s="21"/>
      <c r="J1"/>
      <c r="K1" s="2"/>
      <c r="L1"/>
    </row>
    <row r="2" spans="1:13" x14ac:dyDescent="0.25">
      <c r="A2" s="3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1" t="s">
        <v>10</v>
      </c>
      <c r="K2" s="1" t="s">
        <v>11</v>
      </c>
      <c r="L2" s="2" t="s">
        <v>12</v>
      </c>
      <c r="M2" s="2" t="s">
        <v>58</v>
      </c>
    </row>
    <row r="3" spans="1:13" x14ac:dyDescent="0.25">
      <c r="A3" t="s">
        <v>13</v>
      </c>
      <c r="B3">
        <v>9.3000000000000007</v>
      </c>
      <c r="C3" t="s">
        <v>14</v>
      </c>
      <c r="E3" s="4">
        <v>1.7</v>
      </c>
      <c r="F3" s="5">
        <f t="shared" ref="F3:F21" si="0">E3*$B$22^2/($B$33*$B$23*$B$24)</f>
        <v>58.185561748261414</v>
      </c>
      <c r="G3" s="6">
        <f>$B$11/(F3*$B$26)</f>
        <v>0.10476314650169533</v>
      </c>
      <c r="H3" s="7">
        <f t="shared" ref="H3:H21" si="1">G3*1000/100</f>
        <v>1.0476314650169534</v>
      </c>
      <c r="I3" s="7">
        <f t="shared" ref="I3:I21" si="2">G3*1000/50</f>
        <v>2.0952629300339067</v>
      </c>
      <c r="J3" s="5">
        <f>$B$31*F3*$B$10/($B$32*$B$22)</f>
        <v>2821.3251983118475</v>
      </c>
      <c r="K3" s="8">
        <f t="shared" ref="K3:K21" si="3">0.316/J3^0.25</f>
        <v>4.3358454718245489E-2</v>
      </c>
      <c r="L3" s="6">
        <f>K3*$B$11*$B$31*$B$25*$B$20/(2*$B$10*$B$27)</f>
        <v>1.8728662793168234</v>
      </c>
      <c r="M3" s="6">
        <f>100*(2*6/1000)/E3</f>
        <v>0.70588235294117652</v>
      </c>
    </row>
    <row r="4" spans="1:13" x14ac:dyDescent="0.25">
      <c r="A4" t="s">
        <v>15</v>
      </c>
      <c r="B4" t="s">
        <v>16</v>
      </c>
      <c r="E4" s="4">
        <v>1.8</v>
      </c>
      <c r="F4" s="5">
        <f t="shared" si="0"/>
        <v>61.608241851100324</v>
      </c>
      <c r="G4" s="6">
        <f>$B$11/(F4*$B$26)</f>
        <v>9.8942971696045573E-2</v>
      </c>
      <c r="H4" s="7">
        <f t="shared" si="1"/>
        <v>0.98942971696045579</v>
      </c>
      <c r="I4" s="7">
        <f t="shared" si="2"/>
        <v>1.9788594339209116</v>
      </c>
      <c r="J4" s="5">
        <f>$B$31*F4*$B$10/($B$32*$B$22)</f>
        <v>2987.2855040948975</v>
      </c>
      <c r="K4" s="8">
        <f t="shared" si="3"/>
        <v>4.2743285324756887E-2</v>
      </c>
      <c r="L4" s="6">
        <f>K4*$B$11*$B$31*$B$25*$B$20/(2*$B$10*$B$27)</f>
        <v>1.8462940681847746</v>
      </c>
      <c r="M4" s="6">
        <f t="shared" ref="M4:M21" si="4">100*(2*6/1000)/E4</f>
        <v>0.66666666666666663</v>
      </c>
    </row>
    <row r="5" spans="1:13" x14ac:dyDescent="0.25">
      <c r="A5" s="9" t="s">
        <v>17</v>
      </c>
      <c r="B5">
        <f>0.25-2*0.047</f>
        <v>0.156</v>
      </c>
      <c r="C5" t="s">
        <v>18</v>
      </c>
      <c r="E5" s="4">
        <v>1.9</v>
      </c>
      <c r="F5" s="5">
        <f t="shared" si="0"/>
        <v>65.030921953939227</v>
      </c>
      <c r="G5" s="6">
        <f>$B$11/(F5*$B$26)</f>
        <v>9.3735446869937913E-2</v>
      </c>
      <c r="H5" s="7">
        <f t="shared" si="1"/>
        <v>0.93735446869937922</v>
      </c>
      <c r="I5" s="7">
        <f t="shared" si="2"/>
        <v>1.8747089373987584</v>
      </c>
      <c r="J5" s="5">
        <f>$B$31*F5*$B$10/($B$32*$B$22)</f>
        <v>3153.2458098779475</v>
      </c>
      <c r="K5" s="8">
        <f t="shared" si="3"/>
        <v>4.2169419809878761E-2</v>
      </c>
      <c r="L5" s="6">
        <f>K5*$B$11*$B$31*$B$25*$B$20/(2*$B$10*$B$27)</f>
        <v>1.8215059760200014</v>
      </c>
      <c r="M5" s="6">
        <f t="shared" si="4"/>
        <v>0.63157894736842102</v>
      </c>
    </row>
    <row r="6" spans="1:13" x14ac:dyDescent="0.25">
      <c r="A6" s="10" t="s">
        <v>19</v>
      </c>
      <c r="B6">
        <f>0.25-2*0.062</f>
        <v>0.126</v>
      </c>
      <c r="C6" t="s">
        <v>18</v>
      </c>
      <c r="E6" s="4">
        <v>2</v>
      </c>
      <c r="F6" s="5">
        <f t="shared" si="0"/>
        <v>68.453602056778138</v>
      </c>
      <c r="G6" s="6">
        <f>$B$11/(F6*$B$26)</f>
        <v>8.904867452644101E-2</v>
      </c>
      <c r="H6" s="7">
        <f t="shared" si="1"/>
        <v>0.89048674526441007</v>
      </c>
      <c r="I6" s="7">
        <f t="shared" si="2"/>
        <v>1.7809734905288201</v>
      </c>
      <c r="J6" s="5">
        <f>$B$31*F6*$B$10/($B$32*$B$22)</f>
        <v>3319.206115660998</v>
      </c>
      <c r="K6" s="8">
        <f t="shared" si="3"/>
        <v>4.1632120040838612E-2</v>
      </c>
      <c r="L6" s="6">
        <f>K6*$B$11*$B$31*$B$25*$B$20/(2*$B$10*$B$27)</f>
        <v>1.798297339414773</v>
      </c>
      <c r="M6" s="6">
        <f t="shared" si="4"/>
        <v>0.6</v>
      </c>
    </row>
    <row r="7" spans="1:13" x14ac:dyDescent="0.25">
      <c r="A7" s="10" t="s">
        <v>20</v>
      </c>
      <c r="B7">
        <f>0.125-2*0.047</f>
        <v>3.1E-2</v>
      </c>
      <c r="C7" t="s">
        <v>18</v>
      </c>
      <c r="E7" s="4">
        <v>2.1</v>
      </c>
      <c r="F7" s="5">
        <f t="shared" si="0"/>
        <v>71.876282159617048</v>
      </c>
      <c r="G7" s="6">
        <f>$B$11/(F7*$B$26)</f>
        <v>8.4808261453753336E-2</v>
      </c>
      <c r="H7" s="7">
        <f t="shared" si="1"/>
        <v>0.84808261453753331</v>
      </c>
      <c r="I7" s="7">
        <f t="shared" si="2"/>
        <v>1.6961652290750666</v>
      </c>
      <c r="J7" s="5">
        <f>$B$31*F7*$B$10/($B$32*$B$22)</f>
        <v>3485.1664214440475</v>
      </c>
      <c r="K7" s="8">
        <f t="shared" si="3"/>
        <v>4.1127395007846616E-2</v>
      </c>
      <c r="L7" s="6">
        <f>K7*$B$11*$B$31*$B$25*$B$20/(2*$B$10*$B$27)</f>
        <v>1.7764957669011656</v>
      </c>
      <c r="M7" s="6">
        <f t="shared" si="4"/>
        <v>0.5714285714285714</v>
      </c>
    </row>
    <row r="8" spans="1:13" x14ac:dyDescent="0.25">
      <c r="E8" s="4">
        <v>2.2000000000000002</v>
      </c>
      <c r="F8" s="5">
        <f t="shared" si="0"/>
        <v>75.298962262455959</v>
      </c>
      <c r="G8" s="6">
        <f>$B$11/(F8*$B$26)</f>
        <v>8.0953340478582742E-2</v>
      </c>
      <c r="H8" s="7">
        <f t="shared" si="1"/>
        <v>0.80953340478582747</v>
      </c>
      <c r="I8" s="7">
        <f t="shared" si="2"/>
        <v>1.6190668095716549</v>
      </c>
      <c r="J8" s="5">
        <f>$B$31*F8*$B$10/($B$32*$B$22)</f>
        <v>3651.126727227097</v>
      </c>
      <c r="K8" s="8">
        <f t="shared" si="3"/>
        <v>4.0651853875771964E-2</v>
      </c>
      <c r="L8" s="6">
        <f>K8*$B$11*$B$31*$B$25*$B$20/(2*$B$10*$B$27)</f>
        <v>1.7559547915255838</v>
      </c>
      <c r="M8" s="6">
        <f t="shared" si="4"/>
        <v>0.54545454545454541</v>
      </c>
    </row>
    <row r="9" spans="1:13" x14ac:dyDescent="0.25">
      <c r="A9" s="3" t="s">
        <v>21</v>
      </c>
      <c r="E9" s="4">
        <v>2.2999999999999998</v>
      </c>
      <c r="F9" s="5">
        <f t="shared" si="0"/>
        <v>78.721642365294855</v>
      </c>
      <c r="G9" s="6">
        <f>$B$11/(F9*$B$26)</f>
        <v>7.7433630022992195E-2</v>
      </c>
      <c r="H9" s="7">
        <f t="shared" si="1"/>
        <v>0.77433630022992195</v>
      </c>
      <c r="I9" s="7">
        <f t="shared" si="2"/>
        <v>1.5486726004598439</v>
      </c>
      <c r="J9" s="5">
        <f>$B$31*F9*$B$10/($B$32*$B$22)</f>
        <v>3817.0870330101475</v>
      </c>
      <c r="K9" s="8">
        <f t="shared" si="3"/>
        <v>4.0202593163982538E-2</v>
      </c>
      <c r="L9" s="6">
        <f>K9*$B$11*$B$31*$B$25*$B$20/(2*$B$10*$B$27)</f>
        <v>1.7365489975875856</v>
      </c>
      <c r="M9" s="6">
        <f t="shared" si="4"/>
        <v>0.52173913043478259</v>
      </c>
    </row>
    <row r="10" spans="1:13" x14ac:dyDescent="0.25">
      <c r="A10" t="s">
        <v>22</v>
      </c>
      <c r="B10" s="11">
        <v>3.1E-2</v>
      </c>
      <c r="C10" t="s">
        <v>18</v>
      </c>
      <c r="E10" s="4">
        <v>2.4</v>
      </c>
      <c r="F10" s="5">
        <f t="shared" si="0"/>
        <v>82.144322468133765</v>
      </c>
      <c r="G10" s="6">
        <f>$B$11/(F10*$B$26)</f>
        <v>7.4207228772034173E-2</v>
      </c>
      <c r="H10" s="7">
        <f t="shared" si="1"/>
        <v>0.74207228772034173</v>
      </c>
      <c r="I10" s="7">
        <f t="shared" si="2"/>
        <v>1.4841445754406835</v>
      </c>
      <c r="J10" s="5">
        <f>$B$31*F10*$B$10/($B$32*$B$22)</f>
        <v>3983.047338793197</v>
      </c>
      <c r="K10" s="8">
        <f t="shared" si="3"/>
        <v>3.9777109017206221E-2</v>
      </c>
      <c r="L10" s="6">
        <f>K10*$B$11*$B$31*$B$25*$B$20/(2*$B$10*$B$27)</f>
        <v>1.7181702311841345</v>
      </c>
      <c r="M10" s="6">
        <f t="shared" si="4"/>
        <v>0.5</v>
      </c>
    </row>
    <row r="11" spans="1:13" x14ac:dyDescent="0.25">
      <c r="A11" t="s">
        <v>23</v>
      </c>
      <c r="B11" s="12">
        <v>20</v>
      </c>
      <c r="C11" t="s">
        <v>24</v>
      </c>
      <c r="E11" s="4">
        <v>2.5</v>
      </c>
      <c r="F11" s="5">
        <f t="shared" si="0"/>
        <v>85.567002570972676</v>
      </c>
      <c r="G11" s="6">
        <f>$B$11/(F11*$B$26)</f>
        <v>7.1238939621152811E-2</v>
      </c>
      <c r="H11" s="7">
        <f t="shared" si="1"/>
        <v>0.71238939621152808</v>
      </c>
      <c r="I11" s="7">
        <f t="shared" si="2"/>
        <v>1.4247787924230562</v>
      </c>
      <c r="J11" s="5">
        <f>$B$31*F11*$B$10/($B$32*$B$22)</f>
        <v>4149.007644576247</v>
      </c>
      <c r="K11" s="8">
        <f t="shared" si="3"/>
        <v>3.9373228193636083E-2</v>
      </c>
      <c r="L11" s="6">
        <f>K11*$B$11*$B$31*$B$25*$B$20/(2*$B$10*$B$27)</f>
        <v>1.700724619244258</v>
      </c>
      <c r="M11" s="6">
        <f t="shared" si="4"/>
        <v>0.48</v>
      </c>
    </row>
    <row r="12" spans="1:13" x14ac:dyDescent="0.25">
      <c r="A12" t="s">
        <v>25</v>
      </c>
      <c r="B12" s="12">
        <v>92.3</v>
      </c>
      <c r="C12" t="s">
        <v>26</v>
      </c>
      <c r="E12" s="4">
        <v>2.6</v>
      </c>
      <c r="F12" s="5">
        <f t="shared" si="0"/>
        <v>88.989682673811572</v>
      </c>
      <c r="G12" s="6">
        <f>$B$11/(F12*$B$26)</f>
        <v>6.849898040495464E-2</v>
      </c>
      <c r="H12" s="7">
        <f t="shared" si="1"/>
        <v>0.68498980404954635</v>
      </c>
      <c r="I12" s="7">
        <f t="shared" si="2"/>
        <v>1.3699796080990927</v>
      </c>
      <c r="J12" s="5">
        <f>$B$31*F12*$B$10/($B$32*$B$22)</f>
        <v>4314.967950359297</v>
      </c>
      <c r="K12" s="8">
        <f t="shared" si="3"/>
        <v>3.8989053201482479E-2</v>
      </c>
      <c r="L12" s="6">
        <f>K12*$B$11*$B$31*$B$25*$B$20/(2*$B$10*$B$27)</f>
        <v>1.6841301997051659</v>
      </c>
      <c r="M12" s="6">
        <f t="shared" si="4"/>
        <v>0.46153846153846151</v>
      </c>
    </row>
    <row r="13" spans="1:13" x14ac:dyDescent="0.25">
      <c r="A13" t="s">
        <v>27</v>
      </c>
      <c r="B13" s="12">
        <v>59</v>
      </c>
      <c r="C13" t="s">
        <v>28</v>
      </c>
      <c r="E13" s="4">
        <v>2.7</v>
      </c>
      <c r="F13" s="5">
        <f t="shared" si="0"/>
        <v>92.412362776650482</v>
      </c>
      <c r="G13" s="6">
        <f>$B$11/(F13*$B$26)</f>
        <v>6.5961981130697039E-2</v>
      </c>
      <c r="H13" s="7">
        <f t="shared" si="1"/>
        <v>0.65961981130697045</v>
      </c>
      <c r="I13" s="7">
        <f t="shared" si="2"/>
        <v>1.3192396226139409</v>
      </c>
      <c r="J13" s="5">
        <f>$B$31*F13*$B$10/($B$32*$B$22)</f>
        <v>4480.9282561423461</v>
      </c>
      <c r="K13" s="8">
        <f t="shared" si="3"/>
        <v>3.8622918260317607E-2</v>
      </c>
      <c r="L13" s="6">
        <f>K13*$B$11*$B$31*$B$25*$B$20/(2*$B$10*$B$27)</f>
        <v>1.6683150192647342</v>
      </c>
      <c r="M13" s="6">
        <f t="shared" si="4"/>
        <v>0.44444444444444442</v>
      </c>
    </row>
    <row r="14" spans="1:13" x14ac:dyDescent="0.25">
      <c r="E14" s="4">
        <v>2.8</v>
      </c>
      <c r="F14" s="5">
        <f t="shared" si="0"/>
        <v>95.835042879489379</v>
      </c>
      <c r="G14" s="6">
        <f>$B$11/(F14*$B$26)</f>
        <v>6.3606196090315023E-2</v>
      </c>
      <c r="H14" s="7">
        <f t="shared" si="1"/>
        <v>0.63606196090315026</v>
      </c>
      <c r="I14" s="7">
        <f t="shared" si="2"/>
        <v>1.2721239218063005</v>
      </c>
      <c r="J14" s="5">
        <f>$B$31*F14*$B$10/($B$32*$B$22)</f>
        <v>4646.8885619253961</v>
      </c>
      <c r="K14" s="8">
        <f t="shared" si="3"/>
        <v>3.8273353636513498E-2</v>
      </c>
      <c r="L14" s="6">
        <f>K14*$B$11*$B$31*$B$25*$B$20/(2*$B$10*$B$27)</f>
        <v>1.6532155928525358</v>
      </c>
      <c r="M14" s="6">
        <f t="shared" si="4"/>
        <v>0.4285714285714286</v>
      </c>
    </row>
    <row r="15" spans="1:13" x14ac:dyDescent="0.25">
      <c r="A15" s="3" t="s">
        <v>29</v>
      </c>
      <c r="E15" s="4">
        <v>2.9</v>
      </c>
      <c r="F15" s="5">
        <f t="shared" si="0"/>
        <v>99.257722982328303</v>
      </c>
      <c r="G15" s="6">
        <f>$B$11/(F15*$B$26)</f>
        <v>6.1412878983752424E-2</v>
      </c>
      <c r="H15" s="7">
        <f t="shared" si="1"/>
        <v>0.61412878983752417</v>
      </c>
      <c r="I15" s="7">
        <f t="shared" si="2"/>
        <v>1.2282575796750483</v>
      </c>
      <c r="J15" s="5">
        <f>$B$31*F15*$B$10/($B$32*$B$22)</f>
        <v>4812.848867708447</v>
      </c>
      <c r="K15" s="8">
        <f t="shared" si="3"/>
        <v>3.7939056523227585E-2</v>
      </c>
      <c r="L15" s="6">
        <f>K15*$B$11*$B$31*$B$25*$B$20/(2*$B$10*$B$27)</f>
        <v>1.638775645792276</v>
      </c>
      <c r="M15" s="6">
        <f t="shared" si="4"/>
        <v>0.41379310344827586</v>
      </c>
    </row>
    <row r="16" spans="1:13" x14ac:dyDescent="0.25">
      <c r="A16" t="s">
        <v>30</v>
      </c>
      <c r="B16" s="13">
        <v>287.05799999999999</v>
      </c>
      <c r="C16" t="s">
        <v>31</v>
      </c>
      <c r="E16" s="4">
        <v>3</v>
      </c>
      <c r="F16" s="5">
        <f t="shared" si="0"/>
        <v>102.6804030851672</v>
      </c>
      <c r="G16" s="6">
        <f>$B$11/(F16*$B$26)</f>
        <v>5.9365783017627342E-2</v>
      </c>
      <c r="H16" s="7">
        <f t="shared" si="1"/>
        <v>0.59365783017627338</v>
      </c>
      <c r="I16" s="7">
        <f t="shared" si="2"/>
        <v>1.1873156603525468</v>
      </c>
      <c r="J16" s="5">
        <f>$B$31*F16*$B$10/($B$32*$B$22)</f>
        <v>4978.809173491496</v>
      </c>
      <c r="K16" s="8">
        <f t="shared" si="3"/>
        <v>3.7618867083427356E-2</v>
      </c>
      <c r="L16" s="6">
        <f>K16*$B$11*$B$31*$B$25*$B$20/(2*$B$10*$B$27)</f>
        <v>1.6249450789814421</v>
      </c>
      <c r="M16" s="6">
        <f t="shared" si="4"/>
        <v>0.39999999999999997</v>
      </c>
    </row>
    <row r="17" spans="1:13" x14ac:dyDescent="0.25">
      <c r="A17" t="s">
        <v>32</v>
      </c>
      <c r="B17">
        <v>120</v>
      </c>
      <c r="C17" t="s">
        <v>33</v>
      </c>
      <c r="E17" s="4">
        <v>3.1</v>
      </c>
      <c r="F17" s="5">
        <f t="shared" si="0"/>
        <v>106.10308318800611</v>
      </c>
      <c r="G17" s="6">
        <f>$B$11/(F17*$B$26)</f>
        <v>5.7450757758994206E-2</v>
      </c>
      <c r="H17" s="7">
        <f t="shared" si="1"/>
        <v>0.57450757758994209</v>
      </c>
      <c r="I17" s="7">
        <f t="shared" si="2"/>
        <v>1.1490151551798842</v>
      </c>
      <c r="J17" s="5">
        <f>$B$31*F17*$B$10/($B$32*$B$22)</f>
        <v>5144.769479274546</v>
      </c>
      <c r="K17" s="8">
        <f t="shared" si="3"/>
        <v>3.7311748601703269E-2</v>
      </c>
      <c r="L17" s="6">
        <f>K17*$B$11*$B$31*$B$25*$B$20/(2*$B$10*$B$27)</f>
        <v>1.6116791115498594</v>
      </c>
      <c r="M17" s="6">
        <f t="shared" si="4"/>
        <v>0.38709677419354838</v>
      </c>
    </row>
    <row r="18" spans="1:13" x14ac:dyDescent="0.25">
      <c r="A18" t="s">
        <v>34</v>
      </c>
      <c r="B18">
        <v>1.512041288</v>
      </c>
      <c r="C18" s="14" t="s">
        <v>35</v>
      </c>
      <c r="E18" s="4">
        <v>3.2</v>
      </c>
      <c r="F18" s="5">
        <f t="shared" si="0"/>
        <v>109.52576329084502</v>
      </c>
      <c r="G18" s="6">
        <f>$B$11/(F18*$B$26)</f>
        <v>5.5655421579025637E-2</v>
      </c>
      <c r="H18" s="7">
        <f t="shared" si="1"/>
        <v>0.55655421579025632</v>
      </c>
      <c r="I18" s="7">
        <f t="shared" si="2"/>
        <v>1.1131084315805126</v>
      </c>
      <c r="J18" s="5">
        <f>$B$31*F18*$B$10/($B$32*$B$22)</f>
        <v>5310.729785057596</v>
      </c>
      <c r="K18" s="8">
        <f t="shared" si="3"/>
        <v>3.7016770932446055E-2</v>
      </c>
      <c r="L18" s="6">
        <f>K18*$B$11*$B$31*$B$25*$B$20/(2*$B$10*$B$27)</f>
        <v>1.5989375659045337</v>
      </c>
      <c r="M18" s="6">
        <f t="shared" si="4"/>
        <v>0.37499999999999994</v>
      </c>
    </row>
    <row r="19" spans="1:13" x14ac:dyDescent="0.25">
      <c r="A19" t="s">
        <v>36</v>
      </c>
      <c r="B19">
        <v>0.52800000000000002</v>
      </c>
      <c r="C19" s="14"/>
      <c r="E19" s="4">
        <v>3.3</v>
      </c>
      <c r="F19" s="5">
        <f t="shared" si="0"/>
        <v>112.94844339368392</v>
      </c>
      <c r="G19" s="6">
        <f>$B$11/(F19*$B$26)</f>
        <v>5.3968893652388494E-2</v>
      </c>
      <c r="H19" s="7">
        <f t="shared" si="1"/>
        <v>0.53968893652388494</v>
      </c>
      <c r="I19" s="7">
        <f t="shared" si="2"/>
        <v>1.0793778730477699</v>
      </c>
      <c r="J19" s="5">
        <f>$B$31*F19*$B$10/($B$32*$B$22)</f>
        <v>5476.690090840646</v>
      </c>
      <c r="K19" s="8">
        <f t="shared" si="3"/>
        <v>3.6733096612602163E-2</v>
      </c>
      <c r="L19" s="6">
        <f>K19*$B$11*$B$31*$B$25*$B$20/(2*$B$10*$B$27)</f>
        <v>1.5866842678708242</v>
      </c>
      <c r="M19" s="6">
        <f t="shared" si="4"/>
        <v>0.36363636363636365</v>
      </c>
    </row>
    <row r="20" spans="1:13" x14ac:dyDescent="0.25">
      <c r="A20" t="s">
        <v>37</v>
      </c>
      <c r="B20">
        <v>10</v>
      </c>
      <c r="C20" t="s">
        <v>38</v>
      </c>
      <c r="E20" s="4">
        <v>3.4</v>
      </c>
      <c r="F20" s="5">
        <f t="shared" si="0"/>
        <v>116.37112349652283</v>
      </c>
      <c r="G20" s="6">
        <f>$B$11/(F20*$B$26)</f>
        <v>5.2381573250847663E-2</v>
      </c>
      <c r="H20" s="7">
        <f t="shared" si="1"/>
        <v>0.52381573250847668</v>
      </c>
      <c r="I20" s="7">
        <f t="shared" si="2"/>
        <v>1.0476314650169534</v>
      </c>
      <c r="J20" s="5">
        <f>$B$31*F20*$B$10/($B$32*$B$22)</f>
        <v>5642.6503966236951</v>
      </c>
      <c r="K20" s="8">
        <f t="shared" si="3"/>
        <v>3.6459969143513141E-2</v>
      </c>
      <c r="L20" s="6">
        <f>K20*$B$11*$B$31*$B$25*$B$20/(2*$B$10*$B$27)</f>
        <v>1.5748865405270789</v>
      </c>
      <c r="M20" s="6">
        <f t="shared" si="4"/>
        <v>0.35294117647058826</v>
      </c>
    </row>
    <row r="21" spans="1:13" x14ac:dyDescent="0.25">
      <c r="A21" t="s">
        <v>39</v>
      </c>
      <c r="B21">
        <v>68.94</v>
      </c>
      <c r="C21" t="s">
        <v>38</v>
      </c>
      <c r="E21" s="4">
        <v>3.5</v>
      </c>
      <c r="F21" s="5">
        <f t="shared" si="0"/>
        <v>119.79380359936174</v>
      </c>
      <c r="G21" s="6">
        <f>$B$11/(F21*$B$26)</f>
        <v>5.0884956872252009E-2</v>
      </c>
      <c r="H21" s="7">
        <f t="shared" si="1"/>
        <v>0.50884956872252007</v>
      </c>
      <c r="I21" s="7">
        <f t="shared" si="2"/>
        <v>1.0176991374450401</v>
      </c>
      <c r="J21" s="5">
        <f>$B$31*F21*$B$10/($B$32*$B$22)</f>
        <v>5808.6107024067451</v>
      </c>
      <c r="K21" s="8">
        <f t="shared" si="3"/>
        <v>3.6196703050143823E-2</v>
      </c>
      <c r="L21" s="6">
        <f>K21*$B$11*$B$31*$B$25*$B$20/(2*$B$10*$B$27)</f>
        <v>1.5635147748134965</v>
      </c>
      <c r="M21" s="6">
        <f t="shared" si="4"/>
        <v>0.34285714285714286</v>
      </c>
    </row>
    <row r="22" spans="1:13" x14ac:dyDescent="0.25">
      <c r="A22" t="s">
        <v>40</v>
      </c>
      <c r="B22">
        <v>39.369999999999997</v>
      </c>
      <c r="C22" s="14" t="s">
        <v>38</v>
      </c>
    </row>
    <row r="23" spans="1:13" x14ac:dyDescent="0.25">
      <c r="A23" t="s">
        <v>41</v>
      </c>
      <c r="B23">
        <v>60</v>
      </c>
      <c r="C23" s="14" t="s">
        <v>38</v>
      </c>
    </row>
    <row r="24" spans="1:13" x14ac:dyDescent="0.25">
      <c r="A24" t="s">
        <v>42</v>
      </c>
      <c r="B24">
        <v>1000</v>
      </c>
      <c r="C24" s="14" t="s">
        <v>38</v>
      </c>
    </row>
    <row r="25" spans="1:13" x14ac:dyDescent="0.25">
      <c r="A25" t="s">
        <v>43</v>
      </c>
      <c r="B25">
        <v>12</v>
      </c>
      <c r="C25" s="14" t="s">
        <v>38</v>
      </c>
    </row>
    <row r="26" spans="1:13" x14ac:dyDescent="0.25">
      <c r="A26" t="s">
        <v>44</v>
      </c>
      <c r="B26">
        <v>3.2810000000000001</v>
      </c>
      <c r="C26" s="14" t="s">
        <v>38</v>
      </c>
    </row>
    <row r="27" spans="1:13" x14ac:dyDescent="0.25">
      <c r="A27" t="s">
        <v>45</v>
      </c>
      <c r="B27">
        <v>1000</v>
      </c>
      <c r="C27" s="14" t="s">
        <v>38</v>
      </c>
    </row>
    <row r="29" spans="1:13" x14ac:dyDescent="0.25">
      <c r="A29" s="3" t="s">
        <v>46</v>
      </c>
      <c r="C29" s="14"/>
    </row>
    <row r="30" spans="1:13" x14ac:dyDescent="0.25">
      <c r="A30" t="s">
        <v>27</v>
      </c>
      <c r="B30" s="15">
        <f>(B13-32)*5/9</f>
        <v>15</v>
      </c>
      <c r="C30" t="s">
        <v>47</v>
      </c>
    </row>
    <row r="31" spans="1:13" x14ac:dyDescent="0.25">
      <c r="A31" t="s">
        <v>48</v>
      </c>
      <c r="B31" s="16">
        <f>1000*B12/(B16*(B30+273.15))</f>
        <v>1.1158695390957207</v>
      </c>
      <c r="C31" t="s">
        <v>49</v>
      </c>
    </row>
    <row r="32" spans="1:13" x14ac:dyDescent="0.25">
      <c r="A32" t="s">
        <v>50</v>
      </c>
      <c r="B32" s="17">
        <f>B18*(B30+273.15)^1.5/((B30+273.15+B17)*10^6)</f>
        <v>1.8120567102806564E-5</v>
      </c>
      <c r="C32" t="s">
        <v>51</v>
      </c>
    </row>
    <row r="33" spans="1:3" x14ac:dyDescent="0.25">
      <c r="A33" t="s">
        <v>52</v>
      </c>
      <c r="B33" s="18">
        <f>PI()*(B10/2)^2</f>
        <v>7.5476763502494771E-4</v>
      </c>
      <c r="C33" t="s">
        <v>53</v>
      </c>
    </row>
    <row r="34" spans="1:3" x14ac:dyDescent="0.25">
      <c r="A34" t="s">
        <v>54</v>
      </c>
      <c r="B34" s="15">
        <f>$B$12*$B$19</f>
        <v>48.734400000000001</v>
      </c>
      <c r="C34" t="s">
        <v>26</v>
      </c>
    </row>
    <row r="35" spans="1:3" x14ac:dyDescent="0.25">
      <c r="A35" s="19" t="s">
        <v>55</v>
      </c>
      <c r="B35" s="20">
        <f>($B$12-$B$34)*$B$20</f>
        <v>435.65599999999995</v>
      </c>
      <c r="C35" t="s">
        <v>56</v>
      </c>
    </row>
    <row r="36" spans="1:3" x14ac:dyDescent="0.25">
      <c r="A36" t="s">
        <v>57</v>
      </c>
      <c r="B36" s="20">
        <f>-1*$B$3*$B$21-AVERAGE(L3:L21)</f>
        <v>-642.83841799298114</v>
      </c>
      <c r="C36" t="s">
        <v>56</v>
      </c>
    </row>
  </sheetData>
  <mergeCells count="1">
    <mergeCell ref="H1:I1"/>
  </mergeCells>
  <conditionalFormatting sqref="J3:J21">
    <cfRule type="cellIs" dxfId="0" priority="2" operator="lessThan">
      <formula>4100</formula>
    </cfRule>
  </conditionalFormatting>
  <pageMargins left="0.7" right="0.7" top="0.75" bottom="0.75" header="0.51180555555555496" footer="0.51180555555555496"/>
  <pageSetup scale="75" firstPageNumber="0" orientation="portrait" horizontalDpi="4294967293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Flow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O'Keeffe</dc:creator>
  <cp:lastModifiedBy>Patrick O'Keeffe</cp:lastModifiedBy>
  <cp:revision>0</cp:revision>
  <cp:lastPrinted>2014-09-11T03:48:28Z</cp:lastPrinted>
  <dcterms:created xsi:type="dcterms:W3CDTF">2014-06-27T22:34:22Z</dcterms:created>
  <dcterms:modified xsi:type="dcterms:W3CDTF">2014-09-12T20:13:50Z</dcterms:modified>
  <dc:language>en-US</dc:language>
</cp:coreProperties>
</file>