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666" activeTab="4"/>
  </bookViews>
  <sheets>
    <sheet name="Conditions" sheetId="5" r:id="rId1"/>
    <sheet name="Canisters" sheetId="4" r:id="rId2"/>
    <sheet name="Flow" sheetId="3" r:id="rId3"/>
    <sheet name="Consumption" sheetId="1" r:id="rId4"/>
    <sheet name="PV system" sheetId="2" r:id="rId5"/>
  </sheets>
  <calcPr calcId="152511"/>
</workbook>
</file>

<file path=xl/calcChain.xml><?xml version="1.0" encoding="utf-8"?>
<calcChain xmlns="http://schemas.openxmlformats.org/spreadsheetml/2006/main">
  <c r="B8" i="2" l="1"/>
  <c r="H14" i="1"/>
  <c r="H13" i="1"/>
  <c r="A4" i="3"/>
  <c r="B4" i="3"/>
  <c r="B22" i="3" s="1"/>
  <c r="B23" i="3" s="1"/>
  <c r="C4" i="3"/>
  <c r="B3" i="3"/>
  <c r="C3" i="3"/>
  <c r="A3" i="3"/>
  <c r="A4" i="4"/>
  <c r="B4" i="4"/>
  <c r="B14" i="4" s="1"/>
  <c r="C4" i="4"/>
  <c r="B3" i="4"/>
  <c r="C3" i="4"/>
  <c r="A3" i="4"/>
  <c r="B15" i="4" l="1"/>
  <c r="B16" i="4" s="1"/>
  <c r="M3" i="3"/>
  <c r="M4" i="3"/>
  <c r="B9" i="3"/>
  <c r="M5" i="3"/>
  <c r="B10" i="3"/>
  <c r="M6" i="3"/>
  <c r="B1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B18" i="3"/>
  <c r="B19" i="3" s="1"/>
  <c r="B21" i="3"/>
  <c r="F3" i="3" s="1"/>
  <c r="G3" i="3" s="1"/>
  <c r="F21" i="3" l="1"/>
  <c r="G21" i="3" s="1"/>
  <c r="I21" i="3" s="1"/>
  <c r="F18" i="3"/>
  <c r="G18" i="3" s="1"/>
  <c r="F17" i="3"/>
  <c r="G17" i="3" s="1"/>
  <c r="I17" i="3" s="1"/>
  <c r="F14" i="3"/>
  <c r="G14" i="3" s="1"/>
  <c r="F13" i="3"/>
  <c r="G13" i="3" s="1"/>
  <c r="I13" i="3" s="1"/>
  <c r="F5" i="3"/>
  <c r="G5" i="3" s="1"/>
  <c r="H5" i="3" s="1"/>
  <c r="B20" i="3"/>
  <c r="J17" i="3" s="1"/>
  <c r="K17" i="3" s="1"/>
  <c r="L17" i="3" s="1"/>
  <c r="F20" i="3"/>
  <c r="G20" i="3" s="1"/>
  <c r="F19" i="3"/>
  <c r="G19" i="3" s="1"/>
  <c r="I19" i="3" s="1"/>
  <c r="F16" i="3"/>
  <c r="G16" i="3" s="1"/>
  <c r="F15" i="3"/>
  <c r="G15" i="3" s="1"/>
  <c r="I15" i="3" s="1"/>
  <c r="F12" i="3"/>
  <c r="G12" i="3" s="1"/>
  <c r="F11" i="3"/>
  <c r="G11" i="3" s="1"/>
  <c r="I11" i="3" s="1"/>
  <c r="F10" i="3"/>
  <c r="G10" i="3" s="1"/>
  <c r="I10" i="3" s="1"/>
  <c r="F9" i="3"/>
  <c r="G9" i="3" s="1"/>
  <c r="H9" i="3" s="1"/>
  <c r="F8" i="3"/>
  <c r="G8" i="3" s="1"/>
  <c r="I8" i="3" s="1"/>
  <c r="F7" i="3"/>
  <c r="G7" i="3" s="1"/>
  <c r="I7" i="3" s="1"/>
  <c r="B17" i="4"/>
  <c r="J21" i="3"/>
  <c r="K21" i="3" s="1"/>
  <c r="L21" i="3" s="1"/>
  <c r="H3" i="3"/>
  <c r="I3" i="3"/>
  <c r="J3" i="3"/>
  <c r="K3" i="3" s="1"/>
  <c r="L3" i="3" s="1"/>
  <c r="H19" i="3"/>
  <c r="H15" i="3"/>
  <c r="H11" i="3"/>
  <c r="H10" i="3"/>
  <c r="I9" i="3"/>
  <c r="H8" i="3"/>
  <c r="H7" i="3"/>
  <c r="F6" i="3"/>
  <c r="G6" i="3" s="1"/>
  <c r="F4" i="3"/>
  <c r="G4" i="3" s="1"/>
  <c r="J13" i="3" l="1"/>
  <c r="K13" i="3" s="1"/>
  <c r="L13" i="3" s="1"/>
  <c r="I5" i="3"/>
  <c r="J9" i="3"/>
  <c r="K9" i="3" s="1"/>
  <c r="L9" i="3" s="1"/>
  <c r="H13" i="3"/>
  <c r="H17" i="3"/>
  <c r="H21" i="3"/>
  <c r="J7" i="3"/>
  <c r="K7" i="3" s="1"/>
  <c r="L7" i="3" s="1"/>
  <c r="J15" i="3"/>
  <c r="K15" i="3" s="1"/>
  <c r="L15" i="3" s="1"/>
  <c r="J19" i="3"/>
  <c r="K19" i="3" s="1"/>
  <c r="L19" i="3" s="1"/>
  <c r="J12" i="3"/>
  <c r="K12" i="3" s="1"/>
  <c r="L12" i="3" s="1"/>
  <c r="J14" i="3"/>
  <c r="K14" i="3" s="1"/>
  <c r="L14" i="3" s="1"/>
  <c r="J16" i="3"/>
  <c r="K16" i="3" s="1"/>
  <c r="L16" i="3" s="1"/>
  <c r="J18" i="3"/>
  <c r="K18" i="3" s="1"/>
  <c r="L18" i="3" s="1"/>
  <c r="J20" i="3"/>
  <c r="K20" i="3" s="1"/>
  <c r="L20" i="3" s="1"/>
  <c r="J10" i="3"/>
  <c r="K10" i="3" s="1"/>
  <c r="L10" i="3" s="1"/>
  <c r="J8" i="3"/>
  <c r="K8" i="3" s="1"/>
  <c r="L8" i="3" s="1"/>
  <c r="J5" i="3"/>
  <c r="K5" i="3" s="1"/>
  <c r="L5" i="3" s="1"/>
  <c r="I12" i="3"/>
  <c r="H12" i="3"/>
  <c r="I16" i="3"/>
  <c r="H16" i="3"/>
  <c r="I20" i="3"/>
  <c r="H20" i="3"/>
  <c r="I14" i="3"/>
  <c r="H14" i="3"/>
  <c r="I18" i="3"/>
  <c r="H18" i="3"/>
  <c r="J6" i="3"/>
  <c r="K6" i="3" s="1"/>
  <c r="L6" i="3" s="1"/>
  <c r="J11" i="3"/>
  <c r="K11" i="3" s="1"/>
  <c r="L11" i="3" s="1"/>
  <c r="H4" i="3"/>
  <c r="I4" i="3"/>
  <c r="H6" i="3"/>
  <c r="I6" i="3"/>
  <c r="J4" i="3"/>
  <c r="K4" i="3" s="1"/>
  <c r="L4" i="3" s="1"/>
  <c r="B24" i="3" l="1"/>
  <c r="B36" i="2"/>
  <c r="F24" i="2"/>
  <c r="F17" i="2"/>
  <c r="G14" i="1"/>
  <c r="I14" i="1" s="1"/>
  <c r="G16" i="1"/>
  <c r="I16" i="1" s="1"/>
  <c r="G15" i="1"/>
  <c r="I15" i="1" s="1"/>
  <c r="G13" i="1"/>
  <c r="I13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I1" i="1"/>
  <c r="B1" i="2" s="1"/>
  <c r="G5" i="1"/>
  <c r="I5" i="1" s="1"/>
  <c r="I2" i="1"/>
  <c r="B3" i="2" s="1"/>
  <c r="B4" i="2" s="1"/>
  <c r="B9" i="2" l="1"/>
  <c r="B2" i="2"/>
  <c r="B22" i="2" l="1"/>
  <c r="B23" i="2" s="1"/>
  <c r="B24" i="2" s="1"/>
  <c r="B29" i="2"/>
  <c r="B30" i="2" s="1"/>
  <c r="B31" i="2" s="1"/>
  <c r="E28" i="2" s="1"/>
  <c r="B17" i="2"/>
  <c r="F18" i="2" s="1"/>
</calcChain>
</file>

<file path=xl/comments1.xml><?xml version="1.0" encoding="utf-8"?>
<comments xmlns="http://schemas.openxmlformats.org/spreadsheetml/2006/main">
  <authors>
    <author>Patrick O'Keeffe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1976 Standard Atmosphere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A7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Orifice flow under choked conditions at 70ºF, 14.7psia (mnfctr STP).</t>
        </r>
      </text>
    </comment>
    <comment ref="A9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Canister final pressure must be less than 52.8% of barometric pressure to maintain choked flow; specify additional safety margin. Example: 10% = final pressure is 42.8% of barometric.</t>
        </r>
      </text>
    </comment>
    <comment ref="A10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Fraction of standard deviation of vertical wind speed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Duration of time spent sampling each day. This affects canister fill time and power consumption.</t>
        </r>
      </text>
    </comment>
    <comment ref="A15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Assuming vertical wind speed is normally distributed. (Quality of assumption unknown)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Assuming equal time sampling into each canister. (Fairly realistic)</t>
        </r>
      </text>
    </comment>
  </commentList>
</comments>
</file>

<file path=xl/comments3.xml><?xml version="1.0" encoding="utf-8"?>
<comments xmlns="http://schemas.openxmlformats.org/spreadsheetml/2006/main">
  <authors>
    <author/>
    <author>Patrick O'Keeffe</author>
  </authors>
  <commentList>
    <comment ref="G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L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Variance in flow rate through flush line due to variable presence of flow through orifices</t>
        </r>
      </text>
    </comment>
    <comment ref="A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at full scale (50 sLpm) flow venting to atmosphere (mnfctr specs)</t>
        </r>
      </text>
    </comment>
    <comment ref="B7" authorId="1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Measured pressure drop across orifice+3-way valve as 19 in Hg = 9.3 psi</t>
        </r>
      </text>
    </comment>
    <comment ref="A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/>
            <sz val="8"/>
            <color rgb="FF000000"/>
            <rFont val="Tahoma"/>
            <family val="2"/>
            <charset val="1"/>
          </rPr>
          <t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2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absolute pressure downstream of orifice resulting in choked flow</t>
        </r>
      </text>
    </comment>
    <comment ref="A2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Minimum pressure drop across orifice to achieve choked flow</t>
        </r>
      </text>
    </comment>
    <comment ref="A2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Vacuum level resulting from pressure drop across mass flow controller and wall friction</t>
        </r>
      </text>
    </comment>
    <comment ref="B2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Use this value when evaluating pumps</t>
        </r>
      </text>
    </comment>
    <comment ref="A3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</commentList>
</comments>
</file>

<file path=xl/comments4.xml><?xml version="1.0" encoding="utf-8"?>
<comments xmlns="http://schemas.openxmlformats.org/spreadsheetml/2006/main">
  <authors>
    <author>Patrick O'Keeffe</author>
  </authors>
  <commentList>
    <comment ref="H13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Equals fraction sampling time per canister from "Canisters" spreadsheet.</t>
        </r>
      </text>
    </comment>
  </commentList>
</comments>
</file>

<file path=xl/comments5.xml><?xml version="1.0" encoding="utf-8"?>
<comments xmlns="http://schemas.openxmlformats.org/spreadsheetml/2006/main">
  <authors>
    <author>Patrick O'Keeffe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Specified on "Canisters" worksheet.</t>
        </r>
      </text>
    </comment>
    <comment ref="F14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Choices: 6, 12</t>
        </r>
      </text>
    </comment>
    <comment ref="A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Permitted drain level of batteries; typical 20%, maximum 50%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Lower discharge depths result in longer battery life. Do not use &gt;50%!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Select based on minimum ambient temperature.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Compare to battery bank size (B17)</t>
        </r>
      </text>
    </comment>
  </commentList>
</comments>
</file>

<file path=xl/sharedStrings.xml><?xml version="1.0" encoding="utf-8"?>
<sst xmlns="http://schemas.openxmlformats.org/spreadsheetml/2006/main" count="233" uniqueCount="189">
  <si>
    <t>Running power</t>
  </si>
  <si>
    <t>W</t>
  </si>
  <si>
    <t>Standby power</t>
  </si>
  <si>
    <t>Component</t>
  </si>
  <si>
    <t>Model (Make)</t>
  </si>
  <si>
    <t>Rating description</t>
  </si>
  <si>
    <t>Qnty</t>
  </si>
  <si>
    <t>Volts</t>
  </si>
  <si>
    <t>Amps</t>
  </si>
  <si>
    <t>Power, W</t>
  </si>
  <si>
    <t>Total, W</t>
  </si>
  <si>
    <t>Datalogger</t>
  </si>
  <si>
    <t>CR3000</t>
  </si>
  <si>
    <t>10-16Vdc; current depends</t>
  </si>
  <si>
    <t>Core devices</t>
  </si>
  <si>
    <t>Datalogger ethernet module</t>
  </si>
  <si>
    <t>NL115</t>
  </si>
  <si>
    <t>depends; worst case: 43 mA @ 12Vdc</t>
  </si>
  <si>
    <t>GPS receiver</t>
  </si>
  <si>
    <t>GPS16x-HVS</t>
  </si>
  <si>
    <t>8-40Vdc @ 65mA</t>
  </si>
  <si>
    <t>Pressure sensor</t>
  </si>
  <si>
    <t>PX409-030A5V</t>
  </si>
  <si>
    <t>10-30Vdc @ 10mA</t>
  </si>
  <si>
    <t>Solar regulator</t>
  </si>
  <si>
    <t>SunSaver</t>
  </si>
  <si>
    <t>per CSI tech note: 6-10 mA continuously</t>
  </si>
  <si>
    <t>Sonic anemometer</t>
  </si>
  <si>
    <t>81000VRE</t>
  </si>
  <si>
    <t>12-24Vdc @ 110mA max</t>
  </si>
  <si>
    <t>Temp/RH sensor</t>
  </si>
  <si>
    <t>HMP155A</t>
  </si>
  <si>
    <t>7-28Vdc @ &lt;=3mA</t>
  </si>
  <si>
    <t>Fast-acting valve</t>
  </si>
  <si>
    <t>(Parker)</t>
  </si>
  <si>
    <t>12Vdc @ 1000mA</t>
  </si>
  <si>
    <t>Off in stand-by</t>
  </si>
  <si>
    <t>Mass flow controller</t>
  </si>
  <si>
    <t>MC-20SLPM-D</t>
  </si>
  <si>
    <t>12-30Vdc @ 250mA</t>
  </si>
  <si>
    <t>Pump</t>
  </si>
  <si>
    <t>KNF</t>
  </si>
  <si>
    <t>12Vdc @ 5.2A</t>
  </si>
  <si>
    <t>Valve control relay</t>
  </si>
  <si>
    <t>ODC5</t>
  </si>
  <si>
    <t>12mA @ nominal logic voltage (1mA off-state leakage)</t>
  </si>
  <si>
    <t>Max consumption</t>
  </si>
  <si>
    <t>Temp. derating multiplier [1]</t>
  </si>
  <si>
    <t>Reference</t>
  </si>
  <si>
    <t>Degrees</t>
  </si>
  <si>
    <t>sun hours/day</t>
  </si>
  <si>
    <t>Standby consumption</t>
  </si>
  <si>
    <t>F</t>
  </si>
  <si>
    <t>C</t>
  </si>
  <si>
    <t>Multiplier</t>
  </si>
  <si>
    <t>Location</t>
  </si>
  <si>
    <t>annual mean</t>
  </si>
  <si>
    <t>winter</t>
  </si>
  <si>
    <t>Pullman, WA</t>
  </si>
  <si>
    <t>[5, 6], [4]</t>
  </si>
  <si>
    <t>Operating conditions</t>
  </si>
  <si>
    <t>Running hours of pump per day</t>
  </si>
  <si>
    <t>hr/day</t>
  </si>
  <si>
    <t>Watt hours needed per day</t>
  </si>
  <si>
    <t>W*hr/day</t>
  </si>
  <si>
    <t>Battery bank requirement [1,2]</t>
  </si>
  <si>
    <t>Selected battery characteristics</t>
  </si>
  <si>
    <t>Battery bank voltage</t>
  </si>
  <si>
    <t>V</t>
  </si>
  <si>
    <t>Type</t>
  </si>
  <si>
    <t>Surrette S-550</t>
  </si>
  <si>
    <t>Days without sun</t>
  </si>
  <si>
    <t>days</t>
  </si>
  <si>
    <t>Voltage</t>
  </si>
  <si>
    <t>Depth of discharge</t>
  </si>
  <si>
    <t>Amp-hour</t>
  </si>
  <si>
    <t>Ahr</t>
  </si>
  <si>
    <t>Temperature multiplier</t>
  </si>
  <si>
    <t>Number of</t>
  </si>
  <si>
    <t>batteries</t>
  </si>
  <si>
    <t>Battery bank size</t>
  </si>
  <si>
    <t>A*hr</t>
  </si>
  <si>
    <t>Total reserve</t>
  </si>
  <si>
    <t>Req'd #</t>
  </si>
  <si>
    <t>Solar array sizing (annual mean) [2]</t>
  </si>
  <si>
    <t>Selected PV panel characteristics</t>
  </si>
  <si>
    <t>Sun hours per day</t>
  </si>
  <si>
    <t>Astronergy</t>
  </si>
  <si>
    <t>Generation requirement</t>
  </si>
  <si>
    <t>W/hr</t>
  </si>
  <si>
    <t>Current</t>
  </si>
  <si>
    <t>Required # of solar panels</t>
  </si>
  <si>
    <t>panels</t>
  </si>
  <si>
    <t>Max amperage to PV controller</t>
  </si>
  <si>
    <t>Power</t>
  </si>
  <si>
    <t>Watts</t>
  </si>
  <si>
    <t>Solar array sizing (winter worst-case) [2]</t>
  </si>
  <si>
    <t>Charge controller min. amperage</t>
  </si>
  <si>
    <t>Amps in</t>
  </si>
  <si>
    <t>Wire size requirements [3]</t>
  </si>
  <si>
    <t>Max voltage across wire</t>
  </si>
  <si>
    <r>
      <t xml:space="preserve">[1] </t>
    </r>
    <r>
      <rPr>
        <sz val="10"/>
        <color rgb="FF0000FF"/>
        <rFont val="Arial"/>
        <family val="2"/>
      </rPr>
      <t>http://rimstar.org/renewnrg/sizing_select_batteries_for_off_grid_solar_system.htm</t>
    </r>
  </si>
  <si>
    <r>
      <t xml:space="preserve">[2] </t>
    </r>
    <r>
      <rPr>
        <sz val="10"/>
        <color rgb="FF0000FF"/>
        <rFont val="Arial"/>
        <family val="2"/>
      </rPr>
      <t>http://pdf.wholesalesolar.com/Download%20folder/System_Worksheet.pdf</t>
    </r>
  </si>
  <si>
    <r>
      <t xml:space="preserve">[3] </t>
    </r>
    <r>
      <rPr>
        <sz val="10"/>
        <color rgb="FF0000FF"/>
        <rFont val="Arial"/>
        <family val="2"/>
      </rPr>
      <t>http://rimstar.org/renewnrg/solar_voltage_drop_table_calculator_wire_sizing_for_dc.htm</t>
    </r>
  </si>
  <si>
    <r>
      <t xml:space="preserve">[4] </t>
    </r>
    <r>
      <rPr>
        <sz val="10"/>
        <color rgb="FF0000FF"/>
        <rFont val="Arial"/>
        <family val="2"/>
      </rPr>
      <t>http://pvwatts.nrel.gov/pvwatts.php</t>
    </r>
  </si>
  <si>
    <r>
      <t xml:space="preserve">[5] </t>
    </r>
    <r>
      <rPr>
        <sz val="10"/>
        <color rgb="FF0000FF"/>
        <rFont val="Arial"/>
        <family val="2"/>
      </rPr>
      <t>http://www.ecy.wa.gov/climatechange/maps/solar/solar_state.pdf</t>
    </r>
  </si>
  <si>
    <r>
      <t xml:space="preserve">[6] </t>
    </r>
    <r>
      <rPr>
        <sz val="10"/>
        <color rgb="FF0000FF"/>
        <rFont val="Arial"/>
        <family val="2"/>
      </rPr>
      <t>http://www.nrel.gov/gis/images/map_pv_national_hi-res_200.jpg</t>
    </r>
  </si>
  <si>
    <t>Run time</t>
  </si>
  <si>
    <t>mbar (gage)</t>
  </si>
  <si>
    <t>Min. vacuum at pump inlet</t>
  </si>
  <si>
    <t>Max pressure for choked flow</t>
  </si>
  <si>
    <t>in^2</t>
  </si>
  <si>
    <t>Tubing cross-section area</t>
  </si>
  <si>
    <t>Pa*s</t>
  </si>
  <si>
    <t>Dynamic viscosity of air</t>
  </si>
  <si>
    <t>kg/m^3</t>
  </si>
  <si>
    <t>Density of air</t>
  </si>
  <si>
    <t>degC</t>
  </si>
  <si>
    <t>Air temperature</t>
  </si>
  <si>
    <t>Derived values</t>
  </si>
  <si>
    <t>unity</t>
  </si>
  <si>
    <t>Unit conversion: Pa/kPa</t>
  </si>
  <si>
    <t>Unit conversion: ft/m</t>
  </si>
  <si>
    <t>Unit conversion: in/ft</t>
  </si>
  <si>
    <t>Unit conversion: L/m^3</t>
  </si>
  <si>
    <t>Unit conversion: s/min</t>
  </si>
  <si>
    <t>Unit conversion: in/m</t>
  </si>
  <si>
    <t>Unit conversion: mbar/psi</t>
  </si>
  <si>
    <t>Unit conversion: mbar/kPa</t>
  </si>
  <si>
    <t>Choked flow ratio (P2/P1)</t>
  </si>
  <si>
    <t>(μPa*s)/K^-1/2</t>
  </si>
  <si>
    <t>Sutherland's formula (air): λ</t>
  </si>
  <si>
    <t>K</t>
  </si>
  <si>
    <t>Sutherland's formula (air): C</t>
  </si>
  <si>
    <t>J/(kg K)</t>
  </si>
  <si>
    <t>Gas constant, dry air</t>
  </si>
  <si>
    <t>Constants</t>
  </si>
  <si>
    <t>Barometric pressure</t>
  </si>
  <si>
    <t>ft</t>
  </si>
  <si>
    <t>Tubing length</t>
  </si>
  <si>
    <t>in</t>
  </si>
  <si>
    <t>Tubing inner diameter</t>
  </si>
  <si>
    <t>User input</t>
  </si>
  <si>
    <t>1/8" (0.047)</t>
  </si>
  <si>
    <t>1/4" (0.062)</t>
  </si>
  <si>
    <t>1/4" (0.047)</t>
  </si>
  <si>
    <t>I.D.</t>
  </si>
  <si>
    <t>Tubing size</t>
  </si>
  <si>
    <t>psid</t>
  </si>
  <si>
    <t>Pressure drop across MFC</t>
  </si>
  <si>
    <t>ΔF (%)</t>
  </si>
  <si>
    <t>ΔP (mbar)</t>
  </si>
  <si>
    <t>Reynolds #</t>
  </si>
  <si>
    <t>20Hz</t>
  </si>
  <si>
    <t>10Hz</t>
  </si>
  <si>
    <t>s</t>
  </si>
  <si>
    <t>m/s</t>
  </si>
  <si>
    <t>L/min</t>
  </si>
  <si>
    <t>Delay (# scans)</t>
  </si>
  <si>
    <t>Delay</t>
  </si>
  <si>
    <t>Velocity</t>
  </si>
  <si>
    <t>Flow</t>
  </si>
  <si>
    <t>Canister fill time</t>
  </si>
  <si>
    <t>Fraction of time per canister</t>
  </si>
  <si>
    <t>Fraction of time in deadband</t>
  </si>
  <si>
    <t>cc/min</t>
  </si>
  <si>
    <t>Actual orifice flow</t>
  </si>
  <si>
    <t>Derived Values</t>
  </si>
  <si>
    <t>hrs</t>
  </si>
  <si>
    <t>Sampling hours per day</t>
  </si>
  <si>
    <t>(multiplier)</t>
  </si>
  <si>
    <t>Deadband</t>
  </si>
  <si>
    <t>Canister full safety margin</t>
  </si>
  <si>
    <t>liters</t>
  </si>
  <si>
    <t>Canister volume</t>
  </si>
  <si>
    <t>ºF</t>
  </si>
  <si>
    <t>mbar</t>
  </si>
  <si>
    <t>sccm</t>
  </si>
  <si>
    <t>Orifice flow @ STP</t>
  </si>
  <si>
    <t>User Input</t>
  </si>
  <si>
    <t>Denver (5280')</t>
  </si>
  <si>
    <t>Pullman (2550')</t>
  </si>
  <si>
    <t xml:space="preserve">sea level </t>
  </si>
  <si>
    <t>Ambient temperature</t>
  </si>
  <si>
    <t>Conditions</t>
  </si>
  <si>
    <t>mbar (abs)</t>
  </si>
  <si>
    <t>Friction</t>
  </si>
  <si>
    <t>factor</t>
  </si>
  <si>
    <t>ΔP for choked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</si>
</sst>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E+00"/>
  </numFmts>
  <fonts count="16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Verdan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Border="0" applyAlignment="0" applyProtection="0"/>
    <xf numFmtId="0" fontId="6" fillId="0" borderId="0"/>
    <xf numFmtId="0" fontId="9" fillId="0" borderId="0"/>
    <xf numFmtId="9" fontId="9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1" fillId="0" borderId="0" xfId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3" applyFont="1"/>
    <xf numFmtId="0" fontId="0" fillId="0" borderId="0" xfId="3" applyFont="1" applyAlignment="1">
      <alignment horizontal="center"/>
    </xf>
    <xf numFmtId="0" fontId="0" fillId="0" borderId="0" xfId="3" applyFont="1"/>
    <xf numFmtId="0" fontId="0" fillId="0" borderId="0" xfId="0" applyFont="1"/>
    <xf numFmtId="0" fontId="0" fillId="0" borderId="0" xfId="3" applyFont="1" applyAlignment="1">
      <alignment horizontal="left" indent="1"/>
    </xf>
    <xf numFmtId="0" fontId="0" fillId="0" borderId="0" xfId="0" applyFont="1" applyAlignment="1">
      <alignment horizontal="center"/>
    </xf>
    <xf numFmtId="0" fontId="12" fillId="0" borderId="0" xfId="3" applyFont="1" applyFill="1" applyAlignment="1">
      <alignment horizontal="center"/>
    </xf>
    <xf numFmtId="0" fontId="12" fillId="0" borderId="0" xfId="3" applyFont="1" applyFill="1"/>
    <xf numFmtId="0" fontId="12" fillId="0" borderId="0" xfId="3" applyFont="1"/>
    <xf numFmtId="0" fontId="12" fillId="0" borderId="0" xfId="3" applyFont="1" applyAlignment="1">
      <alignment horizontal="center"/>
    </xf>
    <xf numFmtId="0" fontId="12" fillId="3" borderId="0" xfId="3" applyFont="1" applyFill="1" applyAlignment="1">
      <alignment horizontal="center"/>
    </xf>
    <xf numFmtId="9" fontId="12" fillId="3" borderId="0" xfId="4" applyFont="1" applyFill="1" applyAlignment="1">
      <alignment horizontal="center"/>
    </xf>
    <xf numFmtId="165" fontId="12" fillId="0" borderId="0" xfId="3" applyNumberFormat="1" applyFont="1" applyAlignment="1">
      <alignment horizontal="center"/>
    </xf>
    <xf numFmtId="9" fontId="12" fillId="0" borderId="0" xfId="4" applyFont="1" applyAlignment="1">
      <alignment horizontal="center"/>
    </xf>
    <xf numFmtId="2" fontId="12" fillId="0" borderId="0" xfId="3" applyNumberFormat="1" applyFont="1" applyAlignment="1">
      <alignment horizont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 vertical="center"/>
    </xf>
    <xf numFmtId="0" fontId="15" fillId="0" borderId="0" xfId="2" applyFont="1"/>
    <xf numFmtId="0" fontId="14" fillId="0" borderId="0" xfId="2" applyFont="1" applyBorder="1" applyAlignment="1">
      <alignment horizontal="center"/>
    </xf>
    <xf numFmtId="1" fontId="14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center"/>
    </xf>
    <xf numFmtId="165" fontId="14" fillId="0" borderId="0" xfId="2" applyNumberFormat="1" applyFont="1" applyAlignment="1">
      <alignment horizontal="center"/>
    </xf>
    <xf numFmtId="164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left" indent="2"/>
    </xf>
    <xf numFmtId="0" fontId="14" fillId="0" borderId="0" xfId="2" applyFont="1" applyBorder="1"/>
    <xf numFmtId="165" fontId="14" fillId="0" borderId="0" xfId="2" applyNumberFormat="1" applyFont="1"/>
    <xf numFmtId="164" fontId="14" fillId="0" borderId="0" xfId="2" applyNumberFormat="1" applyFont="1"/>
    <xf numFmtId="167" fontId="14" fillId="0" borderId="0" xfId="2" applyNumberFormat="1" applyFont="1"/>
    <xf numFmtId="166" fontId="14" fillId="0" borderId="0" xfId="2" applyNumberFormat="1" applyFont="1"/>
    <xf numFmtId="0" fontId="14" fillId="0" borderId="0" xfId="2" applyFont="1" applyAlignment="1"/>
    <xf numFmtId="1" fontId="14" fillId="0" borderId="0" xfId="2" applyNumberFormat="1" applyFont="1"/>
    <xf numFmtId="0" fontId="14" fillId="3" borderId="0" xfId="2" applyFont="1" applyFill="1" applyBorder="1"/>
    <xf numFmtId="0" fontId="0" fillId="3" borderId="0" xfId="3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</cellXfs>
  <cellStyles count="5">
    <cellStyle name="Normal" xfId="0" builtinId="0"/>
    <cellStyle name="Normal 2" xfId="2"/>
    <cellStyle name="Normal 3" xfId="3"/>
    <cellStyle name="Percent" xfId="1" builtinId="5"/>
    <cellStyle name="Percent 2" xfId="4"/>
  </cellStyles>
  <dxfs count="2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://rimstar.org/renewnrg/solar_voltage_drop_table_calculator_wire_sizing_for_dc.htm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pdf.wholesalesolar.com/Download%20folder/System_Worksheet.pdf" TargetMode="External"/><Relationship Id="rId1" Type="http://schemas.openxmlformats.org/officeDocument/2006/relationships/hyperlink" Target="http://rimstar.org/renewnrg/sizing_select_batteries_for_off_grid_solar_system.htm" TargetMode="External"/><Relationship Id="rId6" Type="http://schemas.openxmlformats.org/officeDocument/2006/relationships/hyperlink" Target="http://www.nrel.gov/gis/images/map_pv_national_hi-res_200.jpg" TargetMode="External"/><Relationship Id="rId5" Type="http://schemas.openxmlformats.org/officeDocument/2006/relationships/hyperlink" Target="http://www.ecy.wa.gov/climatechange/maps/solar/solar_state.pdf" TargetMode="External"/><Relationship Id="rId4" Type="http://schemas.openxmlformats.org/officeDocument/2006/relationships/hyperlink" Target="http://pvwatts.nrel.gov/pvwat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FF"/>
  </sheetPr>
  <dimension ref="A2:C12"/>
  <sheetViews>
    <sheetView workbookViewId="0">
      <selection activeCell="A14" sqref="A14"/>
    </sheetView>
  </sheetViews>
  <sheetFormatPr defaultRowHeight="12.75" x14ac:dyDescent="0.2"/>
  <cols>
    <col min="1" max="1" width="20" style="23" customWidth="1"/>
    <col min="2" max="2" width="9.140625" style="25"/>
    <col min="3" max="16384" width="9.140625" style="23"/>
  </cols>
  <sheetData>
    <row r="2" spans="1:3" x14ac:dyDescent="0.2">
      <c r="A2" s="20" t="s">
        <v>48</v>
      </c>
      <c r="B2" s="21"/>
      <c r="C2" s="22"/>
    </row>
    <row r="3" spans="1:3" x14ac:dyDescent="0.2">
      <c r="A3" s="22" t="s">
        <v>137</v>
      </c>
      <c r="B3" s="21"/>
      <c r="C3" s="22"/>
    </row>
    <row r="4" spans="1:3" x14ac:dyDescent="0.2">
      <c r="A4" s="24" t="s">
        <v>182</v>
      </c>
      <c r="B4" s="21">
        <v>1013</v>
      </c>
      <c r="C4" s="22" t="s">
        <v>176</v>
      </c>
    </row>
    <row r="5" spans="1:3" x14ac:dyDescent="0.2">
      <c r="A5" s="24" t="s">
        <v>181</v>
      </c>
      <c r="B5" s="21">
        <v>923</v>
      </c>
      <c r="C5" s="22" t="s">
        <v>176</v>
      </c>
    </row>
    <row r="6" spans="1:3" x14ac:dyDescent="0.2">
      <c r="A6" s="24" t="s">
        <v>180</v>
      </c>
      <c r="B6" s="21">
        <v>834</v>
      </c>
      <c r="C6" s="22" t="s">
        <v>176</v>
      </c>
    </row>
    <row r="10" spans="1:3" x14ac:dyDescent="0.2">
      <c r="A10" s="19" t="s">
        <v>179</v>
      </c>
    </row>
    <row r="11" spans="1:3" x14ac:dyDescent="0.2">
      <c r="A11" s="23" t="s">
        <v>183</v>
      </c>
      <c r="B11" s="53">
        <v>55</v>
      </c>
      <c r="C11" s="23" t="s">
        <v>175</v>
      </c>
    </row>
    <row r="12" spans="1:3" x14ac:dyDescent="0.2">
      <c r="A12" s="23" t="s">
        <v>137</v>
      </c>
      <c r="B12" s="54">
        <v>923</v>
      </c>
      <c r="C12" s="23" t="s">
        <v>176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C17"/>
  <sheetViews>
    <sheetView zoomScaleNormal="100" workbookViewId="0">
      <selection activeCell="B12" sqref="B12"/>
    </sheetView>
  </sheetViews>
  <sheetFormatPr defaultColWidth="12.5703125" defaultRowHeight="12.75" x14ac:dyDescent="0.2"/>
  <cols>
    <col min="1" max="1" width="29.140625" style="28" bestFit="1" customWidth="1"/>
    <col min="2" max="2" width="12.5703125" style="29"/>
    <col min="3" max="16384" width="12.5703125" style="28"/>
  </cols>
  <sheetData>
    <row r="2" spans="1:3" x14ac:dyDescent="0.2">
      <c r="A2" s="20" t="s">
        <v>184</v>
      </c>
      <c r="B2" s="26"/>
      <c r="C2" s="27"/>
    </row>
    <row r="3" spans="1:3" x14ac:dyDescent="0.2">
      <c r="A3" s="28" t="str">
        <f>Conditions!A11</f>
        <v>Ambient temperature</v>
      </c>
      <c r="B3" s="29">
        <f>Conditions!B11</f>
        <v>55</v>
      </c>
      <c r="C3" s="28" t="str">
        <f>Conditions!C11</f>
        <v>ºF</v>
      </c>
    </row>
    <row r="4" spans="1:3" x14ac:dyDescent="0.2">
      <c r="A4" s="28" t="str">
        <f>Conditions!A12</f>
        <v>Barometric pressure</v>
      </c>
      <c r="B4" s="29">
        <f>Conditions!B12</f>
        <v>923</v>
      </c>
      <c r="C4" s="28" t="str">
        <f>Conditions!C12</f>
        <v>mbar</v>
      </c>
    </row>
    <row r="5" spans="1:3" x14ac:dyDescent="0.2">
      <c r="B5" s="26"/>
      <c r="C5" s="27"/>
    </row>
    <row r="6" spans="1:3" x14ac:dyDescent="0.2">
      <c r="A6" s="20" t="s">
        <v>179</v>
      </c>
    </row>
    <row r="7" spans="1:3" x14ac:dyDescent="0.2">
      <c r="A7" s="28" t="s">
        <v>178</v>
      </c>
      <c r="B7" s="30">
        <v>6</v>
      </c>
      <c r="C7" s="28" t="s">
        <v>177</v>
      </c>
    </row>
    <row r="8" spans="1:3" x14ac:dyDescent="0.2">
      <c r="A8" s="28" t="s">
        <v>174</v>
      </c>
      <c r="B8" s="30">
        <v>33</v>
      </c>
      <c r="C8" s="28" t="s">
        <v>173</v>
      </c>
    </row>
    <row r="9" spans="1:3" x14ac:dyDescent="0.2">
      <c r="A9" s="28" t="s">
        <v>172</v>
      </c>
      <c r="B9" s="31">
        <v>0.1</v>
      </c>
    </row>
    <row r="10" spans="1:3" x14ac:dyDescent="0.2">
      <c r="A10" s="28" t="s">
        <v>171</v>
      </c>
      <c r="B10" s="30">
        <v>0.85</v>
      </c>
      <c r="C10" s="28" t="s">
        <v>170</v>
      </c>
    </row>
    <row r="11" spans="1:3" x14ac:dyDescent="0.2">
      <c r="A11" s="28" t="s">
        <v>169</v>
      </c>
      <c r="B11" s="30">
        <v>18</v>
      </c>
      <c r="C11" s="28" t="s">
        <v>168</v>
      </c>
    </row>
    <row r="13" spans="1:3" x14ac:dyDescent="0.2">
      <c r="A13" s="20" t="s">
        <v>167</v>
      </c>
    </row>
    <row r="14" spans="1:3" x14ac:dyDescent="0.2">
      <c r="A14" s="28" t="s">
        <v>166</v>
      </c>
      <c r="B14" s="32">
        <f>B7*(14.7/(B4/68.947573))*((B3+460)/530)</f>
        <v>6.4020229530019002</v>
      </c>
      <c r="C14" s="28" t="s">
        <v>165</v>
      </c>
    </row>
    <row r="15" spans="1:3" x14ac:dyDescent="0.2">
      <c r="A15" s="28" t="s">
        <v>164</v>
      </c>
      <c r="B15" s="33">
        <f>ERF(B10/SQRT(2))</f>
        <v>0.60467491375461524</v>
      </c>
    </row>
    <row r="16" spans="1:3" x14ac:dyDescent="0.2">
      <c r="A16" s="28" t="s">
        <v>163</v>
      </c>
      <c r="B16" s="33">
        <f>(1-B15)/2</f>
        <v>0.19766254312269238</v>
      </c>
    </row>
    <row r="17" spans="1:3" x14ac:dyDescent="0.2">
      <c r="A17" s="28" t="s">
        <v>162</v>
      </c>
      <c r="B17" s="34">
        <f>B8*(0.528-B9)*1000/(B14*B16*60*B11)</f>
        <v>10.334568491116546</v>
      </c>
      <c r="C17" s="28" t="s">
        <v>72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FF"/>
  </sheetPr>
  <dimension ref="A1:M40"/>
  <sheetViews>
    <sheetView zoomScaleNormal="100" workbookViewId="0">
      <selection activeCell="L29" sqref="L29"/>
    </sheetView>
  </sheetViews>
  <sheetFormatPr defaultRowHeight="12.75" x14ac:dyDescent="0.2"/>
  <cols>
    <col min="1" max="1" width="25.7109375" style="35" bestFit="1" customWidth="1"/>
    <col min="2" max="2" width="12" style="35" bestFit="1" customWidth="1"/>
    <col min="3" max="3" width="12.85546875" style="35" bestFit="1" customWidth="1"/>
    <col min="4" max="4" width="2.7109375" style="35" customWidth="1"/>
    <col min="5" max="5" width="5.5703125" style="36" bestFit="1" customWidth="1"/>
    <col min="6" max="6" width="7.7109375" style="36" bestFit="1" customWidth="1"/>
    <col min="7" max="7" width="5.7109375" style="36" bestFit="1" customWidth="1"/>
    <col min="8" max="9" width="6.85546875" style="36" customWidth="1"/>
    <col min="10" max="10" width="10.28515625" style="36" bestFit="1" customWidth="1"/>
    <col min="11" max="11" width="7.140625" style="36" bestFit="1" customWidth="1"/>
    <col min="12" max="12" width="9.42578125" style="36" bestFit="1" customWidth="1"/>
    <col min="13" max="13" width="6.85546875" style="36" bestFit="1" customWidth="1"/>
    <col min="14" max="16384" width="9.140625" style="35"/>
  </cols>
  <sheetData>
    <row r="1" spans="1:13" x14ac:dyDescent="0.2">
      <c r="E1" s="36" t="s">
        <v>161</v>
      </c>
      <c r="F1" s="36" t="s">
        <v>160</v>
      </c>
      <c r="G1" s="36" t="s">
        <v>159</v>
      </c>
      <c r="H1" s="37" t="s">
        <v>158</v>
      </c>
      <c r="I1" s="37"/>
      <c r="J1" s="35"/>
      <c r="K1" s="36" t="s">
        <v>186</v>
      </c>
      <c r="L1" s="35"/>
    </row>
    <row r="2" spans="1:13" x14ac:dyDescent="0.2">
      <c r="A2" s="38" t="s">
        <v>184</v>
      </c>
      <c r="E2" s="36" t="s">
        <v>157</v>
      </c>
      <c r="F2" s="36" t="s">
        <v>156</v>
      </c>
      <c r="G2" s="36" t="s">
        <v>155</v>
      </c>
      <c r="H2" s="36" t="s">
        <v>154</v>
      </c>
      <c r="I2" s="36" t="s">
        <v>153</v>
      </c>
      <c r="J2" s="36" t="s">
        <v>152</v>
      </c>
      <c r="K2" s="36" t="s">
        <v>187</v>
      </c>
      <c r="L2" s="36" t="s">
        <v>151</v>
      </c>
      <c r="M2" s="36" t="s">
        <v>150</v>
      </c>
    </row>
    <row r="3" spans="1:13" x14ac:dyDescent="0.2">
      <c r="A3" s="35" t="str">
        <f>Conditions!A11</f>
        <v>Ambient temperature</v>
      </c>
      <c r="B3" s="36">
        <f>Conditions!B11</f>
        <v>55</v>
      </c>
      <c r="C3" s="35" t="str">
        <f>Conditions!C11</f>
        <v>ºF</v>
      </c>
      <c r="E3" s="39">
        <v>1.7</v>
      </c>
      <c r="F3" s="40">
        <f>E3*$B$35^2/($B$21*$B$36*$B$37)</f>
        <v>58.185561748261414</v>
      </c>
      <c r="G3" s="41">
        <f>$B$15/(F3*$B$39)</f>
        <v>0.10476314650169533</v>
      </c>
      <c r="H3" s="42">
        <f t="shared" ref="H3:H21" si="0">G3*1000/100</f>
        <v>1.0476314650169534</v>
      </c>
      <c r="I3" s="42">
        <f t="shared" ref="I3:I21" si="1">G3*1000/50</f>
        <v>2.0952629300339067</v>
      </c>
      <c r="J3" s="40">
        <f>$B$19*F3*$B$14/($B$20*$B$35)</f>
        <v>2860.8020317331093</v>
      </c>
      <c r="K3" s="43">
        <f t="shared" ref="K3:K21" si="2">0.316/J3^0.25</f>
        <v>4.3208096202814267E-2</v>
      </c>
      <c r="L3" s="41">
        <f>K3*$B$15*$B$19*$B$38*$B$33/(2*$B$14*$B$40)</f>
        <v>1.880876935202775</v>
      </c>
      <c r="M3" s="41">
        <f t="shared" ref="M3:M21" si="3">100*(2*6/1000)/E3</f>
        <v>0.70588235294117652</v>
      </c>
    </row>
    <row r="4" spans="1:13" x14ac:dyDescent="0.2">
      <c r="A4" s="35" t="str">
        <f>Conditions!A12</f>
        <v>Barometric pressure</v>
      </c>
      <c r="B4" s="36">
        <f>Conditions!B12</f>
        <v>923</v>
      </c>
      <c r="C4" s="35" t="str">
        <f>Conditions!C12</f>
        <v>mbar</v>
      </c>
      <c r="E4" s="39">
        <v>1.8</v>
      </c>
      <c r="F4" s="40">
        <f>E4*$B$35^2/($B$21*$B$36*$B$37)</f>
        <v>61.608241851100324</v>
      </c>
      <c r="G4" s="41">
        <f>$B$15/(F4*$B$39)</f>
        <v>9.8942971696045573E-2</v>
      </c>
      <c r="H4" s="42">
        <f t="shared" si="0"/>
        <v>0.98942971696045579</v>
      </c>
      <c r="I4" s="42">
        <f t="shared" si="1"/>
        <v>1.9788594339209116</v>
      </c>
      <c r="J4" s="40">
        <f>$B$19*F4*$B$14/($B$20*$B$35)</f>
        <v>3029.0845041879988</v>
      </c>
      <c r="K4" s="43">
        <f t="shared" si="2"/>
        <v>4.2595060094687061E-2</v>
      </c>
      <c r="L4" s="41">
        <f>K4*$B$15*$B$19*$B$38*$B$33/(2*$B$14*$B$40)</f>
        <v>1.854191068951907</v>
      </c>
      <c r="M4" s="41">
        <f t="shared" si="3"/>
        <v>0.66666666666666663</v>
      </c>
    </row>
    <row r="5" spans="1:13" x14ac:dyDescent="0.2">
      <c r="E5" s="39">
        <v>1.9</v>
      </c>
      <c r="F5" s="40">
        <f>E5*$B$35^2/($B$21*$B$36*$B$37)</f>
        <v>65.030921953939227</v>
      </c>
      <c r="G5" s="41">
        <f>$B$15/(F5*$B$39)</f>
        <v>9.3735446869937913E-2</v>
      </c>
      <c r="H5" s="42">
        <f t="shared" si="0"/>
        <v>0.93735446869937922</v>
      </c>
      <c r="I5" s="42">
        <f t="shared" si="1"/>
        <v>1.8747089373987584</v>
      </c>
      <c r="J5" s="40">
        <f>$B$19*F5*$B$14/($B$20*$B$35)</f>
        <v>3197.3669766428875</v>
      </c>
      <c r="K5" s="43">
        <f t="shared" si="2"/>
        <v>4.2023184631517101E-2</v>
      </c>
      <c r="L5" s="41">
        <f>K5*$B$15*$B$19*$B$38*$B$33/(2*$B$14*$B$40)</f>
        <v>1.8292969527326712</v>
      </c>
      <c r="M5" s="41">
        <f t="shared" si="3"/>
        <v>0.63157894736842102</v>
      </c>
    </row>
    <row r="6" spans="1:13" x14ac:dyDescent="0.2">
      <c r="A6" s="38" t="s">
        <v>48</v>
      </c>
      <c r="E6" s="39">
        <v>2</v>
      </c>
      <c r="F6" s="40">
        <f>E6*$B$35^2/($B$21*$B$36*$B$37)</f>
        <v>68.453602056778138</v>
      </c>
      <c r="G6" s="41">
        <f>$B$15/(F6*$B$39)</f>
        <v>8.904867452644101E-2</v>
      </c>
      <c r="H6" s="42">
        <f t="shared" si="0"/>
        <v>0.89048674526441007</v>
      </c>
      <c r="I6" s="42">
        <f t="shared" si="1"/>
        <v>1.7809734905288201</v>
      </c>
      <c r="J6" s="40">
        <f>$B$19*F6*$B$14/($B$20*$B$35)</f>
        <v>3365.6494490977766</v>
      </c>
      <c r="K6" s="43">
        <f t="shared" si="2"/>
        <v>4.1487748111435852E-2</v>
      </c>
      <c r="L6" s="41">
        <f>K6*$B$15*$B$19*$B$38*$B$33/(2*$B$14*$B$40)</f>
        <v>1.8059890477474829</v>
      </c>
      <c r="M6" s="41">
        <f t="shared" si="3"/>
        <v>0.6</v>
      </c>
    </row>
    <row r="7" spans="1:13" x14ac:dyDescent="0.2">
      <c r="A7" s="35" t="s">
        <v>149</v>
      </c>
      <c r="B7" s="35">
        <v>9.3000000000000007</v>
      </c>
      <c r="C7" s="35" t="s">
        <v>148</v>
      </c>
      <c r="E7" s="39">
        <v>2.1</v>
      </c>
      <c r="F7" s="40">
        <f>E7*$B$35^2/($B$21*$B$36*$B$37)</f>
        <v>71.876282159617048</v>
      </c>
      <c r="G7" s="41">
        <f>$B$15/(F7*$B$39)</f>
        <v>8.4808261453753336E-2</v>
      </c>
      <c r="H7" s="42">
        <f t="shared" si="0"/>
        <v>0.84808261453753331</v>
      </c>
      <c r="I7" s="42">
        <f t="shared" si="1"/>
        <v>1.6961652290750666</v>
      </c>
      <c r="J7" s="40">
        <f>$B$19*F7*$B$14/($B$20*$B$35)</f>
        <v>3533.9319215526652</v>
      </c>
      <c r="K7" s="43">
        <f t="shared" si="2"/>
        <v>4.0984773364683418E-2</v>
      </c>
      <c r="L7" s="41">
        <f>K7*$B$15*$B$19*$B$38*$B$33/(2*$B$14*$B$40)</f>
        <v>1.784094225172669</v>
      </c>
      <c r="M7" s="41">
        <f t="shared" si="3"/>
        <v>0.5714285714285714</v>
      </c>
    </row>
    <row r="8" spans="1:13" x14ac:dyDescent="0.2">
      <c r="A8" s="35" t="s">
        <v>147</v>
      </c>
      <c r="B8" s="35" t="s">
        <v>146</v>
      </c>
      <c r="E8" s="39">
        <v>2.2000000000000002</v>
      </c>
      <c r="F8" s="40">
        <f>E8*$B$35^2/($B$21*$B$36*$B$37)</f>
        <v>75.298962262455959</v>
      </c>
      <c r="G8" s="41">
        <f>$B$15/(F8*$B$39)</f>
        <v>8.0953340478582742E-2</v>
      </c>
      <c r="H8" s="42">
        <f t="shared" si="0"/>
        <v>0.80953340478582747</v>
      </c>
      <c r="I8" s="42">
        <f t="shared" si="1"/>
        <v>1.6190668095716549</v>
      </c>
      <c r="J8" s="40">
        <f>$B$19*F8*$B$14/($B$20*$B$35)</f>
        <v>3702.2143940075539</v>
      </c>
      <c r="K8" s="43">
        <f t="shared" si="2"/>
        <v>4.0510881314872176E-2</v>
      </c>
      <c r="L8" s="41">
        <f>K8*$B$15*$B$19*$B$38*$B$33/(2*$B$14*$B$40)</f>
        <v>1.763465391583656</v>
      </c>
      <c r="M8" s="41">
        <f t="shared" si="3"/>
        <v>0.54545454545454541</v>
      </c>
    </row>
    <row r="9" spans="1:13" x14ac:dyDescent="0.2">
      <c r="A9" s="44" t="s">
        <v>145</v>
      </c>
      <c r="B9" s="35">
        <f>0.25-2*0.047</f>
        <v>0.156</v>
      </c>
      <c r="C9" s="35" t="s">
        <v>140</v>
      </c>
      <c r="E9" s="39">
        <v>2.2999999999999998</v>
      </c>
      <c r="F9" s="40">
        <f>E9*$B$35^2/($B$21*$B$36*$B$37)</f>
        <v>78.721642365294855</v>
      </c>
      <c r="G9" s="41">
        <f>$B$15/(F9*$B$39)</f>
        <v>7.7433630022992195E-2</v>
      </c>
      <c r="H9" s="42">
        <f t="shared" si="0"/>
        <v>0.77433630022992195</v>
      </c>
      <c r="I9" s="42">
        <f t="shared" si="1"/>
        <v>1.5486726004598439</v>
      </c>
      <c r="J9" s="40">
        <f>$B$19*F9*$B$14/($B$20*$B$35)</f>
        <v>3870.496866462443</v>
      </c>
      <c r="K9" s="43">
        <f t="shared" si="2"/>
        <v>4.0063178550064631E-2</v>
      </c>
      <c r="L9" s="41">
        <f>K9*$B$15*$B$19*$B$38*$B$33/(2*$B$14*$B$40)</f>
        <v>1.743976594849812</v>
      </c>
      <c r="M9" s="41">
        <f t="shared" si="3"/>
        <v>0.52173913043478259</v>
      </c>
    </row>
    <row r="10" spans="1:13" x14ac:dyDescent="0.2">
      <c r="A10" s="44" t="s">
        <v>144</v>
      </c>
      <c r="B10" s="35">
        <f>0.25-2*0.062</f>
        <v>0.126</v>
      </c>
      <c r="C10" s="35" t="s">
        <v>140</v>
      </c>
      <c r="E10" s="39">
        <v>2.4</v>
      </c>
      <c r="F10" s="40">
        <f>E10*$B$35^2/($B$21*$B$36*$B$37)</f>
        <v>82.144322468133765</v>
      </c>
      <c r="G10" s="41">
        <f>$B$15/(F10*$B$39)</f>
        <v>7.4207228772034173E-2</v>
      </c>
      <c r="H10" s="42">
        <f t="shared" si="0"/>
        <v>0.74207228772034173</v>
      </c>
      <c r="I10" s="42">
        <f t="shared" si="1"/>
        <v>1.4841445754406835</v>
      </c>
      <c r="J10" s="40">
        <f>$B$19*F10*$B$14/($B$20*$B$35)</f>
        <v>4038.7793389173316</v>
      </c>
      <c r="K10" s="43">
        <f t="shared" si="2"/>
        <v>3.9639169897861731E-2</v>
      </c>
      <c r="L10" s="41">
        <f>K10*$B$15*$B$19*$B$38*$B$33/(2*$B$14*$B$40)</f>
        <v>1.7255192184703614</v>
      </c>
      <c r="M10" s="41">
        <f t="shared" si="3"/>
        <v>0.5</v>
      </c>
    </row>
    <row r="11" spans="1:13" x14ac:dyDescent="0.2">
      <c r="A11" s="44" t="s">
        <v>143</v>
      </c>
      <c r="B11" s="35">
        <f>0.125-2*0.047</f>
        <v>3.1E-2</v>
      </c>
      <c r="C11" s="35" t="s">
        <v>140</v>
      </c>
      <c r="E11" s="39">
        <v>2.5</v>
      </c>
      <c r="F11" s="40">
        <f>E11*$B$35^2/($B$21*$B$36*$B$37)</f>
        <v>85.567002570972676</v>
      </c>
      <c r="G11" s="41">
        <f>$B$15/(F11*$B$39)</f>
        <v>7.1238939621152811E-2</v>
      </c>
      <c r="H11" s="42">
        <f t="shared" si="0"/>
        <v>0.71238939621152808</v>
      </c>
      <c r="I11" s="42">
        <f t="shared" si="1"/>
        <v>1.4247787924230562</v>
      </c>
      <c r="J11" s="40">
        <f>$B$19*F11*$B$14/($B$20*$B$35)</f>
        <v>4207.0618113722203</v>
      </c>
      <c r="K11" s="43">
        <f t="shared" si="2"/>
        <v>3.9236689652827825E-2</v>
      </c>
      <c r="L11" s="41">
        <f>K11*$B$15*$B$19*$B$38*$B$33/(2*$B$14*$B$40)</f>
        <v>1.7079989878588189</v>
      </c>
      <c r="M11" s="41">
        <f t="shared" si="3"/>
        <v>0.48</v>
      </c>
    </row>
    <row r="12" spans="1:13" x14ac:dyDescent="0.2">
      <c r="E12" s="39">
        <v>2.6</v>
      </c>
      <c r="F12" s="40">
        <f>E12*$B$35^2/($B$21*$B$36*$B$37)</f>
        <v>88.989682673811572</v>
      </c>
      <c r="G12" s="41">
        <f>$B$15/(F12*$B$39)</f>
        <v>6.849898040495464E-2</v>
      </c>
      <c r="H12" s="42">
        <f t="shared" si="0"/>
        <v>0.68498980404954635</v>
      </c>
      <c r="I12" s="42">
        <f t="shared" si="1"/>
        <v>1.3699796080990927</v>
      </c>
      <c r="J12" s="40">
        <f>$B$19*F12*$B$14/($B$20*$B$35)</f>
        <v>4375.3442838271094</v>
      </c>
      <c r="K12" s="43">
        <f t="shared" si="2"/>
        <v>3.8853846903298218E-2</v>
      </c>
      <c r="L12" s="41">
        <f>K12*$B$15*$B$19*$B$38*$B$33/(2*$B$14*$B$40)</f>
        <v>1.6913335903828486</v>
      </c>
      <c r="M12" s="41">
        <f t="shared" si="3"/>
        <v>0.46153846153846151</v>
      </c>
    </row>
    <row r="13" spans="1:13" x14ac:dyDescent="0.2">
      <c r="A13" s="38" t="s">
        <v>142</v>
      </c>
      <c r="E13" s="39">
        <v>2.7</v>
      </c>
      <c r="F13" s="40">
        <f>E13*$B$35^2/($B$21*$B$36*$B$37)</f>
        <v>92.412362776650482</v>
      </c>
      <c r="G13" s="41">
        <f>$B$15/(F13*$B$39)</f>
        <v>6.5961981130697039E-2</v>
      </c>
      <c r="H13" s="42">
        <f t="shared" si="0"/>
        <v>0.65961981130697045</v>
      </c>
      <c r="I13" s="42">
        <f t="shared" si="1"/>
        <v>1.3192396226139409</v>
      </c>
      <c r="J13" s="40">
        <f>$B$19*F13*$B$14/($B$20*$B$35)</f>
        <v>4543.6267562819985</v>
      </c>
      <c r="K13" s="43">
        <f t="shared" si="2"/>
        <v>3.8488981645440984E-2</v>
      </c>
      <c r="L13" s="41">
        <f>K13*$B$15*$B$19*$B$38*$B$33/(2*$B$14*$B$40)</f>
        <v>1.6754507649804236</v>
      </c>
      <c r="M13" s="41">
        <f t="shared" si="3"/>
        <v>0.44444444444444442</v>
      </c>
    </row>
    <row r="14" spans="1:13" x14ac:dyDescent="0.2">
      <c r="A14" s="35" t="s">
        <v>141</v>
      </c>
      <c r="B14" s="52">
        <v>3.1E-2</v>
      </c>
      <c r="C14" s="35" t="s">
        <v>140</v>
      </c>
      <c r="E14" s="39">
        <v>2.8</v>
      </c>
      <c r="F14" s="40">
        <f>E14*$B$35^2/($B$21*$B$36*$B$37)</f>
        <v>95.835042879489379</v>
      </c>
      <c r="G14" s="41">
        <f>$B$15/(F14*$B$39)</f>
        <v>6.3606196090315023E-2</v>
      </c>
      <c r="H14" s="42">
        <f t="shared" si="0"/>
        <v>0.63606196090315026</v>
      </c>
      <c r="I14" s="42">
        <f t="shared" si="1"/>
        <v>1.2721239218063005</v>
      </c>
      <c r="J14" s="40">
        <f>$B$19*F14*$B$14/($B$20*$B$35)</f>
        <v>4711.9092287368867</v>
      </c>
      <c r="K14" s="43">
        <f t="shared" si="2"/>
        <v>3.8140629242372701E-2</v>
      </c>
      <c r="L14" s="41">
        <f>K14*$B$15*$B$19*$B$38*$B$33/(2*$B$14*$B$40)</f>
        <v>1.6602867550416818</v>
      </c>
      <c r="M14" s="41">
        <f t="shared" si="3"/>
        <v>0.4285714285714286</v>
      </c>
    </row>
    <row r="15" spans="1:13" x14ac:dyDescent="0.2">
      <c r="A15" s="35" t="s">
        <v>139</v>
      </c>
      <c r="B15" s="52">
        <v>20</v>
      </c>
      <c r="C15" s="35" t="s">
        <v>138</v>
      </c>
      <c r="E15" s="39">
        <v>2.9</v>
      </c>
      <c r="F15" s="40">
        <f>E15*$B$35^2/($B$21*$B$36*$B$37)</f>
        <v>99.257722982328303</v>
      </c>
      <c r="G15" s="41">
        <f>$B$15/(F15*$B$39)</f>
        <v>6.1412878983752424E-2</v>
      </c>
      <c r="H15" s="42">
        <f t="shared" si="0"/>
        <v>0.61412878983752417</v>
      </c>
      <c r="I15" s="42">
        <f t="shared" si="1"/>
        <v>1.2282575796750483</v>
      </c>
      <c r="J15" s="40">
        <f>$B$19*F15*$B$14/($B$20*$B$35)</f>
        <v>4880.1917011917758</v>
      </c>
      <c r="K15" s="43">
        <f t="shared" si="2"/>
        <v>3.7807491405126334E-2</v>
      </c>
      <c r="L15" s="41">
        <f>K15*$B$15*$B$19*$B$38*$B$33/(2*$B$14*$B$40)</f>
        <v>1.6457850451913132</v>
      </c>
      <c r="M15" s="41">
        <f t="shared" si="3"/>
        <v>0.41379310344827586</v>
      </c>
    </row>
    <row r="16" spans="1:13" x14ac:dyDescent="0.2">
      <c r="E16" s="39">
        <v>3</v>
      </c>
      <c r="F16" s="40">
        <f>E16*$B$35^2/($B$21*$B$36*$B$37)</f>
        <v>102.6804030851672</v>
      </c>
      <c r="G16" s="41">
        <f>$B$15/(F16*$B$39)</f>
        <v>5.9365783017627342E-2</v>
      </c>
      <c r="H16" s="42">
        <f t="shared" si="0"/>
        <v>0.59365783017627338</v>
      </c>
      <c r="I16" s="42">
        <f t="shared" si="1"/>
        <v>1.1873156603525468</v>
      </c>
      <c r="J16" s="40">
        <f>$B$19*F16*$B$14/($B$20*$B$35)</f>
        <v>5048.474173646664</v>
      </c>
      <c r="K16" s="43">
        <f t="shared" si="2"/>
        <v>3.7488412318754001E-2</v>
      </c>
      <c r="L16" s="41">
        <f>K16*$B$15*$B$19*$B$38*$B$33/(2*$B$14*$B$40)</f>
        <v>1.6318953220420618</v>
      </c>
      <c r="M16" s="41">
        <f t="shared" si="3"/>
        <v>0.39999999999999997</v>
      </c>
    </row>
    <row r="17" spans="1:13" x14ac:dyDescent="0.2">
      <c r="A17" s="38" t="s">
        <v>119</v>
      </c>
      <c r="E17" s="39">
        <v>3.1</v>
      </c>
      <c r="F17" s="40">
        <f>E17*$B$35^2/($B$21*$B$36*$B$37)</f>
        <v>106.10308318800611</v>
      </c>
      <c r="G17" s="41">
        <f>$B$15/(F17*$B$39)</f>
        <v>5.7450757758994206E-2</v>
      </c>
      <c r="H17" s="42">
        <f t="shared" si="0"/>
        <v>0.57450757758994209</v>
      </c>
      <c r="I17" s="42">
        <f t="shared" si="1"/>
        <v>1.1490151551798842</v>
      </c>
      <c r="J17" s="40">
        <f>$B$19*F17*$B$14/($B$20*$B$35)</f>
        <v>5216.7566461015531</v>
      </c>
      <c r="K17" s="43">
        <f t="shared" si="2"/>
        <v>3.7182358862969465E-2</v>
      </c>
      <c r="L17" s="41">
        <f>K17*$B$15*$B$19*$B$38*$B$33/(2*$B$14*$B$40)</f>
        <v>1.6185726131862448</v>
      </c>
      <c r="M17" s="41">
        <f t="shared" si="3"/>
        <v>0.38709677419354838</v>
      </c>
    </row>
    <row r="18" spans="1:13" x14ac:dyDescent="0.2">
      <c r="A18" s="35" t="s">
        <v>118</v>
      </c>
      <c r="B18" s="46">
        <f>(B3-32)*5/9</f>
        <v>12.777777777777779</v>
      </c>
      <c r="C18" s="35" t="s">
        <v>117</v>
      </c>
      <c r="E18" s="39">
        <v>3.2</v>
      </c>
      <c r="F18" s="40">
        <f>E18*$B$35^2/($B$21*$B$36*$B$37)</f>
        <v>109.52576329084502</v>
      </c>
      <c r="G18" s="41">
        <f>$B$15/(F18*$B$39)</f>
        <v>5.5655421579025637E-2</v>
      </c>
      <c r="H18" s="42">
        <f t="shared" si="0"/>
        <v>0.55655421579025632</v>
      </c>
      <c r="I18" s="42">
        <f t="shared" si="1"/>
        <v>1.1131084315805126</v>
      </c>
      <c r="J18" s="40">
        <f>$B$19*F18*$B$14/($B$20*$B$35)</f>
        <v>5385.0391185564422</v>
      </c>
      <c r="K18" s="43">
        <f t="shared" si="2"/>
        <v>3.6888404117723796E-2</v>
      </c>
      <c r="L18" s="41">
        <f>K18*$B$15*$B$19*$B$38*$B$33/(2*$B$14*$B$40)</f>
        <v>1.6057765691825754</v>
      </c>
      <c r="M18" s="41">
        <f t="shared" si="3"/>
        <v>0.37499999999999994</v>
      </c>
    </row>
    <row r="19" spans="1:13" x14ac:dyDescent="0.2">
      <c r="A19" s="35" t="s">
        <v>116</v>
      </c>
      <c r="B19" s="47">
        <f>1000*(B4/B33)/(B29*(B18+273.15))</f>
        <v>1.1245420441113285</v>
      </c>
      <c r="C19" s="35" t="s">
        <v>115</v>
      </c>
      <c r="E19" s="39">
        <v>3.3</v>
      </c>
      <c r="F19" s="40">
        <f>E19*$B$35^2/($B$21*$B$36*$B$37)</f>
        <v>112.94844339368392</v>
      </c>
      <c r="G19" s="41">
        <f>$B$15/(F19*$B$39)</f>
        <v>5.3968893652388494E-2</v>
      </c>
      <c r="H19" s="42">
        <f t="shared" si="0"/>
        <v>0.53968893652388494</v>
      </c>
      <c r="I19" s="42">
        <f t="shared" si="1"/>
        <v>1.0793778730477699</v>
      </c>
      <c r="J19" s="40">
        <f>$B$19*F19*$B$14/($B$20*$B$35)</f>
        <v>5553.3215910113304</v>
      </c>
      <c r="K19" s="43">
        <f t="shared" si="2"/>
        <v>3.6605713524119135E-2</v>
      </c>
      <c r="L19" s="41">
        <f>K19*$B$15*$B$19*$B$38*$B$33/(2*$B$14*$B$40)</f>
        <v>1.5934708611316117</v>
      </c>
      <c r="M19" s="41">
        <f t="shared" si="3"/>
        <v>0.36363636363636365</v>
      </c>
    </row>
    <row r="20" spans="1:13" x14ac:dyDescent="0.2">
      <c r="A20" s="35" t="s">
        <v>114</v>
      </c>
      <c r="B20" s="48">
        <f>B31*(B18+273.15)^1.5/((B18+273.15+B30)*10^6)</f>
        <v>1.8009406563349156E-5</v>
      </c>
      <c r="C20" s="35" t="s">
        <v>113</v>
      </c>
      <c r="E20" s="39">
        <v>3.4</v>
      </c>
      <c r="F20" s="40">
        <f>E20*$B$35^2/($B$21*$B$36*$B$37)</f>
        <v>116.37112349652283</v>
      </c>
      <c r="G20" s="41">
        <f>$B$15/(F20*$B$39)</f>
        <v>5.2381573250847663E-2</v>
      </c>
      <c r="H20" s="42">
        <f t="shared" si="0"/>
        <v>0.52381573250847668</v>
      </c>
      <c r="I20" s="42">
        <f t="shared" si="1"/>
        <v>1.0476314650169534</v>
      </c>
      <c r="J20" s="40">
        <f>$B$19*F20*$B$14/($B$20*$B$35)</f>
        <v>5721.6040634662186</v>
      </c>
      <c r="K20" s="43">
        <f t="shared" si="2"/>
        <v>3.633353320688415E-2</v>
      </c>
      <c r="L20" s="41">
        <f>K20*$B$15*$B$19*$B$38*$B$33/(2*$B$14*$B$40)</f>
        <v>1.5816226723454063</v>
      </c>
      <c r="M20" s="41">
        <f t="shared" si="3"/>
        <v>0.35294117647058826</v>
      </c>
    </row>
    <row r="21" spans="1:13" x14ac:dyDescent="0.2">
      <c r="A21" s="35" t="s">
        <v>112</v>
      </c>
      <c r="B21" s="49">
        <f>PI()*(B14/2)^2</f>
        <v>7.5476763502494771E-4</v>
      </c>
      <c r="C21" s="35" t="s">
        <v>111</v>
      </c>
      <c r="E21" s="39">
        <v>3.5</v>
      </c>
      <c r="F21" s="40">
        <f>E21*$B$35^2/($B$21*$B$36*$B$37)</f>
        <v>119.79380359936174</v>
      </c>
      <c r="G21" s="41">
        <f>$B$15/(F21*$B$39)</f>
        <v>5.0884956872252009E-2</v>
      </c>
      <c r="H21" s="42">
        <f t="shared" si="0"/>
        <v>0.50884956872252007</v>
      </c>
      <c r="I21" s="42">
        <f t="shared" si="1"/>
        <v>1.0176991374450401</v>
      </c>
      <c r="J21" s="40">
        <f>$B$19*F21*$B$14/($B$20*$B$35)</f>
        <v>5889.8865359211077</v>
      </c>
      <c r="K21" s="43">
        <f t="shared" si="2"/>
        <v>3.607118006807513E-2</v>
      </c>
      <c r="L21" s="41">
        <f>K21*$B$15*$B$19*$B$38*$B$33/(2*$B$14*$B$40)</f>
        <v>1.5702022671197815</v>
      </c>
      <c r="M21" s="41">
        <f t="shared" si="3"/>
        <v>0.34285714285714286</v>
      </c>
    </row>
    <row r="22" spans="1:13" x14ac:dyDescent="0.2">
      <c r="A22" s="35" t="s">
        <v>110</v>
      </c>
      <c r="B22" s="51">
        <f>$B$4*$B$32</f>
        <v>487.34400000000005</v>
      </c>
      <c r="C22" s="35" t="s">
        <v>185</v>
      </c>
    </row>
    <row r="23" spans="1:13" x14ac:dyDescent="0.2">
      <c r="A23" s="50" t="s">
        <v>188</v>
      </c>
      <c r="B23" s="51">
        <f>($B$4-$B$22)</f>
        <v>435.65599999999995</v>
      </c>
      <c r="C23" s="35" t="s">
        <v>108</v>
      </c>
    </row>
    <row r="24" spans="1:13" x14ac:dyDescent="0.2">
      <c r="A24" s="35" t="s">
        <v>109</v>
      </c>
      <c r="B24" s="51">
        <f>-1*$B$7*$B$34-AVERAGE(L3:L21)</f>
        <v>-642.84567394121973</v>
      </c>
      <c r="C24" s="35" t="s">
        <v>108</v>
      </c>
    </row>
    <row r="28" spans="1:13" x14ac:dyDescent="0.2">
      <c r="A28" s="38" t="s">
        <v>136</v>
      </c>
    </row>
    <row r="29" spans="1:13" x14ac:dyDescent="0.2">
      <c r="A29" s="35" t="s">
        <v>135</v>
      </c>
      <c r="B29" s="45">
        <v>287.05799999999999</v>
      </c>
      <c r="C29" s="35" t="s">
        <v>134</v>
      </c>
    </row>
    <row r="30" spans="1:13" x14ac:dyDescent="0.2">
      <c r="A30" s="35" t="s">
        <v>133</v>
      </c>
      <c r="B30" s="35">
        <v>120</v>
      </c>
      <c r="C30" s="35" t="s">
        <v>132</v>
      </c>
    </row>
    <row r="31" spans="1:13" x14ac:dyDescent="0.2">
      <c r="A31" s="35" t="s">
        <v>131</v>
      </c>
      <c r="B31" s="35">
        <v>1.512041288</v>
      </c>
      <c r="C31" s="35" t="s">
        <v>130</v>
      </c>
    </row>
    <row r="32" spans="1:13" x14ac:dyDescent="0.2">
      <c r="A32" s="35" t="s">
        <v>129</v>
      </c>
      <c r="B32" s="35">
        <v>0.52800000000000002</v>
      </c>
    </row>
    <row r="33" spans="1:3" x14ac:dyDescent="0.2">
      <c r="A33" s="35" t="s">
        <v>128</v>
      </c>
      <c r="B33" s="35">
        <v>10</v>
      </c>
      <c r="C33" s="35" t="s">
        <v>120</v>
      </c>
    </row>
    <row r="34" spans="1:3" x14ac:dyDescent="0.2">
      <c r="A34" s="35" t="s">
        <v>127</v>
      </c>
      <c r="B34" s="35">
        <v>68.94</v>
      </c>
      <c r="C34" s="35" t="s">
        <v>120</v>
      </c>
    </row>
    <row r="35" spans="1:3" x14ac:dyDescent="0.2">
      <c r="A35" s="35" t="s">
        <v>126</v>
      </c>
      <c r="B35" s="35">
        <v>39.369999999999997</v>
      </c>
      <c r="C35" s="35" t="s">
        <v>120</v>
      </c>
    </row>
    <row r="36" spans="1:3" x14ac:dyDescent="0.2">
      <c r="A36" s="35" t="s">
        <v>125</v>
      </c>
      <c r="B36" s="35">
        <v>60</v>
      </c>
      <c r="C36" s="35" t="s">
        <v>120</v>
      </c>
    </row>
    <row r="37" spans="1:3" x14ac:dyDescent="0.2">
      <c r="A37" s="35" t="s">
        <v>124</v>
      </c>
      <c r="B37" s="35">
        <v>1000</v>
      </c>
      <c r="C37" s="35" t="s">
        <v>120</v>
      </c>
    </row>
    <row r="38" spans="1:3" x14ac:dyDescent="0.2">
      <c r="A38" s="35" t="s">
        <v>123</v>
      </c>
      <c r="B38" s="35">
        <v>12</v>
      </c>
      <c r="C38" s="35" t="s">
        <v>120</v>
      </c>
    </row>
    <row r="39" spans="1:3" x14ac:dyDescent="0.2">
      <c r="A39" s="35" t="s">
        <v>122</v>
      </c>
      <c r="B39" s="35">
        <v>3.2810000000000001</v>
      </c>
      <c r="C39" s="35" t="s">
        <v>120</v>
      </c>
    </row>
    <row r="40" spans="1:3" x14ac:dyDescent="0.2">
      <c r="A40" s="35" t="s">
        <v>121</v>
      </c>
      <c r="B40" s="35">
        <v>1000</v>
      </c>
      <c r="C40" s="35" t="s">
        <v>120</v>
      </c>
    </row>
  </sheetData>
  <mergeCells count="1">
    <mergeCell ref="H1:I1"/>
  </mergeCells>
  <conditionalFormatting sqref="J3:J21">
    <cfRule type="cellIs" dxfId="1" priority="1" operator="lessThan">
      <formula>4100</formula>
    </cfRule>
  </conditionalFormatting>
  <pageMargins left="0.7" right="0.7" top="0.75" bottom="0.75" header="0.51180555555555496" footer="0.51180555555555496"/>
  <pageSetup scale="75" firstPageNumber="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FF"/>
  </sheetPr>
  <dimension ref="A1:J16"/>
  <sheetViews>
    <sheetView zoomScaleNormal="100" workbookViewId="0">
      <selection activeCell="C20" sqref="C20"/>
    </sheetView>
  </sheetViews>
  <sheetFormatPr defaultRowHeight="12.75" x14ac:dyDescent="0.2"/>
  <cols>
    <col min="1" max="1" width="23.7109375"/>
    <col min="2" max="2" width="13.7109375"/>
    <col min="3" max="3" width="47.28515625"/>
    <col min="4" max="5" width="5.5703125" style="1"/>
    <col min="6" max="6" width="6.28515625" style="2"/>
    <col min="7" max="7" width="10.28515625" style="1"/>
    <col min="8" max="8" width="9.7109375" style="1" customWidth="1"/>
    <col min="9" max="9" width="8.7109375" style="1"/>
    <col min="10" max="10" width="13.5703125"/>
    <col min="11" max="1026" width="11.5703125"/>
  </cols>
  <sheetData>
    <row r="1" spans="1:10" x14ac:dyDescent="0.2">
      <c r="H1" s="3" t="s">
        <v>0</v>
      </c>
      <c r="I1" s="14">
        <f>SUM(I5:I33)</f>
        <v>73.299620540119349</v>
      </c>
      <c r="J1" t="s">
        <v>1</v>
      </c>
    </row>
    <row r="2" spans="1:10" x14ac:dyDescent="0.2">
      <c r="H2" s="3" t="s">
        <v>2</v>
      </c>
      <c r="I2" s="14">
        <f>SUM(I5:I11)</f>
        <v>3.1320000000000001</v>
      </c>
      <c r="J2" t="s">
        <v>1</v>
      </c>
    </row>
    <row r="4" spans="1:10" x14ac:dyDescent="0.2">
      <c r="A4" s="4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107</v>
      </c>
      <c r="I4" s="5" t="s">
        <v>10</v>
      </c>
    </row>
    <row r="5" spans="1:10" x14ac:dyDescent="0.2">
      <c r="A5" t="s">
        <v>11</v>
      </c>
      <c r="B5" t="s">
        <v>12</v>
      </c>
      <c r="C5" t="s">
        <v>13</v>
      </c>
      <c r="D5" s="1">
        <v>1</v>
      </c>
      <c r="E5" s="1">
        <v>12</v>
      </c>
      <c r="F5" s="2">
        <v>0.01</v>
      </c>
      <c r="G5" s="1">
        <f t="shared" ref="G5:G11" si="0">E5*F5</f>
        <v>0.12</v>
      </c>
      <c r="H5" s="15">
        <v>1</v>
      </c>
      <c r="I5" s="55">
        <f>G5*D5*H5</f>
        <v>0.12</v>
      </c>
      <c r="J5" t="s">
        <v>14</v>
      </c>
    </row>
    <row r="6" spans="1:10" x14ac:dyDescent="0.2">
      <c r="A6" t="s">
        <v>15</v>
      </c>
      <c r="B6" t="s">
        <v>16</v>
      </c>
      <c r="C6" t="s">
        <v>17</v>
      </c>
      <c r="D6" s="1">
        <v>1</v>
      </c>
      <c r="E6" s="1">
        <v>12</v>
      </c>
      <c r="F6" s="2">
        <v>4.2999999999999997E-2</v>
      </c>
      <c r="G6" s="1">
        <f t="shared" si="0"/>
        <v>0.51600000000000001</v>
      </c>
      <c r="H6" s="15">
        <v>1</v>
      </c>
      <c r="I6" s="55">
        <f t="shared" ref="I6:I16" si="1">G6*D6*H6</f>
        <v>0.51600000000000001</v>
      </c>
    </row>
    <row r="7" spans="1:10" x14ac:dyDescent="0.2">
      <c r="A7" t="s">
        <v>18</v>
      </c>
      <c r="B7" t="s">
        <v>19</v>
      </c>
      <c r="C7" t="s">
        <v>20</v>
      </c>
      <c r="D7" s="1">
        <v>1</v>
      </c>
      <c r="E7" s="1">
        <v>12</v>
      </c>
      <c r="F7" s="2">
        <v>6.5000000000000002E-2</v>
      </c>
      <c r="G7" s="1">
        <f t="shared" si="0"/>
        <v>0.78</v>
      </c>
      <c r="H7" s="15">
        <v>1</v>
      </c>
      <c r="I7" s="55">
        <f t="shared" si="1"/>
        <v>0.78</v>
      </c>
    </row>
    <row r="8" spans="1:10" x14ac:dyDescent="0.2">
      <c r="A8" t="s">
        <v>21</v>
      </c>
      <c r="B8" t="s">
        <v>22</v>
      </c>
      <c r="C8" t="s">
        <v>23</v>
      </c>
      <c r="D8" s="1">
        <v>2</v>
      </c>
      <c r="E8" s="1">
        <v>12</v>
      </c>
      <c r="F8" s="2">
        <v>0.01</v>
      </c>
      <c r="G8" s="1">
        <f t="shared" si="0"/>
        <v>0.12</v>
      </c>
      <c r="H8" s="15">
        <v>1</v>
      </c>
      <c r="I8" s="55">
        <f t="shared" si="1"/>
        <v>0.24</v>
      </c>
    </row>
    <row r="9" spans="1:10" x14ac:dyDescent="0.2">
      <c r="A9" t="s">
        <v>24</v>
      </c>
      <c r="B9" t="s">
        <v>25</v>
      </c>
      <c r="C9" t="s">
        <v>26</v>
      </c>
      <c r="D9" s="1">
        <v>1</v>
      </c>
      <c r="E9" s="1">
        <v>12</v>
      </c>
      <c r="F9" s="2">
        <v>0.01</v>
      </c>
      <c r="G9" s="1">
        <f t="shared" si="0"/>
        <v>0.12</v>
      </c>
      <c r="H9" s="15">
        <v>1</v>
      </c>
      <c r="I9" s="55">
        <f t="shared" si="1"/>
        <v>0.12</v>
      </c>
    </row>
    <row r="10" spans="1:10" x14ac:dyDescent="0.2">
      <c r="A10" t="s">
        <v>27</v>
      </c>
      <c r="B10" t="s">
        <v>28</v>
      </c>
      <c r="C10" t="s">
        <v>29</v>
      </c>
      <c r="D10" s="1">
        <v>1</v>
      </c>
      <c r="E10" s="1">
        <v>12</v>
      </c>
      <c r="F10" s="2">
        <v>0.11</v>
      </c>
      <c r="G10" s="1">
        <f t="shared" si="0"/>
        <v>1.32</v>
      </c>
      <c r="H10" s="15">
        <v>1</v>
      </c>
      <c r="I10" s="55">
        <f t="shared" si="1"/>
        <v>1.32</v>
      </c>
    </row>
    <row r="11" spans="1:10" x14ac:dyDescent="0.2">
      <c r="A11" t="s">
        <v>30</v>
      </c>
      <c r="B11" t="s">
        <v>31</v>
      </c>
      <c r="C11" t="s">
        <v>32</v>
      </c>
      <c r="D11" s="1">
        <v>1</v>
      </c>
      <c r="E11" s="1">
        <v>12</v>
      </c>
      <c r="F11" s="2">
        <v>3.0000000000000001E-3</v>
      </c>
      <c r="G11" s="1">
        <f t="shared" si="0"/>
        <v>3.6000000000000004E-2</v>
      </c>
      <c r="H11" s="15">
        <v>1</v>
      </c>
      <c r="I11" s="55">
        <f t="shared" si="1"/>
        <v>3.6000000000000004E-2</v>
      </c>
    </row>
    <row r="12" spans="1:10" x14ac:dyDescent="0.2">
      <c r="H12" s="15"/>
      <c r="I12" s="55"/>
    </row>
    <row r="13" spans="1:10" x14ac:dyDescent="0.2">
      <c r="A13" t="s">
        <v>33</v>
      </c>
      <c r="B13" t="s">
        <v>34</v>
      </c>
      <c r="C13" t="s">
        <v>35</v>
      </c>
      <c r="D13" s="1">
        <v>2</v>
      </c>
      <c r="E13" s="1">
        <v>12</v>
      </c>
      <c r="F13" s="2">
        <v>1</v>
      </c>
      <c r="G13" s="1">
        <f>E13*F13</f>
        <v>12</v>
      </c>
      <c r="H13" s="15">
        <f>Canisters!$B$16</f>
        <v>0.19766254312269238</v>
      </c>
      <c r="I13" s="55">
        <f t="shared" si="1"/>
        <v>4.7439010349446171</v>
      </c>
      <c r="J13" t="s">
        <v>36</v>
      </c>
    </row>
    <row r="14" spans="1:10" x14ac:dyDescent="0.2">
      <c r="A14" t="s">
        <v>43</v>
      </c>
      <c r="B14" t="s">
        <v>44</v>
      </c>
      <c r="C14" t="s">
        <v>45</v>
      </c>
      <c r="D14" s="1">
        <v>2</v>
      </c>
      <c r="E14" s="1">
        <v>5</v>
      </c>
      <c r="F14" s="2">
        <v>1.2E-2</v>
      </c>
      <c r="G14" s="1">
        <f>E14*F14</f>
        <v>0.06</v>
      </c>
      <c r="H14" s="15">
        <f>Canisters!$B$16</f>
        <v>0.19766254312269238</v>
      </c>
      <c r="I14" s="55">
        <f t="shared" si="1"/>
        <v>2.3719505174723085E-2</v>
      </c>
    </row>
    <row r="15" spans="1:10" x14ac:dyDescent="0.2">
      <c r="A15" t="s">
        <v>37</v>
      </c>
      <c r="B15" t="s">
        <v>38</v>
      </c>
      <c r="C15" t="s">
        <v>39</v>
      </c>
      <c r="D15" s="1">
        <v>1</v>
      </c>
      <c r="E15" s="1">
        <v>12</v>
      </c>
      <c r="F15" s="2">
        <v>0.25</v>
      </c>
      <c r="G15" s="1">
        <f>E15*F15</f>
        <v>3</v>
      </c>
      <c r="H15" s="15">
        <v>1</v>
      </c>
      <c r="I15" s="55">
        <f t="shared" si="1"/>
        <v>3</v>
      </c>
    </row>
    <row r="16" spans="1:10" x14ac:dyDescent="0.2">
      <c r="A16" t="s">
        <v>40</v>
      </c>
      <c r="B16" t="s">
        <v>41</v>
      </c>
      <c r="C16" t="s">
        <v>42</v>
      </c>
      <c r="D16" s="1">
        <v>1</v>
      </c>
      <c r="E16" s="1">
        <v>12</v>
      </c>
      <c r="F16" s="2">
        <v>5.2</v>
      </c>
      <c r="G16" s="1">
        <f>E16*F16</f>
        <v>62.400000000000006</v>
      </c>
      <c r="H16" s="15">
        <v>1</v>
      </c>
      <c r="I16" s="55">
        <f t="shared" si="1"/>
        <v>62.400000000000006</v>
      </c>
    </row>
  </sheetData>
  <pageMargins left="1.5" right="1.5" top="2.2374999999999998" bottom="2.2374999999999998" header="2" footer="2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FF"/>
  </sheetPr>
  <dimension ref="A1:L45"/>
  <sheetViews>
    <sheetView tabSelected="1" zoomScaleNormal="100" workbookViewId="0">
      <selection activeCell="E31" sqref="E31"/>
    </sheetView>
  </sheetViews>
  <sheetFormatPr defaultRowHeight="12.75" x14ac:dyDescent="0.2"/>
  <cols>
    <col min="1" max="1" width="26.28515625"/>
    <col min="2" max="2" width="6"/>
    <col min="3" max="3" width="9"/>
    <col min="4" max="4" width="4.42578125"/>
    <col min="5" max="5" width="11.5703125" customWidth="1"/>
    <col min="6" max="6" width="9" bestFit="1" customWidth="1"/>
    <col min="7" max="7" width="9.5703125" bestFit="1" customWidth="1"/>
    <col min="8" max="8" width="8.140625"/>
    <col min="9" max="9" width="13.28515625"/>
    <col min="10" max="10" width="12.7109375"/>
    <col min="11" max="11" width="6.85546875"/>
    <col min="12" max="1025" width="11.5703125"/>
  </cols>
  <sheetData>
    <row r="1" spans="1:12" x14ac:dyDescent="0.2">
      <c r="A1" t="s">
        <v>46</v>
      </c>
      <c r="B1" s="16">
        <f>Consumption!I1</f>
        <v>73.299620540119349</v>
      </c>
      <c r="C1" t="s">
        <v>1</v>
      </c>
      <c r="E1" s="17" t="s">
        <v>47</v>
      </c>
      <c r="F1" s="17"/>
      <c r="G1" s="17"/>
      <c r="I1" s="4" t="s">
        <v>48</v>
      </c>
    </row>
    <row r="2" spans="1:12" x14ac:dyDescent="0.2">
      <c r="B2" s="16">
        <f>B1/B13</f>
        <v>6.1083017116766127</v>
      </c>
      <c r="C2" t="s">
        <v>8</v>
      </c>
      <c r="E2" s="56" t="s">
        <v>49</v>
      </c>
      <c r="F2" s="57" t="s">
        <v>49</v>
      </c>
      <c r="G2" s="58"/>
      <c r="J2" s="17" t="s">
        <v>50</v>
      </c>
      <c r="K2" s="17"/>
    </row>
    <row r="3" spans="1:12" x14ac:dyDescent="0.2">
      <c r="A3" t="s">
        <v>51</v>
      </c>
      <c r="B3" s="16">
        <f>Consumption!I2</f>
        <v>3.1320000000000001</v>
      </c>
      <c r="C3" t="s">
        <v>1</v>
      </c>
      <c r="E3" s="59" t="s">
        <v>52</v>
      </c>
      <c r="F3" s="60" t="s">
        <v>53</v>
      </c>
      <c r="G3" s="61" t="s">
        <v>54</v>
      </c>
      <c r="I3" s="4" t="s">
        <v>55</v>
      </c>
      <c r="J3" s="5" t="s">
        <v>56</v>
      </c>
      <c r="K3" s="5" t="s">
        <v>57</v>
      </c>
    </row>
    <row r="4" spans="1:12" x14ac:dyDescent="0.2">
      <c r="B4" s="16">
        <f>B3/B13</f>
        <v>0.26100000000000001</v>
      </c>
      <c r="C4" t="s">
        <v>8</v>
      </c>
      <c r="E4" s="62">
        <v>80</v>
      </c>
      <c r="F4" s="63">
        <v>26</v>
      </c>
      <c r="G4" s="64">
        <v>1</v>
      </c>
      <c r="I4" t="s">
        <v>58</v>
      </c>
      <c r="J4" s="1">
        <v>4</v>
      </c>
      <c r="K4" s="1">
        <v>2</v>
      </c>
      <c r="L4" t="s">
        <v>59</v>
      </c>
    </row>
    <row r="5" spans="1:12" x14ac:dyDescent="0.2">
      <c r="E5" s="65">
        <v>70</v>
      </c>
      <c r="F5" s="10">
        <v>21.2</v>
      </c>
      <c r="G5" s="66">
        <v>1.04</v>
      </c>
      <c r="J5" s="1"/>
      <c r="K5" s="1"/>
    </row>
    <row r="6" spans="1:12" x14ac:dyDescent="0.2">
      <c r="E6" s="65">
        <v>60</v>
      </c>
      <c r="F6" s="10">
        <v>15.6</v>
      </c>
      <c r="G6" s="66">
        <v>1.1100000000000001</v>
      </c>
      <c r="J6" s="1"/>
      <c r="K6" s="1"/>
    </row>
    <row r="7" spans="1:12" x14ac:dyDescent="0.2">
      <c r="A7" s="4" t="s">
        <v>60</v>
      </c>
      <c r="E7" s="65">
        <v>50</v>
      </c>
      <c r="F7" s="10">
        <v>10</v>
      </c>
      <c r="G7" s="66">
        <v>1.19</v>
      </c>
      <c r="J7" s="1"/>
      <c r="K7" s="1"/>
    </row>
    <row r="8" spans="1:12" x14ac:dyDescent="0.2">
      <c r="A8" t="s">
        <v>61</v>
      </c>
      <c r="B8" s="71">
        <f>Canisters!B11</f>
        <v>18</v>
      </c>
      <c r="C8" t="s">
        <v>62</v>
      </c>
      <c r="D8" s="8"/>
      <c r="E8" s="65">
        <v>40</v>
      </c>
      <c r="F8" s="10">
        <v>4.4000000000000004</v>
      </c>
      <c r="G8" s="66">
        <v>1.3</v>
      </c>
    </row>
    <row r="9" spans="1:12" x14ac:dyDescent="0.2">
      <c r="A9" s="8" t="s">
        <v>63</v>
      </c>
      <c r="B9" s="9">
        <f>B8*B1+(24-B8)*B3</f>
        <v>1338.1851697221482</v>
      </c>
      <c r="C9" s="8" t="s">
        <v>64</v>
      </c>
      <c r="E9" s="65">
        <v>30</v>
      </c>
      <c r="F9" s="10">
        <v>-1.1000000000000001</v>
      </c>
      <c r="G9" s="66">
        <v>1.4</v>
      </c>
    </row>
    <row r="10" spans="1:12" x14ac:dyDescent="0.2">
      <c r="E10" s="67">
        <v>20</v>
      </c>
      <c r="F10" s="68">
        <v>-6.7</v>
      </c>
      <c r="G10" s="69">
        <v>1.59</v>
      </c>
    </row>
    <row r="12" spans="1:12" x14ac:dyDescent="0.2">
      <c r="A12" s="4" t="s">
        <v>65</v>
      </c>
      <c r="E12" s="4" t="s">
        <v>66</v>
      </c>
    </row>
    <row r="13" spans="1:12" x14ac:dyDescent="0.2">
      <c r="A13" s="8" t="s">
        <v>67</v>
      </c>
      <c r="B13" s="10">
        <v>12</v>
      </c>
      <c r="C13" s="8" t="s">
        <v>68</v>
      </c>
      <c r="D13" s="8"/>
      <c r="E13" t="s">
        <v>69</v>
      </c>
      <c r="F13" s="18" t="s">
        <v>70</v>
      </c>
      <c r="G13" s="18"/>
    </row>
    <row r="14" spans="1:12" x14ac:dyDescent="0.2">
      <c r="A14" s="8" t="s">
        <v>71</v>
      </c>
      <c r="B14" s="11">
        <v>4</v>
      </c>
      <c r="C14" s="8" t="s">
        <v>72</v>
      </c>
      <c r="D14" s="8"/>
      <c r="E14" t="s">
        <v>73</v>
      </c>
      <c r="F14" s="7">
        <v>6</v>
      </c>
      <c r="G14" t="s">
        <v>7</v>
      </c>
    </row>
    <row r="15" spans="1:12" x14ac:dyDescent="0.2">
      <c r="A15" s="8" t="s">
        <v>74</v>
      </c>
      <c r="B15" s="12">
        <v>0.4</v>
      </c>
      <c r="C15" s="8"/>
      <c r="D15" s="8"/>
      <c r="E15" t="s">
        <v>75</v>
      </c>
      <c r="F15" s="7">
        <v>524</v>
      </c>
      <c r="G15" t="s">
        <v>76</v>
      </c>
    </row>
    <row r="16" spans="1:12" x14ac:dyDescent="0.2">
      <c r="A16" s="8" t="s">
        <v>77</v>
      </c>
      <c r="B16" s="11">
        <v>1.59</v>
      </c>
      <c r="C16" s="8"/>
      <c r="D16" s="8"/>
      <c r="E16" t="s">
        <v>78</v>
      </c>
      <c r="F16" s="7">
        <v>4</v>
      </c>
      <c r="G16" t="s">
        <v>79</v>
      </c>
    </row>
    <row r="17" spans="1:7" x14ac:dyDescent="0.2">
      <c r="A17" s="8" t="s">
        <v>80</v>
      </c>
      <c r="B17" s="13">
        <f>(B9*B14*B16)/(B13*B15)</f>
        <v>1773.0953498818465</v>
      </c>
      <c r="C17" s="8" t="s">
        <v>81</v>
      </c>
      <c r="D17" s="8"/>
      <c r="E17" t="s">
        <v>82</v>
      </c>
      <c r="F17" s="1">
        <f>F15*F16*(F14/B13)</f>
        <v>1048</v>
      </c>
      <c r="G17" t="s">
        <v>76</v>
      </c>
    </row>
    <row r="18" spans="1:7" x14ac:dyDescent="0.2">
      <c r="E18" t="s">
        <v>83</v>
      </c>
      <c r="F18" s="14">
        <f>IF(F14&lt;12, EVEN((B17/F15)*(B13/F14)), CEILING((B17/F15)*(B13/F14),1))</f>
        <v>8</v>
      </c>
      <c r="G18" t="s">
        <v>79</v>
      </c>
    </row>
    <row r="20" spans="1:7" x14ac:dyDescent="0.2">
      <c r="A20" s="4" t="s">
        <v>84</v>
      </c>
      <c r="E20" s="4" t="s">
        <v>85</v>
      </c>
    </row>
    <row r="21" spans="1:7" x14ac:dyDescent="0.2">
      <c r="A21" t="s">
        <v>86</v>
      </c>
      <c r="B21" s="11">
        <v>4</v>
      </c>
      <c r="C21" t="s">
        <v>62</v>
      </c>
      <c r="E21" t="s">
        <v>69</v>
      </c>
      <c r="F21" s="18" t="s">
        <v>87</v>
      </c>
      <c r="G21" s="18"/>
    </row>
    <row r="22" spans="1:7" x14ac:dyDescent="0.2">
      <c r="A22" t="s">
        <v>88</v>
      </c>
      <c r="B22" s="14">
        <f>$B$9/B21</f>
        <v>334.54629243053705</v>
      </c>
      <c r="C22" t="s">
        <v>89</v>
      </c>
      <c r="E22" t="s">
        <v>90</v>
      </c>
      <c r="F22" s="7">
        <v>8.5299999999999994</v>
      </c>
      <c r="G22" t="s">
        <v>8</v>
      </c>
    </row>
    <row r="23" spans="1:7" x14ac:dyDescent="0.2">
      <c r="A23" t="s">
        <v>91</v>
      </c>
      <c r="B23" s="1">
        <f>CEILING(B22/F24,1)</f>
        <v>2</v>
      </c>
      <c r="C23" t="s">
        <v>92</v>
      </c>
      <c r="E23" t="s">
        <v>73</v>
      </c>
      <c r="F23" s="7">
        <v>35.770000000000003</v>
      </c>
      <c r="G23" t="s">
        <v>7</v>
      </c>
    </row>
    <row r="24" spans="1:7" x14ac:dyDescent="0.2">
      <c r="A24" t="s">
        <v>93</v>
      </c>
      <c r="B24" s="14">
        <f>B23*F22</f>
        <v>17.059999999999999</v>
      </c>
      <c r="C24" t="s">
        <v>8</v>
      </c>
      <c r="E24" t="s">
        <v>94</v>
      </c>
      <c r="F24" s="1">
        <f>ROUND(F23*F22, 0)</f>
        <v>305</v>
      </c>
      <c r="G24" t="s">
        <v>95</v>
      </c>
    </row>
    <row r="27" spans="1:7" x14ac:dyDescent="0.2">
      <c r="A27" s="4" t="s">
        <v>96</v>
      </c>
      <c r="E27" s="4" t="s">
        <v>97</v>
      </c>
    </row>
    <row r="28" spans="1:7" x14ac:dyDescent="0.2">
      <c r="A28" t="s">
        <v>86</v>
      </c>
      <c r="B28" s="11">
        <v>2</v>
      </c>
      <c r="C28" t="s">
        <v>62</v>
      </c>
      <c r="E28" s="14">
        <f>B31/G28</f>
        <v>31.987499999999994</v>
      </c>
      <c r="F28" t="s">
        <v>98</v>
      </c>
      <c r="G28" s="70">
        <v>0.8</v>
      </c>
    </row>
    <row r="29" spans="1:7" x14ac:dyDescent="0.2">
      <c r="A29" t="s">
        <v>88</v>
      </c>
      <c r="B29" s="14">
        <f>$B$9/B28</f>
        <v>669.0925848610741</v>
      </c>
      <c r="C29" t="s">
        <v>89</v>
      </c>
      <c r="E29" s="14"/>
      <c r="G29" s="1"/>
    </row>
    <row r="30" spans="1:7" x14ac:dyDescent="0.2">
      <c r="A30" t="s">
        <v>91</v>
      </c>
      <c r="B30" s="1">
        <f>CEILING(B29/F24,1)</f>
        <v>3</v>
      </c>
      <c r="C30" t="s">
        <v>92</v>
      </c>
    </row>
    <row r="31" spans="1:7" x14ac:dyDescent="0.2">
      <c r="A31" t="s">
        <v>93</v>
      </c>
      <c r="B31" s="14">
        <f>B30*F22</f>
        <v>25.589999999999996</v>
      </c>
      <c r="C31" t="s">
        <v>8</v>
      </c>
    </row>
    <row r="35" spans="1:3" x14ac:dyDescent="0.2">
      <c r="A35" s="4" t="s">
        <v>99</v>
      </c>
    </row>
    <row r="36" spans="1:3" x14ac:dyDescent="0.2">
      <c r="A36" t="s">
        <v>100</v>
      </c>
      <c r="B36" s="1">
        <f>F23</f>
        <v>35.770000000000003</v>
      </c>
      <c r="C36" t="s">
        <v>7</v>
      </c>
    </row>
    <row r="40" spans="1:3" x14ac:dyDescent="0.2">
      <c r="A40" t="s">
        <v>101</v>
      </c>
    </row>
    <row r="41" spans="1:3" x14ac:dyDescent="0.2">
      <c r="A41" t="s">
        <v>102</v>
      </c>
    </row>
    <row r="42" spans="1:3" x14ac:dyDescent="0.2">
      <c r="A42" t="s">
        <v>103</v>
      </c>
    </row>
    <row r="43" spans="1:3" x14ac:dyDescent="0.2">
      <c r="A43" t="s">
        <v>104</v>
      </c>
    </row>
    <row r="44" spans="1:3" x14ac:dyDescent="0.2">
      <c r="A44" t="s">
        <v>105</v>
      </c>
    </row>
    <row r="45" spans="1:3" x14ac:dyDescent="0.2">
      <c r="A45" t="s">
        <v>106</v>
      </c>
    </row>
  </sheetData>
  <mergeCells count="4">
    <mergeCell ref="E1:G1"/>
    <mergeCell ref="J2:K2"/>
    <mergeCell ref="F13:G13"/>
    <mergeCell ref="F21:G21"/>
  </mergeCells>
  <conditionalFormatting sqref="F17">
    <cfRule type="cellIs" dxfId="0" priority="1" operator="lessThan">
      <formula>$B$17</formula>
    </cfRule>
  </conditionalFormatting>
  <hyperlinks>
    <hyperlink ref="A40" r:id="rId1" display="http://rimstar.org/renewnrg/sizing_select_batteries_for_off_grid_solar_system.htm"/>
    <hyperlink ref="A41" r:id="rId2" display="http://pdf.wholesalesolar.com/Download%20folder/System_Worksheet.pdf"/>
    <hyperlink ref="A42" r:id="rId3" display="http://rimstar.org/renewnrg/solar_voltage_drop_table_calculator_wire_sizing_for_dc.htm"/>
    <hyperlink ref="A43" r:id="rId4" display="http://pvwatts.nrel.gov/pvwatts.php"/>
    <hyperlink ref="A44" r:id="rId5" display="http://www.ecy.wa.gov/climatechange/maps/solar/solar_state.pdf"/>
    <hyperlink ref="A45" r:id="rId6" display="http://www.nrel.gov/gis/images/map_pv_national_hi-res_200.jpg"/>
  </hyperlinks>
  <pageMargins left="1.5" right="1.5" top="2.2374999999999998" bottom="2.2374999999999998" header="2" footer="2"/>
  <headerFooter>
    <oddHeader>&amp;C&amp;A</oddHeader>
    <oddFooter>&amp;CPage &amp;P</oddFooter>
  </headerFooter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Conditions</vt:lpstr>
      <vt:lpstr>Canisters</vt:lpstr>
      <vt:lpstr>Flow</vt:lpstr>
      <vt:lpstr>Consumption</vt:lpstr>
      <vt:lpstr>PV system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60</cp:revision>
  <cp:lastPrinted>2014-07-18T21:00:30Z</cp:lastPrinted>
  <dcterms:created xsi:type="dcterms:W3CDTF">2009-04-16T11:32:48Z</dcterms:created>
  <dcterms:modified xsi:type="dcterms:W3CDTF">2014-09-15T20:09:24Z</dcterms:modified>
  <dc:language>en-US</dc:language>
</cp:coreProperties>
</file>