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7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Pressure drop at full scale (50 sLpm) flow venting to atmosphere (mnfctr specs)</t>
        </r>
      </text>
    </comment>
    <comment ref="A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2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Max ratio of abs. press. downstream of orifice vs. abs. press. upstream of orifice</t>
        </r>
      </text>
    </comment>
    <comment ref="A3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Max absolute pressure downstream of orifice resulting in choked flow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Minimum pressure drop across orifice to achieve choked flow</t>
        </r>
      </text>
    </comment>
    <comment ref="A3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Vacuum level resulting from pressure drop across mass flow controller and wall friction</t>
        </r>
      </text>
    </comment>
    <comment ref="B3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Use this value when evaluating pumps</t>
        </r>
      </text>
    </comment>
    <comment ref="G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Time to travel full length of tubing</t>
        </r>
      </text>
    </comment>
    <comment ref="K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Blasius formula, valid for: 
- smooth walls 
- Re &lt; 10^5</t>
        </r>
      </text>
    </comment>
    <comment ref="L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Pressure drop due to wall friction only</t>
        </r>
      </text>
    </comment>
  </commentList>
</comments>
</file>

<file path=xl/sharedStrings.xml><?xml version="1.0" encoding="utf-8"?>
<sst xmlns="http://schemas.openxmlformats.org/spreadsheetml/2006/main" count="71" uniqueCount="58">
  <si>
    <t>Flow</t>
  </si>
  <si>
    <t>Velocity</t>
  </si>
  <si>
    <t>Delay</t>
  </si>
  <si>
    <t>Delay (# scans)</t>
  </si>
  <si>
    <t>Reference</t>
  </si>
  <si>
    <t>L/min</t>
  </si>
  <si>
    <t>m/s</t>
  </si>
  <si>
    <t>s</t>
  </si>
  <si>
    <t>10Hz</t>
  </si>
  <si>
    <t>20Hz</t>
  </si>
  <si>
    <t>Reynolds #</t>
  </si>
  <si>
    <t>Friction factor</t>
  </si>
  <si>
    <t>ΔP (mbar)</t>
  </si>
  <si>
    <t>Pressure drop across MFC</t>
  </si>
  <si>
    <t>psid</t>
  </si>
  <si>
    <t>Tubing size</t>
  </si>
  <si>
    <t>I.D.</t>
  </si>
  <si>
    <t>1/4" (0.047)</t>
  </si>
  <si>
    <t>in</t>
  </si>
  <si>
    <t>1/4" (0.062)</t>
  </si>
  <si>
    <t>1/8" (0.047)</t>
  </si>
  <si>
    <t>User input</t>
  </si>
  <si>
    <t>Tubing inner diameter</t>
  </si>
  <si>
    <t>Tubing length</t>
  </si>
  <si>
    <t>ft</t>
  </si>
  <si>
    <t>Barometric pressure</t>
  </si>
  <si>
    <t>kPa (abs)</t>
  </si>
  <si>
    <t>Air temperature</t>
  </si>
  <si>
    <t>degF</t>
  </si>
  <si>
    <t>Constants</t>
  </si>
  <si>
    <t>Gas constant, dry air</t>
  </si>
  <si>
    <t>J/(kg K)</t>
  </si>
  <si>
    <t>Sutherland's formula (air): C</t>
  </si>
  <si>
    <t>K</t>
  </si>
  <si>
    <t>Sutherland's formula (air): λ</t>
  </si>
  <si>
    <t>(μPa*s)/K^-1/2</t>
  </si>
  <si>
    <t>Choked flow ratio (P2/P1)</t>
  </si>
  <si>
    <t>Unit conversion: mbar/kPa</t>
  </si>
  <si>
    <t>unity</t>
  </si>
  <si>
    <t>Unit conversion: mbar/psi</t>
  </si>
  <si>
    <t>Unit conversion: in/m</t>
  </si>
  <si>
    <t>Unit conversion: s/min</t>
  </si>
  <si>
    <t>Unit conversion: L/m^3</t>
  </si>
  <si>
    <t>Unit conversion: in/ft</t>
  </si>
  <si>
    <t>Unit conversion: ft/m</t>
  </si>
  <si>
    <t>Unit conversion: Pa/kPa</t>
  </si>
  <si>
    <t>Derived values</t>
  </si>
  <si>
    <t>degC</t>
  </si>
  <si>
    <t>Density of air</t>
  </si>
  <si>
    <t>kg/m^3</t>
  </si>
  <si>
    <t>Dynamic viscosity of air</t>
  </si>
  <si>
    <t>Pa*s</t>
  </si>
  <si>
    <t>Tubing cross-section area</t>
  </si>
  <si>
    <t>in^2</t>
  </si>
  <si>
    <t>Max pressure for choked flow</t>
  </si>
  <si>
    <t>ΔP for choked flow across orifice </t>
  </si>
  <si>
    <t>mbar (gage)</t>
  </si>
  <si>
    <t>Min. vacuum at pump inlet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</si>
</sst>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"/>
    <numFmt numFmtId="168" formatCode="0.000"/>
    <numFmt numFmtId="169" formatCode="0.000E+00"/>
    <numFmt numFmtId="170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3.8"/>
  <cols>
    <col collapsed="false" hidden="false" max="1" min="1" style="0" width="28.4777327935223"/>
    <col collapsed="false" hidden="false" max="2" min="2" style="0" width="11.9959514170041"/>
    <col collapsed="false" hidden="false" max="3" min="3" style="0" width="14.2834008097166"/>
    <col collapsed="false" hidden="false" max="4" min="4" style="0" width="2.09311740890688"/>
    <col collapsed="false" hidden="false" max="5" min="5" style="1" width="5.87854251012146"/>
    <col collapsed="false" hidden="false" max="6" min="6" style="1" width="7.52631578947368"/>
    <col collapsed="false" hidden="false" max="7" min="7" style="1" width="5.98380566801619"/>
    <col collapsed="false" hidden="false" max="9" min="8" style="1" width="7.71255060728745"/>
    <col collapsed="false" hidden="false" max="10" min="10" style="1" width="10.5708502024292"/>
    <col collapsed="false" hidden="false" max="11" min="11" style="1" width="13.4251012145749"/>
    <col collapsed="false" hidden="false" max="12" min="12" style="1" width="9.62753036437247"/>
    <col collapsed="false" hidden="false" max="1025" min="13" style="0" width="8.53441295546559"/>
  </cols>
  <sheetData>
    <row r="1" customFormat="false" ht="13.8" hidden="false" customHeight="false" outlineLevel="0" collapsed="false">
      <c r="E1" s="2" t="s">
        <v>0</v>
      </c>
      <c r="F1" s="2" t="s">
        <v>1</v>
      </c>
      <c r="G1" s="2" t="s">
        <v>2</v>
      </c>
      <c r="H1" s="3" t="s">
        <v>3</v>
      </c>
      <c r="I1" s="3"/>
      <c r="J1" s="0"/>
      <c r="K1" s="0"/>
      <c r="L1" s="0"/>
    </row>
    <row r="2" customFormat="false" ht="13.8" hidden="false" customHeight="false" outlineLevel="0" collapsed="false">
      <c r="A2" s="4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10</v>
      </c>
      <c r="K2" s="1" t="s">
        <v>11</v>
      </c>
      <c r="L2" s="2" t="s">
        <v>12</v>
      </c>
    </row>
    <row r="3" customFormat="false" ht="14.9" hidden="false" customHeight="false" outlineLevel="0" collapsed="false">
      <c r="A3" s="0" t="s">
        <v>13</v>
      </c>
      <c r="B3" s="0" t="n">
        <v>7</v>
      </c>
      <c r="C3" s="0" t="s">
        <v>14</v>
      </c>
      <c r="E3" s="5" t="n">
        <v>1</v>
      </c>
      <c r="F3" s="6" t="n">
        <f aca="false">E3*$B$23^2/($B$34*$B$24*$B$25)</f>
        <v>34.2268010283891</v>
      </c>
      <c r="G3" s="7" t="n">
        <f aca="false">$B$11/(F3*$B$27)</f>
        <v>0.178097349052882</v>
      </c>
      <c r="H3" s="8" t="n">
        <f aca="false">G3*1000/100</f>
        <v>1.78097349052882</v>
      </c>
      <c r="I3" s="8" t="n">
        <f aca="false">G3*1000/50</f>
        <v>3.56194698105764</v>
      </c>
      <c r="J3" s="6" t="n">
        <f aca="false">$B$32*F3*$B$10/($B$33*$B$23)</f>
        <v>1828.62005396925</v>
      </c>
      <c r="K3" s="9" t="n">
        <f aca="false">0.316/J3^0.25</f>
        <v>0.0483232586575995</v>
      </c>
      <c r="L3" s="7" t="n">
        <f aca="false">K3*$B$11*$B$32*$B$26*$B$21/(2*$B$10*$B$28)</f>
        <v>2.29989727981317</v>
      </c>
    </row>
    <row r="4" customFormat="false" ht="14.9" hidden="false" customHeight="false" outlineLevel="0" collapsed="false">
      <c r="A4" s="0" t="s">
        <v>15</v>
      </c>
      <c r="B4" s="0" t="s">
        <v>16</v>
      </c>
      <c r="E4" s="5" t="n">
        <v>2</v>
      </c>
      <c r="F4" s="6" t="n">
        <f aca="false">E4*$B$23^2/($B$34*$B$24*$B$25)</f>
        <v>68.4536020567781</v>
      </c>
      <c r="G4" s="7" t="n">
        <f aca="false">$B$11/(F4*$B$27)</f>
        <v>0.089048674526441</v>
      </c>
      <c r="H4" s="8" t="n">
        <f aca="false">G4*1000/100</f>
        <v>0.89048674526441</v>
      </c>
      <c r="I4" s="8" t="n">
        <f aca="false">G4*1000/50</f>
        <v>1.78097349052882</v>
      </c>
      <c r="J4" s="6" t="n">
        <f aca="false">$B$32*F4*$B$10/($B$33*$B$23)</f>
        <v>3657.2401079385</v>
      </c>
      <c r="K4" s="9" t="n">
        <f aca="false">0.316/J4^0.25</f>
        <v>0.0406348549785535</v>
      </c>
      <c r="L4" s="7" t="n">
        <f aca="false">K4*$B$11*$B$32*$B$26*$B$21/(2*$B$10*$B$28)</f>
        <v>1.93397537804666</v>
      </c>
    </row>
    <row r="5" customFormat="false" ht="14.9" hidden="false" customHeight="false" outlineLevel="0" collapsed="false">
      <c r="A5" s="10" t="s">
        <v>17</v>
      </c>
      <c r="B5" s="0" t="n">
        <f aca="false">0.25-2*0.047</f>
        <v>0.156</v>
      </c>
      <c r="C5" s="0" t="s">
        <v>18</v>
      </c>
      <c r="E5" s="5" t="n">
        <v>3</v>
      </c>
      <c r="F5" s="6" t="n">
        <f aca="false">E5*$B$23^2/($B$34*$B$24*$B$25)</f>
        <v>102.680403085167</v>
      </c>
      <c r="G5" s="7" t="n">
        <f aca="false">$B$11/(F5*$B$27)</f>
        <v>0.0593657830176273</v>
      </c>
      <c r="H5" s="8" t="n">
        <f aca="false">G5*1000/100</f>
        <v>0.593657830176273</v>
      </c>
      <c r="I5" s="8" t="n">
        <f aca="false">G5*1000/50</f>
        <v>1.18731566035255</v>
      </c>
      <c r="J5" s="6" t="n">
        <f aca="false">$B$32*F5*$B$10/($B$33*$B$23)</f>
        <v>5485.86016190775</v>
      </c>
      <c r="K5" s="9" t="n">
        <f aca="false">0.316/J5^0.25</f>
        <v>0.0367177363750164</v>
      </c>
      <c r="L5" s="7" t="n">
        <f aca="false">K5*$B$11*$B$32*$B$26*$B$21/(2*$B$10*$B$28)</f>
        <v>1.74754402653507</v>
      </c>
    </row>
    <row r="6" customFormat="false" ht="14.9" hidden="false" customHeight="false" outlineLevel="0" collapsed="false">
      <c r="A6" s="11" t="s">
        <v>19</v>
      </c>
      <c r="B6" s="0" t="n">
        <f aca="false">0.25-2*0.062</f>
        <v>0.126</v>
      </c>
      <c r="C6" s="0" t="s">
        <v>18</v>
      </c>
      <c r="E6" s="5" t="n">
        <v>4</v>
      </c>
      <c r="F6" s="6" t="n">
        <f aca="false">E6*$B$23^2/($B$34*$B$24*$B$25)</f>
        <v>136.907204113556</v>
      </c>
      <c r="G6" s="7" t="n">
        <f aca="false">$B$11/(F6*$B$27)</f>
        <v>0.0445243372632205</v>
      </c>
      <c r="H6" s="8" t="n">
        <f aca="false">G6*1000/100</f>
        <v>0.445243372632205</v>
      </c>
      <c r="I6" s="8" t="n">
        <f aca="false">G6*1000/50</f>
        <v>0.89048674526441</v>
      </c>
      <c r="J6" s="6" t="n">
        <f aca="false">$B$32*F6*$B$10/($B$33*$B$23)</f>
        <v>7314.480215877</v>
      </c>
      <c r="K6" s="9" t="n">
        <f aca="false">0.316/J6^0.25</f>
        <v>0.0341697038858202</v>
      </c>
      <c r="L6" s="7" t="n">
        <f aca="false">K6*$B$11*$B$32*$B$26*$B$21/(2*$B$10*$B$28)</f>
        <v>1.62627296258839</v>
      </c>
    </row>
    <row r="7" customFormat="false" ht="14.9" hidden="false" customHeight="false" outlineLevel="0" collapsed="false">
      <c r="A7" s="11" t="s">
        <v>20</v>
      </c>
      <c r="B7" s="0" t="n">
        <f aca="false">0.125-2*0.047</f>
        <v>0.031</v>
      </c>
      <c r="C7" s="0" t="s">
        <v>18</v>
      </c>
      <c r="E7" s="5" t="n">
        <v>5</v>
      </c>
      <c r="F7" s="6" t="n">
        <f aca="false">E7*$B$23^2/($B$34*$B$24*$B$25)</f>
        <v>171.134005141945</v>
      </c>
      <c r="G7" s="7" t="n">
        <f aca="false">$B$11/(F7*$B$27)</f>
        <v>0.0356194698105764</v>
      </c>
      <c r="H7" s="8" t="n">
        <f aca="false">G7*1000/100</f>
        <v>0.356194698105764</v>
      </c>
      <c r="I7" s="8" t="n">
        <f aca="false">G7*1000/50</f>
        <v>0.712389396211528</v>
      </c>
      <c r="J7" s="6" t="n">
        <f aca="false">$B$32*F7*$B$10/($B$33*$B$23)</f>
        <v>9143.10026984625</v>
      </c>
      <c r="K7" s="9" t="n">
        <f aca="false">0.316/J7^0.25</f>
        <v>0.0323157107321376</v>
      </c>
      <c r="L7" s="7" t="n">
        <f aca="false">K7*$B$11*$B$32*$B$26*$B$21/(2*$B$10*$B$28)</f>
        <v>1.5380340083167</v>
      </c>
    </row>
    <row r="8" customFormat="false" ht="14.9" hidden="false" customHeight="false" outlineLevel="0" collapsed="false">
      <c r="E8" s="5" t="n">
        <v>6</v>
      </c>
      <c r="F8" s="6" t="n">
        <f aca="false">E8*$B$23^2/($B$34*$B$24*$B$25)</f>
        <v>205.360806170334</v>
      </c>
      <c r="G8" s="7" t="n">
        <f aca="false">$B$11/(F8*$B$27)</f>
        <v>0.0296828915088137</v>
      </c>
      <c r="H8" s="8" t="n">
        <f aca="false">G8*1000/100</f>
        <v>0.296828915088137</v>
      </c>
      <c r="I8" s="8" t="n">
        <f aca="false">G8*1000/50</f>
        <v>0.593657830176274</v>
      </c>
      <c r="J8" s="6" t="n">
        <f aca="false">$B$32*F8*$B$10/($B$33*$B$23)</f>
        <v>10971.7203238155</v>
      </c>
      <c r="K8" s="9" t="n">
        <f aca="false">0.316/J8^0.25</f>
        <v>0.0308758128939822</v>
      </c>
      <c r="L8" s="7" t="n">
        <f aca="false">K8*$B$11*$B$32*$B$26*$B$21/(2*$B$10*$B$28)</f>
        <v>1.46950350741138</v>
      </c>
    </row>
    <row r="9" customFormat="false" ht="14.9" hidden="false" customHeight="false" outlineLevel="0" collapsed="false">
      <c r="A9" s="4" t="s">
        <v>21</v>
      </c>
      <c r="E9" s="5" t="n">
        <v>7</v>
      </c>
      <c r="F9" s="6" t="n">
        <f aca="false">E9*$B$23^2/($B$34*$B$24*$B$25)</f>
        <v>239.587607198723</v>
      </c>
      <c r="G9" s="7" t="n">
        <f aca="false">$B$11/(F9*$B$27)</f>
        <v>0.025442478436126</v>
      </c>
      <c r="H9" s="8" t="n">
        <f aca="false">G9*1000/100</f>
        <v>0.25442478436126</v>
      </c>
      <c r="I9" s="8" t="n">
        <f aca="false">G9*1000/50</f>
        <v>0.50884956872252</v>
      </c>
      <c r="J9" s="6" t="n">
        <f aca="false">$B$32*F9*$B$10/($B$33*$B$23)</f>
        <v>12800.3403777848</v>
      </c>
      <c r="K9" s="9" t="n">
        <f aca="false">0.316/J9^0.25</f>
        <v>0.0297085669346918</v>
      </c>
      <c r="L9" s="7" t="n">
        <f aca="false">K9*$B$11*$B$32*$B$26*$B$21/(2*$B$10*$B$28)</f>
        <v>1.41394960063397</v>
      </c>
    </row>
    <row r="10" customFormat="false" ht="14.9" hidden="false" customHeight="false" outlineLevel="0" collapsed="false">
      <c r="A10" s="0" t="s">
        <v>22</v>
      </c>
      <c r="B10" s="12" t="n">
        <v>0.031</v>
      </c>
      <c r="C10" s="0" t="s">
        <v>18</v>
      </c>
      <c r="E10" s="5" t="n">
        <v>8</v>
      </c>
      <c r="F10" s="6" t="n">
        <f aca="false">E10*$B$23^2/($B$34*$B$24*$B$25)</f>
        <v>273.814408227113</v>
      </c>
      <c r="G10" s="7" t="n">
        <f aca="false">$B$11/(F10*$B$27)</f>
        <v>0.0222621686316103</v>
      </c>
      <c r="H10" s="8" t="n">
        <f aca="false">G10*1000/100</f>
        <v>0.222621686316102</v>
      </c>
      <c r="I10" s="8" t="n">
        <f aca="false">G10*1000/50</f>
        <v>0.445243372632205</v>
      </c>
      <c r="J10" s="6" t="n">
        <f aca="false">$B$32*F10*$B$10/($B$33*$B$23)</f>
        <v>14628.960431754</v>
      </c>
      <c r="K10" s="9" t="n">
        <f aca="false">0.316/J10^0.25</f>
        <v>0.0287331815078671</v>
      </c>
      <c r="L10" s="7" t="n">
        <f aca="false">K10*$B$11*$B$32*$B$26*$B$21/(2*$B$10*$B$28)</f>
        <v>1.36752710446461</v>
      </c>
    </row>
    <row r="11" customFormat="false" ht="14.9" hidden="false" customHeight="false" outlineLevel="0" collapsed="false">
      <c r="A11" s="0" t="s">
        <v>23</v>
      </c>
      <c r="B11" s="13" t="n">
        <v>20</v>
      </c>
      <c r="C11" s="0" t="s">
        <v>24</v>
      </c>
      <c r="E11" s="5" t="n">
        <v>9</v>
      </c>
      <c r="F11" s="6" t="n">
        <f aca="false">E11*$B$23^2/($B$34*$B$24*$B$25)</f>
        <v>308.041209255502</v>
      </c>
      <c r="G11" s="7" t="n">
        <f aca="false">$B$11/(F11*$B$27)</f>
        <v>0.0197885943392091</v>
      </c>
      <c r="H11" s="8" t="n">
        <f aca="false">G11*1000/100</f>
        <v>0.197885943392091</v>
      </c>
      <c r="I11" s="8" t="n">
        <f aca="false">G11*1000/50</f>
        <v>0.395771886784182</v>
      </c>
      <c r="J11" s="6" t="n">
        <f aca="false">$B$32*F11*$B$10/($B$33*$B$23)</f>
        <v>16457.5804857232</v>
      </c>
      <c r="K11" s="9" t="n">
        <f aca="false">0.316/J11^0.25</f>
        <v>0.027899446394085</v>
      </c>
      <c r="L11" s="7" t="n">
        <f aca="false">K11*$B$11*$B$32*$B$26*$B$21/(2*$B$10*$B$28)</f>
        <v>1.32784631360862</v>
      </c>
    </row>
    <row r="12" customFormat="false" ht="14.9" hidden="false" customHeight="false" outlineLevel="0" collapsed="false">
      <c r="A12" s="0" t="s">
        <v>25</v>
      </c>
      <c r="B12" s="13" t="n">
        <v>101.7</v>
      </c>
      <c r="C12" s="0" t="s">
        <v>26</v>
      </c>
      <c r="E12" s="5" t="n">
        <v>10</v>
      </c>
      <c r="F12" s="6" t="n">
        <f aca="false">E12*$B$23^2/($B$34*$B$24*$B$25)</f>
        <v>342.268010283891</v>
      </c>
      <c r="G12" s="7" t="n">
        <f aca="false">$B$11/(F12*$B$27)</f>
        <v>0.0178097349052882</v>
      </c>
      <c r="H12" s="8" t="n">
        <f aca="false">G12*1000/100</f>
        <v>0.178097349052882</v>
      </c>
      <c r="I12" s="8" t="n">
        <f aca="false">G12*1000/50</f>
        <v>0.356194698105764</v>
      </c>
      <c r="J12" s="6" t="n">
        <f aca="false">$B$32*F12*$B$10/($B$33*$B$23)</f>
        <v>18286.2005396925</v>
      </c>
      <c r="K12" s="9" t="n">
        <f aca="false">0.316/J12^0.25</f>
        <v>0.0271741653110305</v>
      </c>
      <c r="L12" s="7" t="n">
        <f aca="false">K12*$B$11*$B$32*$B$26*$B$21/(2*$B$10*$B$28)</f>
        <v>1.29332728413182</v>
      </c>
    </row>
    <row r="13" customFormat="false" ht="14.9" hidden="false" customHeight="false" outlineLevel="0" collapsed="false">
      <c r="A13" s="0" t="s">
        <v>27</v>
      </c>
      <c r="B13" s="13" t="n">
        <v>59</v>
      </c>
      <c r="C13" s="0" t="s">
        <v>28</v>
      </c>
      <c r="E13" s="5" t="n">
        <v>11</v>
      </c>
      <c r="F13" s="6" t="n">
        <f aca="false">E13*$B$23^2/($B$34*$B$24*$B$25)</f>
        <v>376.49481131228</v>
      </c>
      <c r="G13" s="7" t="n">
        <f aca="false">$B$11/(F13*$B$27)</f>
        <v>0.0161906680957165</v>
      </c>
      <c r="H13" s="8" t="n">
        <f aca="false">G13*1000/100</f>
        <v>0.161906680957165</v>
      </c>
      <c r="I13" s="8" t="n">
        <f aca="false">G13*1000/50</f>
        <v>0.323813361914331</v>
      </c>
      <c r="J13" s="6" t="n">
        <f aca="false">$B$32*F13*$B$10/($B$33*$B$23)</f>
        <v>20114.8205936617</v>
      </c>
      <c r="K13" s="9" t="n">
        <f aca="false">0.316/J13^0.25</f>
        <v>0.0265343248514959</v>
      </c>
      <c r="L13" s="7" t="n">
        <f aca="false">K13*$B$11*$B$32*$B$26*$B$21/(2*$B$10*$B$28)</f>
        <v>1.26287471588047</v>
      </c>
    </row>
    <row r="14" customFormat="false" ht="14.9" hidden="false" customHeight="false" outlineLevel="0" collapsed="false">
      <c r="B14" s="14"/>
      <c r="E14" s="5" t="n">
        <v>12</v>
      </c>
      <c r="F14" s="6" t="n">
        <f aca="false">E14*$B$23^2/($B$34*$B$24*$B$25)</f>
        <v>410.721612340669</v>
      </c>
      <c r="G14" s="7" t="n">
        <f aca="false">$B$11/(F14*$B$27)</f>
        <v>0.0148414457544068</v>
      </c>
      <c r="H14" s="8" t="n">
        <f aca="false">G14*1000/100</f>
        <v>0.148414457544068</v>
      </c>
      <c r="I14" s="8" t="n">
        <f aca="false">G14*1000/50</f>
        <v>0.296828915088137</v>
      </c>
      <c r="J14" s="6" t="n">
        <f aca="false">$B$32*F14*$B$10/($B$33*$B$23)</f>
        <v>21943.440647631</v>
      </c>
      <c r="K14" s="9" t="n">
        <f aca="false">0.316/J14^0.25</f>
        <v>0.025963360380594</v>
      </c>
      <c r="L14" s="7" t="n">
        <f aca="false">K14*$B$11*$B$32*$B$26*$B$21/(2*$B$10*$B$28)</f>
        <v>1.23570023158499</v>
      </c>
    </row>
    <row r="15" customFormat="false" ht="14.9" hidden="false" customHeight="false" outlineLevel="0" collapsed="false">
      <c r="E15" s="5" t="n">
        <v>13</v>
      </c>
      <c r="F15" s="6" t="n">
        <f aca="false">E15*$B$23^2/($B$34*$B$24*$B$25)</f>
        <v>444.948413369058</v>
      </c>
      <c r="G15" s="7" t="n">
        <f aca="false">$B$11/(F15*$B$27)</f>
        <v>0.0136997960809909</v>
      </c>
      <c r="H15" s="8" t="n">
        <f aca="false">G15*1000/100</f>
        <v>0.136997960809909</v>
      </c>
      <c r="I15" s="8" t="n">
        <f aca="false">G15*1000/50</f>
        <v>0.273995921619818</v>
      </c>
      <c r="J15" s="6" t="n">
        <f aca="false">$B$32*F15*$B$10/($B$33*$B$23)</f>
        <v>23772.0607016002</v>
      </c>
      <c r="K15" s="9" t="n">
        <f aca="false">0.316/J15^0.25</f>
        <v>0.0254489796815139</v>
      </c>
      <c r="L15" s="7" t="n">
        <f aca="false">K15*$B$11*$B$32*$B$26*$B$21/(2*$B$10*$B$28)</f>
        <v>1.2112187954512</v>
      </c>
    </row>
    <row r="16" customFormat="false" ht="14.9" hidden="false" customHeight="false" outlineLevel="0" collapsed="false">
      <c r="A16" s="4" t="s">
        <v>29</v>
      </c>
      <c r="E16" s="5" t="n">
        <v>14</v>
      </c>
      <c r="F16" s="6" t="n">
        <f aca="false">E16*$B$23^2/($B$34*$B$24*$B$25)</f>
        <v>479.175214397447</v>
      </c>
      <c r="G16" s="7" t="n">
        <f aca="false">$B$11/(F16*$B$27)</f>
        <v>0.012721239218063</v>
      </c>
      <c r="H16" s="8" t="n">
        <f aca="false">G16*1000/100</f>
        <v>0.12721239218063</v>
      </c>
      <c r="I16" s="8" t="n">
        <f aca="false">G16*1000/50</f>
        <v>0.25442478436126</v>
      </c>
      <c r="J16" s="6" t="n">
        <f aca="false">$B$32*F16*$B$10/($B$33*$B$23)</f>
        <v>25600.6807555695</v>
      </c>
      <c r="K16" s="9" t="n">
        <f aca="false">0.316/J16^0.25</f>
        <v>0.0249818274377074</v>
      </c>
      <c r="L16" s="7" t="n">
        <f aca="false">K16*$B$11*$B$32*$B$26*$B$21/(2*$B$10*$B$28)</f>
        <v>1.18898515052253</v>
      </c>
    </row>
    <row r="17" customFormat="false" ht="14.9" hidden="false" customHeight="false" outlineLevel="0" collapsed="false">
      <c r="A17" s="0" t="s">
        <v>30</v>
      </c>
      <c r="B17" s="15" t="n">
        <v>287.058</v>
      </c>
      <c r="C17" s="0" t="s">
        <v>31</v>
      </c>
      <c r="E17" s="5" t="n">
        <v>15</v>
      </c>
      <c r="F17" s="6" t="n">
        <f aca="false">E17*$B$23^2/($B$34*$B$24*$B$25)</f>
        <v>513.402015425836</v>
      </c>
      <c r="G17" s="7" t="n">
        <f aca="false">$B$11/(F17*$B$27)</f>
        <v>0.0118731566035255</v>
      </c>
      <c r="H17" s="8" t="n">
        <f aca="false">G17*1000/100</f>
        <v>0.118731566035255</v>
      </c>
      <c r="I17" s="8" t="n">
        <f aca="false">G17*1000/50</f>
        <v>0.237463132070509</v>
      </c>
      <c r="J17" s="6" t="n">
        <f aca="false">$B$32*F17*$B$10/($B$33*$B$23)</f>
        <v>27429.3008095387</v>
      </c>
      <c r="K17" s="9" t="n">
        <f aca="false">0.316/J17^0.25</f>
        <v>0.0245546302214723</v>
      </c>
      <c r="L17" s="7" t="n">
        <f aca="false">K17*$B$11*$B$32*$B$26*$B$21/(2*$B$10*$B$28)</f>
        <v>1.16865312526479</v>
      </c>
    </row>
    <row r="18" customFormat="false" ht="14.9" hidden="false" customHeight="false" outlineLevel="0" collapsed="false">
      <c r="A18" s="0" t="s">
        <v>32</v>
      </c>
      <c r="B18" s="0" t="n">
        <v>120</v>
      </c>
      <c r="C18" s="0" t="s">
        <v>33</v>
      </c>
      <c r="E18" s="5" t="n">
        <v>16</v>
      </c>
      <c r="F18" s="6" t="n">
        <f aca="false">E18*$B$23^2/($B$34*$B$24*$B$25)</f>
        <v>547.628816454225</v>
      </c>
      <c r="G18" s="7" t="n">
        <f aca="false">$B$11/(F18*$B$27)</f>
        <v>0.0111310843158051</v>
      </c>
      <c r="H18" s="8" t="n">
        <f aca="false">G18*1000/100</f>
        <v>0.111310843158051</v>
      </c>
      <c r="I18" s="8" t="n">
        <f aca="false">G18*1000/50</f>
        <v>0.222621686316102</v>
      </c>
      <c r="J18" s="6" t="n">
        <f aca="false">$B$32*F18*$B$10/($B$33*$B$23)</f>
        <v>29257.920863508</v>
      </c>
      <c r="K18" s="9" t="n">
        <f aca="false">0.316/J18^0.25</f>
        <v>0.0241616293287997</v>
      </c>
      <c r="L18" s="7" t="n">
        <f aca="false">K18*$B$11*$B$32*$B$26*$B$21/(2*$B$10*$B$28)</f>
        <v>1.14994863990658</v>
      </c>
    </row>
    <row r="19" customFormat="false" ht="14.9" hidden="false" customHeight="false" outlineLevel="0" collapsed="false">
      <c r="A19" s="0" t="s">
        <v>34</v>
      </c>
      <c r="B19" s="0" t="n">
        <v>1.512041288</v>
      </c>
      <c r="C19" s="16" t="s">
        <v>35</v>
      </c>
      <c r="E19" s="5" t="n">
        <v>17</v>
      </c>
      <c r="F19" s="6" t="n">
        <f aca="false">E19*$B$23^2/($B$34*$B$24*$B$25)</f>
        <v>581.855617482614</v>
      </c>
      <c r="G19" s="7" t="n">
        <f aca="false">$B$11/(F19*$B$27)</f>
        <v>0.0104763146501695</v>
      </c>
      <c r="H19" s="8" t="n">
        <f aca="false">G19*1000/100</f>
        <v>0.104763146501695</v>
      </c>
      <c r="I19" s="8" t="n">
        <f aca="false">G19*1000/50</f>
        <v>0.209526293003391</v>
      </c>
      <c r="J19" s="6" t="n">
        <f aca="false">$B$32*F19*$B$10/($B$33*$B$23)</f>
        <v>31086.5409174772</v>
      </c>
      <c r="K19" s="9" t="n">
        <f aca="false">0.316/J19^0.25</f>
        <v>0.0237981930242566</v>
      </c>
      <c r="L19" s="7" t="n">
        <f aca="false">K19*$B$11*$B$32*$B$26*$B$21/(2*$B$10*$B$28)</f>
        <v>1.13265125162143</v>
      </c>
    </row>
    <row r="20" customFormat="false" ht="14.9" hidden="false" customHeight="false" outlineLevel="0" collapsed="false">
      <c r="A20" s="0" t="s">
        <v>36</v>
      </c>
      <c r="B20" s="0" t="n">
        <v>0.528</v>
      </c>
      <c r="C20" s="16"/>
      <c r="E20" s="5" t="n">
        <v>18</v>
      </c>
      <c r="F20" s="6" t="n">
        <f aca="false">E20*$B$23^2/($B$34*$B$24*$B$25)</f>
        <v>616.082418511003</v>
      </c>
      <c r="G20" s="7" t="n">
        <f aca="false">$B$11/(F20*$B$27)</f>
        <v>0.00989429716960456</v>
      </c>
      <c r="H20" s="8" t="n">
        <f aca="false">G20*1000/100</f>
        <v>0.0989429716960456</v>
      </c>
      <c r="I20" s="8" t="n">
        <f aca="false">G20*1000/50</f>
        <v>0.197885943392091</v>
      </c>
      <c r="J20" s="6" t="n">
        <f aca="false">$B$32*F20*$B$10/($B$33*$B$23)</f>
        <v>32915.1609714465</v>
      </c>
      <c r="K20" s="9" t="n">
        <f aca="false">0.316/J20^0.25</f>
        <v>0.0234605444603492</v>
      </c>
      <c r="L20" s="7" t="n">
        <f aca="false">K20*$B$11*$B$32*$B$26*$B$21/(2*$B$10*$B$28)</f>
        <v>1.11658120512135</v>
      </c>
    </row>
    <row r="21" customFormat="false" ht="14.9" hidden="false" customHeight="false" outlineLevel="0" collapsed="false">
      <c r="A21" s="0" t="s">
        <v>37</v>
      </c>
      <c r="B21" s="0" t="n">
        <v>10</v>
      </c>
      <c r="C21" s="0" t="s">
        <v>38</v>
      </c>
      <c r="E21" s="5" t="n">
        <v>19</v>
      </c>
      <c r="F21" s="6" t="n">
        <f aca="false">E21*$B$23^2/($B$34*$B$24*$B$25)</f>
        <v>650.309219539392</v>
      </c>
      <c r="G21" s="7" t="n">
        <f aca="false">$B$11/(F21*$B$27)</f>
        <v>0.00937354468699379</v>
      </c>
      <c r="H21" s="8" t="n">
        <f aca="false">G21*1000/100</f>
        <v>0.0937354468699379</v>
      </c>
      <c r="I21" s="8" t="n">
        <f aca="false">G21*1000/50</f>
        <v>0.187470893739876</v>
      </c>
      <c r="J21" s="6" t="n">
        <f aca="false">$B$32*F21*$B$10/($B$33*$B$23)</f>
        <v>34743.7810254157</v>
      </c>
      <c r="K21" s="9" t="n">
        <f aca="false">0.316/J21^0.25</f>
        <v>0.023145566392478</v>
      </c>
      <c r="L21" s="7" t="n">
        <f aca="false">K21*$B$11*$B$32*$B$26*$B$21/(2*$B$10*$B$28)</f>
        <v>1.10159013825993</v>
      </c>
    </row>
    <row r="22" customFormat="false" ht="13.8" hidden="false" customHeight="false" outlineLevel="0" collapsed="false">
      <c r="A22" s="0" t="s">
        <v>39</v>
      </c>
      <c r="B22" s="0" t="n">
        <v>68.94</v>
      </c>
      <c r="C22" s="0" t="s">
        <v>38</v>
      </c>
    </row>
    <row r="23" customFormat="false" ht="13.8" hidden="false" customHeight="false" outlineLevel="0" collapsed="false">
      <c r="A23" s="0" t="s">
        <v>40</v>
      </c>
      <c r="B23" s="0" t="n">
        <v>39.37</v>
      </c>
      <c r="C23" s="16" t="s">
        <v>38</v>
      </c>
    </row>
    <row r="24" customFormat="false" ht="13.8" hidden="false" customHeight="false" outlineLevel="0" collapsed="false">
      <c r="A24" s="0" t="s">
        <v>41</v>
      </c>
      <c r="B24" s="0" t="n">
        <v>60</v>
      </c>
      <c r="C24" s="16" t="s">
        <v>38</v>
      </c>
    </row>
    <row r="25" customFormat="false" ht="13.8" hidden="false" customHeight="false" outlineLevel="0" collapsed="false">
      <c r="A25" s="0" t="s">
        <v>42</v>
      </c>
      <c r="B25" s="0" t="n">
        <v>1000</v>
      </c>
      <c r="C25" s="16" t="s">
        <v>38</v>
      </c>
    </row>
    <row r="26" customFormat="false" ht="13.8" hidden="false" customHeight="false" outlineLevel="0" collapsed="false">
      <c r="A26" s="0" t="s">
        <v>43</v>
      </c>
      <c r="B26" s="0" t="n">
        <v>12</v>
      </c>
      <c r="C26" s="16" t="s">
        <v>38</v>
      </c>
    </row>
    <row r="27" customFormat="false" ht="13.8" hidden="false" customHeight="false" outlineLevel="0" collapsed="false">
      <c r="A27" s="0" t="s">
        <v>44</v>
      </c>
      <c r="B27" s="0" t="n">
        <v>3.281</v>
      </c>
      <c r="C27" s="16" t="s">
        <v>38</v>
      </c>
    </row>
    <row r="28" customFormat="false" ht="13.8" hidden="false" customHeight="false" outlineLevel="0" collapsed="false">
      <c r="A28" s="0" t="s">
        <v>45</v>
      </c>
      <c r="B28" s="0" t="n">
        <v>1000</v>
      </c>
      <c r="C28" s="16" t="s">
        <v>38</v>
      </c>
    </row>
    <row r="30" customFormat="false" ht="13.8" hidden="false" customHeight="false" outlineLevel="0" collapsed="false">
      <c r="A30" s="4" t="s">
        <v>46</v>
      </c>
      <c r="C30" s="16"/>
    </row>
    <row r="31" customFormat="false" ht="13.8" hidden="false" customHeight="false" outlineLevel="0" collapsed="false">
      <c r="A31" s="0" t="s">
        <v>27</v>
      </c>
      <c r="B31" s="17" t="n">
        <f aca="false">(B13-32)*5/9</f>
        <v>15</v>
      </c>
      <c r="C31" s="0" t="s">
        <v>47</v>
      </c>
    </row>
    <row r="32" customFormat="false" ht="13.8" hidden="false" customHeight="false" outlineLevel="0" collapsed="false">
      <c r="A32" s="0" t="s">
        <v>48</v>
      </c>
      <c r="B32" s="18" t="n">
        <f aca="false">1000*B12/(B17*(B31+273.15))</f>
        <v>1.22951172400904</v>
      </c>
      <c r="C32" s="0" t="s">
        <v>49</v>
      </c>
    </row>
    <row r="33" customFormat="false" ht="13.8" hidden="false" customHeight="false" outlineLevel="0" collapsed="false">
      <c r="A33" s="0" t="s">
        <v>50</v>
      </c>
      <c r="B33" s="19" t="n">
        <f aca="false">B19*(B31+273.15)^1.5/((B31+273.15+B18)*10^6)</f>
        <v>1.81205671028066E-005</v>
      </c>
      <c r="C33" s="0" t="s">
        <v>51</v>
      </c>
    </row>
    <row r="34" customFormat="false" ht="13.8" hidden="false" customHeight="false" outlineLevel="0" collapsed="false">
      <c r="A34" s="0" t="s">
        <v>52</v>
      </c>
      <c r="B34" s="20" t="n">
        <f aca="false">PI()*(B10/2)^2</f>
        <v>0.000754767635024948</v>
      </c>
      <c r="C34" s="0" t="s">
        <v>53</v>
      </c>
    </row>
    <row r="35" customFormat="false" ht="13.8" hidden="false" customHeight="false" outlineLevel="0" collapsed="false">
      <c r="A35" s="0" t="s">
        <v>54</v>
      </c>
      <c r="B35" s="17" t="n">
        <f aca="false">$B$12*$B$20</f>
        <v>53.6976</v>
      </c>
      <c r="C35" s="0" t="s">
        <v>26</v>
      </c>
    </row>
    <row r="36" customFormat="false" ht="13.8" hidden="false" customHeight="false" outlineLevel="0" collapsed="false">
      <c r="A36" s="21" t="s">
        <v>55</v>
      </c>
      <c r="B36" s="22" t="n">
        <f aca="false">($B$12-$B$35)*$B$21</f>
        <v>480.024</v>
      </c>
      <c r="C36" s="0" t="s">
        <v>56</v>
      </c>
    </row>
    <row r="37" customFormat="false" ht="13.8" hidden="false" customHeight="false" outlineLevel="0" collapsed="false">
      <c r="A37" s="0" t="s">
        <v>57</v>
      </c>
      <c r="B37" s="22" t="n">
        <f aca="false">-1*$B$3*$B$22-AVERAGE(L3:L21)</f>
        <v>-483.979267406272</v>
      </c>
      <c r="C37" s="0" t="s">
        <v>56</v>
      </c>
    </row>
  </sheetData>
  <mergeCells count="1">
    <mergeCell ref="H1:I1"/>
  </mergeCells>
  <conditionalFormatting sqref="J3:J21">
    <cfRule type="cellIs" priority="2" operator="lessThan" aboveAverage="0" equalAverage="0" bottom="0" percent="0" rank="0" text="" dxfId="0">
      <formula>4100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2014-06-27T22:34:22Z</dcterms:created>
  <dc:creator>Patrick O'Keeffe</dc:creator>
  <dc:language>en-US</dc:language>
  <cp:lastModifiedBy>Patrick O'Keeffe</cp:lastModifiedBy>
  <dcterms:modified xsi:type="dcterms:W3CDTF">2014-06-28T02:53:20Z</dcterms:modified>
  <cp:revision>0</cp:revision>
</cp:coreProperties>
</file>