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J:\WSU SMART REA\design.git\engr\"/>
    </mc:Choice>
  </mc:AlternateContent>
  <bookViews>
    <workbookView xWindow="0" yWindow="0" windowWidth="16380" windowHeight="8190" tabRatio="666" activeTab="4"/>
  </bookViews>
  <sheets>
    <sheet name="Conditions" sheetId="5" r:id="rId1"/>
    <sheet name="Canisters" sheetId="4" r:id="rId2"/>
    <sheet name="Flow" sheetId="3" r:id="rId3"/>
    <sheet name="Consumption" sheetId="1" r:id="rId4"/>
    <sheet name="PV system" sheetId="2" r:id="rId5"/>
    <sheet name="Batteries" sheetId="6" r:id="rId6"/>
  </sheets>
  <calcPr calcId="152511"/>
</workbook>
</file>

<file path=xl/calcChain.xml><?xml version="1.0" encoding="utf-8"?>
<calcChain xmlns="http://schemas.openxmlformats.org/spreadsheetml/2006/main">
  <c r="F18" i="1" l="1"/>
  <c r="G12" i="1"/>
  <c r="I12" i="1" s="1"/>
  <c r="G18" i="1"/>
  <c r="I18" i="1" s="1"/>
  <c r="G17" i="1"/>
  <c r="I17" i="1" s="1"/>
  <c r="B26" i="3" l="1"/>
  <c r="M22" i="3"/>
  <c r="M23" i="3"/>
  <c r="M24" i="3"/>
  <c r="M25" i="3"/>
  <c r="M26" i="3"/>
  <c r="M27" i="3"/>
  <c r="M28" i="3"/>
  <c r="M29" i="3"/>
  <c r="M30" i="3"/>
  <c r="M31" i="3"/>
  <c r="B8" i="2" l="1"/>
  <c r="H14" i="1"/>
  <c r="H13" i="1"/>
  <c r="A4" i="3"/>
  <c r="B4" i="3"/>
  <c r="C4" i="3"/>
  <c r="B3" i="3"/>
  <c r="C3" i="3"/>
  <c r="A3" i="3"/>
  <c r="A4" i="4"/>
  <c r="B4" i="4"/>
  <c r="B14" i="4" s="1"/>
  <c r="C4" i="4"/>
  <c r="B3" i="4"/>
  <c r="C3" i="4"/>
  <c r="A3" i="4"/>
  <c r="B27" i="3" l="1"/>
  <c r="B28" i="3"/>
  <c r="B30" i="3"/>
  <c r="B15" i="4"/>
  <c r="B16" i="4" s="1"/>
  <c r="M3" i="3"/>
  <c r="M4" i="3"/>
  <c r="B9" i="3"/>
  <c r="M5" i="3"/>
  <c r="B10" i="3"/>
  <c r="M6" i="3"/>
  <c r="B11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B20" i="3"/>
  <c r="B21" i="3" s="1"/>
  <c r="B23" i="3"/>
  <c r="B24" i="3" s="1"/>
  <c r="B25" i="3" s="1"/>
  <c r="F3" i="3" l="1"/>
  <c r="G3" i="3" s="1"/>
  <c r="I3" i="3" s="1"/>
  <c r="F22" i="3"/>
  <c r="F24" i="3"/>
  <c r="F26" i="3"/>
  <c r="F28" i="3"/>
  <c r="F30" i="3"/>
  <c r="F23" i="3"/>
  <c r="F25" i="3"/>
  <c r="F27" i="3"/>
  <c r="F29" i="3"/>
  <c r="F31" i="3"/>
  <c r="F21" i="3"/>
  <c r="G21" i="3" s="1"/>
  <c r="I21" i="3" s="1"/>
  <c r="F18" i="3"/>
  <c r="G18" i="3" s="1"/>
  <c r="F17" i="3"/>
  <c r="G17" i="3" s="1"/>
  <c r="I17" i="3" s="1"/>
  <c r="F14" i="3"/>
  <c r="G14" i="3" s="1"/>
  <c r="F13" i="3"/>
  <c r="G13" i="3" s="1"/>
  <c r="I13" i="3" s="1"/>
  <c r="F5" i="3"/>
  <c r="G5" i="3" s="1"/>
  <c r="H5" i="3" s="1"/>
  <c r="B22" i="3"/>
  <c r="J17" i="3" s="1"/>
  <c r="F20" i="3"/>
  <c r="G20" i="3" s="1"/>
  <c r="F19" i="3"/>
  <c r="G19" i="3" s="1"/>
  <c r="I19" i="3" s="1"/>
  <c r="F16" i="3"/>
  <c r="G16" i="3" s="1"/>
  <c r="F15" i="3"/>
  <c r="G15" i="3" s="1"/>
  <c r="I15" i="3" s="1"/>
  <c r="F12" i="3"/>
  <c r="G12" i="3" s="1"/>
  <c r="F11" i="3"/>
  <c r="G11" i="3" s="1"/>
  <c r="I11" i="3" s="1"/>
  <c r="F10" i="3"/>
  <c r="G10" i="3" s="1"/>
  <c r="I10" i="3" s="1"/>
  <c r="F9" i="3"/>
  <c r="G9" i="3" s="1"/>
  <c r="H9" i="3" s="1"/>
  <c r="F8" i="3"/>
  <c r="G8" i="3" s="1"/>
  <c r="I8" i="3" s="1"/>
  <c r="F7" i="3"/>
  <c r="G7" i="3" s="1"/>
  <c r="I7" i="3" s="1"/>
  <c r="B17" i="4"/>
  <c r="F6" i="3"/>
  <c r="G6" i="3" s="1"/>
  <c r="F4" i="3"/>
  <c r="G4" i="3" s="1"/>
  <c r="H3" i="3" l="1"/>
  <c r="J21" i="3"/>
  <c r="H10" i="3"/>
  <c r="J3" i="3"/>
  <c r="K3" i="3" s="1"/>
  <c r="L3" i="3" s="1"/>
  <c r="K17" i="3"/>
  <c r="L17" i="3" s="1"/>
  <c r="O17" i="3" s="1"/>
  <c r="K21" i="3"/>
  <c r="L21" i="3" s="1"/>
  <c r="O21" i="3" s="1"/>
  <c r="H19" i="3"/>
  <c r="H8" i="3"/>
  <c r="G29" i="3"/>
  <c r="J29" i="3"/>
  <c r="G25" i="3"/>
  <c r="J25" i="3"/>
  <c r="G30" i="3"/>
  <c r="J30" i="3"/>
  <c r="G26" i="3"/>
  <c r="J26" i="3"/>
  <c r="G22" i="3"/>
  <c r="J22" i="3"/>
  <c r="H7" i="3"/>
  <c r="I9" i="3"/>
  <c r="H11" i="3"/>
  <c r="G31" i="3"/>
  <c r="J31" i="3"/>
  <c r="G27" i="3"/>
  <c r="J27" i="3"/>
  <c r="G23" i="3"/>
  <c r="J23" i="3"/>
  <c r="G28" i="3"/>
  <c r="J28" i="3"/>
  <c r="G24" i="3"/>
  <c r="J24" i="3"/>
  <c r="H15" i="3"/>
  <c r="J13" i="3"/>
  <c r="I5" i="3"/>
  <c r="J9" i="3"/>
  <c r="H13" i="3"/>
  <c r="H17" i="3"/>
  <c r="H21" i="3"/>
  <c r="J7" i="3"/>
  <c r="J15" i="3"/>
  <c r="J19" i="3"/>
  <c r="J12" i="3"/>
  <c r="J14" i="3"/>
  <c r="J16" i="3"/>
  <c r="J18" i="3"/>
  <c r="J20" i="3"/>
  <c r="J10" i="3"/>
  <c r="J8" i="3"/>
  <c r="J5" i="3"/>
  <c r="I12" i="3"/>
  <c r="H12" i="3"/>
  <c r="I16" i="3"/>
  <c r="H16" i="3"/>
  <c r="I20" i="3"/>
  <c r="H20" i="3"/>
  <c r="I14" i="3"/>
  <c r="H14" i="3"/>
  <c r="I18" i="3"/>
  <c r="H18" i="3"/>
  <c r="J6" i="3"/>
  <c r="J11" i="3"/>
  <c r="H4" i="3"/>
  <c r="I4" i="3"/>
  <c r="H6" i="3"/>
  <c r="I6" i="3"/>
  <c r="J4" i="3"/>
  <c r="O3" i="3" l="1"/>
  <c r="K20" i="3"/>
  <c r="L20" i="3" s="1"/>
  <c r="O20" i="3" s="1"/>
  <c r="K12" i="3"/>
  <c r="L12" i="3" s="1"/>
  <c r="O12" i="3" s="1"/>
  <c r="K22" i="3"/>
  <c r="L22" i="3" s="1"/>
  <c r="O22" i="3" s="1"/>
  <c r="K26" i="3"/>
  <c r="L26" i="3" s="1"/>
  <c r="O26" i="3" s="1"/>
  <c r="K30" i="3"/>
  <c r="L30" i="3" s="1"/>
  <c r="O30" i="3" s="1"/>
  <c r="K25" i="3"/>
  <c r="L25" i="3" s="1"/>
  <c r="O25" i="3" s="1"/>
  <c r="K29" i="3"/>
  <c r="L29" i="3" s="1"/>
  <c r="O29" i="3" s="1"/>
  <c r="K4" i="3"/>
  <c r="L4" i="3" s="1"/>
  <c r="O4" i="3"/>
  <c r="K6" i="3"/>
  <c r="L6" i="3" s="1"/>
  <c r="O6" i="3" s="1"/>
  <c r="K8" i="3"/>
  <c r="L8" i="3" s="1"/>
  <c r="O8" i="3" s="1"/>
  <c r="K16" i="3"/>
  <c r="L16" i="3" s="1"/>
  <c r="O16" i="3" s="1"/>
  <c r="K15" i="3"/>
  <c r="L15" i="3" s="1"/>
  <c r="O15" i="3" s="1"/>
  <c r="K11" i="3"/>
  <c r="L11" i="3" s="1"/>
  <c r="O11" i="3" s="1"/>
  <c r="K5" i="3"/>
  <c r="L5" i="3" s="1"/>
  <c r="O5" i="3"/>
  <c r="K10" i="3"/>
  <c r="L10" i="3" s="1"/>
  <c r="O10" i="3" s="1"/>
  <c r="K18" i="3"/>
  <c r="L18" i="3" s="1"/>
  <c r="O18" i="3" s="1"/>
  <c r="K14" i="3"/>
  <c r="L14" i="3" s="1"/>
  <c r="O14" i="3" s="1"/>
  <c r="K19" i="3"/>
  <c r="L19" i="3" s="1"/>
  <c r="O19" i="3" s="1"/>
  <c r="K7" i="3"/>
  <c r="L7" i="3" s="1"/>
  <c r="O7" i="3" s="1"/>
  <c r="K9" i="3"/>
  <c r="L9" i="3" s="1"/>
  <c r="O9" i="3" s="1"/>
  <c r="K13" i="3"/>
  <c r="L13" i="3" s="1"/>
  <c r="O13" i="3" s="1"/>
  <c r="K24" i="3"/>
  <c r="L24" i="3" s="1"/>
  <c r="O24" i="3" s="1"/>
  <c r="K28" i="3"/>
  <c r="L28" i="3" s="1"/>
  <c r="O28" i="3" s="1"/>
  <c r="K23" i="3"/>
  <c r="L23" i="3" s="1"/>
  <c r="O23" i="3" s="1"/>
  <c r="K27" i="3"/>
  <c r="L27" i="3" s="1"/>
  <c r="O27" i="3" s="1"/>
  <c r="K31" i="3"/>
  <c r="L31" i="3" s="1"/>
  <c r="O31" i="3" s="1"/>
  <c r="I24" i="3"/>
  <c r="H24" i="3"/>
  <c r="I28" i="3"/>
  <c r="H28" i="3"/>
  <c r="I23" i="3"/>
  <c r="H23" i="3"/>
  <c r="I27" i="3"/>
  <c r="H27" i="3"/>
  <c r="I31" i="3"/>
  <c r="H31" i="3"/>
  <c r="I22" i="3"/>
  <c r="H22" i="3"/>
  <c r="I26" i="3"/>
  <c r="H26" i="3"/>
  <c r="I30" i="3"/>
  <c r="H30" i="3"/>
  <c r="I25" i="3"/>
  <c r="H25" i="3"/>
  <c r="I29" i="3"/>
  <c r="H29" i="3"/>
  <c r="B36" i="2"/>
  <c r="F24" i="2"/>
  <c r="G14" i="1"/>
  <c r="I14" i="1" s="1"/>
  <c r="G16" i="1"/>
  <c r="I16" i="1" s="1"/>
  <c r="I1" i="1" s="1"/>
  <c r="B1" i="2" s="1"/>
  <c r="G15" i="1"/>
  <c r="I15" i="1" s="1"/>
  <c r="G13" i="1"/>
  <c r="I13" i="1" s="1"/>
  <c r="G11" i="1"/>
  <c r="I11" i="1" s="1"/>
  <c r="G10" i="1"/>
  <c r="I10" i="1" s="1"/>
  <c r="G9" i="1"/>
  <c r="I9" i="1" s="1"/>
  <c r="G8" i="1"/>
  <c r="I8" i="1" s="1"/>
  <c r="G7" i="1"/>
  <c r="I7" i="1" s="1"/>
  <c r="G6" i="1"/>
  <c r="I6" i="1" s="1"/>
  <c r="G5" i="1"/>
  <c r="I5" i="1" s="1"/>
  <c r="I2" i="1"/>
  <c r="B3" i="2" s="1"/>
  <c r="B4" i="2" s="1"/>
  <c r="B29" i="3" l="1"/>
  <c r="B31" i="3" s="1"/>
  <c r="B9" i="2"/>
  <c r="B2" i="2"/>
  <c r="F15" i="2" s="1"/>
  <c r="F17" i="2" s="1"/>
  <c r="B22" i="2" l="1"/>
  <c r="B23" i="2" s="1"/>
  <c r="B24" i="2" s="1"/>
  <c r="F29" i="2" s="1"/>
  <c r="B29" i="2"/>
  <c r="B30" i="2" s="1"/>
  <c r="B31" i="2" s="1"/>
  <c r="F30" i="2" s="1"/>
  <c r="B17" i="2"/>
  <c r="F18" i="2" s="1"/>
</calcChain>
</file>

<file path=xl/comments1.xml><?xml version="1.0" encoding="utf-8"?>
<comments xmlns="http://schemas.openxmlformats.org/spreadsheetml/2006/main">
  <authors>
    <author>Patrick O'Keeffe</author>
  </authors>
  <commentList>
    <comment ref="A3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1976 Standard Atmosphere</t>
        </r>
      </text>
    </comment>
  </commentList>
</comments>
</file>

<file path=xl/comments2.xml><?xml version="1.0" encoding="utf-8"?>
<comments xmlns="http://schemas.openxmlformats.org/spreadsheetml/2006/main">
  <authors>
    <author>Patrick O'Keeffe</author>
  </authors>
  <commentList>
    <comment ref="A7" authorId="0" shapeId="0">
      <text>
        <r>
          <rPr>
            <b/>
            <sz val="8"/>
            <color indexed="81"/>
            <rFont val="Tahoma"/>
            <charset val="1"/>
          </rPr>
          <t>Patrick O'Keeffe:</t>
        </r>
        <r>
          <rPr>
            <sz val="8"/>
            <color indexed="81"/>
            <rFont val="Tahoma"/>
            <charset val="1"/>
          </rPr>
          <t xml:space="preserve">
Orifice flow under choked conditions at 70ºF, 14.7psia (mnfctr STP).</t>
        </r>
      </text>
    </comment>
    <comment ref="A9" authorId="0" shapeId="0">
      <text>
        <r>
          <rPr>
            <b/>
            <sz val="8"/>
            <color indexed="81"/>
            <rFont val="Tahoma"/>
            <charset val="1"/>
          </rPr>
          <t>Patrick O'Keeffe:</t>
        </r>
        <r>
          <rPr>
            <sz val="8"/>
            <color indexed="81"/>
            <rFont val="Tahoma"/>
            <charset val="1"/>
          </rPr>
          <t xml:space="preserve">
Canister final pressure must be less than 52.8% of barometric pressure to maintain choked flow; specify additional safety margin. Example: 10% = final pressure is 42.8% of barometric.</t>
        </r>
      </text>
    </comment>
    <comment ref="A10" authorId="0" shapeId="0">
      <text>
        <r>
          <rPr>
            <b/>
            <sz val="8"/>
            <color indexed="81"/>
            <rFont val="Tahoma"/>
            <charset val="1"/>
          </rPr>
          <t>Patrick O'Keeffe:</t>
        </r>
        <r>
          <rPr>
            <sz val="8"/>
            <color indexed="81"/>
            <rFont val="Tahoma"/>
            <charset val="1"/>
          </rPr>
          <t xml:space="preserve">
Fraction of standard deviation of vertical wind speed</t>
        </r>
      </text>
    </comment>
    <comment ref="A11" authorId="0" shapeId="0">
      <text>
        <r>
          <rPr>
            <b/>
            <sz val="8"/>
            <color indexed="81"/>
            <rFont val="Tahoma"/>
            <charset val="1"/>
          </rPr>
          <t>Patrick O'Keeffe:</t>
        </r>
        <r>
          <rPr>
            <sz val="8"/>
            <color indexed="81"/>
            <rFont val="Tahoma"/>
            <charset val="1"/>
          </rPr>
          <t xml:space="preserve">
Duration of time spent sampling each day. This affects canister fill time and power consumption.</t>
        </r>
      </text>
    </comment>
    <comment ref="A15" authorId="0" shapeId="0">
      <text>
        <r>
          <rPr>
            <b/>
            <sz val="8"/>
            <color indexed="81"/>
            <rFont val="Tahoma"/>
            <charset val="1"/>
          </rPr>
          <t>Patrick O'Keeffe:</t>
        </r>
        <r>
          <rPr>
            <sz val="8"/>
            <color indexed="81"/>
            <rFont val="Tahoma"/>
            <charset val="1"/>
          </rPr>
          <t xml:space="preserve">
Assuming vertical wind speed is normally distributed. (Quality of assumption unknown)</t>
        </r>
      </text>
    </comment>
    <comment ref="A16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Assuming equal time sampling into each canister. (Fairly realistic)</t>
        </r>
      </text>
    </comment>
  </commentList>
</comments>
</file>

<file path=xl/comments3.xml><?xml version="1.0" encoding="utf-8"?>
<comments xmlns="http://schemas.openxmlformats.org/spreadsheetml/2006/main">
  <authors>
    <author/>
    <author>Patrick O'Keeffe</author>
  </authors>
  <commentList>
    <comment ref="G1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Time to travel full length of tubing</t>
        </r>
      </text>
    </comment>
    <comment ref="K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Blasius formula, valid for: 
- smooth walls 
- Re &lt; 10^5</t>
        </r>
      </text>
    </comment>
    <comment ref="L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Pressure drop due to wall friction only</t>
        </r>
      </text>
    </comment>
    <comment ref="M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Variance in flow rate through flush line due to variable presence of flow through orifices</t>
        </r>
      </text>
    </comment>
    <comment ref="O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For removing values where flow is not turbulent</t>
        </r>
      </text>
    </comment>
    <comment ref="A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Pressure drop at full scale (50 sLpm) flow venting to atmosphere (mnfctr specs)</t>
        </r>
      </text>
    </comment>
    <comment ref="A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 xml:space="preserve">This is the size we purchased </t>
        </r>
      </text>
    </comment>
    <comment ref="A15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 xml:space="preserve">Total length </t>
        </r>
        <r>
          <rPr>
            <b/>
            <sz val="8"/>
            <color rgb="FF000000"/>
            <rFont val="Tahoma"/>
            <family val="2"/>
            <charset val="1"/>
          </rPr>
          <t>upstream</t>
        </r>
        <r>
          <rPr>
            <sz val="8"/>
            <color rgb="FF000000"/>
            <rFont val="Tahoma"/>
            <family val="2"/>
            <charset val="1"/>
          </rPr>
          <t xml:space="preserve"> of pump</t>
        </r>
      </text>
    </comment>
    <comment ref="A16" authorId="1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Measured pressure drop across 3-way sampling valve in normally open position</t>
        </r>
      </text>
    </comment>
    <comment ref="B16" authorId="1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Measured as &lt; 2 in Hg which ~= 1psi ~= 70 mb. Use 50 mb as fairly conservative value.</t>
        </r>
      </text>
    </comment>
    <comment ref="A25" authorId="1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Percentage of filled canister volume represented by volume in sampling tube</t>
        </r>
      </text>
    </comment>
    <comment ref="A28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Max absolute pressure downstream of orifice resulting in choked flow</t>
        </r>
      </text>
    </comment>
    <comment ref="A2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Maximum pressure at pump inlet, determined by barometric pressure less wall friction and pressure drop across mass flow controller or orifices+valves (whichever is greater)</t>
        </r>
      </text>
    </comment>
    <comment ref="A30" authorId="1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Maximum pressure in canisters, determined by barometric pressure and safety margin specified on "Canisters" spreadsheet</t>
        </r>
      </text>
    </comment>
    <comment ref="A31" authorId="1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Lesser of pump vs. canister maximum pressure</t>
        </r>
      </text>
    </comment>
    <comment ref="B31" authorId="1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Shop for pumps capable of drawing min. turbulent flow rate at this pressure</t>
        </r>
      </text>
    </comment>
    <comment ref="A3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Max ratio of abs. press. downstream of orifice vs. abs. press. upstream of orifice</t>
        </r>
      </text>
    </comment>
  </commentList>
</comments>
</file>

<file path=xl/comments4.xml><?xml version="1.0" encoding="utf-8"?>
<comments xmlns="http://schemas.openxmlformats.org/spreadsheetml/2006/main">
  <authors>
    <author>Patrick O'Keeffe</author>
  </authors>
  <commentList>
    <comment ref="H13" authorId="0" shapeId="0">
      <text>
        <r>
          <rPr>
            <b/>
            <sz val="8"/>
            <color indexed="81"/>
            <rFont val="Tahoma"/>
            <charset val="1"/>
          </rPr>
          <t>Patrick O'Keeffe:</t>
        </r>
        <r>
          <rPr>
            <sz val="8"/>
            <color indexed="81"/>
            <rFont val="Tahoma"/>
            <charset val="1"/>
          </rPr>
          <t xml:space="preserve">
Equals fraction sampling time per canister from "Canisters" spreadsheet.</t>
        </r>
      </text>
    </comment>
  </commentList>
</comments>
</file>

<file path=xl/comments5.xml><?xml version="1.0" encoding="utf-8"?>
<comments xmlns="http://schemas.openxmlformats.org/spreadsheetml/2006/main">
  <authors>
    <author>Patrick O'Keeffe</author>
  </authors>
  <commentList>
    <comment ref="B8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Specified on "Canisters" worksheet.</t>
        </r>
      </text>
    </comment>
    <comment ref="A15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Permitted drain level of batteries; typical 20%, maximum 50%</t>
        </r>
      </text>
    </comment>
    <comment ref="B15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Lower discharge depths result in longer battery life. Do not use &gt;50%!</t>
        </r>
      </text>
    </comment>
    <comment ref="F15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Formula derived on 'Batteries' worksheet</t>
        </r>
      </text>
    </comment>
    <comment ref="B16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Select based on minimum ambient temperature.</t>
        </r>
      </text>
    </comment>
    <comment ref="F17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Compare to battery bank size (B17)</t>
        </r>
      </text>
    </comment>
  </commentList>
</comments>
</file>

<file path=xl/sharedStrings.xml><?xml version="1.0" encoding="utf-8"?>
<sst xmlns="http://schemas.openxmlformats.org/spreadsheetml/2006/main" count="262" uniqueCount="207">
  <si>
    <t>Running power</t>
  </si>
  <si>
    <t>W</t>
  </si>
  <si>
    <t>Standby power</t>
  </si>
  <si>
    <t>Component</t>
  </si>
  <si>
    <t>Model (Make)</t>
  </si>
  <si>
    <t>Rating description</t>
  </si>
  <si>
    <t>Qnty</t>
  </si>
  <si>
    <t>Volts</t>
  </si>
  <si>
    <t>Amps</t>
  </si>
  <si>
    <t>Power, W</t>
  </si>
  <si>
    <t>Total, W</t>
  </si>
  <si>
    <t>Datalogger</t>
  </si>
  <si>
    <t>CR3000</t>
  </si>
  <si>
    <t>10-16Vdc; current depends</t>
  </si>
  <si>
    <t>Core devices</t>
  </si>
  <si>
    <t>Datalogger ethernet module</t>
  </si>
  <si>
    <t>NL115</t>
  </si>
  <si>
    <t>depends; worst case: 43 mA @ 12Vdc</t>
  </si>
  <si>
    <t>GPS receiver</t>
  </si>
  <si>
    <t>GPS16x-HVS</t>
  </si>
  <si>
    <t>8-40Vdc @ 65mA</t>
  </si>
  <si>
    <t>Pressure sensor</t>
  </si>
  <si>
    <t>PX409-030A5V</t>
  </si>
  <si>
    <t>10-30Vdc @ 10mA</t>
  </si>
  <si>
    <t>Solar regulator</t>
  </si>
  <si>
    <t>SunSaver</t>
  </si>
  <si>
    <t>per CSI tech note: 6-10 mA continuously</t>
  </si>
  <si>
    <t>Sonic anemometer</t>
  </si>
  <si>
    <t>81000VRE</t>
  </si>
  <si>
    <t>12-24Vdc @ 110mA max</t>
  </si>
  <si>
    <t>Temp/RH sensor</t>
  </si>
  <si>
    <t>HMP155A</t>
  </si>
  <si>
    <t>7-28Vdc @ &lt;=3mA</t>
  </si>
  <si>
    <t>Fast-acting valve</t>
  </si>
  <si>
    <t>(Parker)</t>
  </si>
  <si>
    <t>12Vdc @ 1000mA</t>
  </si>
  <si>
    <t>Off in stand-by</t>
  </si>
  <si>
    <t>Mass flow controller</t>
  </si>
  <si>
    <t>MC-20SLPM-D</t>
  </si>
  <si>
    <t>12-30Vdc @ 250mA</t>
  </si>
  <si>
    <t>Pump</t>
  </si>
  <si>
    <t>12Vdc @ 5.2A</t>
  </si>
  <si>
    <t>Valve control relay</t>
  </si>
  <si>
    <t>ODC5</t>
  </si>
  <si>
    <t>Max consumption</t>
  </si>
  <si>
    <t>Temp. derating multiplier [1]</t>
  </si>
  <si>
    <t>Reference</t>
  </si>
  <si>
    <t>Degrees</t>
  </si>
  <si>
    <t>sun hours/day</t>
  </si>
  <si>
    <t>Standby consumption</t>
  </si>
  <si>
    <t>F</t>
  </si>
  <si>
    <t>C</t>
  </si>
  <si>
    <t>Multiplier</t>
  </si>
  <si>
    <t>Location</t>
  </si>
  <si>
    <t>annual mean</t>
  </si>
  <si>
    <t>winter</t>
  </si>
  <si>
    <t>Pullman, WA</t>
  </si>
  <si>
    <t>[5, 6], [4]</t>
  </si>
  <si>
    <t>Operating conditions</t>
  </si>
  <si>
    <t>Running hours of pump per day</t>
  </si>
  <si>
    <t>hr/day</t>
  </si>
  <si>
    <t>Watt hours needed per day</t>
  </si>
  <si>
    <t>W*hr/day</t>
  </si>
  <si>
    <t>Battery bank requirement [1,2]</t>
  </si>
  <si>
    <t>Selected battery characteristics</t>
  </si>
  <si>
    <t>Battery bank voltage</t>
  </si>
  <si>
    <t>V</t>
  </si>
  <si>
    <t>Type</t>
  </si>
  <si>
    <t>Days without sun</t>
  </si>
  <si>
    <t>days</t>
  </si>
  <si>
    <t>Voltage</t>
  </si>
  <si>
    <t>Depth of discharge</t>
  </si>
  <si>
    <t>Amp-hour</t>
  </si>
  <si>
    <t>Ahr</t>
  </si>
  <si>
    <t>Temperature multiplier</t>
  </si>
  <si>
    <t>Number of</t>
  </si>
  <si>
    <t>batteries</t>
  </si>
  <si>
    <t>Battery bank size</t>
  </si>
  <si>
    <t>A*hr</t>
  </si>
  <si>
    <t>Total reserve</t>
  </si>
  <si>
    <t>Req'd #</t>
  </si>
  <si>
    <t>Solar array sizing (annual mean) [2]</t>
  </si>
  <si>
    <t>Selected PV panel characteristics</t>
  </si>
  <si>
    <t>Sun hours per day</t>
  </si>
  <si>
    <t>Astronergy</t>
  </si>
  <si>
    <t>Generation requirement</t>
  </si>
  <si>
    <t>W/hr</t>
  </si>
  <si>
    <t>Current</t>
  </si>
  <si>
    <t>Required # of solar panels</t>
  </si>
  <si>
    <t>panels</t>
  </si>
  <si>
    <t>Max amperage to PV controller</t>
  </si>
  <si>
    <t>Power</t>
  </si>
  <si>
    <t>Watts</t>
  </si>
  <si>
    <t>Solar array sizing (winter worst-case) [2]</t>
  </si>
  <si>
    <t>Wire size requirements [3]</t>
  </si>
  <si>
    <t>Max voltage across wire</t>
  </si>
  <si>
    <r>
      <t xml:space="preserve">[1] </t>
    </r>
    <r>
      <rPr>
        <sz val="10"/>
        <color rgb="FF0000FF"/>
        <rFont val="Arial"/>
        <family val="2"/>
      </rPr>
      <t>http://rimstar.org/renewnrg/sizing_select_batteries_for_off_grid_solar_system.htm</t>
    </r>
  </si>
  <si>
    <r>
      <t xml:space="preserve">[2] </t>
    </r>
    <r>
      <rPr>
        <sz val="10"/>
        <color rgb="FF0000FF"/>
        <rFont val="Arial"/>
        <family val="2"/>
      </rPr>
      <t>http://pdf.wholesalesolar.com/Download%20folder/System_Worksheet.pdf</t>
    </r>
  </si>
  <si>
    <r>
      <t xml:space="preserve">[3] </t>
    </r>
    <r>
      <rPr>
        <sz val="10"/>
        <color rgb="FF0000FF"/>
        <rFont val="Arial"/>
        <family val="2"/>
      </rPr>
      <t>http://rimstar.org/renewnrg/solar_voltage_drop_table_calculator_wire_sizing_for_dc.htm</t>
    </r>
  </si>
  <si>
    <r>
      <t xml:space="preserve">[4] </t>
    </r>
    <r>
      <rPr>
        <sz val="10"/>
        <color rgb="FF0000FF"/>
        <rFont val="Arial"/>
        <family val="2"/>
      </rPr>
      <t>http://pvwatts.nrel.gov/pvwatts.php</t>
    </r>
  </si>
  <si>
    <r>
      <t xml:space="preserve">[5] </t>
    </r>
    <r>
      <rPr>
        <sz val="10"/>
        <color rgb="FF0000FF"/>
        <rFont val="Arial"/>
        <family val="2"/>
      </rPr>
      <t>http://www.ecy.wa.gov/climatechange/maps/solar/solar_state.pdf</t>
    </r>
  </si>
  <si>
    <r>
      <t xml:space="preserve">[6] </t>
    </r>
    <r>
      <rPr>
        <sz val="10"/>
        <color rgb="FF0000FF"/>
        <rFont val="Arial"/>
        <family val="2"/>
      </rPr>
      <t>http://www.nrel.gov/gis/images/map_pv_national_hi-res_200.jpg</t>
    </r>
  </si>
  <si>
    <t>Run time</t>
  </si>
  <si>
    <t>Max pressure for choked flow</t>
  </si>
  <si>
    <t>in^2</t>
  </si>
  <si>
    <t>Tubing cross-section area</t>
  </si>
  <si>
    <t>Pa*s</t>
  </si>
  <si>
    <t>Dynamic viscosity of air</t>
  </si>
  <si>
    <t>kg/m^3</t>
  </si>
  <si>
    <t>Density of air</t>
  </si>
  <si>
    <t>degC</t>
  </si>
  <si>
    <t>Air temperature</t>
  </si>
  <si>
    <t>Derived values</t>
  </si>
  <si>
    <t>unity</t>
  </si>
  <si>
    <t>Unit conversion: Pa/kPa</t>
  </si>
  <si>
    <t>Unit conversion: ft/m</t>
  </si>
  <si>
    <t>Unit conversion: in/ft</t>
  </si>
  <si>
    <t>Unit conversion: L/m^3</t>
  </si>
  <si>
    <t>Unit conversion: s/min</t>
  </si>
  <si>
    <t>Unit conversion: in/m</t>
  </si>
  <si>
    <t>Unit conversion: mbar/psi</t>
  </si>
  <si>
    <t>Unit conversion: mbar/kPa</t>
  </si>
  <si>
    <t>Choked flow ratio (P2/P1)</t>
  </si>
  <si>
    <t>(μPa*s)/K^-1/2</t>
  </si>
  <si>
    <t>Sutherland's formula (air): λ</t>
  </si>
  <si>
    <t>K</t>
  </si>
  <si>
    <t>Sutherland's formula (air): C</t>
  </si>
  <si>
    <t>J/(kg K)</t>
  </si>
  <si>
    <t>Gas constant, dry air</t>
  </si>
  <si>
    <t>Constants</t>
  </si>
  <si>
    <t>Barometric pressure</t>
  </si>
  <si>
    <t>ft</t>
  </si>
  <si>
    <t>Tubing length</t>
  </si>
  <si>
    <t>in</t>
  </si>
  <si>
    <t>Tubing inner diameter</t>
  </si>
  <si>
    <t>User input</t>
  </si>
  <si>
    <t>1/8" (0.047)</t>
  </si>
  <si>
    <t>1/4" (0.062)</t>
  </si>
  <si>
    <t>1/4" (0.047)</t>
  </si>
  <si>
    <t>I.D.</t>
  </si>
  <si>
    <t>Tubing size</t>
  </si>
  <si>
    <t>Pressure drop across MFC</t>
  </si>
  <si>
    <t>ΔF (%)</t>
  </si>
  <si>
    <t>ΔP (mbar)</t>
  </si>
  <si>
    <t>Reynolds #</t>
  </si>
  <si>
    <t>20Hz</t>
  </si>
  <si>
    <t>10Hz</t>
  </si>
  <si>
    <t>s</t>
  </si>
  <si>
    <t>m/s</t>
  </si>
  <si>
    <t>L/min</t>
  </si>
  <si>
    <t>Delay (# scans)</t>
  </si>
  <si>
    <t>Delay</t>
  </si>
  <si>
    <t>Velocity</t>
  </si>
  <si>
    <t>Flow</t>
  </si>
  <si>
    <t>Canister fill time</t>
  </si>
  <si>
    <t>Fraction of time per canister</t>
  </si>
  <si>
    <t>Fraction of time in deadband</t>
  </si>
  <si>
    <t>cc/min</t>
  </si>
  <si>
    <t>Actual orifice flow</t>
  </si>
  <si>
    <t>Derived Values</t>
  </si>
  <si>
    <t>hrs</t>
  </si>
  <si>
    <t>Sampling hours per day</t>
  </si>
  <si>
    <t>(multiplier)</t>
  </si>
  <si>
    <t>Deadband</t>
  </si>
  <si>
    <t>Canister full safety margin</t>
  </si>
  <si>
    <t>liters</t>
  </si>
  <si>
    <t>Canister volume</t>
  </si>
  <si>
    <t>ºF</t>
  </si>
  <si>
    <t>mbar</t>
  </si>
  <si>
    <t>sccm</t>
  </si>
  <si>
    <t>Orifice flow @ STP</t>
  </si>
  <si>
    <t>User Input</t>
  </si>
  <si>
    <t>Denver (5280')</t>
  </si>
  <si>
    <t>Pullman (2550')</t>
  </si>
  <si>
    <t xml:space="preserve">sea level </t>
  </si>
  <si>
    <t>Ambient temperature</t>
  </si>
  <si>
    <t>Conditions</t>
  </si>
  <si>
    <t>mbar (abs)</t>
  </si>
  <si>
    <t>Friction</t>
  </si>
  <si>
    <t>factor</t>
  </si>
  <si>
    <t>ΔP across valve</t>
  </si>
  <si>
    <t>ΔP across MFC</t>
  </si>
  <si>
    <t>Filtered</t>
  </si>
  <si>
    <t>Turbulence threshold (Re#)</t>
  </si>
  <si>
    <t>ΔP across orifice+valve</t>
  </si>
  <si>
    <t>psi</t>
  </si>
  <si>
    <t>mbar (diff)</t>
  </si>
  <si>
    <t>Max pressure @ pump inlet</t>
  </si>
  <si>
    <t>Max pressure @ canisters</t>
  </si>
  <si>
    <t>Target design pressure</t>
  </si>
  <si>
    <t>Tubing volume</t>
  </si>
  <si>
    <t>mL</t>
  </si>
  <si>
    <t>Unit conversion: mL/in^3</t>
  </si>
  <si>
    <t>Tubing volume fraction</t>
  </si>
  <si>
    <t>Brailsford</t>
  </si>
  <si>
    <t>9-14Vdc @ 0.4A</t>
  </si>
  <si>
    <t>NPK09 (KNF)</t>
  </si>
  <si>
    <t>12mA @ logic voltage (1mA off-state leakage)</t>
  </si>
  <si>
    <t>NPK 018 DC vacuum(KNF)</t>
  </si>
  <si>
    <t>130W (AC model, DC specs not given)</t>
  </si>
  <si>
    <t>Rolls S-550 deep cycle battery</t>
  </si>
  <si>
    <t>Amp-Hours</t>
  </si>
  <si>
    <t>Rolls Surrette S-550</t>
  </si>
  <si>
    <t>Charge controller rating</t>
  </si>
  <si>
    <t>Safety factor</t>
  </si>
  <si>
    <t>Worst case</t>
  </si>
  <si>
    <t>Annual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</si>
</sst>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0.0000"/>
    <numFmt numFmtId="167" formatCode="0.000E+00"/>
  </numFmts>
  <fonts count="1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color rgb="FF0000FF"/>
      <name val="Arial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11"/>
      <color rgb="FF000000"/>
      <name val="Calibri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sz val="10"/>
      <name val="Verdana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Arial"/>
      <family val="2"/>
    </font>
    <font>
      <b/>
      <i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9" fontId="2" fillId="0" borderId="0" applyBorder="0" applyAlignment="0" applyProtection="0"/>
    <xf numFmtId="0" fontId="7" fillId="0" borderId="0"/>
    <xf numFmtId="0" fontId="10" fillId="0" borderId="0"/>
    <xf numFmtId="9" fontId="10" fillId="0" borderId="0" applyFont="0" applyFill="0" applyBorder="0" applyAlignment="0" applyProtection="0"/>
    <xf numFmtId="0" fontId="1" fillId="0" borderId="0"/>
  </cellStyleXfs>
  <cellXfs count="8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ont="1" applyBorder="1"/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9" fontId="2" fillId="0" borderId="0" xfId="1" applyAlignment="1">
      <alignment horizontal="center"/>
    </xf>
    <xf numFmtId="165" fontId="0" fillId="0" borderId="0" xfId="0" applyNumberFormat="1" applyAlignment="1">
      <alignment horizontal="center"/>
    </xf>
    <xf numFmtId="0" fontId="14" fillId="0" borderId="0" xfId="0" applyFont="1"/>
    <xf numFmtId="0" fontId="14" fillId="0" borderId="0" xfId="3" applyFont="1"/>
    <xf numFmtId="0" fontId="0" fillId="0" borderId="0" xfId="3" applyFont="1" applyAlignment="1">
      <alignment horizontal="center"/>
    </xf>
    <xf numFmtId="0" fontId="0" fillId="0" borderId="0" xfId="3" applyFont="1"/>
    <xf numFmtId="0" fontId="0" fillId="0" borderId="0" xfId="0" applyFont="1"/>
    <xf numFmtId="0" fontId="0" fillId="0" borderId="0" xfId="3" applyFont="1" applyAlignment="1">
      <alignment horizontal="left" indent="1"/>
    </xf>
    <xf numFmtId="0" fontId="0" fillId="0" borderId="0" xfId="0" applyFont="1" applyAlignment="1">
      <alignment horizontal="center"/>
    </xf>
    <xf numFmtId="0" fontId="13" fillId="0" borderId="0" xfId="3" applyFont="1" applyFill="1" applyAlignment="1">
      <alignment horizontal="center"/>
    </xf>
    <xf numFmtId="0" fontId="13" fillId="0" borderId="0" xfId="3" applyFont="1" applyFill="1"/>
    <xf numFmtId="0" fontId="13" fillId="0" borderId="0" xfId="3" applyFont="1"/>
    <xf numFmtId="0" fontId="13" fillId="0" borderId="0" xfId="3" applyFont="1" applyAlignment="1">
      <alignment horizontal="center"/>
    </xf>
    <xf numFmtId="0" fontId="13" fillId="3" borderId="0" xfId="3" applyFont="1" applyFill="1" applyAlignment="1">
      <alignment horizontal="center"/>
    </xf>
    <xf numFmtId="9" fontId="13" fillId="3" borderId="0" xfId="4" applyFont="1" applyFill="1" applyAlignment="1">
      <alignment horizontal="center"/>
    </xf>
    <xf numFmtId="165" fontId="13" fillId="0" borderId="0" xfId="3" applyNumberFormat="1" applyFont="1" applyAlignment="1">
      <alignment horizontal="center"/>
    </xf>
    <xf numFmtId="9" fontId="13" fillId="0" borderId="0" xfId="4" applyFont="1" applyAlignment="1">
      <alignment horizontal="center"/>
    </xf>
    <xf numFmtId="2" fontId="13" fillId="0" borderId="0" xfId="3" applyNumberFormat="1" applyFont="1" applyAlignment="1">
      <alignment horizontal="center"/>
    </xf>
    <xf numFmtId="0" fontId="15" fillId="0" borderId="0" xfId="2" applyFont="1"/>
    <xf numFmtId="0" fontId="15" fillId="0" borderId="0" xfId="2" applyFont="1" applyAlignment="1">
      <alignment horizontal="center"/>
    </xf>
    <xf numFmtId="0" fontId="16" fillId="0" borderId="0" xfId="2" applyFont="1"/>
    <xf numFmtId="1" fontId="15" fillId="0" borderId="0" xfId="2" applyNumberFormat="1" applyFont="1" applyAlignment="1">
      <alignment horizontal="center"/>
    </xf>
    <xf numFmtId="2" fontId="15" fillId="0" borderId="0" xfId="2" applyNumberFormat="1" applyFont="1" applyAlignment="1">
      <alignment horizontal="center"/>
    </xf>
    <xf numFmtId="165" fontId="15" fillId="0" borderId="0" xfId="2" applyNumberFormat="1" applyFont="1" applyAlignment="1">
      <alignment horizontal="center"/>
    </xf>
    <xf numFmtId="164" fontId="15" fillId="0" borderId="0" xfId="2" applyNumberFormat="1" applyFont="1" applyAlignment="1">
      <alignment horizontal="center"/>
    </xf>
    <xf numFmtId="0" fontId="15" fillId="0" borderId="0" xfId="2" applyFont="1" applyAlignment="1">
      <alignment horizontal="left" indent="2"/>
    </xf>
    <xf numFmtId="0" fontId="15" fillId="0" borderId="0" xfId="2" applyFont="1" applyBorder="1"/>
    <xf numFmtId="165" fontId="15" fillId="0" borderId="0" xfId="2" applyNumberFormat="1" applyFont="1"/>
    <xf numFmtId="164" fontId="15" fillId="0" borderId="0" xfId="2" applyNumberFormat="1" applyFont="1"/>
    <xf numFmtId="167" fontId="15" fillId="0" borderId="0" xfId="2" applyNumberFormat="1" applyFont="1"/>
    <xf numFmtId="166" fontId="15" fillId="0" borderId="0" xfId="2" applyNumberFormat="1" applyFont="1"/>
    <xf numFmtId="0" fontId="15" fillId="0" borderId="0" xfId="2" applyFont="1" applyAlignment="1"/>
    <xf numFmtId="1" fontId="15" fillId="0" borderId="0" xfId="2" applyNumberFormat="1" applyFont="1"/>
    <xf numFmtId="0" fontId="0" fillId="3" borderId="0" xfId="3" applyFont="1" applyFill="1" applyAlignment="1">
      <alignment horizontal="center"/>
    </xf>
    <xf numFmtId="0" fontId="0" fillId="3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ill="1" applyAlignment="1">
      <alignment horizontal="center"/>
    </xf>
    <xf numFmtId="2" fontId="15" fillId="0" borderId="0" xfId="2" applyNumberFormat="1" applyFont="1"/>
    <xf numFmtId="0" fontId="15" fillId="3" borderId="0" xfId="2" applyFont="1" applyFill="1" applyBorder="1" applyAlignment="1">
      <alignment horizontal="center"/>
    </xf>
    <xf numFmtId="0" fontId="15" fillId="3" borderId="0" xfId="2" applyFont="1" applyFill="1" applyAlignment="1">
      <alignment horizontal="center"/>
    </xf>
    <xf numFmtId="1" fontId="17" fillId="0" borderId="0" xfId="2" applyNumberFormat="1" applyFont="1" applyFill="1"/>
    <xf numFmtId="10" fontId="2" fillId="0" borderId="0" xfId="1" applyNumberFormat="1"/>
    <xf numFmtId="0" fontId="15" fillId="0" borderId="0" xfId="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1" fillId="0" borderId="0" xfId="5"/>
    <xf numFmtId="0" fontId="18" fillId="0" borderId="0" xfId="5" applyFont="1"/>
    <xf numFmtId="1" fontId="0" fillId="2" borderId="0" xfId="0" applyNumberFormat="1" applyFill="1" applyAlignment="1">
      <alignment horizontal="center"/>
    </xf>
    <xf numFmtId="0" fontId="0" fillId="0" borderId="0" xfId="0" applyAlignment="1"/>
    <xf numFmtId="1" fontId="0" fillId="0" borderId="0" xfId="0" applyNumberFormat="1" applyAlignment="1"/>
    <xf numFmtId="9" fontId="0" fillId="3" borderId="0" xfId="0" applyNumberFormat="1" applyFont="1" applyFill="1" applyAlignment="1">
      <alignment horizontal="center"/>
    </xf>
  </cellXfs>
  <cellStyles count="6">
    <cellStyle name="Normal" xfId="0" builtinId="0"/>
    <cellStyle name="Normal 2" xfId="2"/>
    <cellStyle name="Normal 3" xfId="3"/>
    <cellStyle name="Normal 4" xfId="5"/>
    <cellStyle name="Percent" xfId="1" builtinId="5"/>
    <cellStyle name="Percent 2" xfId="4"/>
  </cellStyles>
  <dxfs count="2">
    <dxf>
      <font>
        <color rgb="FF9C0006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Capacity</a:t>
            </a:r>
            <a:r>
              <a:rPr lang="en-US" baseline="0"/>
              <a:t> based on draw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backward val="5"/>
            <c:dispRSqr val="1"/>
            <c:dispEq val="1"/>
            <c:trendlineLbl>
              <c:layout>
                <c:manualLayout>
                  <c:x val="-2.2125587685105492E-2"/>
                  <c:y val="-0.461684823643619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Batteries!$B$2:$B$16</c:f>
              <c:numCache>
                <c:formatCode>General</c:formatCode>
                <c:ptCount val="15"/>
                <c:pt idx="0">
                  <c:v>5.54</c:v>
                </c:pt>
                <c:pt idx="1">
                  <c:v>7.28</c:v>
                </c:pt>
                <c:pt idx="2">
                  <c:v>10</c:v>
                </c:pt>
                <c:pt idx="3">
                  <c:v>18.37</c:v>
                </c:pt>
                <c:pt idx="4">
                  <c:v>21.4</c:v>
                </c:pt>
                <c:pt idx="5">
                  <c:v>26.76</c:v>
                </c:pt>
                <c:pt idx="6">
                  <c:v>31.74</c:v>
                </c:pt>
                <c:pt idx="7">
                  <c:v>36.380000000000003</c:v>
                </c:pt>
                <c:pt idx="8">
                  <c:v>42.8</c:v>
                </c:pt>
                <c:pt idx="9">
                  <c:v>52.79</c:v>
                </c:pt>
                <c:pt idx="10">
                  <c:v>59.92</c:v>
                </c:pt>
                <c:pt idx="11">
                  <c:v>69.55</c:v>
                </c:pt>
                <c:pt idx="12">
                  <c:v>84.17</c:v>
                </c:pt>
                <c:pt idx="13">
                  <c:v>109.14</c:v>
                </c:pt>
                <c:pt idx="14">
                  <c:v>154.08000000000001</c:v>
                </c:pt>
              </c:numCache>
            </c:numRef>
          </c:xVal>
          <c:yVal>
            <c:numRef>
              <c:f>Batteries!$A$2:$A$16</c:f>
              <c:numCache>
                <c:formatCode>General</c:formatCode>
                <c:ptCount val="15"/>
                <c:pt idx="0">
                  <c:v>554</c:v>
                </c:pt>
                <c:pt idx="1">
                  <c:v>524</c:v>
                </c:pt>
                <c:pt idx="2">
                  <c:v>500</c:v>
                </c:pt>
                <c:pt idx="3">
                  <c:v>441</c:v>
                </c:pt>
                <c:pt idx="4">
                  <c:v>428</c:v>
                </c:pt>
                <c:pt idx="5">
                  <c:v>401</c:v>
                </c:pt>
                <c:pt idx="6">
                  <c:v>381</c:v>
                </c:pt>
                <c:pt idx="7">
                  <c:v>364</c:v>
                </c:pt>
                <c:pt idx="8">
                  <c:v>342</c:v>
                </c:pt>
                <c:pt idx="9">
                  <c:v>317</c:v>
                </c:pt>
                <c:pt idx="10">
                  <c:v>300</c:v>
                </c:pt>
                <c:pt idx="11">
                  <c:v>278</c:v>
                </c:pt>
                <c:pt idx="12">
                  <c:v>253</c:v>
                </c:pt>
                <c:pt idx="13">
                  <c:v>218</c:v>
                </c:pt>
                <c:pt idx="14">
                  <c:v>154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846688"/>
        <c:axId val="254849432"/>
      </c:scatterChart>
      <c:valAx>
        <c:axId val="254846688"/>
        <c:scaling>
          <c:logBase val="10"/>
          <c:orientation val="minMax"/>
          <c:max val="2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  <a:r>
                  <a:rPr lang="en-US" baseline="0"/>
                  <a:t> draw (amps)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49432"/>
        <c:crosses val="autoZero"/>
        <c:crossBetween val="midCat"/>
      </c:valAx>
      <c:valAx>
        <c:axId val="25484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 (amp-hours)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46688"/>
        <c:crossesAt val="0.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328612</xdr:colOff>
      <xdr:row>2</xdr:row>
      <xdr:rowOff>0</xdr:rowOff>
    </xdr:from>
    <xdr:to>
      <xdr:col>11</xdr:col>
      <xdr:colOff>228600</xdr:colOff>
      <xdr:row>20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0.43059</cdr:x>
      <cdr:y>0.17534</cdr:y>
    </cdr:from>
    <cdr:to>
      <cdr:x>0.43059</cdr:x>
      <cdr:y>0.83836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2319338" y="609600"/>
          <a:ext cx="0" cy="23050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0.11583</cdr:x>
      <cdr:y>0.28219</cdr:y>
    </cdr:from>
    <cdr:to>
      <cdr:x>0.46773</cdr:x>
      <cdr:y>0.28219</cdr:y>
    </cdr:to>
    <cdr:cxnSp macro="">
      <cdr:nvCxnSpPr>
        <cdr:cNvPr id="5" name="Straight Connector 4"/>
        <cdr:cNvCxnSpPr/>
      </cdr:nvCxnSpPr>
      <cdr:spPr>
        <a:xfrm xmlns:a="http://schemas.openxmlformats.org/drawingml/2006/main" flipH="1">
          <a:off x="623888" y="981075"/>
          <a:ext cx="1895475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mments" Target="../comments5.xml"/><Relationship Id="rId3" Type="http://schemas.openxmlformats.org/officeDocument/2006/relationships/hyperlink" Target="http://rimstar.org/renewnrg/solar_voltage_drop_table_calculator_wire_sizing_for_dc.htm" TargetMode="External"/><Relationship Id="rId7" Type="http://schemas.openxmlformats.org/officeDocument/2006/relationships/vmlDrawing" Target="../drawings/vmlDrawing5.vml"/><Relationship Id="rId2" Type="http://schemas.openxmlformats.org/officeDocument/2006/relationships/hyperlink" Target="http://pdf.wholesalesolar.com/Download%20folder/System_Worksheet.pdf" TargetMode="External"/><Relationship Id="rId1" Type="http://schemas.openxmlformats.org/officeDocument/2006/relationships/hyperlink" Target="http://rimstar.org/renewnrg/sizing_select_batteries_for_off_grid_solar_system.htm" TargetMode="External"/><Relationship Id="rId6" Type="http://schemas.openxmlformats.org/officeDocument/2006/relationships/hyperlink" Target="http://www.nrel.gov/gis/images/map_pv_national_hi-res_200.jpg" TargetMode="External"/><Relationship Id="rId5" Type="http://schemas.openxmlformats.org/officeDocument/2006/relationships/hyperlink" Target="http://www.ecy.wa.gov/climatechange/maps/solar/solar_state.pdf" TargetMode="External"/><Relationship Id="rId4" Type="http://schemas.openxmlformats.org/officeDocument/2006/relationships/hyperlink" Target="http://pvwatts.nrel.gov/pvwatts.php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FF"/>
  </sheetPr>
  <dimension ref="A2:C12"/>
  <sheetViews>
    <sheetView workbookViewId="0">
      <selection activeCell="B13" sqref="B13"/>
    </sheetView>
  </sheetViews>
  <sheetFormatPr defaultRowHeight="12.75" x14ac:dyDescent="0.2"/>
  <cols>
    <col min="1" max="1" width="20" style="21" customWidth="1"/>
    <col min="2" max="2" width="9.140625" style="23"/>
    <col min="3" max="16384" width="9.140625" style="21"/>
  </cols>
  <sheetData>
    <row r="2" spans="1:3" x14ac:dyDescent="0.2">
      <c r="A2" s="18" t="s">
        <v>46</v>
      </c>
      <c r="B2" s="19"/>
      <c r="C2" s="20"/>
    </row>
    <row r="3" spans="1:3" x14ac:dyDescent="0.2">
      <c r="A3" s="20" t="s">
        <v>130</v>
      </c>
      <c r="B3" s="19"/>
      <c r="C3" s="20"/>
    </row>
    <row r="4" spans="1:3" x14ac:dyDescent="0.2">
      <c r="A4" s="22" t="s">
        <v>174</v>
      </c>
      <c r="B4" s="19">
        <v>1013</v>
      </c>
      <c r="C4" s="20" t="s">
        <v>168</v>
      </c>
    </row>
    <row r="5" spans="1:3" x14ac:dyDescent="0.2">
      <c r="A5" s="22" t="s">
        <v>173</v>
      </c>
      <c r="B5" s="19">
        <v>923</v>
      </c>
      <c r="C5" s="20" t="s">
        <v>168</v>
      </c>
    </row>
    <row r="6" spans="1:3" x14ac:dyDescent="0.2">
      <c r="A6" s="22" t="s">
        <v>172</v>
      </c>
      <c r="B6" s="19">
        <v>834</v>
      </c>
      <c r="C6" s="20" t="s">
        <v>168</v>
      </c>
    </row>
    <row r="10" spans="1:3" x14ac:dyDescent="0.2">
      <c r="A10" s="17" t="s">
        <v>171</v>
      </c>
    </row>
    <row r="11" spans="1:3" x14ac:dyDescent="0.2">
      <c r="A11" s="21" t="s">
        <v>175</v>
      </c>
      <c r="B11" s="48">
        <v>55</v>
      </c>
      <c r="C11" s="21" t="s">
        <v>167</v>
      </c>
    </row>
    <row r="12" spans="1:3" x14ac:dyDescent="0.2">
      <c r="A12" s="21" t="s">
        <v>130</v>
      </c>
      <c r="B12" s="49">
        <v>923</v>
      </c>
      <c r="C12" s="21" t="s">
        <v>168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C17"/>
  <sheetViews>
    <sheetView zoomScaleNormal="100" workbookViewId="0">
      <selection activeCell="B12" sqref="B12"/>
    </sheetView>
  </sheetViews>
  <sheetFormatPr defaultColWidth="12.5703125" defaultRowHeight="12.75" x14ac:dyDescent="0.2"/>
  <cols>
    <col min="1" max="1" width="29.140625" style="26" bestFit="1" customWidth="1"/>
    <col min="2" max="2" width="12.5703125" style="27"/>
    <col min="3" max="16384" width="12.5703125" style="26"/>
  </cols>
  <sheetData>
    <row r="2" spans="1:3" x14ac:dyDescent="0.2">
      <c r="A2" s="18" t="s">
        <v>176</v>
      </c>
      <c r="B2" s="24"/>
      <c r="C2" s="25"/>
    </row>
    <row r="3" spans="1:3" x14ac:dyDescent="0.2">
      <c r="A3" s="26" t="str">
        <f>Conditions!A11</f>
        <v>Ambient temperature</v>
      </c>
      <c r="B3" s="27">
        <f>Conditions!B11</f>
        <v>55</v>
      </c>
      <c r="C3" s="26" t="str">
        <f>Conditions!C11</f>
        <v>ºF</v>
      </c>
    </row>
    <row r="4" spans="1:3" x14ac:dyDescent="0.2">
      <c r="A4" s="26" t="str">
        <f>Conditions!A12</f>
        <v>Barometric pressure</v>
      </c>
      <c r="B4" s="27">
        <f>Conditions!B12</f>
        <v>923</v>
      </c>
      <c r="C4" s="26" t="str">
        <f>Conditions!C12</f>
        <v>mbar</v>
      </c>
    </row>
    <row r="5" spans="1:3" x14ac:dyDescent="0.2">
      <c r="B5" s="24"/>
      <c r="C5" s="25"/>
    </row>
    <row r="6" spans="1:3" x14ac:dyDescent="0.2">
      <c r="A6" s="18" t="s">
        <v>171</v>
      </c>
    </row>
    <row r="7" spans="1:3" x14ac:dyDescent="0.2">
      <c r="A7" s="26" t="s">
        <v>170</v>
      </c>
      <c r="B7" s="28">
        <v>6</v>
      </c>
      <c r="C7" s="26" t="s">
        <v>169</v>
      </c>
    </row>
    <row r="8" spans="1:3" x14ac:dyDescent="0.2">
      <c r="A8" s="26" t="s">
        <v>166</v>
      </c>
      <c r="B8" s="28">
        <v>33</v>
      </c>
      <c r="C8" s="26" t="s">
        <v>165</v>
      </c>
    </row>
    <row r="9" spans="1:3" x14ac:dyDescent="0.2">
      <c r="A9" s="26" t="s">
        <v>164</v>
      </c>
      <c r="B9" s="29">
        <v>0.1</v>
      </c>
    </row>
    <row r="10" spans="1:3" x14ac:dyDescent="0.2">
      <c r="A10" s="26" t="s">
        <v>163</v>
      </c>
      <c r="B10" s="28">
        <v>0.85</v>
      </c>
      <c r="C10" s="26" t="s">
        <v>162</v>
      </c>
    </row>
    <row r="11" spans="1:3" x14ac:dyDescent="0.2">
      <c r="A11" s="26" t="s">
        <v>161</v>
      </c>
      <c r="B11" s="28">
        <v>24</v>
      </c>
      <c r="C11" s="26" t="s">
        <v>160</v>
      </c>
    </row>
    <row r="13" spans="1:3" x14ac:dyDescent="0.2">
      <c r="A13" s="18" t="s">
        <v>159</v>
      </c>
    </row>
    <row r="14" spans="1:3" x14ac:dyDescent="0.2">
      <c r="A14" s="26" t="s">
        <v>158</v>
      </c>
      <c r="B14" s="30">
        <f>B7*(14.7/(B4/68.947573))*((B3+460)/530)</f>
        <v>6.4020229530019002</v>
      </c>
      <c r="C14" s="26" t="s">
        <v>157</v>
      </c>
    </row>
    <row r="15" spans="1:3" x14ac:dyDescent="0.2">
      <c r="A15" s="26" t="s">
        <v>156</v>
      </c>
      <c r="B15" s="31">
        <f>ERF(B10/SQRT(2))</f>
        <v>0.60467491375461524</v>
      </c>
    </row>
    <row r="16" spans="1:3" x14ac:dyDescent="0.2">
      <c r="A16" s="26" t="s">
        <v>155</v>
      </c>
      <c r="B16" s="31">
        <f>(1-B15)/2</f>
        <v>0.19766254312269238</v>
      </c>
    </row>
    <row r="17" spans="1:3" x14ac:dyDescent="0.2">
      <c r="A17" s="26" t="s">
        <v>154</v>
      </c>
      <c r="B17" s="32">
        <f>B8*(0.528-B9)*1000/(B14*B16*60*B11)</f>
        <v>7.7509263683374092</v>
      </c>
      <c r="C17" s="26" t="s">
        <v>69</v>
      </c>
    </row>
  </sheetData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FFFF"/>
  </sheetPr>
  <dimension ref="A1:O46"/>
  <sheetViews>
    <sheetView zoomScaleNormal="100" workbookViewId="0">
      <selection activeCell="I37" sqref="I37"/>
    </sheetView>
  </sheetViews>
  <sheetFormatPr defaultRowHeight="12.75" x14ac:dyDescent="0.2"/>
  <cols>
    <col min="1" max="1" width="25.7109375" style="33" bestFit="1" customWidth="1"/>
    <col min="2" max="2" width="12" style="33" bestFit="1" customWidth="1"/>
    <col min="3" max="3" width="12.85546875" style="33" bestFit="1" customWidth="1"/>
    <col min="4" max="4" width="2.7109375" style="33" customWidth="1"/>
    <col min="5" max="5" width="5.5703125" style="34" bestFit="1" customWidth="1"/>
    <col min="6" max="6" width="7.7109375" style="34" bestFit="1" customWidth="1"/>
    <col min="7" max="7" width="5.7109375" style="34" bestFit="1" customWidth="1"/>
    <col min="8" max="9" width="6.85546875" style="34" customWidth="1"/>
    <col min="10" max="10" width="10.28515625" style="34" bestFit="1" customWidth="1"/>
    <col min="11" max="11" width="7.140625" style="34" bestFit="1" customWidth="1"/>
    <col min="12" max="12" width="9.42578125" style="34" bestFit="1" customWidth="1"/>
    <col min="13" max="13" width="6.85546875" style="34" bestFit="1" customWidth="1"/>
    <col min="14" max="14" width="9.140625" style="33"/>
    <col min="15" max="15" width="0" style="33" hidden="1" customWidth="1"/>
    <col min="16" max="16384" width="9.140625" style="33"/>
  </cols>
  <sheetData>
    <row r="1" spans="1:15" x14ac:dyDescent="0.2">
      <c r="E1" s="34" t="s">
        <v>153</v>
      </c>
      <c r="F1" s="34" t="s">
        <v>152</v>
      </c>
      <c r="G1" s="34" t="s">
        <v>151</v>
      </c>
      <c r="H1" s="71" t="s">
        <v>150</v>
      </c>
      <c r="I1" s="71"/>
      <c r="J1" s="33"/>
      <c r="K1" s="34" t="s">
        <v>178</v>
      </c>
      <c r="L1" s="33"/>
      <c r="O1" s="33" t="s">
        <v>182</v>
      </c>
    </row>
    <row r="2" spans="1:15" x14ac:dyDescent="0.2">
      <c r="A2" s="35" t="s">
        <v>176</v>
      </c>
      <c r="E2" s="34" t="s">
        <v>149</v>
      </c>
      <c r="F2" s="34" t="s">
        <v>148</v>
      </c>
      <c r="G2" s="34" t="s">
        <v>147</v>
      </c>
      <c r="H2" s="34" t="s">
        <v>146</v>
      </c>
      <c r="I2" s="34" t="s">
        <v>145</v>
      </c>
      <c r="J2" s="34" t="s">
        <v>144</v>
      </c>
      <c r="K2" s="34" t="s">
        <v>179</v>
      </c>
      <c r="L2" s="34" t="s">
        <v>143</v>
      </c>
      <c r="M2" s="34" t="s">
        <v>142</v>
      </c>
      <c r="O2" s="34" t="s">
        <v>143</v>
      </c>
    </row>
    <row r="3" spans="1:15" x14ac:dyDescent="0.2">
      <c r="A3" s="33" t="str">
        <f>Conditions!A11</f>
        <v>Ambient temperature</v>
      </c>
      <c r="B3" s="34">
        <f>Conditions!B11</f>
        <v>55</v>
      </c>
      <c r="C3" s="33" t="str">
        <f>Conditions!C11</f>
        <v>ºF</v>
      </c>
      <c r="E3" s="67">
        <v>1</v>
      </c>
      <c r="F3" s="36">
        <f t="shared" ref="F3:F31" si="0">E3*$B$40^2/($B$23*$B$41*$B$42)</f>
        <v>34.226801028389069</v>
      </c>
      <c r="G3" s="37">
        <f t="shared" ref="G3:G31" si="1">$B$15/(F3*$B$44)</f>
        <v>0.17809734905288202</v>
      </c>
      <c r="H3" s="38">
        <f t="shared" ref="H3:H31" si="2">G3*1000/100</f>
        <v>1.7809734905288201</v>
      </c>
      <c r="I3" s="38">
        <f t="shared" ref="I3:I21" si="3">G3*1000/50</f>
        <v>3.5619469810576403</v>
      </c>
      <c r="J3" s="36">
        <f t="shared" ref="J3:J31" si="4">$B$21*F3*$B$14/($B$22*$B$40)</f>
        <v>1682.8247245488883</v>
      </c>
      <c r="K3" s="39">
        <f t="shared" ref="K3:K31" si="5">0.316/J3^0.25</f>
        <v>4.9337525239560233E-2</v>
      </c>
      <c r="L3" s="37">
        <f t="shared" ref="L3:L31" si="6">K3*$B$15*$B$21*$B$43*$B$38/(2*$B$14*$B$45)</f>
        <v>2.1476950251982969</v>
      </c>
      <c r="M3" s="37">
        <f t="shared" ref="M3:M31" si="7">100*(2*6/1000)/E3</f>
        <v>1.2</v>
      </c>
      <c r="O3" s="33" t="str">
        <f t="shared" ref="O3:O31" si="8">IF($J3&lt;$B$17," ",$L3)</f>
        <v xml:space="preserve"> </v>
      </c>
    </row>
    <row r="4" spans="1:15" x14ac:dyDescent="0.2">
      <c r="A4" s="33" t="str">
        <f>Conditions!A12</f>
        <v>Barometric pressure</v>
      </c>
      <c r="B4" s="34">
        <f>Conditions!B12</f>
        <v>923</v>
      </c>
      <c r="C4" s="33" t="str">
        <f>Conditions!C12</f>
        <v>mbar</v>
      </c>
      <c r="E4" s="67">
        <v>1.5</v>
      </c>
      <c r="F4" s="36">
        <f t="shared" si="0"/>
        <v>51.3402015425836</v>
      </c>
      <c r="G4" s="37">
        <f t="shared" si="1"/>
        <v>0.11873156603525468</v>
      </c>
      <c r="H4" s="38">
        <f t="shared" si="2"/>
        <v>1.1873156603525468</v>
      </c>
      <c r="I4" s="38">
        <f t="shared" si="3"/>
        <v>2.3746313207050935</v>
      </c>
      <c r="J4" s="36">
        <f t="shared" si="4"/>
        <v>2524.237086823332</v>
      </c>
      <c r="K4" s="39">
        <f t="shared" si="5"/>
        <v>4.4581486659617912E-2</v>
      </c>
      <c r="L4" s="37">
        <f t="shared" si="6"/>
        <v>1.9406615279120769</v>
      </c>
      <c r="M4" s="37">
        <f t="shared" si="7"/>
        <v>0.79999999999999993</v>
      </c>
      <c r="O4" s="33" t="str">
        <f t="shared" si="8"/>
        <v xml:space="preserve"> </v>
      </c>
    </row>
    <row r="5" spans="1:15" x14ac:dyDescent="0.2">
      <c r="E5" s="67">
        <v>2</v>
      </c>
      <c r="F5" s="36">
        <f t="shared" si="0"/>
        <v>68.453602056778138</v>
      </c>
      <c r="G5" s="37">
        <f t="shared" si="1"/>
        <v>8.904867452644101E-2</v>
      </c>
      <c r="H5" s="38">
        <f t="shared" si="2"/>
        <v>0.89048674526441007</v>
      </c>
      <c r="I5" s="38">
        <f t="shared" si="3"/>
        <v>1.7809734905288201</v>
      </c>
      <c r="J5" s="36">
        <f t="shared" si="4"/>
        <v>3365.6494490977766</v>
      </c>
      <c r="K5" s="39">
        <f t="shared" si="5"/>
        <v>4.1487748111435852E-2</v>
      </c>
      <c r="L5" s="37">
        <f t="shared" si="6"/>
        <v>1.8059890477474829</v>
      </c>
      <c r="M5" s="37">
        <f t="shared" si="7"/>
        <v>0.6</v>
      </c>
      <c r="O5" s="33" t="str">
        <f t="shared" si="8"/>
        <v xml:space="preserve"> </v>
      </c>
    </row>
    <row r="6" spans="1:15" x14ac:dyDescent="0.2">
      <c r="A6" s="35" t="s">
        <v>46</v>
      </c>
      <c r="E6" s="67">
        <v>2.5</v>
      </c>
      <c r="F6" s="36">
        <f t="shared" si="0"/>
        <v>85.567002570972676</v>
      </c>
      <c r="G6" s="37">
        <f t="shared" si="1"/>
        <v>7.1238939621152811E-2</v>
      </c>
      <c r="H6" s="38">
        <f t="shared" si="2"/>
        <v>0.71238939621152808</v>
      </c>
      <c r="I6" s="38">
        <f t="shared" si="3"/>
        <v>1.4247787924230562</v>
      </c>
      <c r="J6" s="36">
        <f t="shared" si="4"/>
        <v>4207.0618113722203</v>
      </c>
      <c r="K6" s="39">
        <f t="shared" si="5"/>
        <v>3.9236689652827825E-2</v>
      </c>
      <c r="L6" s="37">
        <f t="shared" si="6"/>
        <v>1.7079989878588189</v>
      </c>
      <c r="M6" s="37">
        <f t="shared" si="7"/>
        <v>0.48</v>
      </c>
      <c r="O6" s="33">
        <f t="shared" si="8"/>
        <v>1.7079989878588189</v>
      </c>
    </row>
    <row r="7" spans="1:15" x14ac:dyDescent="0.2">
      <c r="A7" s="33" t="s">
        <v>141</v>
      </c>
      <c r="B7" s="33">
        <v>7</v>
      </c>
      <c r="C7" s="33" t="s">
        <v>185</v>
      </c>
      <c r="E7" s="67">
        <v>3</v>
      </c>
      <c r="F7" s="36">
        <f t="shared" si="0"/>
        <v>102.6804030851672</v>
      </c>
      <c r="G7" s="37">
        <f t="shared" si="1"/>
        <v>5.9365783017627342E-2</v>
      </c>
      <c r="H7" s="38">
        <f t="shared" si="2"/>
        <v>0.59365783017627338</v>
      </c>
      <c r="I7" s="38">
        <f t="shared" si="3"/>
        <v>1.1873156603525468</v>
      </c>
      <c r="J7" s="36">
        <f t="shared" si="4"/>
        <v>5048.474173646664</v>
      </c>
      <c r="K7" s="39">
        <f t="shared" si="5"/>
        <v>3.7488412318754001E-2</v>
      </c>
      <c r="L7" s="37">
        <f t="shared" si="6"/>
        <v>1.6318953220420618</v>
      </c>
      <c r="M7" s="37">
        <f t="shared" si="7"/>
        <v>0.39999999999999997</v>
      </c>
      <c r="O7" s="33">
        <f t="shared" si="8"/>
        <v>1.6318953220420618</v>
      </c>
    </row>
    <row r="8" spans="1:15" x14ac:dyDescent="0.2">
      <c r="A8" s="33" t="s">
        <v>140</v>
      </c>
      <c r="B8" s="33" t="s">
        <v>139</v>
      </c>
      <c r="E8" s="67">
        <v>3.5</v>
      </c>
      <c r="F8" s="36">
        <f t="shared" si="0"/>
        <v>119.79380359936174</v>
      </c>
      <c r="G8" s="37">
        <f t="shared" si="1"/>
        <v>5.0884956872252009E-2</v>
      </c>
      <c r="H8" s="38">
        <f t="shared" si="2"/>
        <v>0.50884956872252007</v>
      </c>
      <c r="I8" s="38">
        <f t="shared" si="3"/>
        <v>1.0176991374450401</v>
      </c>
      <c r="J8" s="36">
        <f t="shared" si="4"/>
        <v>5889.8865359211077</v>
      </c>
      <c r="K8" s="39">
        <f t="shared" si="5"/>
        <v>3.607118006807513E-2</v>
      </c>
      <c r="L8" s="37">
        <f t="shared" si="6"/>
        <v>1.5702022671197815</v>
      </c>
      <c r="M8" s="37">
        <f t="shared" si="7"/>
        <v>0.34285714285714286</v>
      </c>
      <c r="O8" s="33">
        <f t="shared" si="8"/>
        <v>1.5702022671197815</v>
      </c>
    </row>
    <row r="9" spans="1:15" x14ac:dyDescent="0.2">
      <c r="A9" s="40" t="s">
        <v>138</v>
      </c>
      <c r="B9" s="33">
        <f>0.25-2*0.047</f>
        <v>0.156</v>
      </c>
      <c r="C9" s="33" t="s">
        <v>133</v>
      </c>
      <c r="E9" s="67">
        <v>4</v>
      </c>
      <c r="F9" s="36">
        <f t="shared" si="0"/>
        <v>136.90720411355628</v>
      </c>
      <c r="G9" s="37">
        <f t="shared" si="1"/>
        <v>4.4524337263220505E-2</v>
      </c>
      <c r="H9" s="38">
        <f t="shared" si="2"/>
        <v>0.44524337263220504</v>
      </c>
      <c r="I9" s="38">
        <f t="shared" si="3"/>
        <v>0.89048674526441007</v>
      </c>
      <c r="J9" s="36">
        <f t="shared" si="4"/>
        <v>6731.2988981955532</v>
      </c>
      <c r="K9" s="39">
        <f t="shared" si="5"/>
        <v>3.4886898663855477E-2</v>
      </c>
      <c r="L9" s="37">
        <f t="shared" si="6"/>
        <v>1.5186497162383281</v>
      </c>
      <c r="M9" s="37">
        <f t="shared" si="7"/>
        <v>0.3</v>
      </c>
      <c r="O9" s="33">
        <f t="shared" si="8"/>
        <v>1.5186497162383281</v>
      </c>
    </row>
    <row r="10" spans="1:15" x14ac:dyDescent="0.2">
      <c r="A10" s="40" t="s">
        <v>137</v>
      </c>
      <c r="B10" s="33">
        <f>0.25-2*0.062</f>
        <v>0.126</v>
      </c>
      <c r="C10" s="33" t="s">
        <v>133</v>
      </c>
      <c r="E10" s="67">
        <v>4.5</v>
      </c>
      <c r="F10" s="36">
        <f t="shared" si="0"/>
        <v>154.0206046277508</v>
      </c>
      <c r="G10" s="37">
        <f t="shared" si="1"/>
        <v>3.9577188678418231E-2</v>
      </c>
      <c r="H10" s="38">
        <f t="shared" si="2"/>
        <v>0.39577188678418229</v>
      </c>
      <c r="I10" s="38">
        <f t="shared" si="3"/>
        <v>0.79154377356836458</v>
      </c>
      <c r="J10" s="36">
        <f t="shared" si="4"/>
        <v>7572.711260469996</v>
      </c>
      <c r="K10" s="39">
        <f t="shared" si="5"/>
        <v>3.3874604483378104E-2</v>
      </c>
      <c r="L10" s="37">
        <f t="shared" si="6"/>
        <v>1.4745838826787401</v>
      </c>
      <c r="M10" s="37">
        <f t="shared" si="7"/>
        <v>0.26666666666666666</v>
      </c>
      <c r="O10" s="33">
        <f t="shared" si="8"/>
        <v>1.4745838826787401</v>
      </c>
    </row>
    <row r="11" spans="1:15" x14ac:dyDescent="0.2">
      <c r="A11" s="40" t="s">
        <v>136</v>
      </c>
      <c r="B11" s="33">
        <f>0.125-2*0.047</f>
        <v>3.1E-2</v>
      </c>
      <c r="C11" s="33" t="s">
        <v>133</v>
      </c>
      <c r="E11" s="67">
        <v>5</v>
      </c>
      <c r="F11" s="36">
        <f t="shared" si="0"/>
        <v>171.13400514194535</v>
      </c>
      <c r="G11" s="37">
        <f t="shared" si="1"/>
        <v>3.5619469810576405E-2</v>
      </c>
      <c r="H11" s="38">
        <f t="shared" si="2"/>
        <v>0.35619469810576404</v>
      </c>
      <c r="I11" s="38">
        <f t="shared" si="3"/>
        <v>0.71238939621152808</v>
      </c>
      <c r="J11" s="36">
        <f t="shared" si="4"/>
        <v>8414.1236227444406</v>
      </c>
      <c r="K11" s="39">
        <f t="shared" si="5"/>
        <v>3.2993991675485425E-2</v>
      </c>
      <c r="L11" s="37">
        <f t="shared" si="6"/>
        <v>1.4362502261474528</v>
      </c>
      <c r="M11" s="37">
        <f t="shared" si="7"/>
        <v>0.24</v>
      </c>
      <c r="O11" s="33">
        <f t="shared" si="8"/>
        <v>1.4362502261474528</v>
      </c>
    </row>
    <row r="12" spans="1:15" x14ac:dyDescent="0.2">
      <c r="E12" s="67">
        <v>5.5</v>
      </c>
      <c r="F12" s="36">
        <f t="shared" si="0"/>
        <v>188.24740565613988</v>
      </c>
      <c r="G12" s="37">
        <f t="shared" si="1"/>
        <v>3.2381336191433095E-2</v>
      </c>
      <c r="H12" s="38">
        <f t="shared" si="2"/>
        <v>0.32381336191433091</v>
      </c>
      <c r="I12" s="38">
        <f t="shared" si="3"/>
        <v>0.64762672382866182</v>
      </c>
      <c r="J12" s="36">
        <f t="shared" si="4"/>
        <v>9255.5359850188852</v>
      </c>
      <c r="K12" s="39">
        <f t="shared" si="5"/>
        <v>3.2217118106273888E-2</v>
      </c>
      <c r="L12" s="37">
        <f t="shared" si="6"/>
        <v>1.4024324071202066</v>
      </c>
      <c r="M12" s="37">
        <f t="shared" si="7"/>
        <v>0.21818181818181817</v>
      </c>
      <c r="O12" s="33">
        <f t="shared" si="8"/>
        <v>1.4024324071202066</v>
      </c>
    </row>
    <row r="13" spans="1:15" x14ac:dyDescent="0.2">
      <c r="A13" s="35" t="s">
        <v>135</v>
      </c>
      <c r="E13" s="67">
        <v>6</v>
      </c>
      <c r="F13" s="36">
        <f t="shared" si="0"/>
        <v>205.3608061703344</v>
      </c>
      <c r="G13" s="37">
        <f t="shared" si="1"/>
        <v>2.9682891508813671E-2</v>
      </c>
      <c r="H13" s="38">
        <f t="shared" si="2"/>
        <v>0.29682891508813669</v>
      </c>
      <c r="I13" s="38">
        <f t="shared" si="3"/>
        <v>0.59365783017627338</v>
      </c>
      <c r="J13" s="36">
        <f t="shared" si="4"/>
        <v>10096.948347293328</v>
      </c>
      <c r="K13" s="39">
        <f t="shared" si="5"/>
        <v>3.152387153239343E-2</v>
      </c>
      <c r="L13" s="37">
        <f t="shared" si="6"/>
        <v>1.3722549263744759</v>
      </c>
      <c r="M13" s="37">
        <f t="shared" si="7"/>
        <v>0.19999999999999998</v>
      </c>
      <c r="O13" s="33">
        <f t="shared" si="8"/>
        <v>1.3722549263744759</v>
      </c>
    </row>
    <row r="14" spans="1:15" x14ac:dyDescent="0.2">
      <c r="A14" s="33" t="s">
        <v>134</v>
      </c>
      <c r="B14" s="67">
        <v>3.1E-2</v>
      </c>
      <c r="C14" s="33" t="s">
        <v>133</v>
      </c>
      <c r="E14" s="67">
        <v>6.5</v>
      </c>
      <c r="F14" s="36">
        <f t="shared" si="0"/>
        <v>222.47420668452895</v>
      </c>
      <c r="G14" s="37">
        <f t="shared" si="1"/>
        <v>2.7399592161981848E-2</v>
      </c>
      <c r="H14" s="38">
        <f t="shared" si="2"/>
        <v>0.27399592161981845</v>
      </c>
      <c r="I14" s="38">
        <f t="shared" si="3"/>
        <v>0.5479918432396369</v>
      </c>
      <c r="J14" s="36">
        <f t="shared" si="4"/>
        <v>10938.360709567774</v>
      </c>
      <c r="K14" s="39">
        <f t="shared" si="5"/>
        <v>3.0899327142189396E-2</v>
      </c>
      <c r="L14" s="37">
        <f t="shared" si="6"/>
        <v>1.3450680970119608</v>
      </c>
      <c r="M14" s="37">
        <f t="shared" si="7"/>
        <v>0.1846153846153846</v>
      </c>
      <c r="O14" s="33">
        <f t="shared" si="8"/>
        <v>1.3450680970119608</v>
      </c>
    </row>
    <row r="15" spans="1:15" x14ac:dyDescent="0.2">
      <c r="A15" s="33" t="s">
        <v>132</v>
      </c>
      <c r="B15" s="67">
        <v>20</v>
      </c>
      <c r="C15" s="33" t="s">
        <v>131</v>
      </c>
      <c r="E15" s="67">
        <v>7</v>
      </c>
      <c r="F15" s="36">
        <f t="shared" si="0"/>
        <v>239.58760719872348</v>
      </c>
      <c r="G15" s="37">
        <f t="shared" si="1"/>
        <v>2.5442478436126004E-2</v>
      </c>
      <c r="H15" s="38">
        <f t="shared" si="2"/>
        <v>0.25442478436126004</v>
      </c>
      <c r="I15" s="38">
        <f t="shared" si="3"/>
        <v>0.50884956872252007</v>
      </c>
      <c r="J15" s="36">
        <f t="shared" si="4"/>
        <v>11779.773071842215</v>
      </c>
      <c r="K15" s="39">
        <f t="shared" si="5"/>
        <v>3.0332126013215627E-2</v>
      </c>
      <c r="L15" s="37">
        <f t="shared" si="6"/>
        <v>1.3203774576442797</v>
      </c>
      <c r="M15" s="37">
        <f t="shared" si="7"/>
        <v>0.17142857142857143</v>
      </c>
      <c r="O15" s="33">
        <f t="shared" si="8"/>
        <v>1.3203774576442797</v>
      </c>
    </row>
    <row r="16" spans="1:15" x14ac:dyDescent="0.2">
      <c r="A16" s="33" t="s">
        <v>180</v>
      </c>
      <c r="B16" s="68">
        <v>50</v>
      </c>
      <c r="C16" s="33" t="s">
        <v>168</v>
      </c>
      <c r="E16" s="67">
        <v>7.5</v>
      </c>
      <c r="F16" s="36">
        <f t="shared" si="0"/>
        <v>256.701007712918</v>
      </c>
      <c r="G16" s="37">
        <f t="shared" si="1"/>
        <v>2.374631320705094E-2</v>
      </c>
      <c r="H16" s="38">
        <f t="shared" si="2"/>
        <v>0.2374631320705094</v>
      </c>
      <c r="I16" s="38">
        <f t="shared" si="3"/>
        <v>0.47492626414101879</v>
      </c>
      <c r="J16" s="36">
        <f t="shared" si="4"/>
        <v>12621.185434116662</v>
      </c>
      <c r="K16" s="39">
        <f t="shared" si="5"/>
        <v>2.9813436985055179E-2</v>
      </c>
      <c r="L16" s="37">
        <f t="shared" si="6"/>
        <v>1.2977985820319318</v>
      </c>
      <c r="M16" s="37">
        <f t="shared" si="7"/>
        <v>0.16</v>
      </c>
      <c r="O16" s="33">
        <f t="shared" si="8"/>
        <v>1.2977985820319318</v>
      </c>
    </row>
    <row r="17" spans="1:15" x14ac:dyDescent="0.2">
      <c r="A17" s="33" t="s">
        <v>183</v>
      </c>
      <c r="B17" s="68">
        <v>4100</v>
      </c>
      <c r="E17" s="67">
        <v>8</v>
      </c>
      <c r="F17" s="36">
        <f t="shared" si="0"/>
        <v>273.81440822711255</v>
      </c>
      <c r="G17" s="37">
        <f t="shared" si="1"/>
        <v>2.2262168631610253E-2</v>
      </c>
      <c r="H17" s="38">
        <f t="shared" si="2"/>
        <v>0.22262168631610252</v>
      </c>
      <c r="I17" s="38">
        <f t="shared" si="3"/>
        <v>0.44524337263220504</v>
      </c>
      <c r="J17" s="36">
        <f t="shared" si="4"/>
        <v>13462.597796391106</v>
      </c>
      <c r="K17" s="39">
        <f t="shared" si="5"/>
        <v>2.9336268025755671E-2</v>
      </c>
      <c r="L17" s="37">
        <f t="shared" si="6"/>
        <v>1.277027102410881</v>
      </c>
      <c r="M17" s="37">
        <f t="shared" si="7"/>
        <v>0.15</v>
      </c>
      <c r="O17" s="33">
        <f t="shared" si="8"/>
        <v>1.277027102410881</v>
      </c>
    </row>
    <row r="18" spans="1:15" x14ac:dyDescent="0.2">
      <c r="E18" s="67">
        <v>8.5</v>
      </c>
      <c r="F18" s="36">
        <f t="shared" si="0"/>
        <v>290.92780874130705</v>
      </c>
      <c r="G18" s="37">
        <f t="shared" si="1"/>
        <v>2.0952629300339067E-2</v>
      </c>
      <c r="H18" s="38">
        <f t="shared" si="2"/>
        <v>0.20952629300339065</v>
      </c>
      <c r="I18" s="38">
        <f t="shared" si="3"/>
        <v>0.4190525860067813</v>
      </c>
      <c r="J18" s="36">
        <f t="shared" si="4"/>
        <v>14304.010158665547</v>
      </c>
      <c r="K18" s="39">
        <f t="shared" si="5"/>
        <v>2.8894995432120596E-2</v>
      </c>
      <c r="L18" s="37">
        <f t="shared" si="6"/>
        <v>1.2578182152706219</v>
      </c>
      <c r="M18" s="37">
        <f t="shared" si="7"/>
        <v>0.14117647058823529</v>
      </c>
      <c r="O18" s="33">
        <f t="shared" si="8"/>
        <v>1.2578182152706219</v>
      </c>
    </row>
    <row r="19" spans="1:15" x14ac:dyDescent="0.2">
      <c r="A19" s="35" t="s">
        <v>112</v>
      </c>
      <c r="E19" s="67">
        <v>9</v>
      </c>
      <c r="F19" s="36">
        <f t="shared" si="0"/>
        <v>308.0412092555016</v>
      </c>
      <c r="G19" s="37">
        <f t="shared" si="1"/>
        <v>1.9788594339209115E-2</v>
      </c>
      <c r="H19" s="38">
        <f t="shared" si="2"/>
        <v>0.19788594339209115</v>
      </c>
      <c r="I19" s="38">
        <f t="shared" si="3"/>
        <v>0.39577188678418229</v>
      </c>
      <c r="J19" s="36">
        <f t="shared" si="4"/>
        <v>15145.422520939992</v>
      </c>
      <c r="K19" s="39">
        <f t="shared" si="5"/>
        <v>2.8485033478210058E-2</v>
      </c>
      <c r="L19" s="37">
        <f t="shared" si="6"/>
        <v>1.2399723009354566</v>
      </c>
      <c r="M19" s="37">
        <f t="shared" si="7"/>
        <v>0.13333333333333333</v>
      </c>
      <c r="O19" s="33">
        <f t="shared" si="8"/>
        <v>1.2399723009354566</v>
      </c>
    </row>
    <row r="20" spans="1:15" x14ac:dyDescent="0.2">
      <c r="A20" s="33" t="s">
        <v>111</v>
      </c>
      <c r="B20" s="42">
        <f>(B3-32)*5/9</f>
        <v>12.777777777777779</v>
      </c>
      <c r="C20" s="33" t="s">
        <v>110</v>
      </c>
      <c r="E20" s="67">
        <v>9.5</v>
      </c>
      <c r="F20" s="36">
        <f t="shared" si="0"/>
        <v>325.15460976969615</v>
      </c>
      <c r="G20" s="37">
        <f t="shared" si="1"/>
        <v>1.8747089373987582E-2</v>
      </c>
      <c r="H20" s="38">
        <f t="shared" si="2"/>
        <v>0.1874708937398758</v>
      </c>
      <c r="I20" s="38">
        <f t="shared" si="3"/>
        <v>0.3749417874797516</v>
      </c>
      <c r="J20" s="36">
        <f t="shared" si="4"/>
        <v>15986.834883214438</v>
      </c>
      <c r="K20" s="39">
        <f t="shared" si="5"/>
        <v>2.8102597306561231E-2</v>
      </c>
      <c r="L20" s="37">
        <f t="shared" si="6"/>
        <v>1.2233246020628858</v>
      </c>
      <c r="M20" s="37">
        <f t="shared" si="7"/>
        <v>0.12631578947368421</v>
      </c>
      <c r="O20" s="33">
        <f t="shared" si="8"/>
        <v>1.2233246020628858</v>
      </c>
    </row>
    <row r="21" spans="1:15" x14ac:dyDescent="0.2">
      <c r="A21" s="33" t="s">
        <v>109</v>
      </c>
      <c r="B21" s="43">
        <f>1000*(B4/B38)/(B34*(B20+273.15))</f>
        <v>1.1245420441113285</v>
      </c>
      <c r="C21" s="33" t="s">
        <v>108</v>
      </c>
      <c r="E21" s="67">
        <v>10</v>
      </c>
      <c r="F21" s="36">
        <f t="shared" si="0"/>
        <v>342.2680102838907</v>
      </c>
      <c r="G21" s="37">
        <f t="shared" si="1"/>
        <v>1.7809734905288203E-2</v>
      </c>
      <c r="H21" s="38">
        <f t="shared" si="2"/>
        <v>0.17809734905288202</v>
      </c>
      <c r="I21" s="38">
        <f t="shared" si="3"/>
        <v>0.35619469810576404</v>
      </c>
      <c r="J21" s="36">
        <f t="shared" si="4"/>
        <v>16828.247245488881</v>
      </c>
      <c r="K21" s="39">
        <f t="shared" si="5"/>
        <v>2.7744529324826593E-2</v>
      </c>
      <c r="L21" s="37">
        <f t="shared" si="6"/>
        <v>1.2077376665747301</v>
      </c>
      <c r="M21" s="37">
        <f t="shared" si="7"/>
        <v>0.12</v>
      </c>
      <c r="O21" s="33">
        <f t="shared" si="8"/>
        <v>1.2077376665747301</v>
      </c>
    </row>
    <row r="22" spans="1:15" x14ac:dyDescent="0.2">
      <c r="A22" s="33" t="s">
        <v>107</v>
      </c>
      <c r="B22" s="44">
        <f>B36*(B20+273.15)^1.5/((B20+273.15+B35)*10^6)</f>
        <v>1.8009406563349156E-5</v>
      </c>
      <c r="C22" s="33" t="s">
        <v>106</v>
      </c>
      <c r="E22" s="67">
        <v>10.5</v>
      </c>
      <c r="F22" s="36">
        <f t="shared" si="0"/>
        <v>359.3814107980852</v>
      </c>
      <c r="G22" s="37">
        <f t="shared" si="1"/>
        <v>1.6961652290750671E-2</v>
      </c>
      <c r="H22" s="38">
        <f t="shared" si="2"/>
        <v>0.1696165229075067</v>
      </c>
      <c r="I22" s="38">
        <f t="shared" ref="I22:I31" si="9">G22*1000/50</f>
        <v>0.3392330458150134</v>
      </c>
      <c r="J22" s="36">
        <f t="shared" si="4"/>
        <v>17669.659607763326</v>
      </c>
      <c r="K22" s="39">
        <f t="shared" si="5"/>
        <v>2.7408169839287927E-2</v>
      </c>
      <c r="L22" s="37">
        <f t="shared" si="6"/>
        <v>1.1930957162486442</v>
      </c>
      <c r="M22" s="37">
        <f t="shared" si="7"/>
        <v>0.11428571428571428</v>
      </c>
      <c r="O22" s="33">
        <f t="shared" si="8"/>
        <v>1.1930957162486442</v>
      </c>
    </row>
    <row r="23" spans="1:15" x14ac:dyDescent="0.2">
      <c r="A23" s="33" t="s">
        <v>105</v>
      </c>
      <c r="B23" s="45">
        <f>PI()*(B14/2)^2</f>
        <v>7.5476763502494771E-4</v>
      </c>
      <c r="C23" s="33" t="s">
        <v>104</v>
      </c>
      <c r="E23" s="67">
        <v>11</v>
      </c>
      <c r="F23" s="36">
        <f t="shared" si="0"/>
        <v>376.49481131227975</v>
      </c>
      <c r="G23" s="37">
        <f t="shared" si="1"/>
        <v>1.6190668095716548E-2</v>
      </c>
      <c r="H23" s="38">
        <f t="shared" si="2"/>
        <v>0.16190668095716546</v>
      </c>
      <c r="I23" s="38">
        <f t="shared" si="9"/>
        <v>0.32381336191433091</v>
      </c>
      <c r="J23" s="36">
        <f t="shared" si="4"/>
        <v>18511.07197003777</v>
      </c>
      <c r="K23" s="39">
        <f t="shared" si="5"/>
        <v>2.7091259125371251E-2</v>
      </c>
      <c r="L23" s="37">
        <f t="shared" si="6"/>
        <v>1.1793003837830196</v>
      </c>
      <c r="M23" s="37">
        <f t="shared" si="7"/>
        <v>0.10909090909090909</v>
      </c>
      <c r="O23" s="33">
        <f t="shared" si="8"/>
        <v>1.1793003837830196</v>
      </c>
    </row>
    <row r="24" spans="1:15" x14ac:dyDescent="0.2">
      <c r="A24" s="33" t="s">
        <v>190</v>
      </c>
      <c r="B24" s="66">
        <f>$B$15*$B$23*$B$43*$B$46</f>
        <v>2.9684221296677897</v>
      </c>
      <c r="C24" s="33" t="s">
        <v>191</v>
      </c>
      <c r="E24" s="67">
        <v>11.5</v>
      </c>
      <c r="F24" s="36">
        <f t="shared" si="0"/>
        <v>393.60821182647425</v>
      </c>
      <c r="G24" s="37">
        <f t="shared" si="1"/>
        <v>1.5486726004598439E-2</v>
      </c>
      <c r="H24" s="38">
        <f t="shared" si="2"/>
        <v>0.15486726004598439</v>
      </c>
      <c r="I24" s="38">
        <f t="shared" si="9"/>
        <v>0.30973452009196878</v>
      </c>
      <c r="J24" s="36">
        <f t="shared" si="4"/>
        <v>19352.484332312211</v>
      </c>
      <c r="K24" s="39">
        <f t="shared" si="5"/>
        <v>2.6791862241895063E-2</v>
      </c>
      <c r="L24" s="37">
        <f t="shared" si="6"/>
        <v>1.1662674399116051</v>
      </c>
      <c r="M24" s="37">
        <f t="shared" si="7"/>
        <v>0.10434782608695652</v>
      </c>
      <c r="O24" s="33">
        <f t="shared" si="8"/>
        <v>1.1662674399116051</v>
      </c>
    </row>
    <row r="25" spans="1:15" x14ac:dyDescent="0.2">
      <c r="A25" s="33" t="s">
        <v>193</v>
      </c>
      <c r="B25" s="70">
        <f>(B24/B42)/(Canisters!B8*(0.528-Canisters!B9))</f>
        <v>2.1016865828857187E-4</v>
      </c>
      <c r="E25" s="67">
        <v>12</v>
      </c>
      <c r="F25" s="36">
        <f t="shared" si="0"/>
        <v>410.7216123406688</v>
      </c>
      <c r="G25" s="37">
        <f t="shared" si="1"/>
        <v>1.4841445754406836E-2</v>
      </c>
      <c r="H25" s="38">
        <f t="shared" si="2"/>
        <v>0.14841445754406835</v>
      </c>
      <c r="I25" s="38">
        <f t="shared" si="9"/>
        <v>0.29682891508813669</v>
      </c>
      <c r="J25" s="36">
        <f t="shared" si="4"/>
        <v>20193.896694586656</v>
      </c>
      <c r="K25" s="39">
        <f t="shared" si="5"/>
        <v>2.6508310566508257E-2</v>
      </c>
      <c r="L25" s="37">
        <f t="shared" si="6"/>
        <v>1.1539242484025469</v>
      </c>
      <c r="M25" s="37">
        <f t="shared" si="7"/>
        <v>9.9999999999999992E-2</v>
      </c>
      <c r="O25" s="33">
        <f t="shared" si="8"/>
        <v>1.1539242484025469</v>
      </c>
    </row>
    <row r="26" spans="1:15" x14ac:dyDescent="0.2">
      <c r="A26" s="46" t="s">
        <v>181</v>
      </c>
      <c r="B26" s="47">
        <f>-1*B7*B39</f>
        <v>-482.58</v>
      </c>
      <c r="C26" s="33" t="s">
        <v>186</v>
      </c>
      <c r="E26" s="67">
        <v>12.5</v>
      </c>
      <c r="F26" s="36">
        <f t="shared" si="0"/>
        <v>427.83501285486329</v>
      </c>
      <c r="G26" s="37">
        <f t="shared" si="1"/>
        <v>1.4247787924230565E-2</v>
      </c>
      <c r="H26" s="38">
        <f t="shared" si="2"/>
        <v>0.14247787924230565</v>
      </c>
      <c r="I26" s="38">
        <f t="shared" si="9"/>
        <v>0.2849557584846113</v>
      </c>
      <c r="J26" s="36">
        <f t="shared" si="4"/>
        <v>21035.309056861101</v>
      </c>
      <c r="K26" s="39">
        <f t="shared" si="5"/>
        <v>2.6239155804697292E-2</v>
      </c>
      <c r="L26" s="37">
        <f t="shared" si="6"/>
        <v>1.1422077640401258</v>
      </c>
      <c r="M26" s="37">
        <f t="shared" si="7"/>
        <v>9.6000000000000002E-2</v>
      </c>
      <c r="O26" s="33">
        <f t="shared" si="8"/>
        <v>1.1422077640401258</v>
      </c>
    </row>
    <row r="27" spans="1:15" x14ac:dyDescent="0.2">
      <c r="A27" s="46" t="s">
        <v>184</v>
      </c>
      <c r="B27" s="47">
        <f>-1*(1-$B$37)*$B$4-$B$16</f>
        <v>-485.65599999999995</v>
      </c>
      <c r="C27" s="33" t="s">
        <v>186</v>
      </c>
      <c r="E27" s="67">
        <v>13</v>
      </c>
      <c r="F27" s="36">
        <f t="shared" si="0"/>
        <v>444.9484133690579</v>
      </c>
      <c r="G27" s="37">
        <f t="shared" si="1"/>
        <v>1.3699796080990924E-2</v>
      </c>
      <c r="H27" s="38">
        <f t="shared" si="2"/>
        <v>0.13699796080990922</v>
      </c>
      <c r="I27" s="38">
        <f t="shared" si="9"/>
        <v>0.27399592161981845</v>
      </c>
      <c r="J27" s="36">
        <f t="shared" si="4"/>
        <v>21876.721419135549</v>
      </c>
      <c r="K27" s="39">
        <f t="shared" si="5"/>
        <v>2.5983133427618869E-2</v>
      </c>
      <c r="L27" s="37">
        <f t="shared" si="6"/>
        <v>1.1310629410494935</v>
      </c>
      <c r="M27" s="37">
        <f t="shared" si="7"/>
        <v>9.2307692307692299E-2</v>
      </c>
      <c r="O27" s="33">
        <f t="shared" si="8"/>
        <v>1.1310629410494935</v>
      </c>
    </row>
    <row r="28" spans="1:15" x14ac:dyDescent="0.2">
      <c r="A28" s="33" t="s">
        <v>103</v>
      </c>
      <c r="B28" s="47">
        <f>$B$4*$B$37</f>
        <v>487.34400000000005</v>
      </c>
      <c r="C28" s="33" t="s">
        <v>177</v>
      </c>
      <c r="E28" s="67">
        <v>13.5</v>
      </c>
      <c r="F28" s="36">
        <f t="shared" si="0"/>
        <v>462.0618138832524</v>
      </c>
      <c r="G28" s="37">
        <f t="shared" si="1"/>
        <v>1.319239622613941E-2</v>
      </c>
      <c r="H28" s="38">
        <f t="shared" si="2"/>
        <v>0.13192396226139411</v>
      </c>
      <c r="I28" s="38">
        <f t="shared" si="9"/>
        <v>0.26384792452278821</v>
      </c>
      <c r="J28" s="36">
        <f t="shared" si="4"/>
        <v>22718.13378140999</v>
      </c>
      <c r="K28" s="39">
        <f t="shared" si="5"/>
        <v>2.5739133323804106E-2</v>
      </c>
      <c r="L28" s="37">
        <f t="shared" si="6"/>
        <v>1.1204414555459878</v>
      </c>
      <c r="M28" s="37">
        <f t="shared" si="7"/>
        <v>8.8888888888888892E-2</v>
      </c>
      <c r="O28" s="33">
        <f t="shared" si="8"/>
        <v>1.1204414555459878</v>
      </c>
    </row>
    <row r="29" spans="1:15" x14ac:dyDescent="0.2">
      <c r="A29" s="33" t="s">
        <v>187</v>
      </c>
      <c r="B29" s="47">
        <f>$B$4+MIN($B$26:$B$27)-MAX($O$3:$O$31)</f>
        <v>435.63600101214121</v>
      </c>
      <c r="C29" s="33" t="s">
        <v>177</v>
      </c>
      <c r="E29" s="67">
        <v>14</v>
      </c>
      <c r="F29" s="36">
        <f t="shared" si="0"/>
        <v>479.17521439744695</v>
      </c>
      <c r="G29" s="37">
        <f t="shared" si="1"/>
        <v>1.2721239218063002E-2</v>
      </c>
      <c r="H29" s="38">
        <f t="shared" si="2"/>
        <v>0.12721239218063002</v>
      </c>
      <c r="I29" s="38">
        <f t="shared" si="9"/>
        <v>0.25442478436126004</v>
      </c>
      <c r="J29" s="36">
        <f t="shared" si="4"/>
        <v>23559.546143684431</v>
      </c>
      <c r="K29" s="39">
        <f t="shared" si="5"/>
        <v>2.5506176031536966E-2</v>
      </c>
      <c r="L29" s="37">
        <f t="shared" si="6"/>
        <v>1.1103006709148884</v>
      </c>
      <c r="M29" s="37">
        <f t="shared" si="7"/>
        <v>8.5714285714285715E-2</v>
      </c>
      <c r="O29" s="33">
        <f t="shared" si="8"/>
        <v>1.1103006709148884</v>
      </c>
    </row>
    <row r="30" spans="1:15" x14ac:dyDescent="0.2">
      <c r="A30" s="33" t="s">
        <v>188</v>
      </c>
      <c r="B30" s="47">
        <f>$B$4*($B$37-Canisters!B9)</f>
        <v>395.04400000000004</v>
      </c>
      <c r="C30" s="33" t="s">
        <v>177</v>
      </c>
      <c r="E30" s="67">
        <v>14.5</v>
      </c>
      <c r="F30" s="36">
        <f t="shared" si="0"/>
        <v>496.28861491164145</v>
      </c>
      <c r="G30" s="37">
        <f t="shared" si="1"/>
        <v>1.2282575796750485E-2</v>
      </c>
      <c r="H30" s="38">
        <f t="shared" si="2"/>
        <v>0.12282575796750486</v>
      </c>
      <c r="I30" s="38">
        <f t="shared" si="9"/>
        <v>0.24565151593500972</v>
      </c>
      <c r="J30" s="36">
        <f t="shared" si="4"/>
        <v>24400.958505958875</v>
      </c>
      <c r="K30" s="39">
        <f t="shared" si="5"/>
        <v>2.5283393332657642E-2</v>
      </c>
      <c r="L30" s="37">
        <f t="shared" si="6"/>
        <v>1.1006027930468736</v>
      </c>
      <c r="M30" s="37">
        <f t="shared" si="7"/>
        <v>8.2758620689655171E-2</v>
      </c>
      <c r="O30" s="33">
        <f t="shared" si="8"/>
        <v>1.1006027930468736</v>
      </c>
    </row>
    <row r="31" spans="1:15" x14ac:dyDescent="0.2">
      <c r="A31" s="33" t="s">
        <v>189</v>
      </c>
      <c r="B31" s="69">
        <f>MIN(B29:B30)</f>
        <v>395.04400000000004</v>
      </c>
      <c r="C31" s="33" t="s">
        <v>177</v>
      </c>
      <c r="E31" s="67">
        <v>15</v>
      </c>
      <c r="F31" s="36">
        <f t="shared" si="0"/>
        <v>513.402015425836</v>
      </c>
      <c r="G31" s="37">
        <f t="shared" si="1"/>
        <v>1.187315660352547E-2</v>
      </c>
      <c r="H31" s="38">
        <f t="shared" si="2"/>
        <v>0.1187315660352547</v>
      </c>
      <c r="I31" s="38">
        <f t="shared" si="9"/>
        <v>0.2374631320705094</v>
      </c>
      <c r="J31" s="36">
        <f t="shared" si="4"/>
        <v>25242.370868233324</v>
      </c>
      <c r="K31" s="39">
        <f t="shared" si="5"/>
        <v>2.5070012287125413E-2</v>
      </c>
      <c r="L31" s="37">
        <f t="shared" si="6"/>
        <v>1.0913141753520053</v>
      </c>
      <c r="M31" s="37">
        <f t="shared" si="7"/>
        <v>0.08</v>
      </c>
      <c r="O31" s="33">
        <f t="shared" si="8"/>
        <v>1.0913141753520053</v>
      </c>
    </row>
    <row r="33" spans="1:3" x14ac:dyDescent="0.2">
      <c r="A33" s="35" t="s">
        <v>129</v>
      </c>
    </row>
    <row r="34" spans="1:3" x14ac:dyDescent="0.2">
      <c r="A34" s="33" t="s">
        <v>128</v>
      </c>
      <c r="B34" s="41">
        <v>287.05799999999999</v>
      </c>
      <c r="C34" s="33" t="s">
        <v>127</v>
      </c>
    </row>
    <row r="35" spans="1:3" x14ac:dyDescent="0.2">
      <c r="A35" s="33" t="s">
        <v>126</v>
      </c>
      <c r="B35" s="33">
        <v>120</v>
      </c>
      <c r="C35" s="33" t="s">
        <v>125</v>
      </c>
    </row>
    <row r="36" spans="1:3" x14ac:dyDescent="0.2">
      <c r="A36" s="33" t="s">
        <v>124</v>
      </c>
      <c r="B36" s="33">
        <v>1.512041288</v>
      </c>
      <c r="C36" s="33" t="s">
        <v>123</v>
      </c>
    </row>
    <row r="37" spans="1:3" x14ac:dyDescent="0.2">
      <c r="A37" s="33" t="s">
        <v>122</v>
      </c>
      <c r="B37" s="33">
        <v>0.52800000000000002</v>
      </c>
    </row>
    <row r="38" spans="1:3" x14ac:dyDescent="0.2">
      <c r="A38" s="33" t="s">
        <v>121</v>
      </c>
      <c r="B38" s="33">
        <v>10</v>
      </c>
      <c r="C38" s="33" t="s">
        <v>113</v>
      </c>
    </row>
    <row r="39" spans="1:3" x14ac:dyDescent="0.2">
      <c r="A39" s="33" t="s">
        <v>120</v>
      </c>
      <c r="B39" s="33">
        <v>68.94</v>
      </c>
      <c r="C39" s="33" t="s">
        <v>113</v>
      </c>
    </row>
    <row r="40" spans="1:3" x14ac:dyDescent="0.2">
      <c r="A40" s="33" t="s">
        <v>119</v>
      </c>
      <c r="B40" s="33">
        <v>39.369999999999997</v>
      </c>
      <c r="C40" s="33" t="s">
        <v>113</v>
      </c>
    </row>
    <row r="41" spans="1:3" x14ac:dyDescent="0.2">
      <c r="A41" s="33" t="s">
        <v>118</v>
      </c>
      <c r="B41" s="33">
        <v>60</v>
      </c>
      <c r="C41" s="33" t="s">
        <v>113</v>
      </c>
    </row>
    <row r="42" spans="1:3" x14ac:dyDescent="0.2">
      <c r="A42" s="33" t="s">
        <v>117</v>
      </c>
      <c r="B42" s="33">
        <v>1000</v>
      </c>
      <c r="C42" s="33" t="s">
        <v>113</v>
      </c>
    </row>
    <row r="43" spans="1:3" x14ac:dyDescent="0.2">
      <c r="A43" s="33" t="s">
        <v>116</v>
      </c>
      <c r="B43" s="33">
        <v>12</v>
      </c>
      <c r="C43" s="33" t="s">
        <v>113</v>
      </c>
    </row>
    <row r="44" spans="1:3" x14ac:dyDescent="0.2">
      <c r="A44" s="33" t="s">
        <v>115</v>
      </c>
      <c r="B44" s="33">
        <v>3.2810000000000001</v>
      </c>
      <c r="C44" s="33" t="s">
        <v>113</v>
      </c>
    </row>
    <row r="45" spans="1:3" x14ac:dyDescent="0.2">
      <c r="A45" s="33" t="s">
        <v>114</v>
      </c>
      <c r="B45" s="33">
        <v>1000</v>
      </c>
      <c r="C45" s="33" t="s">
        <v>113</v>
      </c>
    </row>
    <row r="46" spans="1:3" x14ac:dyDescent="0.2">
      <c r="A46" s="33" t="s">
        <v>192</v>
      </c>
      <c r="B46" s="33">
        <v>16.387063999999999</v>
      </c>
      <c r="C46" s="33" t="s">
        <v>113</v>
      </c>
    </row>
  </sheetData>
  <mergeCells count="1">
    <mergeCell ref="H1:I1"/>
  </mergeCells>
  <conditionalFormatting sqref="J3:J31">
    <cfRule type="cellIs" dxfId="1" priority="1" operator="lessThan">
      <formula>$B$17</formula>
    </cfRule>
  </conditionalFormatting>
  <pageMargins left="0.7" right="0.7" top="0.75" bottom="0.75" header="0.51180555555555496" footer="0.51180555555555496"/>
  <pageSetup scale="75" firstPageNumber="0"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FFFF"/>
  </sheetPr>
  <dimension ref="A1:J18"/>
  <sheetViews>
    <sheetView zoomScaleNormal="100" workbookViewId="0">
      <selection activeCell="C20" sqref="C20"/>
    </sheetView>
  </sheetViews>
  <sheetFormatPr defaultRowHeight="12.75" x14ac:dyDescent="0.2"/>
  <cols>
    <col min="1" max="1" width="23.7109375"/>
    <col min="2" max="2" width="23.7109375" bestFit="1" customWidth="1"/>
    <col min="3" max="3" width="39.7109375" bestFit="1" customWidth="1"/>
    <col min="4" max="5" width="5.5703125" style="1"/>
    <col min="6" max="6" width="6.5703125" style="2" bestFit="1" customWidth="1"/>
    <col min="7" max="7" width="10.28515625" style="1"/>
    <col min="8" max="8" width="9.7109375" style="1" customWidth="1"/>
    <col min="9" max="9" width="8.7109375" style="1"/>
    <col min="10" max="10" width="13.5703125"/>
    <col min="11" max="1026" width="11.5703125"/>
  </cols>
  <sheetData>
    <row r="1" spans="1:10" x14ac:dyDescent="0.2">
      <c r="H1" s="3" t="s">
        <v>0</v>
      </c>
      <c r="I1" s="14">
        <f>SUM(I5:I30)</f>
        <v>73.299620540119349</v>
      </c>
      <c r="J1" t="s">
        <v>1</v>
      </c>
    </row>
    <row r="2" spans="1:10" x14ac:dyDescent="0.2">
      <c r="H2" s="3" t="s">
        <v>2</v>
      </c>
      <c r="I2" s="14">
        <f>SUM(I5:I11)</f>
        <v>3.1320000000000001</v>
      </c>
      <c r="J2" t="s">
        <v>1</v>
      </c>
    </row>
    <row r="4" spans="1:10" x14ac:dyDescent="0.2">
      <c r="A4" s="4" t="s">
        <v>3</v>
      </c>
      <c r="B4" s="4" t="s">
        <v>4</v>
      </c>
      <c r="C4" s="4" t="s">
        <v>5</v>
      </c>
      <c r="D4" s="5" t="s">
        <v>6</v>
      </c>
      <c r="E4" s="5" t="s">
        <v>7</v>
      </c>
      <c r="F4" s="6" t="s">
        <v>8</v>
      </c>
      <c r="G4" s="5" t="s">
        <v>9</v>
      </c>
      <c r="H4" s="5" t="s">
        <v>102</v>
      </c>
      <c r="I4" s="5" t="s">
        <v>10</v>
      </c>
    </row>
    <row r="5" spans="1:10" x14ac:dyDescent="0.2">
      <c r="A5" t="s">
        <v>11</v>
      </c>
      <c r="B5" t="s">
        <v>12</v>
      </c>
      <c r="C5" t="s">
        <v>13</v>
      </c>
      <c r="D5" s="74">
        <v>1</v>
      </c>
      <c r="E5" s="74">
        <v>12</v>
      </c>
      <c r="F5" s="75">
        <v>0.01</v>
      </c>
      <c r="G5" s="1">
        <f t="shared" ref="G5:G11" si="0">E5*F5</f>
        <v>0.12</v>
      </c>
      <c r="H5" s="15">
        <v>1</v>
      </c>
      <c r="I5" s="50">
        <f>G5*D5*H5</f>
        <v>0.12</v>
      </c>
      <c r="J5" t="s">
        <v>14</v>
      </c>
    </row>
    <row r="6" spans="1:10" x14ac:dyDescent="0.2">
      <c r="A6" t="s">
        <v>15</v>
      </c>
      <c r="B6" t="s">
        <v>16</v>
      </c>
      <c r="C6" t="s">
        <v>17</v>
      </c>
      <c r="D6" s="74">
        <v>1</v>
      </c>
      <c r="E6" s="74">
        <v>12</v>
      </c>
      <c r="F6" s="75">
        <v>4.2999999999999997E-2</v>
      </c>
      <c r="G6" s="1">
        <f t="shared" si="0"/>
        <v>0.51600000000000001</v>
      </c>
      <c r="H6" s="15">
        <v>1</v>
      </c>
      <c r="I6" s="50">
        <f t="shared" ref="I6:I17" si="1">G6*D6*H6</f>
        <v>0.51600000000000001</v>
      </c>
    </row>
    <row r="7" spans="1:10" x14ac:dyDescent="0.2">
      <c r="A7" t="s">
        <v>18</v>
      </c>
      <c r="B7" t="s">
        <v>19</v>
      </c>
      <c r="C7" t="s">
        <v>20</v>
      </c>
      <c r="D7" s="74">
        <v>1</v>
      </c>
      <c r="E7" s="74">
        <v>12</v>
      </c>
      <c r="F7" s="75">
        <v>6.5000000000000002E-2</v>
      </c>
      <c r="G7" s="1">
        <f t="shared" si="0"/>
        <v>0.78</v>
      </c>
      <c r="H7" s="15">
        <v>1</v>
      </c>
      <c r="I7" s="50">
        <f t="shared" si="1"/>
        <v>0.78</v>
      </c>
    </row>
    <row r="8" spans="1:10" x14ac:dyDescent="0.2">
      <c r="A8" t="s">
        <v>21</v>
      </c>
      <c r="B8" t="s">
        <v>22</v>
      </c>
      <c r="C8" t="s">
        <v>23</v>
      </c>
      <c r="D8" s="74">
        <v>2</v>
      </c>
      <c r="E8" s="74">
        <v>12</v>
      </c>
      <c r="F8" s="75">
        <v>0.01</v>
      </c>
      <c r="G8" s="1">
        <f t="shared" si="0"/>
        <v>0.12</v>
      </c>
      <c r="H8" s="15">
        <v>1</v>
      </c>
      <c r="I8" s="50">
        <f t="shared" si="1"/>
        <v>0.24</v>
      </c>
    </row>
    <row r="9" spans="1:10" x14ac:dyDescent="0.2">
      <c r="A9" t="s">
        <v>24</v>
      </c>
      <c r="B9" t="s">
        <v>25</v>
      </c>
      <c r="C9" t="s">
        <v>26</v>
      </c>
      <c r="D9" s="74">
        <v>1</v>
      </c>
      <c r="E9" s="74">
        <v>12</v>
      </c>
      <c r="F9" s="75">
        <v>0.01</v>
      </c>
      <c r="G9" s="1">
        <f t="shared" si="0"/>
        <v>0.12</v>
      </c>
      <c r="H9" s="15">
        <v>1</v>
      </c>
      <c r="I9" s="50">
        <f t="shared" si="1"/>
        <v>0.12</v>
      </c>
    </row>
    <row r="10" spans="1:10" x14ac:dyDescent="0.2">
      <c r="A10" t="s">
        <v>27</v>
      </c>
      <c r="B10" t="s">
        <v>28</v>
      </c>
      <c r="C10" t="s">
        <v>29</v>
      </c>
      <c r="D10" s="74">
        <v>1</v>
      </c>
      <c r="E10" s="74">
        <v>12</v>
      </c>
      <c r="F10" s="75">
        <v>0.11</v>
      </c>
      <c r="G10" s="1">
        <f t="shared" si="0"/>
        <v>1.32</v>
      </c>
      <c r="H10" s="15">
        <v>1</v>
      </c>
      <c r="I10" s="50">
        <f t="shared" si="1"/>
        <v>1.32</v>
      </c>
    </row>
    <row r="11" spans="1:10" x14ac:dyDescent="0.2">
      <c r="A11" t="s">
        <v>30</v>
      </c>
      <c r="B11" t="s">
        <v>31</v>
      </c>
      <c r="C11" t="s">
        <v>32</v>
      </c>
      <c r="D11" s="74">
        <v>1</v>
      </c>
      <c r="E11" s="74">
        <v>12</v>
      </c>
      <c r="F11" s="75">
        <v>3.0000000000000001E-3</v>
      </c>
      <c r="G11" s="1">
        <f t="shared" si="0"/>
        <v>3.6000000000000004E-2</v>
      </c>
      <c r="H11" s="15">
        <v>1</v>
      </c>
      <c r="I11" s="50">
        <f t="shared" si="1"/>
        <v>3.6000000000000004E-2</v>
      </c>
    </row>
    <row r="12" spans="1:10" x14ac:dyDescent="0.2">
      <c r="D12" s="74"/>
      <c r="E12" s="74"/>
      <c r="F12" s="75"/>
      <c r="G12" s="1">
        <f t="shared" ref="G12" si="2">E12*F12</f>
        <v>0</v>
      </c>
      <c r="H12" s="15">
        <v>1</v>
      </c>
      <c r="I12" s="50">
        <f t="shared" ref="I12" si="3">G12*D12*H12</f>
        <v>0</v>
      </c>
    </row>
    <row r="13" spans="1:10" x14ac:dyDescent="0.2">
      <c r="A13" t="s">
        <v>33</v>
      </c>
      <c r="B13" t="s">
        <v>34</v>
      </c>
      <c r="C13" t="s">
        <v>35</v>
      </c>
      <c r="D13" s="74">
        <v>2</v>
      </c>
      <c r="E13" s="74">
        <v>12</v>
      </c>
      <c r="F13" s="75">
        <v>1</v>
      </c>
      <c r="G13" s="1">
        <f>E13*F13</f>
        <v>12</v>
      </c>
      <c r="H13" s="15">
        <f>Canisters!$B$16</f>
        <v>0.19766254312269238</v>
      </c>
      <c r="I13" s="50">
        <f t="shared" si="1"/>
        <v>4.7439010349446171</v>
      </c>
      <c r="J13" t="s">
        <v>36</v>
      </c>
    </row>
    <row r="14" spans="1:10" x14ac:dyDescent="0.2">
      <c r="A14" t="s">
        <v>42</v>
      </c>
      <c r="B14" t="s">
        <v>43</v>
      </c>
      <c r="C14" t="s">
        <v>197</v>
      </c>
      <c r="D14" s="74">
        <v>2</v>
      </c>
      <c r="E14" s="74">
        <v>5</v>
      </c>
      <c r="F14" s="75">
        <v>1.2E-2</v>
      </c>
      <c r="G14" s="1">
        <f>E14*F14</f>
        <v>0.06</v>
      </c>
      <c r="H14" s="15">
        <f>Canisters!$B$16</f>
        <v>0.19766254312269238</v>
      </c>
      <c r="I14" s="50">
        <f t="shared" si="1"/>
        <v>2.3719505174723085E-2</v>
      </c>
    </row>
    <row r="15" spans="1:10" x14ac:dyDescent="0.2">
      <c r="A15" t="s">
        <v>37</v>
      </c>
      <c r="B15" t="s">
        <v>38</v>
      </c>
      <c r="C15" t="s">
        <v>39</v>
      </c>
      <c r="D15" s="74">
        <v>1</v>
      </c>
      <c r="E15" s="74">
        <v>12</v>
      </c>
      <c r="F15" s="75">
        <v>0.25</v>
      </c>
      <c r="G15" s="1">
        <f>E15*F15</f>
        <v>3</v>
      </c>
      <c r="H15" s="15">
        <v>1</v>
      </c>
      <c r="I15" s="50">
        <f t="shared" si="1"/>
        <v>3</v>
      </c>
    </row>
    <row r="16" spans="1:10" x14ac:dyDescent="0.2">
      <c r="A16" t="s">
        <v>40</v>
      </c>
      <c r="B16" t="s">
        <v>196</v>
      </c>
      <c r="C16" t="s">
        <v>41</v>
      </c>
      <c r="D16" s="74">
        <v>1</v>
      </c>
      <c r="E16" s="74">
        <v>12</v>
      </c>
      <c r="F16" s="75">
        <v>5.2</v>
      </c>
      <c r="G16" s="1">
        <f>E16*F16</f>
        <v>62.400000000000006</v>
      </c>
      <c r="H16" s="15">
        <v>1</v>
      </c>
      <c r="I16" s="50">
        <f t="shared" si="1"/>
        <v>62.400000000000006</v>
      </c>
    </row>
    <row r="17" spans="1:9" x14ac:dyDescent="0.2">
      <c r="A17" t="s">
        <v>40</v>
      </c>
      <c r="B17" t="s">
        <v>194</v>
      </c>
      <c r="C17" t="s">
        <v>195</v>
      </c>
      <c r="D17" s="74">
        <v>0</v>
      </c>
      <c r="E17" s="74">
        <v>12</v>
      </c>
      <c r="F17" s="75">
        <v>0.4</v>
      </c>
      <c r="G17" s="1">
        <f>E17*F17</f>
        <v>4.8000000000000007</v>
      </c>
      <c r="H17" s="15">
        <v>1</v>
      </c>
      <c r="I17" s="50">
        <f t="shared" si="1"/>
        <v>0</v>
      </c>
    </row>
    <row r="18" spans="1:9" x14ac:dyDescent="0.2">
      <c r="A18" t="s">
        <v>40</v>
      </c>
      <c r="B18" t="s">
        <v>198</v>
      </c>
      <c r="C18" t="s">
        <v>199</v>
      </c>
      <c r="D18" s="74">
        <v>0</v>
      </c>
      <c r="E18" s="74">
        <v>12</v>
      </c>
      <c r="F18" s="75">
        <f>130/E18</f>
        <v>10.833333333333334</v>
      </c>
      <c r="G18" s="1">
        <f t="shared" ref="G18" si="4">E18*F18</f>
        <v>130</v>
      </c>
      <c r="H18" s="15">
        <v>1</v>
      </c>
      <c r="I18" s="50">
        <f t="shared" ref="I18" si="5">G18*D18*H18</f>
        <v>0</v>
      </c>
    </row>
  </sheetData>
  <pageMargins left="1.5" right="1.5" top="2.2374999999999998" bottom="2.2374999999999998" header="2" footer="2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FFFFFF"/>
  </sheetPr>
  <dimension ref="A1:L45"/>
  <sheetViews>
    <sheetView tabSelected="1" zoomScaleNormal="100" workbookViewId="0">
      <selection activeCell="B21" sqref="B21"/>
    </sheetView>
  </sheetViews>
  <sheetFormatPr defaultRowHeight="12.75" x14ac:dyDescent="0.2"/>
  <cols>
    <col min="1" max="1" width="26.28515625"/>
    <col min="2" max="2" width="6"/>
    <col min="3" max="3" width="9"/>
    <col min="4" max="4" width="4.42578125"/>
    <col min="5" max="5" width="11.5703125" customWidth="1"/>
    <col min="6" max="6" width="9" bestFit="1" customWidth="1"/>
    <col min="7" max="7" width="9.5703125" bestFit="1" customWidth="1"/>
    <col min="8" max="8" width="8.140625"/>
    <col min="9" max="9" width="13.28515625"/>
    <col min="10" max="10" width="12.7109375"/>
    <col min="11" max="11" width="6.85546875"/>
    <col min="12" max="1025" width="11.5703125"/>
  </cols>
  <sheetData>
    <row r="1" spans="1:12" x14ac:dyDescent="0.2">
      <c r="A1" t="s">
        <v>44</v>
      </c>
      <c r="B1" s="16">
        <f>Consumption!I1</f>
        <v>73.299620540119349</v>
      </c>
      <c r="C1" t="s">
        <v>1</v>
      </c>
      <c r="E1" s="72" t="s">
        <v>45</v>
      </c>
      <c r="F1" s="72"/>
      <c r="G1" s="72"/>
      <c r="I1" s="4" t="s">
        <v>46</v>
      </c>
    </row>
    <row r="2" spans="1:12" x14ac:dyDescent="0.2">
      <c r="B2" s="16">
        <f>B1/B13</f>
        <v>6.1083017116766127</v>
      </c>
      <c r="C2" t="s">
        <v>8</v>
      </c>
      <c r="E2" s="51" t="s">
        <v>47</v>
      </c>
      <c r="F2" s="52" t="s">
        <v>47</v>
      </c>
      <c r="G2" s="53"/>
      <c r="J2" s="72" t="s">
        <v>48</v>
      </c>
      <c r="K2" s="72"/>
    </row>
    <row r="3" spans="1:12" x14ac:dyDescent="0.2">
      <c r="A3" t="s">
        <v>49</v>
      </c>
      <c r="B3" s="16">
        <f>Consumption!I2</f>
        <v>3.1320000000000001</v>
      </c>
      <c r="C3" t="s">
        <v>1</v>
      </c>
      <c r="E3" s="54" t="s">
        <v>50</v>
      </c>
      <c r="F3" s="55" t="s">
        <v>51</v>
      </c>
      <c r="G3" s="56" t="s">
        <v>52</v>
      </c>
      <c r="I3" s="4" t="s">
        <v>53</v>
      </c>
      <c r="J3" s="5" t="s">
        <v>54</v>
      </c>
      <c r="K3" s="5" t="s">
        <v>55</v>
      </c>
    </row>
    <row r="4" spans="1:12" x14ac:dyDescent="0.2">
      <c r="B4" s="16">
        <f>B3/B13</f>
        <v>0.26100000000000001</v>
      </c>
      <c r="C4" t="s">
        <v>8</v>
      </c>
      <c r="E4" s="57">
        <v>80</v>
      </c>
      <c r="F4" s="58">
        <v>26</v>
      </c>
      <c r="G4" s="59">
        <v>1</v>
      </c>
      <c r="I4" t="s">
        <v>56</v>
      </c>
      <c r="J4" s="1">
        <v>4</v>
      </c>
      <c r="K4" s="1">
        <v>2</v>
      </c>
      <c r="L4" t="s">
        <v>57</v>
      </c>
    </row>
    <row r="5" spans="1:12" x14ac:dyDescent="0.2">
      <c r="E5" s="60">
        <v>70</v>
      </c>
      <c r="F5" s="10">
        <v>21.2</v>
      </c>
      <c r="G5" s="61">
        <v>1.04</v>
      </c>
      <c r="J5" s="1"/>
      <c r="K5" s="1"/>
    </row>
    <row r="6" spans="1:12" x14ac:dyDescent="0.2">
      <c r="E6" s="60">
        <v>60</v>
      </c>
      <c r="F6" s="10">
        <v>15.6</v>
      </c>
      <c r="G6" s="61">
        <v>1.1100000000000001</v>
      </c>
      <c r="J6" s="1"/>
      <c r="K6" s="1"/>
    </row>
    <row r="7" spans="1:12" x14ac:dyDescent="0.2">
      <c r="A7" s="4" t="s">
        <v>58</v>
      </c>
      <c r="E7" s="60">
        <v>50</v>
      </c>
      <c r="F7" s="10">
        <v>10</v>
      </c>
      <c r="G7" s="61">
        <v>1.19</v>
      </c>
      <c r="J7" s="1"/>
      <c r="K7" s="1"/>
    </row>
    <row r="8" spans="1:12" x14ac:dyDescent="0.2">
      <c r="A8" t="s">
        <v>59</v>
      </c>
      <c r="B8" s="65">
        <f>Canisters!B11</f>
        <v>24</v>
      </c>
      <c r="C8" t="s">
        <v>60</v>
      </c>
      <c r="D8" s="8"/>
      <c r="E8" s="60">
        <v>40</v>
      </c>
      <c r="F8" s="10">
        <v>4.4000000000000004</v>
      </c>
      <c r="G8" s="61">
        <v>1.3</v>
      </c>
    </row>
    <row r="9" spans="1:12" x14ac:dyDescent="0.2">
      <c r="A9" s="8" t="s">
        <v>61</v>
      </c>
      <c r="B9" s="9">
        <f>B8*B1+(24-B8)*B3</f>
        <v>1759.1908929628644</v>
      </c>
      <c r="C9" s="8" t="s">
        <v>62</v>
      </c>
      <c r="E9" s="60">
        <v>30</v>
      </c>
      <c r="F9" s="10">
        <v>-1.1000000000000001</v>
      </c>
      <c r="G9" s="61">
        <v>1.4</v>
      </c>
    </row>
    <row r="10" spans="1:12" x14ac:dyDescent="0.2">
      <c r="E10" s="62">
        <v>20</v>
      </c>
      <c r="F10" s="63">
        <v>-6.7</v>
      </c>
      <c r="G10" s="64">
        <v>1.59</v>
      </c>
    </row>
    <row r="12" spans="1:12" x14ac:dyDescent="0.2">
      <c r="A12" s="4" t="s">
        <v>63</v>
      </c>
      <c r="E12" s="4" t="s">
        <v>64</v>
      </c>
    </row>
    <row r="13" spans="1:12" x14ac:dyDescent="0.2">
      <c r="A13" s="8" t="s">
        <v>65</v>
      </c>
      <c r="B13" s="10">
        <v>12</v>
      </c>
      <c r="C13" s="8" t="s">
        <v>66</v>
      </c>
      <c r="D13" s="8"/>
      <c r="E13" t="s">
        <v>67</v>
      </c>
      <c r="F13" s="73" t="s">
        <v>202</v>
      </c>
      <c r="G13" s="73"/>
    </row>
    <row r="14" spans="1:12" x14ac:dyDescent="0.2">
      <c r="A14" s="8" t="s">
        <v>68</v>
      </c>
      <c r="B14" s="11">
        <v>4</v>
      </c>
      <c r="C14" s="8" t="s">
        <v>69</v>
      </c>
      <c r="D14" s="8"/>
      <c r="E14" t="s">
        <v>70</v>
      </c>
      <c r="F14" s="7">
        <v>6</v>
      </c>
      <c r="G14" t="s">
        <v>7</v>
      </c>
    </row>
    <row r="15" spans="1:12" x14ac:dyDescent="0.2">
      <c r="A15" s="8" t="s">
        <v>71</v>
      </c>
      <c r="B15" s="12">
        <v>0.5</v>
      </c>
      <c r="C15" s="8"/>
      <c r="D15" s="8"/>
      <c r="E15" t="s">
        <v>72</v>
      </c>
      <c r="F15" s="78">
        <f>-116.5*LN(B2)+771.1</f>
        <v>560.27591686377491</v>
      </c>
      <c r="G15" t="s">
        <v>73</v>
      </c>
    </row>
    <row r="16" spans="1:12" x14ac:dyDescent="0.2">
      <c r="A16" s="8" t="s">
        <v>74</v>
      </c>
      <c r="B16" s="11">
        <v>1.59</v>
      </c>
      <c r="C16" s="8"/>
      <c r="D16" s="8"/>
      <c r="E16" t="s">
        <v>75</v>
      </c>
      <c r="F16" s="7">
        <v>4</v>
      </c>
      <c r="G16" t="s">
        <v>76</v>
      </c>
    </row>
    <row r="17" spans="1:7" x14ac:dyDescent="0.2">
      <c r="A17" s="8" t="s">
        <v>77</v>
      </c>
      <c r="B17" s="13">
        <f>(B9*B14*B16)/(B13*B15)</f>
        <v>1864.7423465406364</v>
      </c>
      <c r="C17" s="8" t="s">
        <v>78</v>
      </c>
      <c r="D17" s="8"/>
      <c r="E17" t="s">
        <v>79</v>
      </c>
      <c r="F17" s="14">
        <f>F15*F16*(F14/B13)</f>
        <v>1120.5518337275498</v>
      </c>
      <c r="G17" t="s">
        <v>73</v>
      </c>
    </row>
    <row r="18" spans="1:7" x14ac:dyDescent="0.2">
      <c r="E18" t="s">
        <v>80</v>
      </c>
      <c r="F18" s="14">
        <f>IF(F14&lt;12, EVEN((B17/F15)*(B13/F14)), CEILING((B17/F15)*(B13/F14),1))</f>
        <v>8</v>
      </c>
      <c r="G18" t="s">
        <v>76</v>
      </c>
    </row>
    <row r="20" spans="1:7" x14ac:dyDescent="0.2">
      <c r="A20" s="4" t="s">
        <v>81</v>
      </c>
      <c r="E20" s="4" t="s">
        <v>82</v>
      </c>
    </row>
    <row r="21" spans="1:7" x14ac:dyDescent="0.2">
      <c r="A21" t="s">
        <v>83</v>
      </c>
      <c r="B21" s="11">
        <v>4</v>
      </c>
      <c r="C21" t="s">
        <v>60</v>
      </c>
      <c r="E21" t="s">
        <v>67</v>
      </c>
      <c r="F21" s="73" t="s">
        <v>84</v>
      </c>
      <c r="G21" s="73"/>
    </row>
    <row r="22" spans="1:7" x14ac:dyDescent="0.2">
      <c r="A22" t="s">
        <v>85</v>
      </c>
      <c r="B22" s="14">
        <f>$B$9/B21</f>
        <v>439.7977232407161</v>
      </c>
      <c r="C22" t="s">
        <v>86</v>
      </c>
      <c r="E22" t="s">
        <v>87</v>
      </c>
      <c r="F22" s="7">
        <v>8.3000000000000007</v>
      </c>
      <c r="G22" t="s">
        <v>8</v>
      </c>
    </row>
    <row r="23" spans="1:7" x14ac:dyDescent="0.2">
      <c r="A23" t="s">
        <v>88</v>
      </c>
      <c r="B23" s="1">
        <f>CEILING(B22/F24,1)</f>
        <v>2</v>
      </c>
      <c r="C23" t="s">
        <v>89</v>
      </c>
      <c r="E23" t="s">
        <v>70</v>
      </c>
      <c r="F23" s="7">
        <v>35.72</v>
      </c>
      <c r="G23" t="s">
        <v>7</v>
      </c>
    </row>
    <row r="24" spans="1:7" x14ac:dyDescent="0.2">
      <c r="A24" t="s">
        <v>90</v>
      </c>
      <c r="B24" s="14">
        <f>B23*F22</f>
        <v>16.600000000000001</v>
      </c>
      <c r="C24" t="s">
        <v>8</v>
      </c>
      <c r="E24" t="s">
        <v>91</v>
      </c>
      <c r="F24" s="1">
        <f>ROUND(F23*F22, 0)</f>
        <v>296</v>
      </c>
      <c r="G24" t="s">
        <v>92</v>
      </c>
    </row>
    <row r="27" spans="1:7" x14ac:dyDescent="0.2">
      <c r="A27" s="4" t="s">
        <v>93</v>
      </c>
      <c r="E27" s="4" t="s">
        <v>203</v>
      </c>
    </row>
    <row r="28" spans="1:7" x14ac:dyDescent="0.2">
      <c r="A28" t="s">
        <v>83</v>
      </c>
      <c r="B28" s="11">
        <v>2</v>
      </c>
      <c r="C28" t="s">
        <v>60</v>
      </c>
      <c r="E28" s="79" t="s">
        <v>204</v>
      </c>
      <c r="F28" s="81">
        <v>0.2</v>
      </c>
    </row>
    <row r="29" spans="1:7" x14ac:dyDescent="0.2">
      <c r="A29" t="s">
        <v>85</v>
      </c>
      <c r="B29" s="14">
        <f>$B$9/B28</f>
        <v>879.59544648143219</v>
      </c>
      <c r="C29" t="s">
        <v>86</v>
      </c>
      <c r="E29" s="80" t="s">
        <v>206</v>
      </c>
      <c r="F29" s="14">
        <f>B24/(1-F28)</f>
        <v>20.75</v>
      </c>
      <c r="G29" s="79" t="s">
        <v>8</v>
      </c>
    </row>
    <row r="30" spans="1:7" x14ac:dyDescent="0.2">
      <c r="A30" t="s">
        <v>88</v>
      </c>
      <c r="B30" s="1">
        <f>CEILING(B29/F24,1)</f>
        <v>3</v>
      </c>
      <c r="C30" t="s">
        <v>89</v>
      </c>
      <c r="E30" s="79" t="s">
        <v>205</v>
      </c>
      <c r="F30" s="14">
        <f>B31/(1-F28)</f>
        <v>31.125</v>
      </c>
      <c r="G30" s="79" t="s">
        <v>8</v>
      </c>
    </row>
    <row r="31" spans="1:7" x14ac:dyDescent="0.2">
      <c r="A31" t="s">
        <v>90</v>
      </c>
      <c r="B31" s="14">
        <f>B30*F22</f>
        <v>24.900000000000002</v>
      </c>
      <c r="C31" t="s">
        <v>8</v>
      </c>
    </row>
    <row r="35" spans="1:3" x14ac:dyDescent="0.2">
      <c r="A35" s="4" t="s">
        <v>94</v>
      </c>
    </row>
    <row r="36" spans="1:3" x14ac:dyDescent="0.2">
      <c r="A36" t="s">
        <v>95</v>
      </c>
      <c r="B36" s="1">
        <f>F23</f>
        <v>35.72</v>
      </c>
      <c r="C36" t="s">
        <v>7</v>
      </c>
    </row>
    <row r="40" spans="1:3" x14ac:dyDescent="0.2">
      <c r="A40" t="s">
        <v>96</v>
      </c>
    </row>
    <row r="41" spans="1:3" x14ac:dyDescent="0.2">
      <c r="A41" t="s">
        <v>97</v>
      </c>
    </row>
    <row r="42" spans="1:3" x14ac:dyDescent="0.2">
      <c r="A42" t="s">
        <v>98</v>
      </c>
    </row>
    <row r="43" spans="1:3" x14ac:dyDescent="0.2">
      <c r="A43" t="s">
        <v>99</v>
      </c>
    </row>
    <row r="44" spans="1:3" x14ac:dyDescent="0.2">
      <c r="A44" t="s">
        <v>100</v>
      </c>
    </row>
    <row r="45" spans="1:3" x14ac:dyDescent="0.2">
      <c r="A45" t="s">
        <v>101</v>
      </c>
    </row>
  </sheetData>
  <mergeCells count="4">
    <mergeCell ref="E1:G1"/>
    <mergeCell ref="J2:K2"/>
    <mergeCell ref="F13:G13"/>
    <mergeCell ref="F21:G21"/>
  </mergeCells>
  <conditionalFormatting sqref="F17">
    <cfRule type="cellIs" dxfId="0" priority="1" operator="lessThan">
      <formula>$B$17</formula>
    </cfRule>
  </conditionalFormatting>
  <hyperlinks>
    <hyperlink ref="A40" r:id="rId1" display="http://rimstar.org/renewnrg/sizing_select_batteries_for_off_grid_solar_system.htm"/>
    <hyperlink ref="A41" r:id="rId2" display="http://pdf.wholesalesolar.com/Download%20folder/System_Worksheet.pdf"/>
    <hyperlink ref="A42" r:id="rId3" display="http://rimstar.org/renewnrg/solar_voltage_drop_table_calculator_wire_sizing_for_dc.htm"/>
    <hyperlink ref="A43" r:id="rId4" display="http://pvwatts.nrel.gov/pvwatts.php"/>
    <hyperlink ref="A44" r:id="rId5" display="http://www.ecy.wa.gov/climatechange/maps/solar/solar_state.pdf"/>
    <hyperlink ref="A45" r:id="rId6" display="http://www.nrel.gov/gis/images/map_pv_national_hi-res_200.jpg"/>
  </hyperlinks>
  <pageMargins left="1.5" right="1.5" top="2.2374999999999998" bottom="2.2374999999999998" header="2" footer="2"/>
  <headerFooter>
    <oddHeader>&amp;C&amp;A</oddHeader>
    <oddFooter>&amp;CPage &amp;P</oddFooter>
  </headerFooter>
  <legacy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J23" sqref="J23"/>
    </sheetView>
  </sheetViews>
  <sheetFormatPr defaultRowHeight="15" x14ac:dyDescent="0.25"/>
  <cols>
    <col min="1" max="1" width="11.28515625" style="76" customWidth="1"/>
    <col min="2" max="16384" width="9.140625" style="76"/>
  </cols>
  <sheetData>
    <row r="1" spans="1:4" x14ac:dyDescent="0.25">
      <c r="A1" s="76" t="s">
        <v>201</v>
      </c>
      <c r="B1" s="76" t="s">
        <v>8</v>
      </c>
      <c r="D1" s="77" t="s">
        <v>200</v>
      </c>
    </row>
    <row r="2" spans="1:4" x14ac:dyDescent="0.25">
      <c r="A2" s="76">
        <v>554</v>
      </c>
      <c r="B2" s="76">
        <v>5.54</v>
      </c>
    </row>
    <row r="3" spans="1:4" x14ac:dyDescent="0.25">
      <c r="A3" s="76">
        <v>524</v>
      </c>
      <c r="B3" s="76">
        <v>7.28</v>
      </c>
    </row>
    <row r="4" spans="1:4" x14ac:dyDescent="0.25">
      <c r="A4" s="76">
        <v>500</v>
      </c>
      <c r="B4" s="76">
        <v>10</v>
      </c>
    </row>
    <row r="5" spans="1:4" x14ac:dyDescent="0.25">
      <c r="A5" s="76">
        <v>441</v>
      </c>
      <c r="B5" s="76">
        <v>18.37</v>
      </c>
    </row>
    <row r="6" spans="1:4" x14ac:dyDescent="0.25">
      <c r="A6" s="76">
        <v>428</v>
      </c>
      <c r="B6" s="76">
        <v>21.4</v>
      </c>
    </row>
    <row r="7" spans="1:4" x14ac:dyDescent="0.25">
      <c r="A7" s="76">
        <v>401</v>
      </c>
      <c r="B7" s="76">
        <v>26.76</v>
      </c>
    </row>
    <row r="8" spans="1:4" x14ac:dyDescent="0.25">
      <c r="A8" s="76">
        <v>381</v>
      </c>
      <c r="B8" s="76">
        <v>31.74</v>
      </c>
    </row>
    <row r="9" spans="1:4" x14ac:dyDescent="0.25">
      <c r="A9" s="76">
        <v>364</v>
      </c>
      <c r="B9" s="76">
        <v>36.380000000000003</v>
      </c>
    </row>
    <row r="10" spans="1:4" x14ac:dyDescent="0.25">
      <c r="A10" s="76">
        <v>342</v>
      </c>
      <c r="B10" s="76">
        <v>42.8</v>
      </c>
    </row>
    <row r="11" spans="1:4" x14ac:dyDescent="0.25">
      <c r="A11" s="76">
        <v>317</v>
      </c>
      <c r="B11" s="76">
        <v>52.79</v>
      </c>
    </row>
    <row r="12" spans="1:4" x14ac:dyDescent="0.25">
      <c r="A12" s="76">
        <v>300</v>
      </c>
      <c r="B12" s="76">
        <v>59.92</v>
      </c>
    </row>
    <row r="13" spans="1:4" x14ac:dyDescent="0.25">
      <c r="A13" s="76">
        <v>278</v>
      </c>
      <c r="B13" s="76">
        <v>69.55</v>
      </c>
    </row>
    <row r="14" spans="1:4" x14ac:dyDescent="0.25">
      <c r="A14" s="76">
        <v>253</v>
      </c>
      <c r="B14" s="76">
        <v>84.17</v>
      </c>
    </row>
    <row r="15" spans="1:4" x14ac:dyDescent="0.25">
      <c r="A15" s="76">
        <v>218</v>
      </c>
      <c r="B15" s="76">
        <v>109.14</v>
      </c>
    </row>
    <row r="16" spans="1:4" x14ac:dyDescent="0.25">
      <c r="A16" s="76">
        <v>154</v>
      </c>
      <c r="B16" s="76">
        <v>154.08000000000001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41652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Conditions</vt:lpstr>
      <vt:lpstr>Canisters</vt:lpstr>
      <vt:lpstr>Flow</vt:lpstr>
      <vt:lpstr>Consumption</vt:lpstr>
      <vt:lpstr>PV system</vt:lpstr>
      <vt:lpstr>Batteries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O'Keeffe</dc:creator>
  <cp:lastModifiedBy>Patrick O'Keeffe</cp:lastModifiedBy>
  <cp:revision>60</cp:revision>
  <cp:lastPrinted>2014-07-18T21:00:30Z</cp:lastPrinted>
  <dcterms:created xsi:type="dcterms:W3CDTF">2009-04-16T11:32:48Z</dcterms:created>
  <dcterms:modified xsi:type="dcterms:W3CDTF">2014-09-18T03:56:52Z</dcterms:modified>
  <dc:language>en-US</dc:language>
</cp:coreProperties>
</file>