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487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B35" i="1"/>
  <c r="B36" i="1" s="1"/>
  <c r="B34" i="1"/>
  <c r="B31" i="1"/>
  <c r="B33" i="1" s="1"/>
  <c r="F21" i="1"/>
  <c r="G21" i="1" s="1"/>
  <c r="I21" i="1" s="1"/>
  <c r="F20" i="1"/>
  <c r="G20" i="1" s="1"/>
  <c r="F19" i="1"/>
  <c r="G19" i="1" s="1"/>
  <c r="I19" i="1" s="1"/>
  <c r="F18" i="1"/>
  <c r="G18" i="1" s="1"/>
  <c r="F17" i="1"/>
  <c r="G17" i="1" s="1"/>
  <c r="I17" i="1" s="1"/>
  <c r="F16" i="1"/>
  <c r="G16" i="1" s="1"/>
  <c r="G15" i="1"/>
  <c r="I15" i="1" s="1"/>
  <c r="F15" i="1"/>
  <c r="F14" i="1"/>
  <c r="G14" i="1" s="1"/>
  <c r="F13" i="1"/>
  <c r="G13" i="1" s="1"/>
  <c r="I13" i="1" s="1"/>
  <c r="F12" i="1"/>
  <c r="G12" i="1" s="1"/>
  <c r="F11" i="1"/>
  <c r="G11" i="1" s="1"/>
  <c r="I11" i="1" s="1"/>
  <c r="F10" i="1"/>
  <c r="G10" i="1" s="1"/>
  <c r="F9" i="1"/>
  <c r="G9" i="1" s="1"/>
  <c r="I9" i="1" s="1"/>
  <c r="F8" i="1"/>
  <c r="G8" i="1" s="1"/>
  <c r="G7" i="1"/>
  <c r="I7" i="1" s="1"/>
  <c r="F7" i="1"/>
  <c r="B7" i="1"/>
  <c r="F6" i="1"/>
  <c r="G6" i="1" s="1"/>
  <c r="I6" i="1" s="1"/>
  <c r="B6" i="1"/>
  <c r="F5" i="1"/>
  <c r="G5" i="1" s="1"/>
  <c r="I5" i="1" s="1"/>
  <c r="B5" i="1"/>
  <c r="F4" i="1"/>
  <c r="G4" i="1" s="1"/>
  <c r="I4" i="1" s="1"/>
  <c r="F3" i="1"/>
  <c r="G3" i="1" s="1"/>
  <c r="H10" i="1" l="1"/>
  <c r="I10" i="1"/>
  <c r="H14" i="1"/>
  <c r="I14" i="1"/>
  <c r="H18" i="1"/>
  <c r="I18" i="1"/>
  <c r="H3" i="1"/>
  <c r="I3" i="1"/>
  <c r="H8" i="1"/>
  <c r="I8" i="1"/>
  <c r="H12" i="1"/>
  <c r="I12" i="1"/>
  <c r="H16" i="1"/>
  <c r="I16" i="1"/>
  <c r="H20" i="1"/>
  <c r="I20" i="1"/>
  <c r="H4" i="1"/>
  <c r="H5" i="1"/>
  <c r="H6" i="1"/>
  <c r="H7" i="1"/>
  <c r="H9" i="1"/>
  <c r="H11" i="1"/>
  <c r="H13" i="1"/>
  <c r="H15" i="1"/>
  <c r="H17" i="1"/>
  <c r="H19" i="1"/>
  <c r="H21" i="1"/>
  <c r="B32" i="1"/>
  <c r="J20" i="1" l="1"/>
  <c r="K20" i="1" s="1"/>
  <c r="L20" i="1" s="1"/>
  <c r="J18" i="1"/>
  <c r="K18" i="1" s="1"/>
  <c r="L18" i="1" s="1"/>
  <c r="J16" i="1"/>
  <c r="K16" i="1" s="1"/>
  <c r="L16" i="1" s="1"/>
  <c r="J14" i="1"/>
  <c r="K14" i="1" s="1"/>
  <c r="L14" i="1" s="1"/>
  <c r="J12" i="1"/>
  <c r="K12" i="1" s="1"/>
  <c r="L12" i="1" s="1"/>
  <c r="J10" i="1"/>
  <c r="K10" i="1" s="1"/>
  <c r="L10" i="1" s="1"/>
  <c r="J8" i="1"/>
  <c r="K8" i="1" s="1"/>
  <c r="L8" i="1" s="1"/>
  <c r="J3" i="1"/>
  <c r="K3" i="1" s="1"/>
  <c r="L3" i="1" s="1"/>
  <c r="J21" i="1"/>
  <c r="K21" i="1" s="1"/>
  <c r="L21" i="1" s="1"/>
  <c r="J19" i="1"/>
  <c r="K19" i="1" s="1"/>
  <c r="L19" i="1" s="1"/>
  <c r="J17" i="1"/>
  <c r="K17" i="1" s="1"/>
  <c r="L17" i="1" s="1"/>
  <c r="J15" i="1"/>
  <c r="K15" i="1" s="1"/>
  <c r="L15" i="1" s="1"/>
  <c r="J13" i="1"/>
  <c r="K13" i="1" s="1"/>
  <c r="L13" i="1" s="1"/>
  <c r="J11" i="1"/>
  <c r="K11" i="1" s="1"/>
  <c r="L11" i="1" s="1"/>
  <c r="J9" i="1"/>
  <c r="K9" i="1" s="1"/>
  <c r="L9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B37" i="1" l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A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2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  <comment ref="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Minimum pressure drop across orifice to achieve choked flow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Vacuum level resulting from pressure drop across mass flow controller and wall friction</t>
        </r>
      </text>
    </comment>
    <comment ref="B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Use this value when evaluating pumps</t>
        </r>
      </text>
    </comment>
  </commentList>
</comments>
</file>

<file path=xl/sharedStrings.xml><?xml version="1.0" encoding="utf-8"?>
<sst xmlns="http://schemas.openxmlformats.org/spreadsheetml/2006/main" count="72" uniqueCount="59">
  <si>
    <t>Flow</t>
  </si>
  <si>
    <t>Velocity</t>
  </si>
  <si>
    <t>Delay</t>
  </si>
  <si>
    <t>Delay (# scans)</t>
  </si>
  <si>
    <t>Reference</t>
  </si>
  <si>
    <t>L/min</t>
  </si>
  <si>
    <t>m/s</t>
  </si>
  <si>
    <t>s</t>
  </si>
  <si>
    <t>10Hz</t>
  </si>
  <si>
    <t>20Hz</t>
  </si>
  <si>
    <t>Reynolds #</t>
  </si>
  <si>
    <t>Friction factor</t>
  </si>
  <si>
    <t>ΔP (mbar)</t>
  </si>
  <si>
    <t>Pressure drop across MFC</t>
  </si>
  <si>
    <t>psid</t>
  </si>
  <si>
    <t>Tubing size</t>
  </si>
  <si>
    <t>I.D.</t>
  </si>
  <si>
    <t>1/4" (0.047)</t>
  </si>
  <si>
    <t>in</t>
  </si>
  <si>
    <t>1/4" (0.062)</t>
  </si>
  <si>
    <t>1/8" (0.047)</t>
  </si>
  <si>
    <t>User input</t>
  </si>
  <si>
    <t>Tubing inner diameter</t>
  </si>
  <si>
    <t>Tubing length</t>
  </si>
  <si>
    <t>ft</t>
  </si>
  <si>
    <t>Barometric pressure</t>
  </si>
  <si>
    <t>kPa (abs)</t>
  </si>
  <si>
    <t>Air temperature</t>
  </si>
  <si>
    <t>degF</t>
  </si>
  <si>
    <t>Constants</t>
  </si>
  <si>
    <t>Gas constant, dry air</t>
  </si>
  <si>
    <t>J/(kg K)</t>
  </si>
  <si>
    <t>Sutherland's formula (air): C</t>
  </si>
  <si>
    <t>K</t>
  </si>
  <si>
    <t>Sutherland's formula (air): λ</t>
  </si>
  <si>
    <t>(μPa*s)/K^-1/2</t>
  </si>
  <si>
    <t>Choked flow ratio (P2/P1)</t>
  </si>
  <si>
    <t>Unit conversion: mbar/kPa</t>
  </si>
  <si>
    <t>unity</t>
  </si>
  <si>
    <t>Unit conversion: mbar/psi</t>
  </si>
  <si>
    <t>Unit conversion: in/m</t>
  </si>
  <si>
    <t>Unit conversion: s/min</t>
  </si>
  <si>
    <t>Unit conversion: L/m^3</t>
  </si>
  <si>
    <t>Unit conversion: in/ft</t>
  </si>
  <si>
    <t>Unit conversion: ft/m</t>
  </si>
  <si>
    <t>Unit conversion: Pa/kPa</t>
  </si>
  <si>
    <t>Derived values</t>
  </si>
  <si>
    <t>degC</t>
  </si>
  <si>
    <t>Density of air</t>
  </si>
  <si>
    <t>kg/m^3</t>
  </si>
  <si>
    <t>Dynamic viscosity of air</t>
  </si>
  <si>
    <t>Pa*s</t>
  </si>
  <si>
    <t>Tubing cross-section area</t>
  </si>
  <si>
    <t>in^2</t>
  </si>
  <si>
    <t>Max pressure for choked flow</t>
  </si>
  <si>
    <t>ΔP for choked flow across orifice</t>
  </si>
  <si>
    <t>mbar (gage)</t>
  </si>
  <si>
    <t>Min. vacuum at pump inlet</t>
  </si>
  <si>
    <t>ΔF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</si>
</sst>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E+00"/>
    <numFmt numFmtId="167" formatCode="0.0000"/>
  </numFmts>
  <fonts count="4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/>
    <xf numFmtId="1" fontId="0" fillId="0" borderId="0" xfId="0" applyNumberForma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M37"/>
  <sheetViews>
    <sheetView tabSelected="1" zoomScaleNormal="100" workbookViewId="0">
      <selection activeCell="B10" sqref="B10"/>
    </sheetView>
  </sheetViews>
  <sheetFormatPr defaultRowHeight="15" x14ac:dyDescent="0.25"/>
  <cols>
    <col min="1" max="1" width="30.28515625" bestFit="1" customWidth="1"/>
    <col min="2" max="2" width="12"/>
    <col min="3" max="3" width="14.28515625"/>
    <col min="4" max="4" width="2.140625"/>
    <col min="5" max="5" width="5.85546875" style="2"/>
    <col min="6" max="6" width="7.5703125" style="2"/>
    <col min="7" max="7" width="6" style="2"/>
    <col min="8" max="9" width="7.7109375" style="2"/>
    <col min="10" max="10" width="10.5703125" style="2"/>
    <col min="11" max="11" width="13.42578125" style="2"/>
    <col min="12" max="12" width="9.5703125" style="2"/>
    <col min="13" max="13" width="8.5703125" style="2"/>
    <col min="14" max="1025" width="8.5703125"/>
  </cols>
  <sheetData>
    <row r="1" spans="1:13" x14ac:dyDescent="0.25">
      <c r="E1" s="3" t="s">
        <v>0</v>
      </c>
      <c r="F1" s="3" t="s">
        <v>1</v>
      </c>
      <c r="G1" s="3" t="s">
        <v>2</v>
      </c>
      <c r="H1" s="1" t="s">
        <v>3</v>
      </c>
      <c r="I1" s="1"/>
      <c r="J1"/>
      <c r="K1"/>
      <c r="L1"/>
    </row>
    <row r="2" spans="1:13" x14ac:dyDescent="0.25">
      <c r="A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 t="s">
        <v>10</v>
      </c>
      <c r="K2" s="2" t="s">
        <v>11</v>
      </c>
      <c r="L2" s="3" t="s">
        <v>12</v>
      </c>
      <c r="M2" s="3" t="s">
        <v>58</v>
      </c>
    </row>
    <row r="3" spans="1:13" x14ac:dyDescent="0.25">
      <c r="A3" t="s">
        <v>13</v>
      </c>
      <c r="B3">
        <v>7</v>
      </c>
      <c r="C3" t="s">
        <v>14</v>
      </c>
      <c r="E3" s="5">
        <v>1</v>
      </c>
      <c r="F3" s="6">
        <f t="shared" ref="F3:F21" si="0">E3*$B$23^2/($B$34*$B$24*$B$25)</f>
        <v>34.226801028389069</v>
      </c>
      <c r="G3" s="7">
        <f t="shared" ref="G3:G21" si="1">$B$11/(F3*$B$27)</f>
        <v>0.17809734905288202</v>
      </c>
      <c r="H3" s="8">
        <f t="shared" ref="H3:H21" si="2">G3*1000/100</f>
        <v>1.7809734905288201</v>
      </c>
      <c r="I3" s="8">
        <f t="shared" ref="I3:I21" si="3">G3*1000/50</f>
        <v>3.5619469810576403</v>
      </c>
      <c r="J3" s="6">
        <f t="shared" ref="J3:J21" si="4">$B$32*F3*$B$10/($B$33*$B$23)</f>
        <v>1828.6200539692495</v>
      </c>
      <c r="K3" s="9">
        <f t="shared" ref="K3:K21" si="5">0.316/J3^0.25</f>
        <v>4.8323258657599504E-2</v>
      </c>
      <c r="L3" s="7">
        <f t="shared" ref="L3:L21" si="6">K3*$B$11*$B$32*$B$26*$B$21/(2*$B$10*$B$28)</f>
        <v>2.2998972798131674</v>
      </c>
      <c r="M3" s="7">
        <f>100*(2*6/1000)/E3</f>
        <v>1.2</v>
      </c>
    </row>
    <row r="4" spans="1:13" x14ac:dyDescent="0.25">
      <c r="A4" t="s">
        <v>15</v>
      </c>
      <c r="B4" t="s">
        <v>16</v>
      </c>
      <c r="E4" s="5">
        <v>2</v>
      </c>
      <c r="F4" s="6">
        <f t="shared" si="0"/>
        <v>68.453602056778138</v>
      </c>
      <c r="G4" s="7">
        <f t="shared" si="1"/>
        <v>8.904867452644101E-2</v>
      </c>
      <c r="H4" s="8">
        <f t="shared" si="2"/>
        <v>0.89048674526441007</v>
      </c>
      <c r="I4" s="8">
        <f t="shared" si="3"/>
        <v>1.7809734905288201</v>
      </c>
      <c r="J4" s="6">
        <f t="shared" si="4"/>
        <v>3657.240107938499</v>
      </c>
      <c r="K4" s="9">
        <f t="shared" si="5"/>
        <v>4.0634854978553445E-2</v>
      </c>
      <c r="L4" s="7">
        <f t="shared" si="6"/>
        <v>1.9339753780466613</v>
      </c>
      <c r="M4" s="7">
        <f t="shared" ref="M4:M21" si="7">100*(2*6/1000)/E4</f>
        <v>0.6</v>
      </c>
    </row>
    <row r="5" spans="1:13" x14ac:dyDescent="0.25">
      <c r="A5" s="10" t="s">
        <v>17</v>
      </c>
      <c r="B5">
        <f>0.25-2*0.047</f>
        <v>0.156</v>
      </c>
      <c r="C5" t="s">
        <v>18</v>
      </c>
      <c r="E5" s="5">
        <v>3</v>
      </c>
      <c r="F5" s="6">
        <f t="shared" si="0"/>
        <v>102.6804030851672</v>
      </c>
      <c r="G5" s="7">
        <f t="shared" si="1"/>
        <v>5.9365783017627342E-2</v>
      </c>
      <c r="H5" s="8">
        <f t="shared" si="2"/>
        <v>0.59365783017627338</v>
      </c>
      <c r="I5" s="8">
        <f t="shared" si="3"/>
        <v>1.1873156603525468</v>
      </c>
      <c r="J5" s="6">
        <f t="shared" si="4"/>
        <v>5485.860161907749</v>
      </c>
      <c r="K5" s="9">
        <f t="shared" si="5"/>
        <v>3.6717736375016373E-2</v>
      </c>
      <c r="L5" s="7">
        <f t="shared" si="6"/>
        <v>1.7475440265350708</v>
      </c>
      <c r="M5" s="7">
        <f t="shared" si="7"/>
        <v>0.39999999999999997</v>
      </c>
    </row>
    <row r="6" spans="1:13" x14ac:dyDescent="0.25">
      <c r="A6" s="11" t="s">
        <v>19</v>
      </c>
      <c r="B6">
        <f>0.25-2*0.062</f>
        <v>0.126</v>
      </c>
      <c r="C6" t="s">
        <v>18</v>
      </c>
      <c r="E6" s="5">
        <v>4</v>
      </c>
      <c r="F6" s="6">
        <f t="shared" si="0"/>
        <v>136.90720411355628</v>
      </c>
      <c r="G6" s="7">
        <f t="shared" si="1"/>
        <v>4.4524337263220505E-2</v>
      </c>
      <c r="H6" s="8">
        <f t="shared" si="2"/>
        <v>0.44524337263220504</v>
      </c>
      <c r="I6" s="8">
        <f t="shared" si="3"/>
        <v>0.89048674526441007</v>
      </c>
      <c r="J6" s="6">
        <f t="shared" si="4"/>
        <v>7314.480215876998</v>
      </c>
      <c r="K6" s="9">
        <f t="shared" si="5"/>
        <v>3.4169703885820149E-2</v>
      </c>
      <c r="L6" s="7">
        <f t="shared" si="6"/>
        <v>1.6262729625883849</v>
      </c>
      <c r="M6" s="7">
        <f t="shared" si="7"/>
        <v>0.3</v>
      </c>
    </row>
    <row r="7" spans="1:13" x14ac:dyDescent="0.25">
      <c r="A7" s="11" t="s">
        <v>20</v>
      </c>
      <c r="B7">
        <f>0.125-2*0.047</f>
        <v>3.1E-2</v>
      </c>
      <c r="C7" t="s">
        <v>18</v>
      </c>
      <c r="E7" s="5">
        <v>5</v>
      </c>
      <c r="F7" s="6">
        <f t="shared" si="0"/>
        <v>171.13400514194535</v>
      </c>
      <c r="G7" s="7">
        <f t="shared" si="1"/>
        <v>3.5619469810576405E-2</v>
      </c>
      <c r="H7" s="8">
        <f t="shared" si="2"/>
        <v>0.35619469810576404</v>
      </c>
      <c r="I7" s="8">
        <f t="shared" si="3"/>
        <v>0.71238939621152808</v>
      </c>
      <c r="J7" s="6">
        <f t="shared" si="4"/>
        <v>9143.1002698462471</v>
      </c>
      <c r="K7" s="9">
        <f t="shared" si="5"/>
        <v>3.2315710732137626E-2</v>
      </c>
      <c r="L7" s="7">
        <f t="shared" si="6"/>
        <v>1.538034008316701</v>
      </c>
      <c r="M7" s="7">
        <f t="shared" si="7"/>
        <v>0.24</v>
      </c>
    </row>
    <row r="8" spans="1:13" x14ac:dyDescent="0.25">
      <c r="E8" s="5">
        <v>6</v>
      </c>
      <c r="F8" s="6">
        <f t="shared" si="0"/>
        <v>205.3608061703344</v>
      </c>
      <c r="G8" s="7">
        <f t="shared" si="1"/>
        <v>2.9682891508813671E-2</v>
      </c>
      <c r="H8" s="8">
        <f t="shared" si="2"/>
        <v>0.29682891508813669</v>
      </c>
      <c r="I8" s="8">
        <f t="shared" si="3"/>
        <v>0.59365783017627338</v>
      </c>
      <c r="J8" s="6">
        <f t="shared" si="4"/>
        <v>10971.720323815498</v>
      </c>
      <c r="K8" s="9">
        <f t="shared" si="5"/>
        <v>3.0875812893982189E-2</v>
      </c>
      <c r="L8" s="7">
        <f t="shared" si="6"/>
        <v>1.4695035074113831</v>
      </c>
      <c r="M8" s="7">
        <f t="shared" si="7"/>
        <v>0.19999999999999998</v>
      </c>
    </row>
    <row r="9" spans="1:13" x14ac:dyDescent="0.25">
      <c r="A9" s="4" t="s">
        <v>21</v>
      </c>
      <c r="E9" s="5">
        <v>7</v>
      </c>
      <c r="F9" s="6">
        <f t="shared" si="0"/>
        <v>239.58760719872348</v>
      </c>
      <c r="G9" s="7">
        <f t="shared" si="1"/>
        <v>2.5442478436126004E-2</v>
      </c>
      <c r="H9" s="8">
        <f t="shared" si="2"/>
        <v>0.25442478436126004</v>
      </c>
      <c r="I9" s="8">
        <f t="shared" si="3"/>
        <v>0.50884956872252007</v>
      </c>
      <c r="J9" s="6">
        <f t="shared" si="4"/>
        <v>12800.340377784749</v>
      </c>
      <c r="K9" s="9">
        <f t="shared" si="5"/>
        <v>2.9708566934691791E-2</v>
      </c>
      <c r="L9" s="7">
        <f t="shared" si="6"/>
        <v>1.4139496006339745</v>
      </c>
      <c r="M9" s="7">
        <f t="shared" si="7"/>
        <v>0.17142857142857143</v>
      </c>
    </row>
    <row r="10" spans="1:13" x14ac:dyDescent="0.25">
      <c r="A10" t="s">
        <v>22</v>
      </c>
      <c r="B10" s="12">
        <v>3.1E-2</v>
      </c>
      <c r="C10" t="s">
        <v>18</v>
      </c>
      <c r="E10" s="5">
        <v>8</v>
      </c>
      <c r="F10" s="6">
        <f t="shared" si="0"/>
        <v>273.81440822711255</v>
      </c>
      <c r="G10" s="7">
        <f t="shared" si="1"/>
        <v>2.2262168631610253E-2</v>
      </c>
      <c r="H10" s="8">
        <f t="shared" si="2"/>
        <v>0.22262168631610252</v>
      </c>
      <c r="I10" s="8">
        <f t="shared" si="3"/>
        <v>0.44524337263220504</v>
      </c>
      <c r="J10" s="6">
        <f t="shared" si="4"/>
        <v>14628.960431753996</v>
      </c>
      <c r="K10" s="9">
        <f t="shared" si="5"/>
        <v>2.8733181507867082E-2</v>
      </c>
      <c r="L10" s="7">
        <f t="shared" si="6"/>
        <v>1.3675271044646111</v>
      </c>
      <c r="M10" s="7">
        <f t="shared" si="7"/>
        <v>0.15</v>
      </c>
    </row>
    <row r="11" spans="1:13" x14ac:dyDescent="0.25">
      <c r="A11" t="s">
        <v>23</v>
      </c>
      <c r="B11" s="13">
        <v>20</v>
      </c>
      <c r="C11" t="s">
        <v>24</v>
      </c>
      <c r="E11" s="5">
        <v>9</v>
      </c>
      <c r="F11" s="6">
        <f t="shared" si="0"/>
        <v>308.0412092555016</v>
      </c>
      <c r="G11" s="7">
        <f t="shared" si="1"/>
        <v>1.9788594339209115E-2</v>
      </c>
      <c r="H11" s="8">
        <f t="shared" si="2"/>
        <v>0.19788594339209115</v>
      </c>
      <c r="I11" s="8">
        <f t="shared" si="3"/>
        <v>0.39577188678418229</v>
      </c>
      <c r="J11" s="6">
        <f t="shared" si="4"/>
        <v>16457.580485723247</v>
      </c>
      <c r="K11" s="9">
        <f t="shared" si="5"/>
        <v>2.7899446394084992E-2</v>
      </c>
      <c r="L11" s="7">
        <f t="shared" si="6"/>
        <v>1.32784631360862</v>
      </c>
      <c r="M11" s="7">
        <f t="shared" si="7"/>
        <v>0.13333333333333333</v>
      </c>
    </row>
    <row r="12" spans="1:13" x14ac:dyDescent="0.25">
      <c r="A12" t="s">
        <v>25</v>
      </c>
      <c r="B12" s="13">
        <v>101.7</v>
      </c>
      <c r="C12" t="s">
        <v>26</v>
      </c>
      <c r="E12" s="5">
        <v>10</v>
      </c>
      <c r="F12" s="6">
        <f t="shared" si="0"/>
        <v>342.2680102838907</v>
      </c>
      <c r="G12" s="7">
        <f t="shared" si="1"/>
        <v>1.7809734905288203E-2</v>
      </c>
      <c r="H12" s="8">
        <f t="shared" si="2"/>
        <v>0.17809734905288202</v>
      </c>
      <c r="I12" s="8">
        <f t="shared" si="3"/>
        <v>0.35619469810576404</v>
      </c>
      <c r="J12" s="6">
        <f t="shared" si="4"/>
        <v>18286.200539692494</v>
      </c>
      <c r="K12" s="9">
        <f t="shared" si="5"/>
        <v>2.7174165311030517E-2</v>
      </c>
      <c r="L12" s="7">
        <f t="shared" si="6"/>
        <v>1.2933272841318155</v>
      </c>
      <c r="M12" s="7">
        <f t="shared" si="7"/>
        <v>0.12</v>
      </c>
    </row>
    <row r="13" spans="1:13" x14ac:dyDescent="0.25">
      <c r="A13" t="s">
        <v>27</v>
      </c>
      <c r="B13" s="13">
        <v>59</v>
      </c>
      <c r="C13" t="s">
        <v>28</v>
      </c>
      <c r="E13" s="5">
        <v>11</v>
      </c>
      <c r="F13" s="6">
        <f t="shared" si="0"/>
        <v>376.49481131227975</v>
      </c>
      <c r="G13" s="7">
        <f t="shared" si="1"/>
        <v>1.6190668095716548E-2</v>
      </c>
      <c r="H13" s="8">
        <f t="shared" si="2"/>
        <v>0.16190668095716546</v>
      </c>
      <c r="I13" s="8">
        <f t="shared" si="3"/>
        <v>0.32381336191433091</v>
      </c>
      <c r="J13" s="6">
        <f t="shared" si="4"/>
        <v>20114.820593661745</v>
      </c>
      <c r="K13" s="9">
        <f t="shared" si="5"/>
        <v>2.6534324851495875E-2</v>
      </c>
      <c r="L13" s="7">
        <f t="shared" si="6"/>
        <v>1.262874715880467</v>
      </c>
      <c r="M13" s="7">
        <f t="shared" si="7"/>
        <v>0.10909090909090909</v>
      </c>
    </row>
    <row r="14" spans="1:13" x14ac:dyDescent="0.25">
      <c r="B14" s="14"/>
      <c r="E14" s="5">
        <v>12</v>
      </c>
      <c r="F14" s="6">
        <f t="shared" si="0"/>
        <v>410.7216123406688</v>
      </c>
      <c r="G14" s="7">
        <f t="shared" si="1"/>
        <v>1.4841445754406836E-2</v>
      </c>
      <c r="H14" s="8">
        <f t="shared" si="2"/>
        <v>0.14841445754406835</v>
      </c>
      <c r="I14" s="8">
        <f t="shared" si="3"/>
        <v>0.29682891508813669</v>
      </c>
      <c r="J14" s="6">
        <f t="shared" si="4"/>
        <v>21943.440647630996</v>
      </c>
      <c r="K14" s="9">
        <f t="shared" si="5"/>
        <v>2.5963360380594044E-2</v>
      </c>
      <c r="L14" s="7">
        <f t="shared" si="6"/>
        <v>1.2357002315849923</v>
      </c>
      <c r="M14" s="7">
        <f t="shared" si="7"/>
        <v>9.9999999999999992E-2</v>
      </c>
    </row>
    <row r="15" spans="1:13" x14ac:dyDescent="0.25">
      <c r="E15" s="5">
        <v>13</v>
      </c>
      <c r="F15" s="6">
        <f t="shared" si="0"/>
        <v>444.9484133690579</v>
      </c>
      <c r="G15" s="7">
        <f t="shared" si="1"/>
        <v>1.3699796080990924E-2</v>
      </c>
      <c r="H15" s="8">
        <f t="shared" si="2"/>
        <v>0.13699796080990922</v>
      </c>
      <c r="I15" s="8">
        <f t="shared" si="3"/>
        <v>0.27399592161981845</v>
      </c>
      <c r="J15" s="6">
        <f t="shared" si="4"/>
        <v>23772.060701600243</v>
      </c>
      <c r="K15" s="9">
        <f t="shared" si="5"/>
        <v>2.5448979681513884E-2</v>
      </c>
      <c r="L15" s="7">
        <f t="shared" si="6"/>
        <v>1.2112187954511979</v>
      </c>
      <c r="M15" s="7">
        <f t="shared" si="7"/>
        <v>9.2307692307692299E-2</v>
      </c>
    </row>
    <row r="16" spans="1:13" x14ac:dyDescent="0.25">
      <c r="A16" s="4" t="s">
        <v>29</v>
      </c>
      <c r="E16" s="5">
        <v>14</v>
      </c>
      <c r="F16" s="6">
        <f t="shared" si="0"/>
        <v>479.17521439744695</v>
      </c>
      <c r="G16" s="7">
        <f t="shared" si="1"/>
        <v>1.2721239218063002E-2</v>
      </c>
      <c r="H16" s="8">
        <f t="shared" si="2"/>
        <v>0.12721239218063002</v>
      </c>
      <c r="I16" s="8">
        <f t="shared" si="3"/>
        <v>0.25442478436126004</v>
      </c>
      <c r="J16" s="6">
        <f t="shared" si="4"/>
        <v>25600.680755569498</v>
      </c>
      <c r="K16" s="9">
        <f t="shared" si="5"/>
        <v>2.4981827437707362E-2</v>
      </c>
      <c r="L16" s="7">
        <f t="shared" si="6"/>
        <v>1.1889851505225304</v>
      </c>
      <c r="M16" s="7">
        <f t="shared" si="7"/>
        <v>8.5714285714285715E-2</v>
      </c>
    </row>
    <row r="17" spans="1:13" x14ac:dyDescent="0.25">
      <c r="A17" t="s">
        <v>30</v>
      </c>
      <c r="B17" s="15">
        <v>287.05799999999999</v>
      </c>
      <c r="C17" t="s">
        <v>31</v>
      </c>
      <c r="E17" s="5">
        <v>15</v>
      </c>
      <c r="F17" s="6">
        <f t="shared" si="0"/>
        <v>513.402015425836</v>
      </c>
      <c r="G17" s="7">
        <f t="shared" si="1"/>
        <v>1.187315660352547E-2</v>
      </c>
      <c r="H17" s="8">
        <f t="shared" si="2"/>
        <v>0.1187315660352547</v>
      </c>
      <c r="I17" s="8">
        <f t="shared" si="3"/>
        <v>0.2374631320705094</v>
      </c>
      <c r="J17" s="6">
        <f t="shared" si="4"/>
        <v>27429.300809538741</v>
      </c>
      <c r="K17" s="9">
        <f t="shared" si="5"/>
        <v>2.4554630221472324E-2</v>
      </c>
      <c r="L17" s="7">
        <f t="shared" si="6"/>
        <v>1.168653125264788</v>
      </c>
      <c r="M17" s="7">
        <f t="shared" si="7"/>
        <v>0.08</v>
      </c>
    </row>
    <row r="18" spans="1:13" x14ac:dyDescent="0.25">
      <c r="A18" t="s">
        <v>32</v>
      </c>
      <c r="B18">
        <v>120</v>
      </c>
      <c r="C18" t="s">
        <v>33</v>
      </c>
      <c r="E18" s="5">
        <v>16</v>
      </c>
      <c r="F18" s="6">
        <f t="shared" si="0"/>
        <v>547.6288164542251</v>
      </c>
      <c r="G18" s="7">
        <f t="shared" si="1"/>
        <v>1.1131084315805126E-2</v>
      </c>
      <c r="H18" s="8">
        <f t="shared" si="2"/>
        <v>0.11131084315805126</v>
      </c>
      <c r="I18" s="8">
        <f t="shared" si="3"/>
        <v>0.22262168631610252</v>
      </c>
      <c r="J18" s="6">
        <f t="shared" si="4"/>
        <v>29257.920863507992</v>
      </c>
      <c r="K18" s="9">
        <f t="shared" si="5"/>
        <v>2.4161629328799748E-2</v>
      </c>
      <c r="L18" s="7">
        <f t="shared" si="6"/>
        <v>1.1499486399065835</v>
      </c>
      <c r="M18" s="7">
        <f t="shared" si="7"/>
        <v>7.4999999999999997E-2</v>
      </c>
    </row>
    <row r="19" spans="1:13" x14ac:dyDescent="0.25">
      <c r="A19" t="s">
        <v>34</v>
      </c>
      <c r="B19">
        <v>1.512041288</v>
      </c>
      <c r="C19" s="16" t="s">
        <v>35</v>
      </c>
      <c r="E19" s="5">
        <v>17</v>
      </c>
      <c r="F19" s="6">
        <f t="shared" si="0"/>
        <v>581.85561748261409</v>
      </c>
      <c r="G19" s="7">
        <f t="shared" si="1"/>
        <v>1.0476314650169533E-2</v>
      </c>
      <c r="H19" s="8">
        <f t="shared" si="2"/>
        <v>0.10476314650169533</v>
      </c>
      <c r="I19" s="8">
        <f t="shared" si="3"/>
        <v>0.20952629300339065</v>
      </c>
      <c r="J19" s="6">
        <f t="shared" si="4"/>
        <v>31086.540917477243</v>
      </c>
      <c r="K19" s="9">
        <f t="shared" si="5"/>
        <v>2.3798193024256571E-2</v>
      </c>
      <c r="L19" s="7">
        <f t="shared" si="6"/>
        <v>1.1326512516214338</v>
      </c>
      <c r="M19" s="7">
        <f t="shared" si="7"/>
        <v>7.0588235294117646E-2</v>
      </c>
    </row>
    <row r="20" spans="1:13" x14ac:dyDescent="0.25">
      <c r="A20" t="s">
        <v>36</v>
      </c>
      <c r="B20">
        <v>0.52800000000000002</v>
      </c>
      <c r="C20" s="16"/>
      <c r="E20" s="5">
        <v>18</v>
      </c>
      <c r="F20" s="6">
        <f t="shared" si="0"/>
        <v>616.0824185110032</v>
      </c>
      <c r="G20" s="7">
        <f t="shared" si="1"/>
        <v>9.8942971696045576E-3</v>
      </c>
      <c r="H20" s="8">
        <f t="shared" si="2"/>
        <v>9.8942971696045573E-2</v>
      </c>
      <c r="I20" s="8">
        <f t="shared" si="3"/>
        <v>0.19788594339209115</v>
      </c>
      <c r="J20" s="6">
        <f t="shared" si="4"/>
        <v>32915.160971446494</v>
      </c>
      <c r="K20" s="9">
        <f t="shared" si="5"/>
        <v>2.3460544460349245E-2</v>
      </c>
      <c r="L20" s="7">
        <f t="shared" si="6"/>
        <v>1.1165812051213486</v>
      </c>
      <c r="M20" s="7">
        <f t="shared" si="7"/>
        <v>6.6666666666666666E-2</v>
      </c>
    </row>
    <row r="21" spans="1:13" x14ac:dyDescent="0.25">
      <c r="A21" t="s">
        <v>37</v>
      </c>
      <c r="B21">
        <v>10</v>
      </c>
      <c r="C21" t="s">
        <v>38</v>
      </c>
      <c r="E21" s="5">
        <v>19</v>
      </c>
      <c r="F21" s="6">
        <f t="shared" si="0"/>
        <v>650.3092195393923</v>
      </c>
      <c r="G21" s="7">
        <f t="shared" si="1"/>
        <v>9.373544686993791E-3</v>
      </c>
      <c r="H21" s="8">
        <f t="shared" si="2"/>
        <v>9.37354468699379E-2</v>
      </c>
      <c r="I21" s="8">
        <f t="shared" si="3"/>
        <v>0.1874708937398758</v>
      </c>
      <c r="J21" s="6">
        <f t="shared" si="4"/>
        <v>34743.781025415738</v>
      </c>
      <c r="K21" s="9">
        <f t="shared" si="5"/>
        <v>2.3145566392478042E-2</v>
      </c>
      <c r="L21" s="7">
        <f t="shared" si="6"/>
        <v>1.1015901382599282</v>
      </c>
      <c r="M21" s="7">
        <f t="shared" si="7"/>
        <v>6.3157894736842107E-2</v>
      </c>
    </row>
    <row r="22" spans="1:13" x14ac:dyDescent="0.25">
      <c r="A22" t="s">
        <v>39</v>
      </c>
      <c r="B22">
        <v>68.94</v>
      </c>
      <c r="C22" t="s">
        <v>38</v>
      </c>
    </row>
    <row r="23" spans="1:13" x14ac:dyDescent="0.25">
      <c r="A23" t="s">
        <v>40</v>
      </c>
      <c r="B23">
        <v>39.369999999999997</v>
      </c>
      <c r="C23" s="16" t="s">
        <v>38</v>
      </c>
    </row>
    <row r="24" spans="1:13" x14ac:dyDescent="0.25">
      <c r="A24" t="s">
        <v>41</v>
      </c>
      <c r="B24">
        <v>60</v>
      </c>
      <c r="C24" s="16" t="s">
        <v>38</v>
      </c>
    </row>
    <row r="25" spans="1:13" x14ac:dyDescent="0.25">
      <c r="A25" t="s">
        <v>42</v>
      </c>
      <c r="B25">
        <v>1000</v>
      </c>
      <c r="C25" s="16" t="s">
        <v>38</v>
      </c>
    </row>
    <row r="26" spans="1:13" x14ac:dyDescent="0.25">
      <c r="A26" t="s">
        <v>43</v>
      </c>
      <c r="B26">
        <v>12</v>
      </c>
      <c r="C26" s="16" t="s">
        <v>38</v>
      </c>
    </row>
    <row r="27" spans="1:13" x14ac:dyDescent="0.25">
      <c r="A27" t="s">
        <v>44</v>
      </c>
      <c r="B27">
        <v>3.2810000000000001</v>
      </c>
      <c r="C27" s="16" t="s">
        <v>38</v>
      </c>
    </row>
    <row r="28" spans="1:13" x14ac:dyDescent="0.25">
      <c r="A28" t="s">
        <v>45</v>
      </c>
      <c r="B28">
        <v>1000</v>
      </c>
      <c r="C28" s="16" t="s">
        <v>38</v>
      </c>
    </row>
    <row r="30" spans="1:13" x14ac:dyDescent="0.25">
      <c r="A30" s="4" t="s">
        <v>46</v>
      </c>
      <c r="C30" s="16"/>
    </row>
    <row r="31" spans="1:13" x14ac:dyDescent="0.25">
      <c r="A31" t="s">
        <v>27</v>
      </c>
      <c r="B31" s="17">
        <f>(B13-32)*5/9</f>
        <v>15</v>
      </c>
      <c r="C31" t="s">
        <v>47</v>
      </c>
    </row>
    <row r="32" spans="1:13" x14ac:dyDescent="0.25">
      <c r="A32" t="s">
        <v>48</v>
      </c>
      <c r="B32" s="18">
        <f>1000*B12/(B17*(B31+273.15))</f>
        <v>1.2295117240090445</v>
      </c>
      <c r="C32" t="s">
        <v>49</v>
      </c>
    </row>
    <row r="33" spans="1:3" x14ac:dyDescent="0.25">
      <c r="A33" t="s">
        <v>50</v>
      </c>
      <c r="B33" s="19">
        <f>B19*(B31+273.15)^1.5/((B31+273.15+B18)*10^6)</f>
        <v>1.8120567102806564E-5</v>
      </c>
      <c r="C33" t="s">
        <v>51</v>
      </c>
    </row>
    <row r="34" spans="1:3" x14ac:dyDescent="0.25">
      <c r="A34" t="s">
        <v>52</v>
      </c>
      <c r="B34" s="20">
        <f>PI()*(B10/2)^2</f>
        <v>7.5476763502494771E-4</v>
      </c>
      <c r="C34" t="s">
        <v>53</v>
      </c>
    </row>
    <row r="35" spans="1:3" x14ac:dyDescent="0.25">
      <c r="A35" t="s">
        <v>54</v>
      </c>
      <c r="B35" s="17">
        <f>$B$12*$B$20</f>
        <v>53.697600000000001</v>
      </c>
      <c r="C35" t="s">
        <v>26</v>
      </c>
    </row>
    <row r="36" spans="1:3" x14ac:dyDescent="0.25">
      <c r="A36" s="21" t="s">
        <v>55</v>
      </c>
      <c r="B36" s="22">
        <f>($B$12-$B$35)*$B$21</f>
        <v>480.024</v>
      </c>
      <c r="C36" t="s">
        <v>56</v>
      </c>
    </row>
    <row r="37" spans="1:3" x14ac:dyDescent="0.25">
      <c r="A37" t="s">
        <v>57</v>
      </c>
      <c r="B37" s="22">
        <f>-1*$B$3*$B$22-AVERAGE(L3:L21)</f>
        <v>-483.97926740627173</v>
      </c>
      <c r="C37" t="s">
        <v>56</v>
      </c>
    </row>
  </sheetData>
  <mergeCells count="1">
    <mergeCell ref="H1:I1"/>
  </mergeCells>
  <conditionalFormatting sqref="J3:J21">
    <cfRule type="cellIs" dxfId="0" priority="2" operator="lessThan">
      <formula>4100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0</cp:revision>
  <dcterms:created xsi:type="dcterms:W3CDTF">2014-06-27T22:34:22Z</dcterms:created>
  <dcterms:modified xsi:type="dcterms:W3CDTF">2014-07-01T19:17:25Z</dcterms:modified>
  <dc:language>en-US</dc:language>
</cp:coreProperties>
</file>