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21570" windowHeight="82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3" i="1"/>
  <c r="B34" i="1"/>
  <c r="B35" i="1"/>
  <c r="B36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3" i="1"/>
  <c r="G3" i="1"/>
  <c r="H3" i="1"/>
  <c r="B31" i="1"/>
  <c r="B3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3" i="1"/>
  <c r="J3" i="1"/>
  <c r="K3" i="1"/>
  <c r="B5" i="1"/>
  <c r="B7" i="1"/>
  <c r="B6" i="1"/>
</calcChain>
</file>

<file path=xl/comments1.xml><?xml version="1.0" encoding="utf-8"?>
<comments xmlns="http://schemas.openxmlformats.org/spreadsheetml/2006/main">
  <authors>
    <author>Patrick O'Keeffe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Time to travel full length of tubing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Delay time as number of scans at 10Hz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Blasius formula, valid for: 
- smooth walls 
- Re &lt; 10^5</t>
        </r>
      </text>
    </comment>
    <comment ref="K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Pressure drop due to wall friction only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Pressure drop at full scale (50 sLpm) flow venting to atmosphere (mnfctr specs)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This is the size we purchased 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Total length </t>
        </r>
        <r>
          <rPr>
            <b/>
            <sz val="8"/>
            <color indexed="81"/>
            <rFont val="Tahoma"/>
            <family val="2"/>
          </rPr>
          <t>upstream</t>
        </r>
        <r>
          <rPr>
            <sz val="8"/>
            <color indexed="81"/>
            <rFont val="Tahoma"/>
            <family val="2"/>
          </rPr>
          <t xml:space="preserve"> of pump</t>
        </r>
      </text>
    </comment>
    <comment ref="A14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Target max abs. press. d/s of orifice as fraction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 ratio of abs. press. downstream of orifice vs. abs. press. upstream of orifice</t>
        </r>
      </text>
    </comment>
    <comment ref="A3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 press d/s of orifice which results in choked flow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Vacuum level required to result in choked flow through orifices</t>
        </r>
      </text>
    </comment>
    <comment ref="A3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Vacuum level resulting from pressure drop across mass flow controller</t>
        </r>
      </text>
    </comment>
    <comment ref="B3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Use this value when evaluating pumps</t>
        </r>
      </text>
    </comment>
  </commentList>
</comments>
</file>

<file path=xl/sharedStrings.xml><?xml version="1.0" encoding="utf-8"?>
<sst xmlns="http://schemas.openxmlformats.org/spreadsheetml/2006/main" count="67" uniqueCount="53">
  <si>
    <t>Barometric pressure</t>
  </si>
  <si>
    <t>kg/m^3</t>
  </si>
  <si>
    <t>Air temperature</t>
  </si>
  <si>
    <t>Pa*s</t>
  </si>
  <si>
    <t>degF</t>
  </si>
  <si>
    <t>degC</t>
  </si>
  <si>
    <t>J/(kg K)</t>
  </si>
  <si>
    <t>Gas constant, dry air</t>
  </si>
  <si>
    <t>K</t>
  </si>
  <si>
    <t>(μPa*s)/K^-1/2</t>
  </si>
  <si>
    <t>Constants</t>
  </si>
  <si>
    <r>
      <t xml:space="preserve">Sutherland's formula (air): </t>
    </r>
    <r>
      <rPr>
        <sz val="11"/>
        <color theme="1"/>
        <rFont val="Calibri"/>
        <family val="2"/>
      </rPr>
      <t>λ</t>
    </r>
  </si>
  <si>
    <t>Sutherland's formula (air): C</t>
  </si>
  <si>
    <t>Dynamic viscosity of air</t>
  </si>
  <si>
    <t>Density of air</t>
  </si>
  <si>
    <t>Tubing inner diameter</t>
  </si>
  <si>
    <t>in</t>
  </si>
  <si>
    <t>1/4" (0.047)</t>
  </si>
  <si>
    <t>1/4" (0.062)</t>
  </si>
  <si>
    <t>1/8" (0.047)</t>
  </si>
  <si>
    <t>Tubing size</t>
  </si>
  <si>
    <t>Tubing length</t>
  </si>
  <si>
    <t>ft</t>
  </si>
  <si>
    <t>User input</t>
  </si>
  <si>
    <t>Reference</t>
  </si>
  <si>
    <t>Derived values</t>
  </si>
  <si>
    <t>Tubing cross-section area</t>
  </si>
  <si>
    <t>in^2</t>
  </si>
  <si>
    <t>Reynolds #</t>
  </si>
  <si>
    <t>Flow (L/min)</t>
  </si>
  <si>
    <t>Unit conversion: s/min</t>
  </si>
  <si>
    <t>Unit conversion: in/m</t>
  </si>
  <si>
    <t>Unit conversion: L/m^3</t>
  </si>
  <si>
    <t>unity</t>
  </si>
  <si>
    <t>Velocity (m/s)</t>
  </si>
  <si>
    <t>Friction factor</t>
  </si>
  <si>
    <t>ΔP (kPa)</t>
  </si>
  <si>
    <t>Unit conversion: in/ft</t>
  </si>
  <si>
    <t>Unit conversion: Pa/kPa</t>
  </si>
  <si>
    <t>Unit conversion: ft/m</t>
  </si>
  <si>
    <t>Delay (s)</t>
  </si>
  <si>
    <t>Lag (#)</t>
  </si>
  <si>
    <t>Choked flow ratio (P2/P1)</t>
  </si>
  <si>
    <t>Min. vacuum at pump inlet</t>
  </si>
  <si>
    <t>Unit conversion: mbar/kPa</t>
  </si>
  <si>
    <t>Choked flow safety factor</t>
  </si>
  <si>
    <t>Choked flow max press</t>
  </si>
  <si>
    <t>kPa (abs)</t>
  </si>
  <si>
    <t>mbar (gage)</t>
  </si>
  <si>
    <t>Pressure drop across MFC</t>
  </si>
  <si>
    <t>psid</t>
  </si>
  <si>
    <t>I.D.</t>
  </si>
  <si>
    <t>Unit conversion: mbar/psi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</si>
</sst>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Border="1"/>
    <xf numFmtId="0" fontId="1" fillId="0" borderId="0" xfId="0" applyFont="1"/>
    <xf numFmtId="167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7"/>
  <sheetViews>
    <sheetView tabSelected="1" workbookViewId="0">
      <selection activeCell="B10" sqref="B10"/>
    </sheetView>
  </sheetViews>
  <sheetFormatPr defaultRowHeight="15" x14ac:dyDescent="0.25"/>
  <cols>
    <col min="1" max="1" width="26.28515625" bestFit="1" customWidth="1"/>
    <col min="2" max="2" width="12" bestFit="1" customWidth="1"/>
    <col min="3" max="3" width="14.28515625" bestFit="1" customWidth="1"/>
    <col min="4" max="4" width="4" customWidth="1"/>
    <col min="5" max="5" width="12.28515625" style="1" bestFit="1" customWidth="1"/>
    <col min="6" max="6" width="13.7109375" style="1" bestFit="1" customWidth="1"/>
    <col min="7" max="7" width="8.7109375" style="1" bestFit="1" customWidth="1"/>
    <col min="8" max="8" width="8.7109375" style="1" customWidth="1"/>
    <col min="9" max="9" width="10.5703125" style="1" bestFit="1" customWidth="1"/>
    <col min="10" max="10" width="13.42578125" style="1" bestFit="1" customWidth="1"/>
    <col min="11" max="11" width="9.140625" style="1"/>
  </cols>
  <sheetData>
    <row r="2" spans="1:11" x14ac:dyDescent="0.25">
      <c r="A2" s="8" t="s">
        <v>24</v>
      </c>
      <c r="E2" s="10" t="s">
        <v>29</v>
      </c>
      <c r="F2" s="10" t="s">
        <v>34</v>
      </c>
      <c r="G2" s="10" t="s">
        <v>40</v>
      </c>
      <c r="H2" s="10" t="s">
        <v>41</v>
      </c>
      <c r="I2" s="1" t="s">
        <v>28</v>
      </c>
      <c r="J2" s="1" t="s">
        <v>35</v>
      </c>
      <c r="K2" s="15" t="s">
        <v>36</v>
      </c>
    </row>
    <row r="3" spans="1:11" x14ac:dyDescent="0.25">
      <c r="A3" t="s">
        <v>49</v>
      </c>
      <c r="B3">
        <v>7</v>
      </c>
      <c r="C3" t="s">
        <v>50</v>
      </c>
      <c r="E3" s="18">
        <v>1</v>
      </c>
      <c r="F3" s="13">
        <f>E3*$B$23^2/($B$34*$B$24*$B$25)</f>
        <v>34.226801028389069</v>
      </c>
      <c r="G3" s="13">
        <f>$B$11/(F3*$B$27)</f>
        <v>0.17809734905288202</v>
      </c>
      <c r="H3" s="14">
        <f>G3*10</f>
        <v>1.7809734905288201</v>
      </c>
      <c r="I3" s="12">
        <f>$B$32*F3*$B$10/($B$33*$B$23)</f>
        <v>1828.6200539692495</v>
      </c>
      <c r="J3" s="11">
        <f>0.316/I3^0.25</f>
        <v>4.8323258657599504E-2</v>
      </c>
      <c r="K3" s="13">
        <f>J3*$B$11*$B$32*$B$26/(2*$B$10*$B$28)</f>
        <v>0.22998972798131673</v>
      </c>
    </row>
    <row r="4" spans="1:11" x14ac:dyDescent="0.25">
      <c r="A4" t="s">
        <v>20</v>
      </c>
      <c r="B4" t="s">
        <v>51</v>
      </c>
      <c r="E4" s="18">
        <v>2</v>
      </c>
      <c r="F4" s="13">
        <f>E4*$B$23^2/($B$34*$B$24*$B$25)</f>
        <v>68.453602056778138</v>
      </c>
      <c r="G4" s="13">
        <f>$B$11/(F4*$B$27)</f>
        <v>8.904867452644101E-2</v>
      </c>
      <c r="H4" s="14">
        <f t="shared" ref="H4:H21" si="0">G4*10</f>
        <v>0.89048674526441007</v>
      </c>
      <c r="I4" s="12">
        <f>$B$32*F4*$B$10/($B$33*$B$23)</f>
        <v>3657.240107938499</v>
      </c>
      <c r="J4" s="11">
        <f t="shared" ref="J4:J21" si="1">0.316/I4^0.25</f>
        <v>4.0634854978553445E-2</v>
      </c>
      <c r="K4" s="13">
        <f>J4*$B$11*$B$32*$B$26/(2*$B$10*$B$28)</f>
        <v>0.19339753780466612</v>
      </c>
    </row>
    <row r="5" spans="1:11" x14ac:dyDescent="0.25">
      <c r="A5" s="17" t="s">
        <v>17</v>
      </c>
      <c r="B5">
        <f>0.25-2*0.047</f>
        <v>0.156</v>
      </c>
      <c r="C5" t="s">
        <v>16</v>
      </c>
      <c r="E5" s="18">
        <v>3</v>
      </c>
      <c r="F5" s="13">
        <f>E5*$B$23^2/($B$34*$B$24*$B$25)</f>
        <v>102.6804030851672</v>
      </c>
      <c r="G5" s="13">
        <f>$B$11/(F5*$B$27)</f>
        <v>5.9365783017627342E-2</v>
      </c>
      <c r="H5" s="14">
        <f t="shared" si="0"/>
        <v>0.59365783017627338</v>
      </c>
      <c r="I5" s="12">
        <f>$B$32*F5*$B$10/($B$33*$B$23)</f>
        <v>5485.860161907749</v>
      </c>
      <c r="J5" s="11">
        <f t="shared" si="1"/>
        <v>3.6717736375016373E-2</v>
      </c>
      <c r="K5" s="13">
        <f>J5*$B$11*$B$32*$B$26/(2*$B$10*$B$28)</f>
        <v>0.17475440265350706</v>
      </c>
    </row>
    <row r="6" spans="1:11" x14ac:dyDescent="0.25">
      <c r="A6" s="16" t="s">
        <v>18</v>
      </c>
      <c r="B6">
        <f>0.25-2*0.062</f>
        <v>0.126</v>
      </c>
      <c r="C6" t="s">
        <v>16</v>
      </c>
      <c r="E6" s="18">
        <v>4</v>
      </c>
      <c r="F6" s="13">
        <f>E6*$B$23^2/($B$34*$B$24*$B$25)</f>
        <v>136.90720411355628</v>
      </c>
      <c r="G6" s="13">
        <f>$B$11/(F6*$B$27)</f>
        <v>4.4524337263220505E-2</v>
      </c>
      <c r="H6" s="14">
        <f t="shared" si="0"/>
        <v>0.44524337263220504</v>
      </c>
      <c r="I6" s="12">
        <f>$B$32*F6*$B$10/($B$33*$B$23)</f>
        <v>7314.480215876998</v>
      </c>
      <c r="J6" s="11">
        <f t="shared" si="1"/>
        <v>3.4169703885820149E-2</v>
      </c>
      <c r="K6" s="13">
        <f>J6*$B$11*$B$32*$B$26/(2*$B$10*$B$28)</f>
        <v>0.16262729625883848</v>
      </c>
    </row>
    <row r="7" spans="1:11" x14ac:dyDescent="0.25">
      <c r="A7" s="16" t="s">
        <v>19</v>
      </c>
      <c r="B7">
        <f>0.125-2*0.047</f>
        <v>3.1E-2</v>
      </c>
      <c r="C7" t="s">
        <v>16</v>
      </c>
      <c r="E7" s="18">
        <v>5</v>
      </c>
      <c r="F7" s="13">
        <f>E7*$B$23^2/($B$34*$B$24*$B$25)</f>
        <v>171.13400514194535</v>
      </c>
      <c r="G7" s="13">
        <f>$B$11/(F7*$B$27)</f>
        <v>3.5619469810576405E-2</v>
      </c>
      <c r="H7" s="14">
        <f t="shared" si="0"/>
        <v>0.35619469810576404</v>
      </c>
      <c r="I7" s="12">
        <f>$B$32*F7*$B$10/($B$33*$B$23)</f>
        <v>9143.1002698462471</v>
      </c>
      <c r="J7" s="11">
        <f t="shared" si="1"/>
        <v>3.2315710732137626E-2</v>
      </c>
      <c r="K7" s="13">
        <f>J7*$B$11*$B$32*$B$26/(2*$B$10*$B$28)</f>
        <v>0.1538034008316701</v>
      </c>
    </row>
    <row r="8" spans="1:11" x14ac:dyDescent="0.25">
      <c r="E8" s="18">
        <v>6</v>
      </c>
      <c r="F8" s="13">
        <f>E8*$B$23^2/($B$34*$B$24*$B$25)</f>
        <v>205.3608061703344</v>
      </c>
      <c r="G8" s="13">
        <f>$B$11/(F8*$B$27)</f>
        <v>2.9682891508813671E-2</v>
      </c>
      <c r="H8" s="14">
        <f t="shared" si="0"/>
        <v>0.29682891508813669</v>
      </c>
      <c r="I8" s="12">
        <f>$B$32*F8*$B$10/($B$33*$B$23)</f>
        <v>10971.720323815498</v>
      </c>
      <c r="J8" s="11">
        <f t="shared" si="1"/>
        <v>3.0875812893982189E-2</v>
      </c>
      <c r="K8" s="13">
        <f>J8*$B$11*$B$32*$B$26/(2*$B$10*$B$28)</f>
        <v>0.14695035074113832</v>
      </c>
    </row>
    <row r="9" spans="1:11" ht="15.75" thickBot="1" x14ac:dyDescent="0.3">
      <c r="A9" s="8" t="s">
        <v>23</v>
      </c>
      <c r="E9" s="18">
        <v>7</v>
      </c>
      <c r="F9" s="13">
        <f>E9*$B$23^2/($B$34*$B$24*$B$25)</f>
        <v>239.58760719872348</v>
      </c>
      <c r="G9" s="13">
        <f>$B$11/(F9*$B$27)</f>
        <v>2.5442478436126004E-2</v>
      </c>
      <c r="H9" s="14">
        <f t="shared" si="0"/>
        <v>0.25442478436126004</v>
      </c>
      <c r="I9" s="12">
        <f>$B$32*F9*$B$10/($B$33*$B$23)</f>
        <v>12800.340377784749</v>
      </c>
      <c r="J9" s="11">
        <f t="shared" si="1"/>
        <v>2.9708566934691791E-2</v>
      </c>
      <c r="K9" s="13">
        <f>J9*$B$11*$B$32*$B$26/(2*$B$10*$B$28)</f>
        <v>0.14139496006339744</v>
      </c>
    </row>
    <row r="10" spans="1:11" x14ac:dyDescent="0.25">
      <c r="A10" t="s">
        <v>15</v>
      </c>
      <c r="B10" s="19">
        <v>3.1E-2</v>
      </c>
      <c r="C10" t="s">
        <v>16</v>
      </c>
      <c r="E10" s="18">
        <v>8</v>
      </c>
      <c r="F10" s="13">
        <f>E10*$B$23^2/($B$34*$B$24*$B$25)</f>
        <v>273.81440822711255</v>
      </c>
      <c r="G10" s="13">
        <f>$B$11/(F10*$B$27)</f>
        <v>2.2262168631610253E-2</v>
      </c>
      <c r="H10" s="14">
        <f t="shared" si="0"/>
        <v>0.22262168631610252</v>
      </c>
      <c r="I10" s="12">
        <f>$B$32*F10*$B$10/($B$33*$B$23)</f>
        <v>14628.960431753996</v>
      </c>
      <c r="J10" s="11">
        <f t="shared" si="1"/>
        <v>2.8733181507867082E-2</v>
      </c>
      <c r="K10" s="13">
        <f>J10*$B$11*$B$32*$B$26/(2*$B$10*$B$28)</f>
        <v>0.13675271044646112</v>
      </c>
    </row>
    <row r="11" spans="1:11" x14ac:dyDescent="0.25">
      <c r="A11" t="s">
        <v>21</v>
      </c>
      <c r="B11" s="20">
        <v>20</v>
      </c>
      <c r="C11" t="s">
        <v>22</v>
      </c>
      <c r="E11" s="18">
        <v>9</v>
      </c>
      <c r="F11" s="13">
        <f>E11*$B$23^2/($B$34*$B$24*$B$25)</f>
        <v>308.0412092555016</v>
      </c>
      <c r="G11" s="13">
        <f>$B$11/(F11*$B$27)</f>
        <v>1.9788594339209115E-2</v>
      </c>
      <c r="H11" s="14">
        <f t="shared" si="0"/>
        <v>0.19788594339209115</v>
      </c>
      <c r="I11" s="12">
        <f>$B$32*F11*$B$10/($B$33*$B$23)</f>
        <v>16457.580485723247</v>
      </c>
      <c r="J11" s="11">
        <f t="shared" si="1"/>
        <v>2.7899446394084992E-2</v>
      </c>
      <c r="K11" s="13">
        <f>J11*$B$11*$B$32*$B$26/(2*$B$10*$B$28)</f>
        <v>0.13278463136086202</v>
      </c>
    </row>
    <row r="12" spans="1:11" x14ac:dyDescent="0.25">
      <c r="A12" t="s">
        <v>0</v>
      </c>
      <c r="B12" s="20">
        <v>101.7</v>
      </c>
      <c r="C12" t="s">
        <v>47</v>
      </c>
      <c r="E12" s="18">
        <v>10</v>
      </c>
      <c r="F12" s="13">
        <f>E12*$B$23^2/($B$34*$B$24*$B$25)</f>
        <v>342.2680102838907</v>
      </c>
      <c r="G12" s="13">
        <f>$B$11/(F12*$B$27)</f>
        <v>1.7809734905288203E-2</v>
      </c>
      <c r="H12" s="14">
        <f t="shared" si="0"/>
        <v>0.17809734905288202</v>
      </c>
      <c r="I12" s="12">
        <f>$B$32*F12*$B$10/($B$33*$B$23)</f>
        <v>18286.200539692494</v>
      </c>
      <c r="J12" s="11">
        <f t="shared" si="1"/>
        <v>2.7174165311030517E-2</v>
      </c>
      <c r="K12" s="13">
        <f>J12*$B$11*$B$32*$B$26/(2*$B$10*$B$28)</f>
        <v>0.12933272841318158</v>
      </c>
    </row>
    <row r="13" spans="1:11" x14ac:dyDescent="0.25">
      <c r="A13" t="s">
        <v>2</v>
      </c>
      <c r="B13" s="20">
        <v>59</v>
      </c>
      <c r="C13" t="s">
        <v>4</v>
      </c>
      <c r="E13" s="18">
        <v>11</v>
      </c>
      <c r="F13" s="13">
        <f>E13*$B$23^2/($B$34*$B$24*$B$25)</f>
        <v>376.49481131227975</v>
      </c>
      <c r="G13" s="13">
        <f>$B$11/(F13*$B$27)</f>
        <v>1.6190668095716548E-2</v>
      </c>
      <c r="H13" s="14">
        <f t="shared" si="0"/>
        <v>0.16190668095716548</v>
      </c>
      <c r="I13" s="12">
        <f>$B$32*F13*$B$10/($B$33*$B$23)</f>
        <v>20114.820593661745</v>
      </c>
      <c r="J13" s="11">
        <f t="shared" si="1"/>
        <v>2.6534324851495875E-2</v>
      </c>
      <c r="K13" s="13">
        <f>J13*$B$11*$B$32*$B$26/(2*$B$10*$B$28)</f>
        <v>0.12628747158804671</v>
      </c>
    </row>
    <row r="14" spans="1:11" ht="15.75" thickBot="1" x14ac:dyDescent="0.3">
      <c r="A14" t="s">
        <v>45</v>
      </c>
      <c r="B14" s="21">
        <v>0.8</v>
      </c>
      <c r="E14" s="18">
        <v>12</v>
      </c>
      <c r="F14" s="13">
        <f>E14*$B$23^2/($B$34*$B$24*$B$25)</f>
        <v>410.7216123406688</v>
      </c>
      <c r="G14" s="13">
        <f>$B$11/(F14*$B$27)</f>
        <v>1.4841445754406836E-2</v>
      </c>
      <c r="H14" s="14">
        <f t="shared" si="0"/>
        <v>0.14841445754406835</v>
      </c>
      <c r="I14" s="12">
        <f>$B$32*F14*$B$10/($B$33*$B$23)</f>
        <v>21943.440647630996</v>
      </c>
      <c r="J14" s="11">
        <f t="shared" si="1"/>
        <v>2.5963360380594044E-2</v>
      </c>
      <c r="K14" s="13">
        <f>J14*$B$11*$B$32*$B$26/(2*$B$10*$B$28)</f>
        <v>0.12357002315849923</v>
      </c>
    </row>
    <row r="15" spans="1:11" x14ac:dyDescent="0.25">
      <c r="E15" s="18">
        <v>13</v>
      </c>
      <c r="F15" s="13">
        <f>E15*$B$23^2/($B$34*$B$24*$B$25)</f>
        <v>444.9484133690579</v>
      </c>
      <c r="G15" s="13">
        <f>$B$11/(F15*$B$27)</f>
        <v>1.3699796080990924E-2</v>
      </c>
      <c r="H15" s="14">
        <f t="shared" si="0"/>
        <v>0.13699796080990925</v>
      </c>
      <c r="I15" s="12">
        <f>$B$32*F15*$B$10/($B$33*$B$23)</f>
        <v>23772.060701600243</v>
      </c>
      <c r="J15" s="11">
        <f t="shared" si="1"/>
        <v>2.5448979681513884E-2</v>
      </c>
      <c r="K15" s="13">
        <f>J15*$B$11*$B$32*$B$26/(2*$B$10*$B$28)</f>
        <v>0.1211218795451198</v>
      </c>
    </row>
    <row r="16" spans="1:11" x14ac:dyDescent="0.25">
      <c r="A16" s="8" t="s">
        <v>10</v>
      </c>
      <c r="E16" s="18">
        <v>14</v>
      </c>
      <c r="F16" s="13">
        <f>E16*$B$23^2/($B$34*$B$24*$B$25)</f>
        <v>479.17521439744695</v>
      </c>
      <c r="G16" s="13">
        <f>$B$11/(F16*$B$27)</f>
        <v>1.2721239218063002E-2</v>
      </c>
      <c r="H16" s="14">
        <f t="shared" si="0"/>
        <v>0.12721239218063002</v>
      </c>
      <c r="I16" s="12">
        <f>$B$32*F16*$B$10/($B$33*$B$23)</f>
        <v>25600.680755569498</v>
      </c>
      <c r="J16" s="11">
        <f t="shared" si="1"/>
        <v>2.4981827437707362E-2</v>
      </c>
      <c r="K16" s="13">
        <f>J16*$B$11*$B$32*$B$26/(2*$B$10*$B$28)</f>
        <v>0.11889851505225302</v>
      </c>
    </row>
    <row r="17" spans="1:11" x14ac:dyDescent="0.25">
      <c r="A17" t="s">
        <v>7</v>
      </c>
      <c r="B17" s="5">
        <v>287.05799999999999</v>
      </c>
      <c r="C17" t="s">
        <v>6</v>
      </c>
      <c r="E17" s="18">
        <v>15</v>
      </c>
      <c r="F17" s="13">
        <f>E17*$B$23^2/($B$34*$B$24*$B$25)</f>
        <v>513.402015425836</v>
      </c>
      <c r="G17" s="13">
        <f>$B$11/(F17*$B$27)</f>
        <v>1.187315660352547E-2</v>
      </c>
      <c r="H17" s="14">
        <f t="shared" si="0"/>
        <v>0.1187315660352547</v>
      </c>
      <c r="I17" s="12">
        <f>$B$32*F17*$B$10/($B$33*$B$23)</f>
        <v>27429.300809538741</v>
      </c>
      <c r="J17" s="11">
        <f t="shared" si="1"/>
        <v>2.4554630221472324E-2</v>
      </c>
      <c r="K17" s="13">
        <f>J17*$B$11*$B$32*$B$26/(2*$B$10*$B$28)</f>
        <v>0.1168653125264788</v>
      </c>
    </row>
    <row r="18" spans="1:11" x14ac:dyDescent="0.25">
      <c r="A18" t="s">
        <v>12</v>
      </c>
      <c r="B18">
        <v>120</v>
      </c>
      <c r="C18" t="s">
        <v>8</v>
      </c>
      <c r="E18" s="18">
        <v>16</v>
      </c>
      <c r="F18" s="13">
        <f>E18*$B$23^2/($B$34*$B$24*$B$25)</f>
        <v>547.6288164542251</v>
      </c>
      <c r="G18" s="13">
        <f>$B$11/(F18*$B$27)</f>
        <v>1.1131084315805126E-2</v>
      </c>
      <c r="H18" s="14">
        <f t="shared" si="0"/>
        <v>0.11131084315805126</v>
      </c>
      <c r="I18" s="12">
        <f>$B$32*F18*$B$10/($B$33*$B$23)</f>
        <v>29257.920863507992</v>
      </c>
      <c r="J18" s="11">
        <f t="shared" si="1"/>
        <v>2.4161629328799748E-2</v>
      </c>
      <c r="K18" s="13">
        <f>J18*$B$11*$B$32*$B$26/(2*$B$10*$B$28)</f>
        <v>0.11499486399065835</v>
      </c>
    </row>
    <row r="19" spans="1:11" x14ac:dyDescent="0.25">
      <c r="A19" t="s">
        <v>11</v>
      </c>
      <c r="B19">
        <v>1.512041288</v>
      </c>
      <c r="C19" s="6" t="s">
        <v>9</v>
      </c>
      <c r="E19" s="18">
        <v>17</v>
      </c>
      <c r="F19" s="13">
        <f>E19*$B$23^2/($B$34*$B$24*$B$25)</f>
        <v>581.85561748261409</v>
      </c>
      <c r="G19" s="13">
        <f>$B$11/(F19*$B$27)</f>
        <v>1.0476314650169533E-2</v>
      </c>
      <c r="H19" s="14">
        <f t="shared" si="0"/>
        <v>0.10476314650169533</v>
      </c>
      <c r="I19" s="12">
        <f>$B$32*F19*$B$10/($B$33*$B$23)</f>
        <v>31086.540917477243</v>
      </c>
      <c r="J19" s="11">
        <f t="shared" si="1"/>
        <v>2.3798193024256571E-2</v>
      </c>
      <c r="K19" s="13">
        <f>J19*$B$11*$B$32*$B$26/(2*$B$10*$B$28)</f>
        <v>0.11326512516214339</v>
      </c>
    </row>
    <row r="20" spans="1:11" x14ac:dyDescent="0.25">
      <c r="A20" t="s">
        <v>42</v>
      </c>
      <c r="B20">
        <v>0.52800000000000002</v>
      </c>
      <c r="C20" s="6"/>
      <c r="E20" s="18">
        <v>18</v>
      </c>
      <c r="F20" s="13">
        <f>E20*$B$23^2/($B$34*$B$24*$B$25)</f>
        <v>616.0824185110032</v>
      </c>
      <c r="G20" s="13">
        <f>$B$11/(F20*$B$27)</f>
        <v>9.8942971696045576E-3</v>
      </c>
      <c r="H20" s="14">
        <f t="shared" si="0"/>
        <v>9.8942971696045573E-2</v>
      </c>
      <c r="I20" s="12">
        <f>$B$32*F20*$B$10/($B$33*$B$23)</f>
        <v>32915.160971446494</v>
      </c>
      <c r="J20" s="11">
        <f t="shared" si="1"/>
        <v>2.3460544460349245E-2</v>
      </c>
      <c r="K20" s="13">
        <f>J20*$B$11*$B$32*$B$26/(2*$B$10*$B$28)</f>
        <v>0.11165812051213486</v>
      </c>
    </row>
    <row r="21" spans="1:11" x14ac:dyDescent="0.25">
      <c r="A21" t="s">
        <v>44</v>
      </c>
      <c r="B21">
        <v>10</v>
      </c>
      <c r="C21" t="s">
        <v>33</v>
      </c>
      <c r="E21" s="18">
        <v>19</v>
      </c>
      <c r="F21" s="13">
        <f>E21*$B$23^2/($B$34*$B$24*$B$25)</f>
        <v>650.3092195393923</v>
      </c>
      <c r="G21" s="13">
        <f>$B$11/(F21*$B$27)</f>
        <v>9.373544686993791E-3</v>
      </c>
      <c r="H21" s="14">
        <f t="shared" si="0"/>
        <v>9.3735446869937913E-2</v>
      </c>
      <c r="I21" s="12">
        <f>$B$32*F21*$B$10/($B$33*$B$23)</f>
        <v>34743.781025415738</v>
      </c>
      <c r="J21" s="11">
        <f t="shared" si="1"/>
        <v>2.3145566392478042E-2</v>
      </c>
      <c r="K21" s="13">
        <f>J21*$B$11*$B$32*$B$26/(2*$B$10*$B$28)</f>
        <v>0.11015901382599282</v>
      </c>
    </row>
    <row r="22" spans="1:11" x14ac:dyDescent="0.25">
      <c r="A22" t="s">
        <v>52</v>
      </c>
      <c r="B22">
        <v>68.94</v>
      </c>
      <c r="C22" t="s">
        <v>33</v>
      </c>
    </row>
    <row r="23" spans="1:11" x14ac:dyDescent="0.25">
      <c r="A23" t="s">
        <v>31</v>
      </c>
      <c r="B23">
        <v>39.369999999999997</v>
      </c>
      <c r="C23" s="6" t="s">
        <v>33</v>
      </c>
    </row>
    <row r="24" spans="1:11" x14ac:dyDescent="0.25">
      <c r="A24" t="s">
        <v>30</v>
      </c>
      <c r="B24">
        <v>60</v>
      </c>
      <c r="C24" s="6" t="s">
        <v>33</v>
      </c>
    </row>
    <row r="25" spans="1:11" x14ac:dyDescent="0.25">
      <c r="A25" t="s">
        <v>32</v>
      </c>
      <c r="B25">
        <v>1000</v>
      </c>
      <c r="C25" s="6" t="s">
        <v>33</v>
      </c>
    </row>
    <row r="26" spans="1:11" x14ac:dyDescent="0.25">
      <c r="A26" t="s">
        <v>37</v>
      </c>
      <c r="B26">
        <v>12</v>
      </c>
      <c r="C26" s="6" t="s">
        <v>33</v>
      </c>
    </row>
    <row r="27" spans="1:11" x14ac:dyDescent="0.25">
      <c r="A27" t="s">
        <v>39</v>
      </c>
      <c r="B27">
        <v>3.2810000000000001</v>
      </c>
      <c r="C27" s="6" t="s">
        <v>33</v>
      </c>
    </row>
    <row r="28" spans="1:11" x14ac:dyDescent="0.25">
      <c r="A28" t="s">
        <v>38</v>
      </c>
      <c r="B28">
        <v>1000</v>
      </c>
      <c r="C28" s="6" t="s">
        <v>33</v>
      </c>
    </row>
    <row r="30" spans="1:11" x14ac:dyDescent="0.25">
      <c r="A30" s="8" t="s">
        <v>25</v>
      </c>
      <c r="C30" s="6"/>
    </row>
    <row r="31" spans="1:11" x14ac:dyDescent="0.25">
      <c r="A31" t="s">
        <v>2</v>
      </c>
      <c r="B31" s="4">
        <f>(B13-32)*5/9</f>
        <v>15</v>
      </c>
      <c r="C31" t="s">
        <v>5</v>
      </c>
    </row>
    <row r="32" spans="1:11" x14ac:dyDescent="0.25">
      <c r="A32" t="s">
        <v>14</v>
      </c>
      <c r="B32" s="3">
        <f>1000*B12/(B17*(B31+273.15))</f>
        <v>1.2295117240090445</v>
      </c>
      <c r="C32" t="s">
        <v>1</v>
      </c>
    </row>
    <row r="33" spans="1:3" x14ac:dyDescent="0.25">
      <c r="A33" t="s">
        <v>13</v>
      </c>
      <c r="B33" s="7">
        <f>B19*(B31+273.15)^1.5/((B31+273.15+B18)*10^6)</f>
        <v>1.8120567102806564E-5</v>
      </c>
      <c r="C33" t="s">
        <v>3</v>
      </c>
    </row>
    <row r="34" spans="1:3" x14ac:dyDescent="0.25">
      <c r="A34" t="s">
        <v>26</v>
      </c>
      <c r="B34" s="2">
        <f>PI()*(B10/2)^2</f>
        <v>7.5476763502494771E-4</v>
      </c>
      <c r="C34" t="s">
        <v>27</v>
      </c>
    </row>
    <row r="35" spans="1:3" x14ac:dyDescent="0.25">
      <c r="A35" t="s">
        <v>46</v>
      </c>
      <c r="B35" s="4">
        <f>$B$12*$B$20</f>
        <v>53.697600000000001</v>
      </c>
      <c r="C35" t="s">
        <v>47</v>
      </c>
    </row>
    <row r="36" spans="1:3" x14ac:dyDescent="0.25">
      <c r="A36" t="s">
        <v>43</v>
      </c>
      <c r="B36" s="9">
        <f>-1*($B$12-$B$14*$B$35)*$B$21</f>
        <v>-587.41920000000005</v>
      </c>
      <c r="C36" t="s">
        <v>48</v>
      </c>
    </row>
    <row r="37" spans="1:3" x14ac:dyDescent="0.25">
      <c r="A37" t="s">
        <v>43</v>
      </c>
      <c r="B37" s="9">
        <f>-1*$B$3*$B$22</f>
        <v>-482.58</v>
      </c>
      <c r="C37" t="s">
        <v>48</v>
      </c>
    </row>
  </sheetData>
  <conditionalFormatting sqref="I3:I21">
    <cfRule type="cellIs" dxfId="0" priority="1" operator="lessThan">
      <formula>4100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2014-06-27T22:34:22Z</dcterms:created>
  <dcterms:modified xsi:type="dcterms:W3CDTF">2014-06-28T02:53:20Z</dcterms:modified>
</cp:coreProperties>
</file>