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okeeffe\OneDrive - Washington State University (email.wsu.edu)\Field studies\Urbanova\reference site\wsu-reference-site.git\design\"/>
    </mc:Choice>
  </mc:AlternateContent>
  <bookViews>
    <workbookView xWindow="0" yWindow="0" windowWidth="16380" windowHeight="8190" tabRatio="666"/>
  </bookViews>
  <sheets>
    <sheet name="Flow" sheetId="3" r:id="rId1"/>
  </sheets>
  <calcPr calcId="152511"/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5" i="3"/>
  <c r="K4" i="3"/>
  <c r="K3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3"/>
  <c r="B14" i="3"/>
  <c r="B15" i="3" l="1"/>
  <c r="B16" i="3"/>
  <c r="B17" i="3"/>
  <c r="B25" i="3"/>
  <c r="B26" i="3" s="1"/>
  <c r="B28" i="3"/>
  <c r="B29" i="3" s="1"/>
  <c r="G3" i="3" l="1"/>
  <c r="H3" i="3" s="1"/>
  <c r="G22" i="3"/>
  <c r="G24" i="3"/>
  <c r="G26" i="3"/>
  <c r="G28" i="3"/>
  <c r="G30" i="3"/>
  <c r="G23" i="3"/>
  <c r="G25" i="3"/>
  <c r="G27" i="3"/>
  <c r="G29" i="3"/>
  <c r="G31" i="3"/>
  <c r="G21" i="3"/>
  <c r="H21" i="3" s="1"/>
  <c r="G18" i="3"/>
  <c r="H18" i="3" s="1"/>
  <c r="G17" i="3"/>
  <c r="H17" i="3" s="1"/>
  <c r="G14" i="3"/>
  <c r="H14" i="3" s="1"/>
  <c r="G13" i="3"/>
  <c r="H13" i="3" s="1"/>
  <c r="G5" i="3"/>
  <c r="H5" i="3" s="1"/>
  <c r="B27" i="3"/>
  <c r="I17" i="3" s="1"/>
  <c r="G20" i="3"/>
  <c r="H20" i="3" s="1"/>
  <c r="G19" i="3"/>
  <c r="H19" i="3" s="1"/>
  <c r="G16" i="3"/>
  <c r="H16" i="3" s="1"/>
  <c r="G15" i="3"/>
  <c r="H15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4" i="3"/>
  <c r="H4" i="3" s="1"/>
  <c r="I21" i="3" l="1"/>
  <c r="J21" i="3" s="1"/>
  <c r="M21" i="3" s="1"/>
  <c r="I3" i="3"/>
  <c r="J3" i="3" s="1"/>
  <c r="J17" i="3"/>
  <c r="M17" i="3" s="1"/>
  <c r="H29" i="3"/>
  <c r="I29" i="3"/>
  <c r="H25" i="3"/>
  <c r="I25" i="3"/>
  <c r="H30" i="3"/>
  <c r="I30" i="3"/>
  <c r="H26" i="3"/>
  <c r="I26" i="3"/>
  <c r="H22" i="3"/>
  <c r="I22" i="3"/>
  <c r="H31" i="3"/>
  <c r="I31" i="3"/>
  <c r="H27" i="3"/>
  <c r="I27" i="3"/>
  <c r="H23" i="3"/>
  <c r="I23" i="3"/>
  <c r="H28" i="3"/>
  <c r="I28" i="3"/>
  <c r="H24" i="3"/>
  <c r="I24" i="3"/>
  <c r="I13" i="3"/>
  <c r="I9" i="3"/>
  <c r="I7" i="3"/>
  <c r="I15" i="3"/>
  <c r="I19" i="3"/>
  <c r="J19" i="3" s="1"/>
  <c r="I12" i="3"/>
  <c r="I14" i="3"/>
  <c r="I16" i="3"/>
  <c r="I18" i="3"/>
  <c r="I20" i="3"/>
  <c r="I10" i="3"/>
  <c r="I8" i="3"/>
  <c r="I5" i="3"/>
  <c r="I6" i="3"/>
  <c r="I11" i="3"/>
  <c r="I4" i="3"/>
  <c r="M3" i="3" l="1"/>
  <c r="J20" i="3"/>
  <c r="M20" i="3" s="1"/>
  <c r="J12" i="3"/>
  <c r="M12" i="3" s="1"/>
  <c r="J22" i="3"/>
  <c r="M22" i="3" s="1"/>
  <c r="J26" i="3"/>
  <c r="M26" i="3" s="1"/>
  <c r="J30" i="3"/>
  <c r="M30" i="3" s="1"/>
  <c r="J25" i="3"/>
  <c r="M25" i="3" s="1"/>
  <c r="J29" i="3"/>
  <c r="M29" i="3" s="1"/>
  <c r="J4" i="3"/>
  <c r="M4" i="3" s="1"/>
  <c r="J6" i="3"/>
  <c r="M6" i="3" s="1"/>
  <c r="J8" i="3"/>
  <c r="M8" i="3" s="1"/>
  <c r="J16" i="3"/>
  <c r="M16" i="3" s="1"/>
  <c r="J15" i="3"/>
  <c r="M15" i="3" s="1"/>
  <c r="J11" i="3"/>
  <c r="M11" i="3" s="1"/>
  <c r="J5" i="3"/>
  <c r="M5" i="3"/>
  <c r="J10" i="3"/>
  <c r="M10" i="3" s="1"/>
  <c r="J18" i="3"/>
  <c r="M18" i="3" s="1"/>
  <c r="J14" i="3"/>
  <c r="M14" i="3" s="1"/>
  <c r="M19" i="3"/>
  <c r="J7" i="3"/>
  <c r="M7" i="3" s="1"/>
  <c r="J9" i="3"/>
  <c r="M9" i="3" s="1"/>
  <c r="J13" i="3"/>
  <c r="M13" i="3" s="1"/>
  <c r="J24" i="3"/>
  <c r="M24" i="3" s="1"/>
  <c r="J28" i="3"/>
  <c r="M28" i="3" s="1"/>
  <c r="J23" i="3"/>
  <c r="M23" i="3" s="1"/>
  <c r="J27" i="3"/>
  <c r="M27" i="3" s="1"/>
  <c r="J31" i="3"/>
  <c r="M31" i="3" s="1"/>
</calcChain>
</file>

<file path=xl/comments1.xml><?xml version="1.0" encoding="utf-8"?>
<comments xmlns="http://schemas.openxmlformats.org/spreadsheetml/2006/main">
  <authors>
    <author/>
    <author>Patrick O'Keeffe</author>
  </authors>
  <commentList>
    <comment ref="H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J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3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  <comment ref="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sharedStrings.xml><?xml version="1.0" encoding="utf-8"?>
<sst xmlns="http://schemas.openxmlformats.org/spreadsheetml/2006/main" count="80" uniqueCount="63">
  <si>
    <t>Reference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</si>
  <si>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</si>
  <si>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</si>
  <si>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</si>
  <si>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</si>
  <si>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</si>
  <si>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</si>
  <si>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</si>
  <si>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</si>
  <si>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</si>
  <si>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</si>
  <si>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</si>
  <si>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</si>
  <si>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</si>
  <si>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</si>
  <si>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</si>
  <si>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</si>
  <si>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</si>
  <si>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</si>
  <si>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</si>
  <si>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</si>
  <si>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</si>
  <si>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</si>
  <si>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</si>
  <si>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</si>
  <si>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</si>
  <si>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</si>
  <si>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</si>
  <si>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</si>
  <si>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</si>
  <si>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</si>
  <si>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</si>
  <si>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</si>
  <si>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</si>
  <si>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</si>
  <si>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</si>
  <si>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</si>
  <si>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</si>
  <si>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ΔP (mbar)</t>
  </si>
  <si>
    <t>Reynolds #</t>
  </si>
  <si>
    <t>s</t>
  </si>
  <si>
    <t>m/s</t>
  </si>
  <si>
    <t>L/min</t>
  </si>
  <si>
    <t>Delay</t>
  </si>
  <si>
    <t>Velocity</t>
  </si>
  <si>
    <t>Flow</t>
  </si>
  <si>
    <t>ºF</t>
  </si>
  <si>
    <t>mbar</t>
  </si>
  <si>
    <t>User Input</t>
  </si>
  <si>
    <t>Pullman (2550')</t>
  </si>
  <si>
    <t xml:space="preserve">sea level </t>
  </si>
  <si>
    <t>Ambient temperature</t>
  </si>
  <si>
    <t>Friction</t>
  </si>
  <si>
    <t>factor</t>
  </si>
  <si>
    <t>Filtered</t>
  </si>
  <si>
    <t>Turbulence threshold (Re#)</t>
  </si>
  <si>
    <t>Tubing volume</t>
  </si>
  <si>
    <t>mL</t>
  </si>
  <si>
    <t>Unit conversion: mL/in^3</t>
  </si>
  <si>
    <t>3/8" (0.062)</t>
  </si>
  <si>
    <t>cfm</t>
  </si>
  <si>
    <t>Spokane (1840')</t>
  </si>
  <si>
    <t>ΔP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</si>
</sst>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8" fillId="0" borderId="0" xfId="0" applyFont="1"/>
    <xf numFmtId="0" fontId="8" fillId="0" borderId="0" xfId="2" applyFont="1"/>
    <xf numFmtId="0" fontId="0" fillId="0" borderId="0" xfId="2" applyFont="1" applyAlignment="1">
      <alignment horizontal="center"/>
    </xf>
    <xf numFmtId="0" fontId="0" fillId="0" borderId="0" xfId="2" applyFont="1"/>
    <xf numFmtId="0" fontId="0" fillId="0" borderId="0" xfId="0" applyFont="1"/>
    <xf numFmtId="0" fontId="0" fillId="0" borderId="0" xfId="2" applyFont="1" applyAlignment="1">
      <alignment horizontal="left" indent="1"/>
    </xf>
    <xf numFmtId="0" fontId="0" fillId="0" borderId="0" xfId="0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horizontal="center"/>
    </xf>
    <xf numFmtId="0" fontId="10" fillId="0" borderId="0" xfId="1" applyFont="1"/>
    <xf numFmtId="1" fontId="9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9" fillId="0" borderId="0" xfId="1" applyFont="1" applyBorder="1"/>
    <xf numFmtId="165" fontId="9" fillId="0" borderId="0" xfId="1" applyNumberFormat="1" applyFont="1"/>
    <xf numFmtId="164" fontId="9" fillId="0" borderId="0" xfId="1" applyNumberFormat="1" applyFont="1"/>
    <xf numFmtId="167" fontId="9" fillId="0" borderId="0" xfId="1" applyNumberFormat="1" applyFont="1"/>
    <xf numFmtId="166" fontId="9" fillId="0" borderId="0" xfId="1" applyNumberFormat="1" applyFont="1"/>
    <xf numFmtId="0" fontId="0" fillId="2" borderId="0" xfId="2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1" applyNumberFormat="1" applyFont="1"/>
    <xf numFmtId="0" fontId="9" fillId="2" borderId="0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1" fontId="9" fillId="0" borderId="2" xfId="1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2" fontId="9" fillId="0" borderId="3" xfId="1" applyNumberFormat="1" applyFont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5" xfId="1" applyFont="1" applyFill="1" applyBorder="1" applyAlignment="1">
      <alignment horizontal="center"/>
    </xf>
    <xf numFmtId="1" fontId="9" fillId="0" borderId="5" xfId="1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/>
    </xf>
    <xf numFmtId="164" fontId="9" fillId="0" borderId="5" xfId="1" applyNumberFormat="1" applyFont="1" applyBorder="1" applyAlignment="1">
      <alignment horizontal="center"/>
    </xf>
    <xf numFmtId="2" fontId="9" fillId="0" borderId="6" xfId="1" applyNumberFormat="1" applyFont="1" applyBorder="1" applyAlignment="1">
      <alignment horizontal="center"/>
    </xf>
    <xf numFmtId="0" fontId="9" fillId="0" borderId="0" xfId="1" applyFont="1" applyAlignment="1">
      <alignment horizontal="left" indent="1"/>
    </xf>
  </cellXfs>
  <cellStyles count="5">
    <cellStyle name="Normal" xfId="0" builtinId="0"/>
    <cellStyle name="Normal 2" xfId="1"/>
    <cellStyle name="Normal 3" xfId="2"/>
    <cellStyle name="Normal 4" xfId="4"/>
    <cellStyle name="Percent 2" xfId="3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M44"/>
  <sheetViews>
    <sheetView tabSelected="1" zoomScaleNormal="100" workbookViewId="0">
      <selection activeCell="K2" sqref="K2"/>
    </sheetView>
  </sheetViews>
  <sheetFormatPr defaultRowHeight="12.75" x14ac:dyDescent="0.2"/>
  <cols>
    <col min="1" max="1" width="25.7109375" style="8" bestFit="1" customWidth="1"/>
    <col min="2" max="2" width="12" style="8" bestFit="1" customWidth="1"/>
    <col min="3" max="3" width="12.85546875" style="8" bestFit="1" customWidth="1"/>
    <col min="4" max="4" width="2.7109375" style="8" customWidth="1"/>
    <col min="5" max="5" width="5.5703125" style="9" bestFit="1" customWidth="1"/>
    <col min="6" max="6" width="5.5703125" style="9" customWidth="1"/>
    <col min="7" max="7" width="7.7109375" style="9" bestFit="1" customWidth="1"/>
    <col min="8" max="8" width="5.7109375" style="9" bestFit="1" customWidth="1"/>
    <col min="9" max="9" width="10.28515625" style="9" bestFit="1" customWidth="1"/>
    <col min="10" max="10" width="7.140625" style="9" bestFit="1" customWidth="1"/>
    <col min="11" max="11" width="9.42578125" style="9" bestFit="1" customWidth="1"/>
    <col min="12" max="12" width="9.140625" style="8"/>
    <col min="13" max="13" width="0" style="8" hidden="1" customWidth="1"/>
    <col min="14" max="16384" width="9.140625" style="8"/>
  </cols>
  <sheetData>
    <row r="1" spans="1:13" x14ac:dyDescent="0.2">
      <c r="E1" s="9" t="s">
        <v>45</v>
      </c>
      <c r="G1" s="9" t="s">
        <v>44</v>
      </c>
      <c r="H1" s="9" t="s">
        <v>43</v>
      </c>
      <c r="I1" s="8"/>
      <c r="J1" s="9" t="s">
        <v>52</v>
      </c>
      <c r="K1" s="8"/>
      <c r="M1" s="8" t="s">
        <v>54</v>
      </c>
    </row>
    <row r="2" spans="1:13" x14ac:dyDescent="0.2">
      <c r="A2" s="2" t="s">
        <v>0</v>
      </c>
      <c r="B2" s="3"/>
      <c r="C2" s="4"/>
      <c r="E2" s="9" t="s">
        <v>42</v>
      </c>
      <c r="F2" s="9" t="s">
        <v>60</v>
      </c>
      <c r="G2" s="9" t="s">
        <v>41</v>
      </c>
      <c r="H2" s="9" t="s">
        <v>40</v>
      </c>
      <c r="I2" s="9" t="s">
        <v>39</v>
      </c>
      <c r="J2" s="9" t="s">
        <v>53</v>
      </c>
      <c r="K2" s="9" t="s">
        <v>62</v>
      </c>
      <c r="M2" s="9" t="s">
        <v>38</v>
      </c>
    </row>
    <row r="3" spans="1:13" x14ac:dyDescent="0.2">
      <c r="A3" s="4" t="s">
        <v>27</v>
      </c>
      <c r="B3" s="3"/>
      <c r="C3" s="4"/>
      <c r="E3" s="22">
        <v>1</v>
      </c>
      <c r="F3" s="22">
        <f>E3/28</f>
        <v>3.5714285714285712E-2</v>
      </c>
      <c r="G3" s="11">
        <f>E3*$B$38^2/($B$28*$B$39*$B$40)</f>
        <v>0.52208624923861358</v>
      </c>
      <c r="H3" s="12">
        <f>$B$21/(G3*$B$42)</f>
        <v>29.189154754632209</v>
      </c>
      <c r="I3" s="11">
        <f>$B$26*G3*$B$20/($B$27*$B$38)</f>
        <v>234.71657405841071</v>
      </c>
      <c r="J3" s="13">
        <f t="shared" ref="J3:J31" si="0">0.316/I3^0.25</f>
        <v>8.0733009716870294E-2</v>
      </c>
      <c r="K3" s="12">
        <f>J3*$B$21*$B$26*$B$41/(2*$B$20*$B$43)</f>
        <v>0.11814056675443617</v>
      </c>
      <c r="M3" s="8" t="str">
        <f>IF($I3&lt;$B$22," ",$K3)</f>
        <v xml:space="preserve"> </v>
      </c>
    </row>
    <row r="4" spans="1:13" x14ac:dyDescent="0.2">
      <c r="A4" s="6" t="s">
        <v>50</v>
      </c>
      <c r="B4" s="3">
        <v>1013</v>
      </c>
      <c r="C4" s="4" t="s">
        <v>47</v>
      </c>
      <c r="E4" s="22">
        <v>2</v>
      </c>
      <c r="F4" s="22">
        <f t="shared" ref="F4:F31" si="1">E4/28</f>
        <v>7.1428571428571425E-2</v>
      </c>
      <c r="G4" s="11">
        <f>E4*$B$38^2/($B$28*$B$39*$B$40)</f>
        <v>1.0441724984772272</v>
      </c>
      <c r="H4" s="12">
        <f>$B$21/(G4*$B$42)</f>
        <v>14.594577377316105</v>
      </c>
      <c r="I4" s="11">
        <f>$B$26*G4*$B$20/($B$27*$B$38)</f>
        <v>469.43314811682143</v>
      </c>
      <c r="J4" s="13">
        <f t="shared" si="0"/>
        <v>6.7888098463559532E-2</v>
      </c>
      <c r="K4" s="12">
        <f>J4*$B$21*$B$26*$B$41/(2*$B$20*$B$43)</f>
        <v>9.9343979079847544E-2</v>
      </c>
      <c r="M4" s="8" t="str">
        <f>IF($I4&lt;$B$22," ",$K4)</f>
        <v xml:space="preserve"> </v>
      </c>
    </row>
    <row r="5" spans="1:13" x14ac:dyDescent="0.2">
      <c r="A5" s="6" t="s">
        <v>49</v>
      </c>
      <c r="B5" s="3">
        <v>923</v>
      </c>
      <c r="C5" s="4" t="s">
        <v>47</v>
      </c>
      <c r="E5" s="22">
        <v>3</v>
      </c>
      <c r="F5" s="22">
        <f t="shared" si="1"/>
        <v>0.10714285714285714</v>
      </c>
      <c r="G5" s="11">
        <f>E5*$B$38^2/($B$28*$B$39*$B$40)</f>
        <v>1.5662587477158405</v>
      </c>
      <c r="H5" s="12">
        <f>$B$21/(G5*$B$42)</f>
        <v>9.729718251544071</v>
      </c>
      <c r="I5" s="11">
        <f>$B$26*G5*$B$20/($B$27*$B$38)</f>
        <v>704.14972217523211</v>
      </c>
      <c r="J5" s="13">
        <f t="shared" si="0"/>
        <v>6.1343821792934808E-2</v>
      </c>
      <c r="K5" s="12">
        <f>J5*$B$21*$B$26*$B$41/(2*$B$20*$B$43)</f>
        <v>8.9767418543124741E-2</v>
      </c>
      <c r="M5" s="8" t="str">
        <f>IF($I5&lt;$B$22," ",$K5)</f>
        <v xml:space="preserve"> </v>
      </c>
    </row>
    <row r="6" spans="1:13" x14ac:dyDescent="0.2">
      <c r="A6" s="6" t="s">
        <v>61</v>
      </c>
      <c r="B6" s="3">
        <v>960</v>
      </c>
      <c r="C6" s="4" t="s">
        <v>47</v>
      </c>
      <c r="E6" s="22">
        <v>4</v>
      </c>
      <c r="F6" s="22">
        <f t="shared" si="1"/>
        <v>0.14285714285714285</v>
      </c>
      <c r="G6" s="11">
        <f>E6*$B$38^2/($B$28*$B$39*$B$40)</f>
        <v>2.0883449969544543</v>
      </c>
      <c r="H6" s="12">
        <f>$B$21/(G6*$B$42)</f>
        <v>7.2972886886580524</v>
      </c>
      <c r="I6" s="11">
        <f>$B$26*G6*$B$20/($B$27*$B$38)</f>
        <v>938.86629623364286</v>
      </c>
      <c r="J6" s="13">
        <f t="shared" si="0"/>
        <v>5.708685863639841E-2</v>
      </c>
      <c r="K6" s="12">
        <f t="shared" ref="K6:K31" si="2">J6*$B$21*$B$26*$B$41/(2*$B$20*$B$43)</f>
        <v>8.3537995885283808E-2</v>
      </c>
      <c r="M6" s="8" t="str">
        <f>IF($I6&lt;$B$22," ",$K6)</f>
        <v xml:space="preserve"> </v>
      </c>
    </row>
    <row r="7" spans="1:13" x14ac:dyDescent="0.2">
      <c r="A7" s="5"/>
      <c r="B7" s="7"/>
      <c r="C7" s="5"/>
      <c r="E7" s="22">
        <v>5</v>
      </c>
      <c r="F7" s="22">
        <f t="shared" si="1"/>
        <v>0.17857142857142858</v>
      </c>
      <c r="G7" s="11">
        <f>E7*$B$38^2/($B$28*$B$39*$B$40)</f>
        <v>2.6104312461930679</v>
      </c>
      <c r="H7" s="12">
        <f>$B$21/(G7*$B$42)</f>
        <v>5.8378309509264419</v>
      </c>
      <c r="I7" s="11">
        <f>$B$26*G7*$B$20/($B$27*$B$38)</f>
        <v>1173.5828702920537</v>
      </c>
      <c r="J7" s="13">
        <f t="shared" si="0"/>
        <v>5.3989417539724277E-2</v>
      </c>
      <c r="K7" s="12">
        <f t="shared" si="2"/>
        <v>7.9005358641448975E-2</v>
      </c>
      <c r="M7" s="8" t="str">
        <f>IF($I7&lt;$B$22," ",$K7)</f>
        <v xml:space="preserve"> </v>
      </c>
    </row>
    <row r="8" spans="1:13" x14ac:dyDescent="0.2">
      <c r="A8" s="1" t="s">
        <v>48</v>
      </c>
      <c r="B8" s="7"/>
      <c r="C8" s="5"/>
      <c r="E8" s="22">
        <v>6</v>
      </c>
      <c r="F8" s="22">
        <f t="shared" si="1"/>
        <v>0.21428571428571427</v>
      </c>
      <c r="G8" s="11">
        <f>E8*$B$38^2/($B$28*$B$39*$B$40)</f>
        <v>3.132517495431681</v>
      </c>
      <c r="H8" s="12">
        <f>$B$21/(G8*$B$42)</f>
        <v>4.8648591257720355</v>
      </c>
      <c r="I8" s="11">
        <f>$B$26*G8*$B$20/($B$27*$B$38)</f>
        <v>1408.2994443504642</v>
      </c>
      <c r="J8" s="13">
        <f t="shared" si="0"/>
        <v>5.1583799843641573E-2</v>
      </c>
      <c r="K8" s="12">
        <f t="shared" si="2"/>
        <v>7.5485100459493415E-2</v>
      </c>
      <c r="M8" s="8" t="str">
        <f>IF($I8&lt;$B$22," ",$K8)</f>
        <v xml:space="preserve"> </v>
      </c>
    </row>
    <row r="9" spans="1:13" x14ac:dyDescent="0.2">
      <c r="A9" s="5" t="s">
        <v>51</v>
      </c>
      <c r="B9" s="19">
        <v>32</v>
      </c>
      <c r="C9" s="5" t="s">
        <v>46</v>
      </c>
      <c r="E9" s="22">
        <v>7</v>
      </c>
      <c r="F9" s="22">
        <f t="shared" si="1"/>
        <v>0.25</v>
      </c>
      <c r="G9" s="11">
        <f>E9*$B$38^2/($B$28*$B$39*$B$40)</f>
        <v>3.6546037446702946</v>
      </c>
      <c r="H9" s="12">
        <f>$B$21/(G9*$B$42)</f>
        <v>4.1698792506617446</v>
      </c>
      <c r="I9" s="11">
        <f>$B$26*G9*$B$20/($B$27*$B$38)</f>
        <v>1643.016018408875</v>
      </c>
      <c r="J9" s="13">
        <f t="shared" si="0"/>
        <v>4.9633697926031159E-2</v>
      </c>
      <c r="K9" s="12">
        <f t="shared" si="2"/>
        <v>7.2631420823575363E-2</v>
      </c>
      <c r="M9" s="8" t="str">
        <f>IF($I9&lt;$B$22," ",$K9)</f>
        <v xml:space="preserve"> </v>
      </c>
    </row>
    <row r="10" spans="1:13" x14ac:dyDescent="0.2">
      <c r="A10" s="5" t="s">
        <v>27</v>
      </c>
      <c r="B10" s="20">
        <v>960</v>
      </c>
      <c r="C10" s="5" t="s">
        <v>47</v>
      </c>
      <c r="E10" s="22">
        <v>8</v>
      </c>
      <c r="F10" s="22">
        <f t="shared" si="1"/>
        <v>0.2857142857142857</v>
      </c>
      <c r="G10" s="11">
        <f>E10*$B$38^2/($B$28*$B$39*$B$40)</f>
        <v>4.1766899939089086</v>
      </c>
      <c r="H10" s="12">
        <f>$B$21/(G10*$B$42)</f>
        <v>3.6486443443290262</v>
      </c>
      <c r="I10" s="11">
        <f>$B$26*G10*$B$20/($B$27*$B$38)</f>
        <v>1877.7325924672857</v>
      </c>
      <c r="J10" s="13">
        <f t="shared" si="0"/>
        <v>4.8004134785442978E-2</v>
      </c>
      <c r="K10" s="12">
        <f t="shared" si="2"/>
        <v>7.0246801277414714E-2</v>
      </c>
      <c r="M10" s="8" t="str">
        <f>IF($I10&lt;$B$22," ",$K10)</f>
        <v xml:space="preserve"> </v>
      </c>
    </row>
    <row r="11" spans="1:13" x14ac:dyDescent="0.2">
      <c r="E11" s="22">
        <v>9</v>
      </c>
      <c r="F11" s="22">
        <f t="shared" si="1"/>
        <v>0.32142857142857145</v>
      </c>
      <c r="G11" s="11">
        <f>E11*$B$38^2/($B$28*$B$39*$B$40)</f>
        <v>4.6987762431475222</v>
      </c>
      <c r="H11" s="12">
        <f>$B$21/(G11*$B$42)</f>
        <v>3.2432394171813566</v>
      </c>
      <c r="I11" s="11">
        <f>$B$26*G11*$B$20/($B$27*$B$38)</f>
        <v>2112.4491665256965</v>
      </c>
      <c r="J11" s="13">
        <f t="shared" si="0"/>
        <v>4.6611224892523721E-2</v>
      </c>
      <c r="K11" s="12">
        <f t="shared" si="2"/>
        <v>6.8208488017888647E-2</v>
      </c>
      <c r="M11" s="8" t="str">
        <f>IF($I11&lt;$B$22," ",$K11)</f>
        <v xml:space="preserve"> </v>
      </c>
    </row>
    <row r="12" spans="1:13" x14ac:dyDescent="0.2">
      <c r="A12" s="10" t="s">
        <v>0</v>
      </c>
      <c r="E12" s="22">
        <v>10</v>
      </c>
      <c r="F12" s="22">
        <f t="shared" si="1"/>
        <v>0.35714285714285715</v>
      </c>
      <c r="G12" s="11">
        <f>E12*$B$38^2/($B$28*$B$39*$B$40)</f>
        <v>5.2208624923861358</v>
      </c>
      <c r="H12" s="12">
        <f>$B$21/(G12*$B$42)</f>
        <v>2.9189154754632209</v>
      </c>
      <c r="I12" s="11">
        <f>$B$26*G12*$B$20/($B$27*$B$38)</f>
        <v>2347.1657405841074</v>
      </c>
      <c r="J12" s="13">
        <f t="shared" si="0"/>
        <v>4.5399507670790158E-2</v>
      </c>
      <c r="K12" s="12">
        <f t="shared" si="2"/>
        <v>6.6435322867428523E-2</v>
      </c>
      <c r="M12" s="8" t="str">
        <f>IF($I12&lt;$B$22," ",$K12)</f>
        <v xml:space="preserve"> </v>
      </c>
    </row>
    <row r="13" spans="1:13" x14ac:dyDescent="0.2">
      <c r="A13" s="8" t="s">
        <v>37</v>
      </c>
      <c r="B13" s="8" t="s">
        <v>36</v>
      </c>
      <c r="E13" s="22">
        <v>11</v>
      </c>
      <c r="F13" s="22">
        <f t="shared" si="1"/>
        <v>0.39285714285714285</v>
      </c>
      <c r="G13" s="11">
        <f>E13*$B$38^2/($B$28*$B$39*$B$40)</f>
        <v>5.7429487416247493</v>
      </c>
      <c r="H13" s="12">
        <f>$B$21/(G13*$B$42)</f>
        <v>2.6535595231483824</v>
      </c>
      <c r="I13" s="11">
        <f>$B$26*G13*$B$20/($B$27*$B$38)</f>
        <v>2581.8823146425179</v>
      </c>
      <c r="J13" s="13">
        <f t="shared" si="0"/>
        <v>4.4330534934434083E-2</v>
      </c>
      <c r="K13" s="12">
        <f t="shared" si="2"/>
        <v>6.48710427128667E-2</v>
      </c>
      <c r="M13" s="8" t="str">
        <f>IF($I13&lt;$B$22," ",$K13)</f>
        <v xml:space="preserve"> </v>
      </c>
    </row>
    <row r="14" spans="1:13" x14ac:dyDescent="0.2">
      <c r="A14" s="36" t="s">
        <v>59</v>
      </c>
      <c r="B14" s="8">
        <f>(3/8)-2*0.062</f>
        <v>0.251</v>
      </c>
      <c r="C14" s="8" t="s">
        <v>30</v>
      </c>
      <c r="E14" s="22">
        <v>12</v>
      </c>
      <c r="F14" s="22">
        <f t="shared" si="1"/>
        <v>0.42857142857142855</v>
      </c>
      <c r="G14" s="11">
        <f>E14*$B$38^2/($B$28*$B$39*$B$40)</f>
        <v>6.265034990863362</v>
      </c>
      <c r="H14" s="12">
        <f>$B$21/(G14*$B$42)</f>
        <v>2.4324295628860177</v>
      </c>
      <c r="I14" s="11">
        <f>$B$26*G14*$B$20/($B$27*$B$38)</f>
        <v>2816.5988887009285</v>
      </c>
      <c r="J14" s="13">
        <f t="shared" si="0"/>
        <v>4.3376632373683326E-2</v>
      </c>
      <c r="K14" s="12">
        <f t="shared" si="2"/>
        <v>6.3475150381454543E-2</v>
      </c>
      <c r="M14" s="8" t="str">
        <f>IF($I14&lt;$B$22," ",$K14)</f>
        <v xml:space="preserve"> </v>
      </c>
    </row>
    <row r="15" spans="1:13" x14ac:dyDescent="0.2">
      <c r="A15" s="36" t="s">
        <v>35</v>
      </c>
      <c r="B15" s="8">
        <f>0.25-2*0.047</f>
        <v>0.156</v>
      </c>
      <c r="C15" s="8" t="s">
        <v>30</v>
      </c>
      <c r="E15" s="22">
        <v>13</v>
      </c>
      <c r="F15" s="22">
        <f t="shared" si="1"/>
        <v>0.4642857142857143</v>
      </c>
      <c r="G15" s="11">
        <f>E15*$B$38^2/($B$28*$B$39*$B$40)</f>
        <v>6.7871212401019765</v>
      </c>
      <c r="H15" s="12">
        <f>$B$21/(G15*$B$42)</f>
        <v>2.2453195965101695</v>
      </c>
      <c r="I15" s="11">
        <f>$B$26*G15*$B$20/($B$27*$B$38)</f>
        <v>3051.3154627593394</v>
      </c>
      <c r="J15" s="13">
        <f t="shared" si="0"/>
        <v>4.2517263549423E-2</v>
      </c>
      <c r="K15" s="12">
        <f t="shared" si="2"/>
        <v>6.2217593896130137E-2</v>
      </c>
      <c r="M15" s="8" t="str">
        <f>IF($I15&lt;$B$22," ",$K15)</f>
        <v xml:space="preserve"> </v>
      </c>
    </row>
    <row r="16" spans="1:13" x14ac:dyDescent="0.2">
      <c r="A16" s="36" t="s">
        <v>34</v>
      </c>
      <c r="B16" s="8">
        <f>0.25-2*0.062</f>
        <v>0.126</v>
      </c>
      <c r="C16" s="8" t="s">
        <v>30</v>
      </c>
      <c r="E16" s="22">
        <v>14</v>
      </c>
      <c r="F16" s="22">
        <f t="shared" si="1"/>
        <v>0.5</v>
      </c>
      <c r="G16" s="11">
        <f>E16*$B$38^2/($B$28*$B$39*$B$40)</f>
        <v>7.3092074893405892</v>
      </c>
      <c r="H16" s="12">
        <f>$B$21/(G16*$B$42)</f>
        <v>2.0849396253308723</v>
      </c>
      <c r="I16" s="11">
        <f>$B$26*G16*$B$20/($B$27*$B$38)</f>
        <v>3286.0320368177499</v>
      </c>
      <c r="J16" s="13">
        <f t="shared" si="0"/>
        <v>4.1736798661785326E-2</v>
      </c>
      <c r="K16" s="12">
        <f t="shared" si="2"/>
        <v>6.1075501405328511E-2</v>
      </c>
      <c r="M16" s="8" t="str">
        <f>IF($I16&lt;$B$22," ",$K16)</f>
        <v xml:space="preserve"> </v>
      </c>
    </row>
    <row r="17" spans="1:13" ht="13.5" thickBot="1" x14ac:dyDescent="0.25">
      <c r="A17" s="36" t="s">
        <v>33</v>
      </c>
      <c r="B17" s="8">
        <f>0.125-2*0.047</f>
        <v>3.1E-2</v>
      </c>
      <c r="C17" s="8" t="s">
        <v>30</v>
      </c>
      <c r="E17" s="22">
        <v>15</v>
      </c>
      <c r="F17" s="22">
        <f t="shared" si="1"/>
        <v>0.5357142857142857</v>
      </c>
      <c r="G17" s="11">
        <f>E17*$B$38^2/($B$28*$B$39*$B$40)</f>
        <v>7.8312937385792036</v>
      </c>
      <c r="H17" s="12">
        <f>$B$21/(G17*$B$42)</f>
        <v>1.9459436503088139</v>
      </c>
      <c r="I17" s="11">
        <f>$B$26*G17*$B$20/($B$27*$B$38)</f>
        <v>3520.7486108761609</v>
      </c>
      <c r="J17" s="13">
        <f t="shared" si="0"/>
        <v>4.1023086094226509E-2</v>
      </c>
      <c r="K17" s="12">
        <f t="shared" si="2"/>
        <v>6.0031090853475362E-2</v>
      </c>
      <c r="M17" s="8" t="str">
        <f>IF($I17&lt;$B$22," ",$K17)</f>
        <v xml:space="preserve"> </v>
      </c>
    </row>
    <row r="18" spans="1:13" x14ac:dyDescent="0.2">
      <c r="E18" s="24">
        <v>16</v>
      </c>
      <c r="F18" s="25">
        <f t="shared" si="1"/>
        <v>0.5714285714285714</v>
      </c>
      <c r="G18" s="26">
        <f>E18*$B$38^2/($B$28*$B$39*$B$40)</f>
        <v>8.3533799878178172</v>
      </c>
      <c r="H18" s="27">
        <f>$B$21/(G18*$B$42)</f>
        <v>1.8243221721645131</v>
      </c>
      <c r="I18" s="26">
        <f>$B$26*G18*$B$20/($B$27*$B$38)</f>
        <v>3755.4651849345714</v>
      </c>
      <c r="J18" s="28">
        <f t="shared" si="0"/>
        <v>4.036650485843514E-2</v>
      </c>
      <c r="K18" s="29">
        <f t="shared" si="2"/>
        <v>5.907028337721807E-2</v>
      </c>
      <c r="M18" s="8" t="str">
        <f>IF($I18&lt;$B$22," ",$K18)</f>
        <v xml:space="preserve"> </v>
      </c>
    </row>
    <row r="19" spans="1:13" ht="13.5" thickBot="1" x14ac:dyDescent="0.25">
      <c r="A19" s="10" t="s">
        <v>32</v>
      </c>
      <c r="E19" s="30">
        <v>17</v>
      </c>
      <c r="F19" s="31">
        <f t="shared" si="1"/>
        <v>0.6071428571428571</v>
      </c>
      <c r="G19" s="32">
        <f>E19*$B$38^2/($B$28*$B$39*$B$40)</f>
        <v>8.875466237056429</v>
      </c>
      <c r="H19" s="33">
        <f>$B$21/(G19*$B$42)</f>
        <v>1.7170091032136596</v>
      </c>
      <c r="I19" s="32">
        <f>$B$26*G19*$B$20/($B$27*$B$38)</f>
        <v>3990.1817589929815</v>
      </c>
      <c r="J19" s="34">
        <f>0.316/I19^0.25</f>
        <v>3.9759316777141826E-2</v>
      </c>
      <c r="K19" s="35">
        <f t="shared" si="2"/>
        <v>5.8181755322806387E-2</v>
      </c>
      <c r="M19" s="8" t="str">
        <f>IF($I19&lt;$B$22," ",$K19)</f>
        <v xml:space="preserve"> </v>
      </c>
    </row>
    <row r="20" spans="1:13" x14ac:dyDescent="0.2">
      <c r="A20" s="8" t="s">
        <v>31</v>
      </c>
      <c r="B20" s="22">
        <v>0.251</v>
      </c>
      <c r="C20" s="8" t="s">
        <v>30</v>
      </c>
      <c r="E20" s="22">
        <v>18</v>
      </c>
      <c r="F20" s="22">
        <f t="shared" si="1"/>
        <v>0.6428571428571429</v>
      </c>
      <c r="G20" s="11">
        <f>E20*$B$38^2/($B$28*$B$39*$B$40)</f>
        <v>9.3975524862950444</v>
      </c>
      <c r="H20" s="12">
        <f>$B$21/(G20*$B$42)</f>
        <v>1.6216197085906783</v>
      </c>
      <c r="I20" s="11">
        <f>$B$26*G20*$B$20/($B$27*$B$38)</f>
        <v>4224.8983330513929</v>
      </c>
      <c r="J20" s="13">
        <f t="shared" si="0"/>
        <v>3.9195211922707904E-2</v>
      </c>
      <c r="K20" s="12">
        <f t="shared" si="2"/>
        <v>5.7356273064118515E-2</v>
      </c>
      <c r="M20" s="8">
        <f>IF($I20&lt;$B$22," ",$K20)</f>
        <v>5.7356273064118515E-2</v>
      </c>
    </row>
    <row r="21" spans="1:13" x14ac:dyDescent="0.2">
      <c r="A21" s="8" t="s">
        <v>29</v>
      </c>
      <c r="B21" s="22">
        <v>50</v>
      </c>
      <c r="C21" s="8" t="s">
        <v>28</v>
      </c>
      <c r="E21" s="22">
        <v>19</v>
      </c>
      <c r="F21" s="22">
        <f t="shared" si="1"/>
        <v>0.6785714285714286</v>
      </c>
      <c r="G21" s="11">
        <f>E21*$B$38^2/($B$28*$B$39*$B$40)</f>
        <v>9.9196387355336562</v>
      </c>
      <c r="H21" s="12">
        <f>$B$21/(G21*$B$42)</f>
        <v>1.5362713028753796</v>
      </c>
      <c r="I21" s="11">
        <f>$B$26*G21*$B$20/($B$27*$B$38)</f>
        <v>4459.6149071098025</v>
      </c>
      <c r="J21" s="13">
        <f t="shared" si="0"/>
        <v>3.8668982357060712E-2</v>
      </c>
      <c r="K21" s="12">
        <f t="shared" si="2"/>
        <v>5.6586215570330958E-2</v>
      </c>
      <c r="M21" s="8">
        <f>IF($I21&lt;$B$22," ",$K21)</f>
        <v>5.6586215570330958E-2</v>
      </c>
    </row>
    <row r="22" spans="1:13" x14ac:dyDescent="0.2">
      <c r="A22" s="8" t="s">
        <v>55</v>
      </c>
      <c r="B22" s="23">
        <v>4100</v>
      </c>
      <c r="E22" s="22">
        <v>20</v>
      </c>
      <c r="F22" s="22">
        <f t="shared" si="1"/>
        <v>0.7142857142857143</v>
      </c>
      <c r="G22" s="11">
        <f>E22*$B$38^2/($B$28*$B$39*$B$40)</f>
        <v>10.441724984772272</v>
      </c>
      <c r="H22" s="12">
        <f>$B$21/(G22*$B$42)</f>
        <v>1.4594577377316105</v>
      </c>
      <c r="I22" s="11">
        <f>$B$26*G22*$B$20/($B$27*$B$38)</f>
        <v>4694.3314811682149</v>
      </c>
      <c r="J22" s="13">
        <f t="shared" si="0"/>
        <v>3.8176283254650951E-2</v>
      </c>
      <c r="K22" s="12">
        <f t="shared" si="2"/>
        <v>5.5865224845443762E-2</v>
      </c>
      <c r="M22" s="8">
        <f>IF($I22&lt;$B$22," ",$K22)</f>
        <v>5.5865224845443762E-2</v>
      </c>
    </row>
    <row r="23" spans="1:13" x14ac:dyDescent="0.2">
      <c r="E23" s="22">
        <v>21</v>
      </c>
      <c r="F23" s="22">
        <f t="shared" si="1"/>
        <v>0.75</v>
      </c>
      <c r="G23" s="11">
        <f>E23*$B$38^2/($B$28*$B$39*$B$40)</f>
        <v>10.963811234010883</v>
      </c>
      <c r="H23" s="12">
        <f>$B$21/(G23*$B$42)</f>
        <v>1.3899597502205816</v>
      </c>
      <c r="I23" s="11">
        <f>$B$26*G23*$B$20/($B$27*$B$38)</f>
        <v>4929.0480552266245</v>
      </c>
      <c r="J23" s="13">
        <f t="shared" si="0"/>
        <v>3.7713454895049917E-2</v>
      </c>
      <c r="K23" s="12">
        <f t="shared" si="2"/>
        <v>5.5187945441330745E-2</v>
      </c>
      <c r="M23" s="8">
        <f>IF($I23&lt;$B$22," ",$K23)</f>
        <v>5.5187945441330745E-2</v>
      </c>
    </row>
    <row r="24" spans="1:13" x14ac:dyDescent="0.2">
      <c r="A24" s="10" t="s">
        <v>9</v>
      </c>
      <c r="E24" s="22">
        <v>22</v>
      </c>
      <c r="F24" s="22">
        <f t="shared" si="1"/>
        <v>0.7857142857142857</v>
      </c>
      <c r="G24" s="11">
        <f>E24*$B$38^2/($B$28*$B$39*$B$40)</f>
        <v>11.485897483249499</v>
      </c>
      <c r="H24" s="12">
        <f>$B$21/(G24*$B$42)</f>
        <v>1.3267797615741912</v>
      </c>
      <c r="I24" s="11">
        <f>$B$26*G24*$B$20/($B$27*$B$38)</f>
        <v>5163.7646292850359</v>
      </c>
      <c r="J24" s="13">
        <f t="shared" si="0"/>
        <v>3.7277387912645184E-2</v>
      </c>
      <c r="K24" s="12">
        <f t="shared" si="2"/>
        <v>5.4549827271020208E-2</v>
      </c>
      <c r="M24" s="8">
        <f>IF($I24&lt;$B$22," ",$K24)</f>
        <v>5.4549827271020208E-2</v>
      </c>
    </row>
    <row r="25" spans="1:13" x14ac:dyDescent="0.2">
      <c r="A25" s="8" t="s">
        <v>8</v>
      </c>
      <c r="B25" s="15">
        <f>(B9-32)*5/9</f>
        <v>0</v>
      </c>
      <c r="C25" s="8" t="s">
        <v>7</v>
      </c>
      <c r="E25" s="22">
        <v>23</v>
      </c>
      <c r="F25" s="22">
        <f t="shared" si="1"/>
        <v>0.8214285714285714</v>
      </c>
      <c r="G25" s="11">
        <f>E25*$B$38^2/($B$28*$B$39*$B$40)</f>
        <v>12.00798373248811</v>
      </c>
      <c r="H25" s="12">
        <f>$B$21/(G25*$B$42)</f>
        <v>1.2690936849840091</v>
      </c>
      <c r="I25" s="11">
        <f>$B$26*G25*$B$20/($B$27*$B$38)</f>
        <v>5398.4812033434464</v>
      </c>
      <c r="J25" s="13">
        <f t="shared" si="0"/>
        <v>3.6865419841558868E-2</v>
      </c>
      <c r="K25" s="12">
        <f t="shared" si="2"/>
        <v>5.3946974217807468E-2</v>
      </c>
      <c r="M25" s="8">
        <f>IF($I25&lt;$B$22," ",$K25)</f>
        <v>5.3946974217807468E-2</v>
      </c>
    </row>
    <row r="26" spans="1:13" x14ac:dyDescent="0.2">
      <c r="A26" s="8" t="s">
        <v>6</v>
      </c>
      <c r="B26" s="16">
        <f>1000*(B10/B36)/(B32*(B25+273.15))</f>
        <v>1.2243353063535056</v>
      </c>
      <c r="C26" s="8" t="s">
        <v>5</v>
      </c>
      <c r="E26" s="22">
        <v>24</v>
      </c>
      <c r="F26" s="22">
        <f t="shared" si="1"/>
        <v>0.8571428571428571</v>
      </c>
      <c r="G26" s="11">
        <f>E26*$B$38^2/($B$28*$B$39*$B$40)</f>
        <v>12.530069981726724</v>
      </c>
      <c r="H26" s="12">
        <f>$B$21/(G26*$B$42)</f>
        <v>1.2162147814430089</v>
      </c>
      <c r="I26" s="11">
        <f>$B$26*G26*$B$20/($B$27*$B$38)</f>
        <v>5633.1977774018569</v>
      </c>
      <c r="J26" s="13">
        <f t="shared" si="0"/>
        <v>3.6475254668808535E-2</v>
      </c>
      <c r="K26" s="12">
        <f t="shared" si="2"/>
        <v>5.3376026413455582E-2</v>
      </c>
      <c r="M26" s="8">
        <f>IF($I26&lt;$B$22," ",$K26)</f>
        <v>5.3376026413455582E-2</v>
      </c>
    </row>
    <row r="27" spans="1:13" x14ac:dyDescent="0.2">
      <c r="A27" s="8" t="s">
        <v>4</v>
      </c>
      <c r="B27" s="17">
        <f>B34*(B25+273.15)^1.5/((B25+273.15+B33)*10^6)</f>
        <v>1.7362296860067267E-5</v>
      </c>
      <c r="C27" s="8" t="s">
        <v>3</v>
      </c>
      <c r="E27" s="22">
        <v>25</v>
      </c>
      <c r="F27" s="22">
        <f t="shared" si="1"/>
        <v>0.8928571428571429</v>
      </c>
      <c r="G27" s="11">
        <f>E27*$B$38^2/($B$28*$B$39*$B$40)</f>
        <v>13.052156230965338</v>
      </c>
      <c r="H27" s="12">
        <f>$B$21/(G27*$B$42)</f>
        <v>1.1675661901852885</v>
      </c>
      <c r="I27" s="11">
        <f>$B$26*G27*$B$20/($B$27*$B$38)</f>
        <v>5867.9143514602674</v>
      </c>
      <c r="J27" s="13">
        <f t="shared" si="0"/>
        <v>3.6104899551014598E-2</v>
      </c>
      <c r="K27" s="12">
        <f t="shared" si="2"/>
        <v>5.2834067632654198E-2</v>
      </c>
      <c r="M27" s="8">
        <f>IF($I27&lt;$B$22," ",$K27)</f>
        <v>5.2834067632654198E-2</v>
      </c>
    </row>
    <row r="28" spans="1:13" x14ac:dyDescent="0.2">
      <c r="A28" s="8" t="s">
        <v>2</v>
      </c>
      <c r="B28" s="18">
        <f>PI()*(B20/2)^2</f>
        <v>4.9480869692202639E-2</v>
      </c>
      <c r="C28" s="8" t="s">
        <v>1</v>
      </c>
      <c r="E28" s="22">
        <v>26</v>
      </c>
      <c r="F28" s="22">
        <f t="shared" si="1"/>
        <v>0.9285714285714286</v>
      </c>
      <c r="G28" s="11">
        <f>E28*$B$38^2/($B$28*$B$39*$B$40)</f>
        <v>13.574242480203953</v>
      </c>
      <c r="H28" s="12">
        <f>$B$21/(G28*$B$42)</f>
        <v>1.1226597982550848</v>
      </c>
      <c r="I28" s="11">
        <f>$B$26*G28*$B$20/($B$27*$B$38)</f>
        <v>6102.6309255186789</v>
      </c>
      <c r="J28" s="13">
        <f t="shared" si="0"/>
        <v>3.5752614505107222E-2</v>
      </c>
      <c r="K28" s="12">
        <f t="shared" si="2"/>
        <v>5.2318551672967221E-2</v>
      </c>
      <c r="M28" s="8">
        <f>IF($I28&lt;$B$22," ",$K28)</f>
        <v>5.2318551672967221E-2</v>
      </c>
    </row>
    <row r="29" spans="1:13" x14ac:dyDescent="0.2">
      <c r="A29" s="8" t="s">
        <v>56</v>
      </c>
      <c r="B29" s="21">
        <f>$B$21*$B$28*$B$41*$B$44</f>
        <v>486.50770705307099</v>
      </c>
      <c r="C29" s="8" t="s">
        <v>57</v>
      </c>
      <c r="E29" s="22">
        <v>27</v>
      </c>
      <c r="F29" s="22">
        <f t="shared" si="1"/>
        <v>0.9642857142857143</v>
      </c>
      <c r="G29" s="11">
        <f>E29*$B$38^2/($B$28*$B$39*$B$40)</f>
        <v>14.096328729442565</v>
      </c>
      <c r="H29" s="12">
        <f>$B$21/(G29*$B$42)</f>
        <v>1.0810798057271189</v>
      </c>
      <c r="I29" s="11">
        <f>$B$26*G29*$B$20/($B$27*$B$38)</f>
        <v>6337.3474995770894</v>
      </c>
      <c r="J29" s="13">
        <f t="shared" si="0"/>
        <v>3.541687202527135E-2</v>
      </c>
      <c r="K29" s="12">
        <f t="shared" si="2"/>
        <v>5.182724326033087E-2</v>
      </c>
      <c r="M29" s="8">
        <f>IF($I29&lt;$B$22," ",$K29)</f>
        <v>5.182724326033087E-2</v>
      </c>
    </row>
    <row r="30" spans="1:13" x14ac:dyDescent="0.2">
      <c r="E30" s="22">
        <v>28</v>
      </c>
      <c r="F30" s="22">
        <f t="shared" si="1"/>
        <v>1</v>
      </c>
      <c r="G30" s="11">
        <f>E30*$B$38^2/($B$28*$B$39*$B$40)</f>
        <v>14.618414978681178</v>
      </c>
      <c r="H30" s="12">
        <f>$B$21/(G30*$B$42)</f>
        <v>1.0424698126654361</v>
      </c>
      <c r="I30" s="11">
        <f>$B$26*G30*$B$20/($B$27*$B$38)</f>
        <v>6572.0640736354999</v>
      </c>
      <c r="J30" s="13">
        <f t="shared" si="0"/>
        <v>3.5096324378861309E-2</v>
      </c>
      <c r="K30" s="12">
        <f t="shared" si="2"/>
        <v>5.135817019156394E-2</v>
      </c>
      <c r="M30" s="8">
        <f>IF($I30&lt;$B$22," ",$K30)</f>
        <v>5.135817019156394E-2</v>
      </c>
    </row>
    <row r="31" spans="1:13" x14ac:dyDescent="0.2">
      <c r="A31" s="10" t="s">
        <v>26</v>
      </c>
      <c r="E31" s="22">
        <v>29</v>
      </c>
      <c r="F31" s="22">
        <f t="shared" si="1"/>
        <v>1.0357142857142858</v>
      </c>
      <c r="G31" s="11">
        <f>E31*$B$38^2/($B$28*$B$39*$B$40)</f>
        <v>15.140501227919792</v>
      </c>
      <c r="H31" s="12">
        <f>$B$21/(G31*$B$42)</f>
        <v>1.0065225777459383</v>
      </c>
      <c r="I31" s="11">
        <f>$B$26*G31*$B$20/($B$27*$B$38)</f>
        <v>6806.7806476939104</v>
      </c>
      <c r="J31" s="13">
        <f t="shared" si="0"/>
        <v>3.4789776903606712E-2</v>
      </c>
      <c r="K31" s="12">
        <f t="shared" si="2"/>
        <v>5.0909584258861482E-2</v>
      </c>
      <c r="M31" s="8">
        <f>IF($I31&lt;$B$22," ",$K31)</f>
        <v>5.0909584258861482E-2</v>
      </c>
    </row>
    <row r="32" spans="1:13" x14ac:dyDescent="0.2">
      <c r="A32" s="8" t="s">
        <v>25</v>
      </c>
      <c r="B32" s="14">
        <v>287.05799999999999</v>
      </c>
      <c r="C32" s="8" t="s">
        <v>24</v>
      </c>
    </row>
    <row r="33" spans="1:3" x14ac:dyDescent="0.2">
      <c r="A33" s="8" t="s">
        <v>23</v>
      </c>
      <c r="B33" s="8">
        <v>120</v>
      </c>
      <c r="C33" s="8" t="s">
        <v>22</v>
      </c>
    </row>
    <row r="34" spans="1:3" x14ac:dyDescent="0.2">
      <c r="A34" s="8" t="s">
        <v>21</v>
      </c>
      <c r="B34" s="8">
        <v>1.512041288</v>
      </c>
      <c r="C34" s="8" t="s">
        <v>20</v>
      </c>
    </row>
    <row r="35" spans="1:3" x14ac:dyDescent="0.2">
      <c r="A35" s="8" t="s">
        <v>19</v>
      </c>
      <c r="B35" s="8">
        <v>0.52800000000000002</v>
      </c>
    </row>
    <row r="36" spans="1:3" x14ac:dyDescent="0.2">
      <c r="A36" s="8" t="s">
        <v>18</v>
      </c>
      <c r="B36" s="8">
        <v>10</v>
      </c>
      <c r="C36" s="8" t="s">
        <v>10</v>
      </c>
    </row>
    <row r="37" spans="1:3" x14ac:dyDescent="0.2">
      <c r="A37" s="8" t="s">
        <v>17</v>
      </c>
      <c r="B37" s="8">
        <v>68.94</v>
      </c>
      <c r="C37" s="8" t="s">
        <v>10</v>
      </c>
    </row>
    <row r="38" spans="1:3" x14ac:dyDescent="0.2">
      <c r="A38" s="8" t="s">
        <v>16</v>
      </c>
      <c r="B38" s="8">
        <v>39.369999999999997</v>
      </c>
      <c r="C38" s="8" t="s">
        <v>10</v>
      </c>
    </row>
    <row r="39" spans="1:3" x14ac:dyDescent="0.2">
      <c r="A39" s="8" t="s">
        <v>15</v>
      </c>
      <c r="B39" s="8">
        <v>60</v>
      </c>
      <c r="C39" s="8" t="s">
        <v>10</v>
      </c>
    </row>
    <row r="40" spans="1:3" x14ac:dyDescent="0.2">
      <c r="A40" s="8" t="s">
        <v>14</v>
      </c>
      <c r="B40" s="8">
        <v>1000</v>
      </c>
      <c r="C40" s="8" t="s">
        <v>10</v>
      </c>
    </row>
    <row r="41" spans="1:3" x14ac:dyDescent="0.2">
      <c r="A41" s="8" t="s">
        <v>13</v>
      </c>
      <c r="B41" s="8">
        <v>12</v>
      </c>
      <c r="C41" s="8" t="s">
        <v>10</v>
      </c>
    </row>
    <row r="42" spans="1:3" x14ac:dyDescent="0.2">
      <c r="A42" s="8" t="s">
        <v>12</v>
      </c>
      <c r="B42" s="8">
        <v>3.2810000000000001</v>
      </c>
      <c r="C42" s="8" t="s">
        <v>10</v>
      </c>
    </row>
    <row r="43" spans="1:3" x14ac:dyDescent="0.2">
      <c r="A43" s="8" t="s">
        <v>11</v>
      </c>
      <c r="B43" s="8">
        <v>1000</v>
      </c>
      <c r="C43" s="8" t="s">
        <v>10</v>
      </c>
    </row>
    <row r="44" spans="1:3" x14ac:dyDescent="0.2">
      <c r="A44" s="8" t="s">
        <v>58</v>
      </c>
      <c r="B44" s="8">
        <v>16.387063999999999</v>
      </c>
      <c r="C44" s="8" t="s">
        <v>10</v>
      </c>
    </row>
  </sheetData>
  <conditionalFormatting sqref="I3:I31">
    <cfRule type="cellIs" dxfId="0" priority="1" operator="lessThan">
      <formula>$B$22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2017-12-01T19:49:13Z</dcterms:modified>
  <dc:language>en-US</dc:language>
</cp:coreProperties>
</file>