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Omni\Forecast\Canada\Forecast_File\"/>
    </mc:Choice>
  </mc:AlternateContent>
  <bookViews>
    <workbookView xWindow="0" yWindow="0" windowWidth="28800" windowHeight="12045" activeTab="1"/>
  </bookViews>
  <sheets>
    <sheet name="2016 Q3RF Xaxis Canada -- USD" sheetId="2" r:id="rId1"/>
    <sheet name="Agency Revenues USD" sheetId="5" r:id="rId2"/>
    <sheet name="Agency Net Sales USD" sheetId="6" r:id="rId3"/>
    <sheet name="2016 Q3RF Xaxis Canada -- CAD" sheetId="1" r:id="rId4"/>
    <sheet name="Agency Revenues CAD" sheetId="3" r:id="rId5"/>
    <sheet name="Agency Net Sales CAD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7" i="6" l="1"/>
  <c r="P127" i="6"/>
  <c r="O127" i="6"/>
  <c r="N127" i="6"/>
  <c r="M127" i="6"/>
  <c r="L127" i="6"/>
  <c r="K127" i="6"/>
  <c r="J127" i="6"/>
  <c r="I127" i="6"/>
  <c r="H127" i="6"/>
  <c r="G127" i="6"/>
  <c r="F127" i="6"/>
  <c r="E127" i="6"/>
  <c r="Q126" i="6"/>
  <c r="P126" i="6"/>
  <c r="O126" i="6"/>
  <c r="N126" i="6"/>
  <c r="M126" i="6"/>
  <c r="L126" i="6"/>
  <c r="K126" i="6"/>
  <c r="J126" i="6"/>
  <c r="I126" i="6"/>
  <c r="H126" i="6"/>
  <c r="G126" i="6"/>
  <c r="F126" i="6"/>
  <c r="E126" i="6"/>
  <c r="Q125" i="6"/>
  <c r="P125" i="6"/>
  <c r="O125" i="6"/>
  <c r="N125" i="6"/>
  <c r="M125" i="6"/>
  <c r="L125" i="6"/>
  <c r="K125" i="6"/>
  <c r="J125" i="6"/>
  <c r="I125" i="6"/>
  <c r="H125" i="6"/>
  <c r="G125" i="6"/>
  <c r="F125" i="6"/>
  <c r="E125" i="6"/>
  <c r="Q124" i="6"/>
  <c r="P124" i="6"/>
  <c r="O124" i="6"/>
  <c r="N124" i="6"/>
  <c r="M124" i="6"/>
  <c r="L124" i="6"/>
  <c r="K124" i="6"/>
  <c r="J124" i="6"/>
  <c r="I124" i="6"/>
  <c r="H124" i="6"/>
  <c r="G124" i="6"/>
  <c r="F124" i="6"/>
  <c r="E124" i="6"/>
  <c r="Q123" i="6"/>
  <c r="P123" i="6"/>
  <c r="O123" i="6"/>
  <c r="N123" i="6"/>
  <c r="M123" i="6"/>
  <c r="L123" i="6"/>
  <c r="K123" i="6"/>
  <c r="J123" i="6"/>
  <c r="I123" i="6"/>
  <c r="H123" i="6"/>
  <c r="G123" i="6"/>
  <c r="F123" i="6"/>
  <c r="E123" i="6"/>
  <c r="Q122" i="6"/>
  <c r="P122" i="6"/>
  <c r="O122" i="6"/>
  <c r="N122" i="6"/>
  <c r="M122" i="6"/>
  <c r="L122" i="6"/>
  <c r="K122" i="6"/>
  <c r="J122" i="6"/>
  <c r="I122" i="6"/>
  <c r="H122" i="6"/>
  <c r="G122" i="6"/>
  <c r="F122" i="6"/>
  <c r="E122" i="6"/>
  <c r="Q121" i="6"/>
  <c r="P121" i="6"/>
  <c r="O121" i="6"/>
  <c r="N121" i="6"/>
  <c r="M121" i="6"/>
  <c r="L121" i="6"/>
  <c r="K121" i="6"/>
  <c r="J121" i="6"/>
  <c r="I121" i="6"/>
  <c r="H121" i="6"/>
  <c r="G121" i="6"/>
  <c r="F121" i="6"/>
  <c r="E121" i="6"/>
  <c r="Q120" i="6"/>
  <c r="P120" i="6"/>
  <c r="O120" i="6"/>
  <c r="N120" i="6"/>
  <c r="M120" i="6"/>
  <c r="L120" i="6"/>
  <c r="K120" i="6"/>
  <c r="J120" i="6"/>
  <c r="I120" i="6"/>
  <c r="H120" i="6"/>
  <c r="G120" i="6"/>
  <c r="F120" i="6"/>
  <c r="E120" i="6"/>
  <c r="Q119" i="6"/>
  <c r="P119" i="6"/>
  <c r="O119" i="6"/>
  <c r="N119" i="6"/>
  <c r="M119" i="6"/>
  <c r="L119" i="6"/>
  <c r="K119" i="6"/>
  <c r="J119" i="6"/>
  <c r="I119" i="6"/>
  <c r="H119" i="6"/>
  <c r="G119" i="6"/>
  <c r="F119" i="6"/>
  <c r="E119" i="6"/>
  <c r="Q118" i="6"/>
  <c r="P118" i="6"/>
  <c r="O118" i="6"/>
  <c r="N118" i="6"/>
  <c r="M118" i="6"/>
  <c r="L118" i="6"/>
  <c r="K118" i="6"/>
  <c r="J118" i="6"/>
  <c r="I118" i="6"/>
  <c r="H118" i="6"/>
  <c r="G118" i="6"/>
  <c r="F118" i="6"/>
  <c r="E118" i="6"/>
  <c r="Q117" i="6"/>
  <c r="P117" i="6"/>
  <c r="O117" i="6"/>
  <c r="N117" i="6"/>
  <c r="M117" i="6"/>
  <c r="L117" i="6"/>
  <c r="K117" i="6"/>
  <c r="J117" i="6"/>
  <c r="I117" i="6"/>
  <c r="H117" i="6"/>
  <c r="G117" i="6"/>
  <c r="F117" i="6"/>
  <c r="E117" i="6"/>
  <c r="Q116" i="6"/>
  <c r="P116" i="6"/>
  <c r="O116" i="6"/>
  <c r="N116" i="6"/>
  <c r="M116" i="6"/>
  <c r="L116" i="6"/>
  <c r="K116" i="6"/>
  <c r="J116" i="6"/>
  <c r="I116" i="6"/>
  <c r="H116" i="6"/>
  <c r="G116" i="6"/>
  <c r="F116" i="6"/>
  <c r="E116" i="6"/>
  <c r="Q115" i="6"/>
  <c r="P115" i="6"/>
  <c r="O115" i="6"/>
  <c r="N115" i="6"/>
  <c r="M115" i="6"/>
  <c r="L115" i="6"/>
  <c r="K115" i="6"/>
  <c r="J115" i="6"/>
  <c r="I115" i="6"/>
  <c r="H115" i="6"/>
  <c r="G115" i="6"/>
  <c r="F115" i="6"/>
  <c r="E115" i="6"/>
  <c r="Q114" i="6"/>
  <c r="P114" i="6"/>
  <c r="O114" i="6"/>
  <c r="N114" i="6"/>
  <c r="M114" i="6"/>
  <c r="L114" i="6"/>
  <c r="K114" i="6"/>
  <c r="J114" i="6"/>
  <c r="I114" i="6"/>
  <c r="H114" i="6"/>
  <c r="G114" i="6"/>
  <c r="F114" i="6"/>
  <c r="E114" i="6"/>
  <c r="Q113" i="6"/>
  <c r="P113" i="6"/>
  <c r="O113" i="6"/>
  <c r="N113" i="6"/>
  <c r="M113" i="6"/>
  <c r="L113" i="6"/>
  <c r="K113" i="6"/>
  <c r="J113" i="6"/>
  <c r="I113" i="6"/>
  <c r="H113" i="6"/>
  <c r="G113" i="6"/>
  <c r="F113" i="6"/>
  <c r="E113" i="6"/>
  <c r="Q112" i="6"/>
  <c r="P112" i="6"/>
  <c r="O112" i="6"/>
  <c r="N112" i="6"/>
  <c r="M112" i="6"/>
  <c r="L112" i="6"/>
  <c r="K112" i="6"/>
  <c r="J112" i="6"/>
  <c r="I112" i="6"/>
  <c r="H112" i="6"/>
  <c r="G112" i="6"/>
  <c r="F112" i="6"/>
  <c r="E112" i="6"/>
  <c r="Q111" i="6"/>
  <c r="P111" i="6"/>
  <c r="O111" i="6"/>
  <c r="N111" i="6"/>
  <c r="M111" i="6"/>
  <c r="L111" i="6"/>
  <c r="K111" i="6"/>
  <c r="J111" i="6"/>
  <c r="I111" i="6"/>
  <c r="H111" i="6"/>
  <c r="G111" i="6"/>
  <c r="F111" i="6"/>
  <c r="E111" i="6"/>
  <c r="Q110" i="6"/>
  <c r="P110" i="6"/>
  <c r="O110" i="6"/>
  <c r="N110" i="6"/>
  <c r="M110" i="6"/>
  <c r="L110" i="6"/>
  <c r="K110" i="6"/>
  <c r="J110" i="6"/>
  <c r="I110" i="6"/>
  <c r="H110" i="6"/>
  <c r="G110" i="6"/>
  <c r="F110" i="6"/>
  <c r="E110" i="6"/>
  <c r="Q109" i="6"/>
  <c r="P109" i="6"/>
  <c r="O109" i="6"/>
  <c r="N109" i="6"/>
  <c r="M109" i="6"/>
  <c r="L109" i="6"/>
  <c r="K109" i="6"/>
  <c r="J109" i="6"/>
  <c r="I109" i="6"/>
  <c r="H109" i="6"/>
  <c r="G109" i="6"/>
  <c r="F109" i="6"/>
  <c r="E109" i="6"/>
  <c r="Q108" i="6"/>
  <c r="P108" i="6"/>
  <c r="O108" i="6"/>
  <c r="N108" i="6"/>
  <c r="M108" i="6"/>
  <c r="L108" i="6"/>
  <c r="K108" i="6"/>
  <c r="J108" i="6"/>
  <c r="I108" i="6"/>
  <c r="H108" i="6"/>
  <c r="G108" i="6"/>
  <c r="F108" i="6"/>
  <c r="E108" i="6"/>
  <c r="Q107" i="6"/>
  <c r="P107" i="6"/>
  <c r="O107" i="6"/>
  <c r="N107" i="6"/>
  <c r="M107" i="6"/>
  <c r="L107" i="6"/>
  <c r="K107" i="6"/>
  <c r="J107" i="6"/>
  <c r="I107" i="6"/>
  <c r="H107" i="6"/>
  <c r="G107" i="6"/>
  <c r="F107" i="6"/>
  <c r="E107" i="6"/>
  <c r="Q106" i="6"/>
  <c r="P106" i="6"/>
  <c r="O106" i="6"/>
  <c r="N106" i="6"/>
  <c r="M106" i="6"/>
  <c r="L106" i="6"/>
  <c r="K106" i="6"/>
  <c r="J106" i="6"/>
  <c r="I106" i="6"/>
  <c r="H106" i="6"/>
  <c r="G106" i="6"/>
  <c r="F106" i="6"/>
  <c r="E106" i="6"/>
  <c r="Q105" i="6"/>
  <c r="P105" i="6"/>
  <c r="O105" i="6"/>
  <c r="N105" i="6"/>
  <c r="M105" i="6"/>
  <c r="L105" i="6"/>
  <c r="K105" i="6"/>
  <c r="J105" i="6"/>
  <c r="I105" i="6"/>
  <c r="H105" i="6"/>
  <c r="G105" i="6"/>
  <c r="F105" i="6"/>
  <c r="E105" i="6"/>
  <c r="Q104" i="6"/>
  <c r="P104" i="6"/>
  <c r="O104" i="6"/>
  <c r="N104" i="6"/>
  <c r="M104" i="6"/>
  <c r="L104" i="6"/>
  <c r="K104" i="6"/>
  <c r="J104" i="6"/>
  <c r="I104" i="6"/>
  <c r="H104" i="6"/>
  <c r="G104" i="6"/>
  <c r="F104" i="6"/>
  <c r="E104" i="6"/>
  <c r="Q103" i="6"/>
  <c r="P103" i="6"/>
  <c r="O103" i="6"/>
  <c r="N103" i="6"/>
  <c r="M103" i="6"/>
  <c r="L103" i="6"/>
  <c r="K103" i="6"/>
  <c r="J103" i="6"/>
  <c r="I103" i="6"/>
  <c r="H103" i="6"/>
  <c r="G103" i="6"/>
  <c r="F103" i="6"/>
  <c r="E103" i="6"/>
  <c r="Q102" i="6"/>
  <c r="P102" i="6"/>
  <c r="O102" i="6"/>
  <c r="N102" i="6"/>
  <c r="M102" i="6"/>
  <c r="L102" i="6"/>
  <c r="K102" i="6"/>
  <c r="J102" i="6"/>
  <c r="I102" i="6"/>
  <c r="H102" i="6"/>
  <c r="G102" i="6"/>
  <c r="F102" i="6"/>
  <c r="E102" i="6"/>
  <c r="Q101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Q100" i="6"/>
  <c r="P100" i="6"/>
  <c r="O100" i="6"/>
  <c r="N100" i="6"/>
  <c r="M100" i="6"/>
  <c r="L100" i="6"/>
  <c r="K100" i="6"/>
  <c r="J100" i="6"/>
  <c r="I100" i="6"/>
  <c r="H100" i="6"/>
  <c r="G100" i="6"/>
  <c r="F100" i="6"/>
  <c r="E100" i="6"/>
  <c r="Q99" i="6"/>
  <c r="P99" i="6"/>
  <c r="O99" i="6"/>
  <c r="N99" i="6"/>
  <c r="M99" i="6"/>
  <c r="L99" i="6"/>
  <c r="K99" i="6"/>
  <c r="J99" i="6"/>
  <c r="I99" i="6"/>
  <c r="H99" i="6"/>
  <c r="G99" i="6"/>
  <c r="F99" i="6"/>
  <c r="E99" i="6"/>
  <c r="Q98" i="6"/>
  <c r="P98" i="6"/>
  <c r="O98" i="6"/>
  <c r="N98" i="6"/>
  <c r="M98" i="6"/>
  <c r="L98" i="6"/>
  <c r="K98" i="6"/>
  <c r="J98" i="6"/>
  <c r="I98" i="6"/>
  <c r="H98" i="6"/>
  <c r="G98" i="6"/>
  <c r="F98" i="6"/>
  <c r="E98" i="6"/>
  <c r="Q97" i="6"/>
  <c r="P97" i="6"/>
  <c r="O97" i="6"/>
  <c r="N97" i="6"/>
  <c r="M97" i="6"/>
  <c r="L97" i="6"/>
  <c r="K97" i="6"/>
  <c r="J97" i="6"/>
  <c r="I97" i="6"/>
  <c r="H97" i="6"/>
  <c r="G97" i="6"/>
  <c r="F97" i="6"/>
  <c r="E97" i="6"/>
  <c r="Q96" i="6"/>
  <c r="P96" i="6"/>
  <c r="O96" i="6"/>
  <c r="N96" i="6"/>
  <c r="M96" i="6"/>
  <c r="L96" i="6"/>
  <c r="K96" i="6"/>
  <c r="J96" i="6"/>
  <c r="I96" i="6"/>
  <c r="H96" i="6"/>
  <c r="G96" i="6"/>
  <c r="F96" i="6"/>
  <c r="E96" i="6"/>
  <c r="Q95" i="6"/>
  <c r="P95" i="6"/>
  <c r="O95" i="6"/>
  <c r="N95" i="6"/>
  <c r="M95" i="6"/>
  <c r="L95" i="6"/>
  <c r="K95" i="6"/>
  <c r="J95" i="6"/>
  <c r="I95" i="6"/>
  <c r="H95" i="6"/>
  <c r="G95" i="6"/>
  <c r="F95" i="6"/>
  <c r="E95" i="6"/>
  <c r="Q94" i="6"/>
  <c r="P94" i="6"/>
  <c r="O94" i="6"/>
  <c r="N94" i="6"/>
  <c r="M94" i="6"/>
  <c r="L94" i="6"/>
  <c r="K94" i="6"/>
  <c r="J94" i="6"/>
  <c r="I94" i="6"/>
  <c r="H94" i="6"/>
  <c r="G94" i="6"/>
  <c r="F94" i="6"/>
  <c r="E94" i="6"/>
  <c r="Q93" i="6"/>
  <c r="P93" i="6"/>
  <c r="O93" i="6"/>
  <c r="N93" i="6"/>
  <c r="M93" i="6"/>
  <c r="L93" i="6"/>
  <c r="K93" i="6"/>
  <c r="J93" i="6"/>
  <c r="I93" i="6"/>
  <c r="H93" i="6"/>
  <c r="G93" i="6"/>
  <c r="F93" i="6"/>
  <c r="E93" i="6"/>
  <c r="Q92" i="6"/>
  <c r="P92" i="6"/>
  <c r="O92" i="6"/>
  <c r="N92" i="6"/>
  <c r="M92" i="6"/>
  <c r="L92" i="6"/>
  <c r="K92" i="6"/>
  <c r="J92" i="6"/>
  <c r="I92" i="6"/>
  <c r="H92" i="6"/>
  <c r="G92" i="6"/>
  <c r="F92" i="6"/>
  <c r="E92" i="6"/>
  <c r="Q91" i="6"/>
  <c r="P91" i="6"/>
  <c r="O91" i="6"/>
  <c r="N91" i="6"/>
  <c r="M91" i="6"/>
  <c r="L91" i="6"/>
  <c r="K91" i="6"/>
  <c r="J91" i="6"/>
  <c r="I91" i="6"/>
  <c r="H91" i="6"/>
  <c r="G91" i="6"/>
  <c r="F91" i="6"/>
  <c r="E91" i="6"/>
  <c r="Q90" i="6"/>
  <c r="P90" i="6"/>
  <c r="O90" i="6"/>
  <c r="N90" i="6"/>
  <c r="M90" i="6"/>
  <c r="L90" i="6"/>
  <c r="K90" i="6"/>
  <c r="J90" i="6"/>
  <c r="I90" i="6"/>
  <c r="H90" i="6"/>
  <c r="G90" i="6"/>
  <c r="F90" i="6"/>
  <c r="E90" i="6"/>
  <c r="Q89" i="6"/>
  <c r="P89" i="6"/>
  <c r="O89" i="6"/>
  <c r="N89" i="6"/>
  <c r="M89" i="6"/>
  <c r="L89" i="6"/>
  <c r="K89" i="6"/>
  <c r="J89" i="6"/>
  <c r="I89" i="6"/>
  <c r="H89" i="6"/>
  <c r="G89" i="6"/>
  <c r="F89" i="6"/>
  <c r="E89" i="6"/>
  <c r="Q88" i="6"/>
  <c r="P88" i="6"/>
  <c r="O88" i="6"/>
  <c r="N88" i="6"/>
  <c r="M88" i="6"/>
  <c r="L88" i="6"/>
  <c r="K88" i="6"/>
  <c r="J88" i="6"/>
  <c r="I88" i="6"/>
  <c r="H88" i="6"/>
  <c r="G88" i="6"/>
  <c r="F88" i="6"/>
  <c r="E88" i="6"/>
  <c r="Q87" i="6"/>
  <c r="P87" i="6"/>
  <c r="O87" i="6"/>
  <c r="N87" i="6"/>
  <c r="M87" i="6"/>
  <c r="L87" i="6"/>
  <c r="K87" i="6"/>
  <c r="J87" i="6"/>
  <c r="I87" i="6"/>
  <c r="H87" i="6"/>
  <c r="G87" i="6"/>
  <c r="F87" i="6"/>
  <c r="E87" i="6"/>
  <c r="Q86" i="6"/>
  <c r="P86" i="6"/>
  <c r="O86" i="6"/>
  <c r="N86" i="6"/>
  <c r="M86" i="6"/>
  <c r="L86" i="6"/>
  <c r="K86" i="6"/>
  <c r="J86" i="6"/>
  <c r="I86" i="6"/>
  <c r="H86" i="6"/>
  <c r="G86" i="6"/>
  <c r="F86" i="6"/>
  <c r="E86" i="6"/>
  <c r="Q85" i="6"/>
  <c r="P85" i="6"/>
  <c r="O85" i="6"/>
  <c r="N85" i="6"/>
  <c r="M85" i="6"/>
  <c r="L85" i="6"/>
  <c r="K85" i="6"/>
  <c r="J85" i="6"/>
  <c r="I85" i="6"/>
  <c r="H85" i="6"/>
  <c r="G85" i="6"/>
  <c r="F85" i="6"/>
  <c r="E85" i="6"/>
  <c r="Q84" i="6"/>
  <c r="P84" i="6"/>
  <c r="O84" i="6"/>
  <c r="N84" i="6"/>
  <c r="M84" i="6"/>
  <c r="L84" i="6"/>
  <c r="K84" i="6"/>
  <c r="J84" i="6"/>
  <c r="I84" i="6"/>
  <c r="H84" i="6"/>
  <c r="G84" i="6"/>
  <c r="F84" i="6"/>
  <c r="E84" i="6"/>
  <c r="Q83" i="6"/>
  <c r="P83" i="6"/>
  <c r="O83" i="6"/>
  <c r="N83" i="6"/>
  <c r="M83" i="6"/>
  <c r="L83" i="6"/>
  <c r="K83" i="6"/>
  <c r="J83" i="6"/>
  <c r="I83" i="6"/>
  <c r="H83" i="6"/>
  <c r="G83" i="6"/>
  <c r="F83" i="6"/>
  <c r="E83" i="6"/>
  <c r="Q82" i="6"/>
  <c r="P82" i="6"/>
  <c r="O82" i="6"/>
  <c r="N82" i="6"/>
  <c r="M82" i="6"/>
  <c r="L82" i="6"/>
  <c r="K82" i="6"/>
  <c r="J82" i="6"/>
  <c r="I82" i="6"/>
  <c r="H82" i="6"/>
  <c r="G82" i="6"/>
  <c r="F82" i="6"/>
  <c r="E82" i="6"/>
  <c r="Q81" i="6"/>
  <c r="P81" i="6"/>
  <c r="O81" i="6"/>
  <c r="N81" i="6"/>
  <c r="M81" i="6"/>
  <c r="L81" i="6"/>
  <c r="K81" i="6"/>
  <c r="J81" i="6"/>
  <c r="I81" i="6"/>
  <c r="H81" i="6"/>
  <c r="G81" i="6"/>
  <c r="F81" i="6"/>
  <c r="E81" i="6"/>
  <c r="Q80" i="6"/>
  <c r="P80" i="6"/>
  <c r="O80" i="6"/>
  <c r="N80" i="6"/>
  <c r="M80" i="6"/>
  <c r="L80" i="6"/>
  <c r="K80" i="6"/>
  <c r="J80" i="6"/>
  <c r="I80" i="6"/>
  <c r="H80" i="6"/>
  <c r="G80" i="6"/>
  <c r="F80" i="6"/>
  <c r="E80" i="6"/>
  <c r="Q79" i="6"/>
  <c r="P79" i="6"/>
  <c r="O79" i="6"/>
  <c r="N79" i="6"/>
  <c r="M79" i="6"/>
  <c r="L79" i="6"/>
  <c r="K79" i="6"/>
  <c r="J79" i="6"/>
  <c r="I79" i="6"/>
  <c r="H79" i="6"/>
  <c r="G79" i="6"/>
  <c r="F79" i="6"/>
  <c r="E79" i="6"/>
  <c r="Q78" i="6"/>
  <c r="P78" i="6"/>
  <c r="O78" i="6"/>
  <c r="N78" i="6"/>
  <c r="M78" i="6"/>
  <c r="L78" i="6"/>
  <c r="K78" i="6"/>
  <c r="J78" i="6"/>
  <c r="I78" i="6"/>
  <c r="H78" i="6"/>
  <c r="G78" i="6"/>
  <c r="F78" i="6"/>
  <c r="E78" i="6"/>
  <c r="Q77" i="6"/>
  <c r="P77" i="6"/>
  <c r="O77" i="6"/>
  <c r="N77" i="6"/>
  <c r="M77" i="6"/>
  <c r="L77" i="6"/>
  <c r="K77" i="6"/>
  <c r="J77" i="6"/>
  <c r="I77" i="6"/>
  <c r="H77" i="6"/>
  <c r="G77" i="6"/>
  <c r="F77" i="6"/>
  <c r="E77" i="6"/>
  <c r="Q76" i="6"/>
  <c r="P76" i="6"/>
  <c r="O76" i="6"/>
  <c r="N76" i="6"/>
  <c r="M76" i="6"/>
  <c r="L76" i="6"/>
  <c r="K76" i="6"/>
  <c r="J76" i="6"/>
  <c r="I76" i="6"/>
  <c r="H76" i="6"/>
  <c r="G76" i="6"/>
  <c r="F76" i="6"/>
  <c r="E76" i="6"/>
  <c r="Q75" i="6"/>
  <c r="P75" i="6"/>
  <c r="O75" i="6"/>
  <c r="N75" i="6"/>
  <c r="M75" i="6"/>
  <c r="L75" i="6"/>
  <c r="K75" i="6"/>
  <c r="J75" i="6"/>
  <c r="I75" i="6"/>
  <c r="H75" i="6"/>
  <c r="G75" i="6"/>
  <c r="F75" i="6"/>
  <c r="E75" i="6"/>
  <c r="Q74" i="6"/>
  <c r="P74" i="6"/>
  <c r="O74" i="6"/>
  <c r="N74" i="6"/>
  <c r="M74" i="6"/>
  <c r="L74" i="6"/>
  <c r="K74" i="6"/>
  <c r="J74" i="6"/>
  <c r="I74" i="6"/>
  <c r="H74" i="6"/>
  <c r="G74" i="6"/>
  <c r="F74" i="6"/>
  <c r="E74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Q72" i="6"/>
  <c r="P72" i="6"/>
  <c r="O72" i="6"/>
  <c r="N72" i="6"/>
  <c r="M72" i="6"/>
  <c r="L72" i="6"/>
  <c r="K72" i="6"/>
  <c r="J72" i="6"/>
  <c r="I72" i="6"/>
  <c r="H72" i="6"/>
  <c r="G72" i="6"/>
  <c r="F72" i="6"/>
  <c r="E72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Q9" i="6"/>
  <c r="P9" i="6"/>
  <c r="O9" i="6"/>
  <c r="N9" i="6"/>
  <c r="M9" i="6"/>
  <c r="L9" i="6"/>
  <c r="K9" i="6"/>
  <c r="J9" i="6"/>
  <c r="I9" i="6"/>
  <c r="H9" i="6"/>
  <c r="G9" i="6"/>
  <c r="F9" i="6"/>
  <c r="E9" i="6"/>
  <c r="Q8" i="6"/>
  <c r="P8" i="6"/>
  <c r="O8" i="6"/>
  <c r="N8" i="6"/>
  <c r="M8" i="6"/>
  <c r="L8" i="6"/>
  <c r="K8" i="6"/>
  <c r="J8" i="6"/>
  <c r="I8" i="6"/>
  <c r="H8" i="6"/>
  <c r="G8" i="6"/>
  <c r="F8" i="6"/>
  <c r="E8" i="6"/>
  <c r="Q7" i="6"/>
  <c r="P7" i="6"/>
  <c r="O7" i="6"/>
  <c r="N7" i="6"/>
  <c r="M7" i="6"/>
  <c r="L7" i="6"/>
  <c r="K7" i="6"/>
  <c r="J7" i="6"/>
  <c r="I7" i="6"/>
  <c r="H7" i="6"/>
  <c r="G7" i="6"/>
  <c r="F7" i="6"/>
  <c r="E7" i="6"/>
  <c r="Q6" i="6"/>
  <c r="P6" i="6"/>
  <c r="O6" i="6"/>
  <c r="N6" i="6"/>
  <c r="M6" i="6"/>
  <c r="L6" i="6"/>
  <c r="K6" i="6"/>
  <c r="J6" i="6"/>
  <c r="I6" i="6"/>
  <c r="H6" i="6"/>
  <c r="G6" i="6"/>
  <c r="F6" i="6"/>
  <c r="E6" i="6"/>
  <c r="Q5" i="6"/>
  <c r="P5" i="6"/>
  <c r="P128" i="6" s="1"/>
  <c r="O5" i="6"/>
  <c r="N5" i="6"/>
  <c r="M5" i="6"/>
  <c r="L5" i="6"/>
  <c r="K5" i="6"/>
  <c r="J5" i="6"/>
  <c r="I5" i="6"/>
  <c r="H5" i="6"/>
  <c r="H128" i="6" s="1"/>
  <c r="G5" i="6"/>
  <c r="F5" i="6"/>
  <c r="E5" i="6"/>
  <c r="Q4" i="6"/>
  <c r="P4" i="6"/>
  <c r="O4" i="6"/>
  <c r="N4" i="6"/>
  <c r="M4" i="6"/>
  <c r="M128" i="6" s="1"/>
  <c r="L4" i="6"/>
  <c r="K4" i="6"/>
  <c r="J4" i="6"/>
  <c r="I4" i="6"/>
  <c r="I128" i="6" s="1"/>
  <c r="H4" i="6"/>
  <c r="G4" i="6"/>
  <c r="F4" i="6"/>
  <c r="E4" i="6"/>
  <c r="E128" i="6" s="1"/>
  <c r="Q3" i="6"/>
  <c r="P3" i="6"/>
  <c r="O3" i="6"/>
  <c r="N3" i="6"/>
  <c r="M3" i="6"/>
  <c r="L3" i="6"/>
  <c r="K3" i="6"/>
  <c r="J3" i="6"/>
  <c r="J128" i="6" s="1"/>
  <c r="I3" i="6"/>
  <c r="H3" i="6"/>
  <c r="G3" i="6"/>
  <c r="F3" i="6"/>
  <c r="F128" i="6" s="1"/>
  <c r="E3" i="6"/>
  <c r="L128" i="6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Q126" i="5"/>
  <c r="P126" i="5"/>
  <c r="O126" i="5"/>
  <c r="N126" i="5"/>
  <c r="M126" i="5"/>
  <c r="L126" i="5"/>
  <c r="K126" i="5"/>
  <c r="J126" i="5"/>
  <c r="I126" i="5"/>
  <c r="H126" i="5"/>
  <c r="G126" i="5"/>
  <c r="F126" i="5"/>
  <c r="E126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Q124" i="5"/>
  <c r="P124" i="5"/>
  <c r="O124" i="5"/>
  <c r="N124" i="5"/>
  <c r="M124" i="5"/>
  <c r="L124" i="5"/>
  <c r="K124" i="5"/>
  <c r="J124" i="5"/>
  <c r="I124" i="5"/>
  <c r="H124" i="5"/>
  <c r="G124" i="5"/>
  <c r="F124" i="5"/>
  <c r="E124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Q122" i="5"/>
  <c r="P122" i="5"/>
  <c r="O122" i="5"/>
  <c r="N122" i="5"/>
  <c r="M122" i="5"/>
  <c r="L122" i="5"/>
  <c r="K122" i="5"/>
  <c r="J122" i="5"/>
  <c r="I122" i="5"/>
  <c r="H122" i="5"/>
  <c r="G122" i="5"/>
  <c r="F122" i="5"/>
  <c r="E122" i="5"/>
  <c r="Q121" i="5"/>
  <c r="P121" i="5"/>
  <c r="O121" i="5"/>
  <c r="N121" i="5"/>
  <c r="M121" i="5"/>
  <c r="L121" i="5"/>
  <c r="K121" i="5"/>
  <c r="J121" i="5"/>
  <c r="I121" i="5"/>
  <c r="H121" i="5"/>
  <c r="G121" i="5"/>
  <c r="F121" i="5"/>
  <c r="E121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E120" i="5"/>
  <c r="Q119" i="5"/>
  <c r="P119" i="5"/>
  <c r="O119" i="5"/>
  <c r="N119" i="5"/>
  <c r="M119" i="5"/>
  <c r="L119" i="5"/>
  <c r="K119" i="5"/>
  <c r="J119" i="5"/>
  <c r="I119" i="5"/>
  <c r="H119" i="5"/>
  <c r="G119" i="5"/>
  <c r="F119" i="5"/>
  <c r="E119" i="5"/>
  <c r="Q118" i="5"/>
  <c r="P118" i="5"/>
  <c r="O118" i="5"/>
  <c r="N118" i="5"/>
  <c r="M118" i="5"/>
  <c r="L118" i="5"/>
  <c r="K118" i="5"/>
  <c r="J118" i="5"/>
  <c r="I118" i="5"/>
  <c r="H118" i="5"/>
  <c r="G118" i="5"/>
  <c r="F118" i="5"/>
  <c r="E118" i="5"/>
  <c r="Q117" i="5"/>
  <c r="P117" i="5"/>
  <c r="O117" i="5"/>
  <c r="N117" i="5"/>
  <c r="M117" i="5"/>
  <c r="L117" i="5"/>
  <c r="K117" i="5"/>
  <c r="J117" i="5"/>
  <c r="I117" i="5"/>
  <c r="H117" i="5"/>
  <c r="G117" i="5"/>
  <c r="F117" i="5"/>
  <c r="E117" i="5"/>
  <c r="Q116" i="5"/>
  <c r="P116" i="5"/>
  <c r="O116" i="5"/>
  <c r="N116" i="5"/>
  <c r="M116" i="5"/>
  <c r="L116" i="5"/>
  <c r="K116" i="5"/>
  <c r="J116" i="5"/>
  <c r="I116" i="5"/>
  <c r="H116" i="5"/>
  <c r="G116" i="5"/>
  <c r="F116" i="5"/>
  <c r="E116" i="5"/>
  <c r="Q115" i="5"/>
  <c r="P115" i="5"/>
  <c r="O115" i="5"/>
  <c r="N115" i="5"/>
  <c r="M115" i="5"/>
  <c r="L115" i="5"/>
  <c r="K115" i="5"/>
  <c r="J115" i="5"/>
  <c r="I115" i="5"/>
  <c r="H115" i="5"/>
  <c r="G115" i="5"/>
  <c r="F115" i="5"/>
  <c r="E115" i="5"/>
  <c r="Q114" i="5"/>
  <c r="P114" i="5"/>
  <c r="O114" i="5"/>
  <c r="N114" i="5"/>
  <c r="M114" i="5"/>
  <c r="L114" i="5"/>
  <c r="K114" i="5"/>
  <c r="J114" i="5"/>
  <c r="I114" i="5"/>
  <c r="H114" i="5"/>
  <c r="G114" i="5"/>
  <c r="F114" i="5"/>
  <c r="E114" i="5"/>
  <c r="Q113" i="5"/>
  <c r="P113" i="5"/>
  <c r="O113" i="5"/>
  <c r="N113" i="5"/>
  <c r="M113" i="5"/>
  <c r="L113" i="5"/>
  <c r="K113" i="5"/>
  <c r="J113" i="5"/>
  <c r="I113" i="5"/>
  <c r="H113" i="5"/>
  <c r="G113" i="5"/>
  <c r="F113" i="5"/>
  <c r="E113" i="5"/>
  <c r="Q112" i="5"/>
  <c r="P112" i="5"/>
  <c r="O112" i="5"/>
  <c r="N112" i="5"/>
  <c r="M112" i="5"/>
  <c r="L112" i="5"/>
  <c r="K112" i="5"/>
  <c r="J112" i="5"/>
  <c r="I112" i="5"/>
  <c r="H112" i="5"/>
  <c r="G112" i="5"/>
  <c r="F112" i="5"/>
  <c r="E112" i="5"/>
  <c r="Q111" i="5"/>
  <c r="P111" i="5"/>
  <c r="O111" i="5"/>
  <c r="N111" i="5"/>
  <c r="M111" i="5"/>
  <c r="L111" i="5"/>
  <c r="K111" i="5"/>
  <c r="J111" i="5"/>
  <c r="I111" i="5"/>
  <c r="H111" i="5"/>
  <c r="G111" i="5"/>
  <c r="F111" i="5"/>
  <c r="E111" i="5"/>
  <c r="Q110" i="5"/>
  <c r="P110" i="5"/>
  <c r="O110" i="5"/>
  <c r="N110" i="5"/>
  <c r="M110" i="5"/>
  <c r="L110" i="5"/>
  <c r="K110" i="5"/>
  <c r="J110" i="5"/>
  <c r="I110" i="5"/>
  <c r="H110" i="5"/>
  <c r="G110" i="5"/>
  <c r="F110" i="5"/>
  <c r="E110" i="5"/>
  <c r="Q109" i="5"/>
  <c r="P109" i="5"/>
  <c r="O109" i="5"/>
  <c r="N109" i="5"/>
  <c r="M109" i="5"/>
  <c r="L109" i="5"/>
  <c r="K109" i="5"/>
  <c r="J109" i="5"/>
  <c r="I109" i="5"/>
  <c r="H109" i="5"/>
  <c r="G109" i="5"/>
  <c r="F109" i="5"/>
  <c r="E109" i="5"/>
  <c r="Q108" i="5"/>
  <c r="P108" i="5"/>
  <c r="O108" i="5"/>
  <c r="N108" i="5"/>
  <c r="M108" i="5"/>
  <c r="L108" i="5"/>
  <c r="K108" i="5"/>
  <c r="J108" i="5"/>
  <c r="I108" i="5"/>
  <c r="H108" i="5"/>
  <c r="G108" i="5"/>
  <c r="F108" i="5"/>
  <c r="E108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Q106" i="5"/>
  <c r="P106" i="5"/>
  <c r="O106" i="5"/>
  <c r="N106" i="5"/>
  <c r="M106" i="5"/>
  <c r="L106" i="5"/>
  <c r="K106" i="5"/>
  <c r="J106" i="5"/>
  <c r="I106" i="5"/>
  <c r="H106" i="5"/>
  <c r="G106" i="5"/>
  <c r="F106" i="5"/>
  <c r="E106" i="5"/>
  <c r="Q105" i="5"/>
  <c r="P105" i="5"/>
  <c r="O105" i="5"/>
  <c r="N105" i="5"/>
  <c r="M105" i="5"/>
  <c r="L105" i="5"/>
  <c r="K105" i="5"/>
  <c r="J105" i="5"/>
  <c r="I105" i="5"/>
  <c r="H105" i="5"/>
  <c r="G105" i="5"/>
  <c r="F105" i="5"/>
  <c r="E105" i="5"/>
  <c r="Q104" i="5"/>
  <c r="P104" i="5"/>
  <c r="O104" i="5"/>
  <c r="N104" i="5"/>
  <c r="M104" i="5"/>
  <c r="L104" i="5"/>
  <c r="K104" i="5"/>
  <c r="J104" i="5"/>
  <c r="I104" i="5"/>
  <c r="H104" i="5"/>
  <c r="G104" i="5"/>
  <c r="F104" i="5"/>
  <c r="E104" i="5"/>
  <c r="Q103" i="5"/>
  <c r="P103" i="5"/>
  <c r="O103" i="5"/>
  <c r="N103" i="5"/>
  <c r="M103" i="5"/>
  <c r="L103" i="5"/>
  <c r="K103" i="5"/>
  <c r="J103" i="5"/>
  <c r="I103" i="5"/>
  <c r="H103" i="5"/>
  <c r="G103" i="5"/>
  <c r="F103" i="5"/>
  <c r="E103" i="5"/>
  <c r="Q102" i="5"/>
  <c r="P102" i="5"/>
  <c r="O102" i="5"/>
  <c r="N102" i="5"/>
  <c r="M102" i="5"/>
  <c r="L102" i="5"/>
  <c r="K102" i="5"/>
  <c r="J102" i="5"/>
  <c r="I102" i="5"/>
  <c r="H102" i="5"/>
  <c r="G102" i="5"/>
  <c r="F102" i="5"/>
  <c r="E102" i="5"/>
  <c r="Q101" i="5"/>
  <c r="P101" i="5"/>
  <c r="O101" i="5"/>
  <c r="N101" i="5"/>
  <c r="M101" i="5"/>
  <c r="L101" i="5"/>
  <c r="K101" i="5"/>
  <c r="J101" i="5"/>
  <c r="I101" i="5"/>
  <c r="H101" i="5"/>
  <c r="G101" i="5"/>
  <c r="F101" i="5"/>
  <c r="E101" i="5"/>
  <c r="Q100" i="5"/>
  <c r="P100" i="5"/>
  <c r="O100" i="5"/>
  <c r="N100" i="5"/>
  <c r="M100" i="5"/>
  <c r="L100" i="5"/>
  <c r="K100" i="5"/>
  <c r="J100" i="5"/>
  <c r="I100" i="5"/>
  <c r="H100" i="5"/>
  <c r="G100" i="5"/>
  <c r="F100" i="5"/>
  <c r="E100" i="5"/>
  <c r="Q99" i="5"/>
  <c r="P99" i="5"/>
  <c r="O99" i="5"/>
  <c r="N99" i="5"/>
  <c r="M99" i="5"/>
  <c r="L99" i="5"/>
  <c r="K99" i="5"/>
  <c r="J99" i="5"/>
  <c r="I99" i="5"/>
  <c r="H99" i="5"/>
  <c r="G99" i="5"/>
  <c r="F99" i="5"/>
  <c r="E99" i="5"/>
  <c r="Q98" i="5"/>
  <c r="P98" i="5"/>
  <c r="O98" i="5"/>
  <c r="N98" i="5"/>
  <c r="M98" i="5"/>
  <c r="L98" i="5"/>
  <c r="K98" i="5"/>
  <c r="J98" i="5"/>
  <c r="I98" i="5"/>
  <c r="H98" i="5"/>
  <c r="G98" i="5"/>
  <c r="F98" i="5"/>
  <c r="E98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Q96" i="5"/>
  <c r="P96" i="5"/>
  <c r="O96" i="5"/>
  <c r="N96" i="5"/>
  <c r="M96" i="5"/>
  <c r="L96" i="5"/>
  <c r="K96" i="5"/>
  <c r="J96" i="5"/>
  <c r="I96" i="5"/>
  <c r="H96" i="5"/>
  <c r="G96" i="5"/>
  <c r="F96" i="5"/>
  <c r="E96" i="5"/>
  <c r="Q95" i="5"/>
  <c r="P95" i="5"/>
  <c r="O95" i="5"/>
  <c r="N95" i="5"/>
  <c r="M95" i="5"/>
  <c r="L95" i="5"/>
  <c r="K95" i="5"/>
  <c r="J95" i="5"/>
  <c r="I95" i="5"/>
  <c r="H95" i="5"/>
  <c r="G95" i="5"/>
  <c r="F95" i="5"/>
  <c r="E95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Q9" i="5"/>
  <c r="P9" i="5"/>
  <c r="O9" i="5"/>
  <c r="N9" i="5"/>
  <c r="M9" i="5"/>
  <c r="L9" i="5"/>
  <c r="K9" i="5"/>
  <c r="J9" i="5"/>
  <c r="I9" i="5"/>
  <c r="H9" i="5"/>
  <c r="G9" i="5"/>
  <c r="F9" i="5"/>
  <c r="E9" i="5"/>
  <c r="Q8" i="5"/>
  <c r="P8" i="5"/>
  <c r="O8" i="5"/>
  <c r="N8" i="5"/>
  <c r="M8" i="5"/>
  <c r="L8" i="5"/>
  <c r="K8" i="5"/>
  <c r="J8" i="5"/>
  <c r="I8" i="5"/>
  <c r="H8" i="5"/>
  <c r="G8" i="5"/>
  <c r="F8" i="5"/>
  <c r="E8" i="5"/>
  <c r="Q7" i="5"/>
  <c r="P7" i="5"/>
  <c r="O7" i="5"/>
  <c r="N7" i="5"/>
  <c r="M7" i="5"/>
  <c r="L7" i="5"/>
  <c r="K7" i="5"/>
  <c r="J7" i="5"/>
  <c r="I7" i="5"/>
  <c r="H7" i="5"/>
  <c r="G7" i="5"/>
  <c r="F7" i="5"/>
  <c r="E7" i="5"/>
  <c r="Q6" i="5"/>
  <c r="P6" i="5"/>
  <c r="O6" i="5"/>
  <c r="N6" i="5"/>
  <c r="M6" i="5"/>
  <c r="L6" i="5"/>
  <c r="K6" i="5"/>
  <c r="J6" i="5"/>
  <c r="I6" i="5"/>
  <c r="H6" i="5"/>
  <c r="G6" i="5"/>
  <c r="F6" i="5"/>
  <c r="E6" i="5"/>
  <c r="Q5" i="5"/>
  <c r="P5" i="5"/>
  <c r="P128" i="5" s="1"/>
  <c r="O5" i="5"/>
  <c r="N5" i="5"/>
  <c r="M5" i="5"/>
  <c r="L5" i="5"/>
  <c r="K5" i="5"/>
  <c r="J5" i="5"/>
  <c r="I5" i="5"/>
  <c r="H5" i="5"/>
  <c r="H128" i="5" s="1"/>
  <c r="G5" i="5"/>
  <c r="F5" i="5"/>
  <c r="E5" i="5"/>
  <c r="Q4" i="5"/>
  <c r="P4" i="5"/>
  <c r="O4" i="5"/>
  <c r="N4" i="5"/>
  <c r="M4" i="5"/>
  <c r="M128" i="5" s="1"/>
  <c r="L4" i="5"/>
  <c r="K4" i="5"/>
  <c r="J4" i="5"/>
  <c r="J128" i="5" s="1"/>
  <c r="I4" i="5"/>
  <c r="H4" i="5"/>
  <c r="G4" i="5"/>
  <c r="F4" i="5"/>
  <c r="E4" i="5"/>
  <c r="E128" i="5" s="1"/>
  <c r="Q3" i="5"/>
  <c r="P3" i="5"/>
  <c r="O3" i="5"/>
  <c r="N3" i="5"/>
  <c r="N128" i="5" s="1"/>
  <c r="M3" i="5"/>
  <c r="L3" i="5"/>
  <c r="K3" i="5"/>
  <c r="J3" i="5"/>
  <c r="I3" i="5"/>
  <c r="H3" i="5"/>
  <c r="G3" i="5"/>
  <c r="F3" i="5"/>
  <c r="E3" i="5"/>
  <c r="K128" i="5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P6" i="2"/>
  <c r="O6" i="2"/>
  <c r="N6" i="2"/>
  <c r="M6" i="2"/>
  <c r="L6" i="2"/>
  <c r="K6" i="2"/>
  <c r="J6" i="2"/>
  <c r="I6" i="2"/>
  <c r="H6" i="2"/>
  <c r="G6" i="2"/>
  <c r="F6" i="2"/>
  <c r="E6" i="2"/>
  <c r="D6" i="2"/>
  <c r="P4" i="4"/>
  <c r="P5" i="4"/>
  <c r="P127" i="4"/>
  <c r="O127" i="4"/>
  <c r="N127" i="4"/>
  <c r="Q127" i="4" s="1"/>
  <c r="P126" i="4"/>
  <c r="Q126" i="4" s="1"/>
  <c r="O126" i="4"/>
  <c r="N126" i="4"/>
  <c r="P125" i="4"/>
  <c r="O125" i="4"/>
  <c r="Q125" i="4" s="1"/>
  <c r="N125" i="4"/>
  <c r="P124" i="4"/>
  <c r="O124" i="4"/>
  <c r="N124" i="4"/>
  <c r="P123" i="4"/>
  <c r="O123" i="4"/>
  <c r="N123" i="4"/>
  <c r="Q123" i="4" s="1"/>
  <c r="P122" i="4"/>
  <c r="O122" i="4"/>
  <c r="N122" i="4"/>
  <c r="P121" i="4"/>
  <c r="O121" i="4"/>
  <c r="Q121" i="4" s="1"/>
  <c r="N121" i="4"/>
  <c r="P120" i="4"/>
  <c r="O120" i="4"/>
  <c r="N120" i="4"/>
  <c r="Q120" i="4" s="1"/>
  <c r="P119" i="4"/>
  <c r="O119" i="4"/>
  <c r="N119" i="4"/>
  <c r="P118" i="4"/>
  <c r="O118" i="4"/>
  <c r="N118" i="4"/>
  <c r="P117" i="4"/>
  <c r="O117" i="4"/>
  <c r="Q117" i="4" s="1"/>
  <c r="N117" i="4"/>
  <c r="P116" i="4"/>
  <c r="O116" i="4"/>
  <c r="N116" i="4"/>
  <c r="Q116" i="4" s="1"/>
  <c r="P115" i="4"/>
  <c r="O115" i="4"/>
  <c r="N115" i="4"/>
  <c r="P114" i="4"/>
  <c r="O114" i="4"/>
  <c r="N114" i="4"/>
  <c r="P113" i="4"/>
  <c r="O113" i="4"/>
  <c r="N113" i="4"/>
  <c r="P112" i="4"/>
  <c r="O112" i="4"/>
  <c r="N112" i="4"/>
  <c r="Q112" i="4" s="1"/>
  <c r="P111" i="4"/>
  <c r="O111" i="4"/>
  <c r="N111" i="4"/>
  <c r="Q111" i="4" s="1"/>
  <c r="P110" i="4"/>
  <c r="O110" i="4"/>
  <c r="Q110" i="4" s="1"/>
  <c r="N110" i="4"/>
  <c r="P109" i="4"/>
  <c r="O109" i="4"/>
  <c r="N109" i="4"/>
  <c r="Q109" i="4" s="1"/>
  <c r="P108" i="4"/>
  <c r="O108" i="4"/>
  <c r="N108" i="4"/>
  <c r="P107" i="4"/>
  <c r="O107" i="4"/>
  <c r="N107" i="4"/>
  <c r="P106" i="4"/>
  <c r="O106" i="4"/>
  <c r="N106" i="4"/>
  <c r="P105" i="4"/>
  <c r="O105" i="4"/>
  <c r="N105" i="4"/>
  <c r="P104" i="4"/>
  <c r="O104" i="4"/>
  <c r="N104" i="4"/>
  <c r="Q104" i="4" s="1"/>
  <c r="P103" i="4"/>
  <c r="O103" i="4"/>
  <c r="N103" i="4"/>
  <c r="P102" i="4"/>
  <c r="O102" i="4"/>
  <c r="N102" i="4"/>
  <c r="P101" i="4"/>
  <c r="O101" i="4"/>
  <c r="N101" i="4"/>
  <c r="P100" i="4"/>
  <c r="O100" i="4"/>
  <c r="N100" i="4"/>
  <c r="P99" i="4"/>
  <c r="O99" i="4"/>
  <c r="N99" i="4"/>
  <c r="P98" i="4"/>
  <c r="O98" i="4"/>
  <c r="Q98" i="4" s="1"/>
  <c r="N98" i="4"/>
  <c r="P97" i="4"/>
  <c r="O97" i="4"/>
  <c r="N97" i="4"/>
  <c r="P96" i="4"/>
  <c r="O96" i="4"/>
  <c r="N96" i="4"/>
  <c r="P95" i="4"/>
  <c r="O95" i="4"/>
  <c r="N95" i="4"/>
  <c r="P94" i="4"/>
  <c r="O94" i="4"/>
  <c r="N94" i="4"/>
  <c r="P93" i="4"/>
  <c r="O93" i="4"/>
  <c r="N93" i="4"/>
  <c r="P92" i="4"/>
  <c r="O92" i="4"/>
  <c r="N92" i="4"/>
  <c r="Q92" i="4" s="1"/>
  <c r="P91" i="4"/>
  <c r="O91" i="4"/>
  <c r="N91" i="4"/>
  <c r="P90" i="4"/>
  <c r="O90" i="4"/>
  <c r="N90" i="4"/>
  <c r="Q90" i="4" s="1"/>
  <c r="P89" i="4"/>
  <c r="O89" i="4"/>
  <c r="N89" i="4"/>
  <c r="P88" i="4"/>
  <c r="O88" i="4"/>
  <c r="N88" i="4"/>
  <c r="P87" i="4"/>
  <c r="O87" i="4"/>
  <c r="N87" i="4"/>
  <c r="P86" i="4"/>
  <c r="O86" i="4"/>
  <c r="N86" i="4"/>
  <c r="P85" i="4"/>
  <c r="O85" i="4"/>
  <c r="Q85" i="4" s="1"/>
  <c r="N85" i="4"/>
  <c r="P84" i="4"/>
  <c r="O84" i="4"/>
  <c r="N84" i="4"/>
  <c r="P83" i="4"/>
  <c r="O83" i="4"/>
  <c r="N83" i="4"/>
  <c r="P82" i="4"/>
  <c r="O82" i="4"/>
  <c r="N82" i="4"/>
  <c r="P81" i="4"/>
  <c r="O81" i="4"/>
  <c r="N81" i="4"/>
  <c r="P80" i="4"/>
  <c r="O80" i="4"/>
  <c r="N80" i="4"/>
  <c r="P79" i="4"/>
  <c r="O79" i="4"/>
  <c r="N79" i="4"/>
  <c r="P78" i="4"/>
  <c r="O78" i="4"/>
  <c r="N78" i="4"/>
  <c r="Q78" i="4" s="1"/>
  <c r="P77" i="4"/>
  <c r="O77" i="4"/>
  <c r="Q77" i="4" s="1"/>
  <c r="N77" i="4"/>
  <c r="P76" i="4"/>
  <c r="O76" i="4"/>
  <c r="N76" i="4"/>
  <c r="P75" i="4"/>
  <c r="O75" i="4"/>
  <c r="Q75" i="4" s="1"/>
  <c r="N75" i="4"/>
  <c r="P74" i="4"/>
  <c r="O74" i="4"/>
  <c r="N74" i="4"/>
  <c r="P73" i="4"/>
  <c r="O73" i="4"/>
  <c r="N73" i="4"/>
  <c r="P72" i="4"/>
  <c r="O72" i="4"/>
  <c r="N72" i="4"/>
  <c r="P71" i="4"/>
  <c r="O71" i="4"/>
  <c r="Q71" i="4" s="1"/>
  <c r="N71" i="4"/>
  <c r="P70" i="4"/>
  <c r="O70" i="4"/>
  <c r="N70" i="4"/>
  <c r="P69" i="4"/>
  <c r="O69" i="4"/>
  <c r="N69" i="4"/>
  <c r="P68" i="4"/>
  <c r="O68" i="4"/>
  <c r="N68" i="4"/>
  <c r="P67" i="4"/>
  <c r="O67" i="4"/>
  <c r="Q67" i="4" s="1"/>
  <c r="N67" i="4"/>
  <c r="P66" i="4"/>
  <c r="O66" i="4"/>
  <c r="N66" i="4"/>
  <c r="P65" i="4"/>
  <c r="O65" i="4"/>
  <c r="Q65" i="4" s="1"/>
  <c r="N65" i="4"/>
  <c r="P64" i="4"/>
  <c r="O64" i="4"/>
  <c r="N64" i="4"/>
  <c r="P63" i="4"/>
  <c r="O63" i="4"/>
  <c r="Q63" i="4" s="1"/>
  <c r="N63" i="4"/>
  <c r="P62" i="4"/>
  <c r="O62" i="4"/>
  <c r="N62" i="4"/>
  <c r="P61" i="4"/>
  <c r="O61" i="4"/>
  <c r="N61" i="4"/>
  <c r="P60" i="4"/>
  <c r="O60" i="4"/>
  <c r="N60" i="4"/>
  <c r="Q60" i="4" s="1"/>
  <c r="P59" i="4"/>
  <c r="O59" i="4"/>
  <c r="N59" i="4"/>
  <c r="P58" i="4"/>
  <c r="O58" i="4"/>
  <c r="N58" i="4"/>
  <c r="Q58" i="4" s="1"/>
  <c r="P57" i="4"/>
  <c r="O57" i="4"/>
  <c r="N57" i="4"/>
  <c r="P56" i="4"/>
  <c r="O56" i="4"/>
  <c r="N56" i="4"/>
  <c r="P55" i="4"/>
  <c r="O55" i="4"/>
  <c r="N55" i="4"/>
  <c r="P50" i="4"/>
  <c r="O50" i="4"/>
  <c r="N50" i="4"/>
  <c r="Q50" i="4" s="1"/>
  <c r="P49" i="4"/>
  <c r="Q49" i="4" s="1"/>
  <c r="O49" i="4"/>
  <c r="N49" i="4"/>
  <c r="P48" i="4"/>
  <c r="O48" i="4"/>
  <c r="Q48" i="4" s="1"/>
  <c r="N48" i="4"/>
  <c r="P47" i="4"/>
  <c r="O47" i="4"/>
  <c r="N47" i="4"/>
  <c r="P46" i="4"/>
  <c r="O46" i="4"/>
  <c r="N46" i="4"/>
  <c r="P45" i="4"/>
  <c r="O45" i="4"/>
  <c r="N45" i="4"/>
  <c r="P44" i="4"/>
  <c r="O44" i="4"/>
  <c r="N44" i="4"/>
  <c r="P43" i="4"/>
  <c r="O43" i="4"/>
  <c r="N43" i="4"/>
  <c r="P42" i="4"/>
  <c r="O42" i="4"/>
  <c r="N42" i="4"/>
  <c r="P41" i="4"/>
  <c r="O41" i="4"/>
  <c r="N41" i="4"/>
  <c r="P40" i="4"/>
  <c r="O40" i="4"/>
  <c r="N40" i="4"/>
  <c r="P39" i="4"/>
  <c r="O39" i="4"/>
  <c r="N39" i="4"/>
  <c r="P38" i="4"/>
  <c r="O38" i="4"/>
  <c r="N38" i="4"/>
  <c r="Q38" i="4" s="1"/>
  <c r="P37" i="4"/>
  <c r="Q37" i="4" s="1"/>
  <c r="O37" i="4"/>
  <c r="N37" i="4"/>
  <c r="P36" i="4"/>
  <c r="O36" i="4"/>
  <c r="Q36" i="4" s="1"/>
  <c r="N36" i="4"/>
  <c r="P35" i="4"/>
  <c r="O35" i="4"/>
  <c r="N35" i="4"/>
  <c r="P34" i="4"/>
  <c r="O34" i="4"/>
  <c r="N34" i="4"/>
  <c r="P33" i="4"/>
  <c r="O33" i="4"/>
  <c r="N33" i="4"/>
  <c r="P32" i="4"/>
  <c r="O32" i="4"/>
  <c r="N32" i="4"/>
  <c r="P31" i="4"/>
  <c r="O31" i="4"/>
  <c r="N31" i="4"/>
  <c r="P30" i="4"/>
  <c r="O30" i="4"/>
  <c r="N30" i="4"/>
  <c r="P29" i="4"/>
  <c r="O29" i="4"/>
  <c r="N29" i="4"/>
  <c r="P28" i="4"/>
  <c r="O28" i="4"/>
  <c r="N28" i="4"/>
  <c r="P26" i="4"/>
  <c r="O26" i="4"/>
  <c r="N26" i="4"/>
  <c r="Q26" i="4" s="1"/>
  <c r="N4" i="4"/>
  <c r="O4" i="4"/>
  <c r="Q4" i="4" s="1"/>
  <c r="N5" i="4"/>
  <c r="O5" i="4"/>
  <c r="N6" i="4"/>
  <c r="O6" i="4"/>
  <c r="N7" i="4"/>
  <c r="Q7" i="4" s="1"/>
  <c r="O7" i="4"/>
  <c r="P7" i="4"/>
  <c r="N8" i="4"/>
  <c r="O8" i="4"/>
  <c r="P8" i="4"/>
  <c r="N9" i="4"/>
  <c r="Q9" i="4" s="1"/>
  <c r="O9" i="4"/>
  <c r="P9" i="4"/>
  <c r="N10" i="4"/>
  <c r="O10" i="4"/>
  <c r="P10" i="4"/>
  <c r="N11" i="4"/>
  <c r="O11" i="4"/>
  <c r="P11" i="4"/>
  <c r="N12" i="4"/>
  <c r="O12" i="4"/>
  <c r="Q12" i="4" s="1"/>
  <c r="P12" i="4"/>
  <c r="N13" i="4"/>
  <c r="O13" i="4"/>
  <c r="P13" i="4"/>
  <c r="N14" i="4"/>
  <c r="O14" i="4"/>
  <c r="Q14" i="4" s="1"/>
  <c r="P14" i="4"/>
  <c r="N15" i="4"/>
  <c r="O15" i="4"/>
  <c r="P15" i="4"/>
  <c r="N16" i="4"/>
  <c r="O16" i="4"/>
  <c r="P16" i="4"/>
  <c r="N17" i="4"/>
  <c r="O17" i="4"/>
  <c r="P17" i="4"/>
  <c r="N18" i="4"/>
  <c r="O18" i="4"/>
  <c r="Q18" i="4" s="1"/>
  <c r="P18" i="4"/>
  <c r="N19" i="4"/>
  <c r="O19" i="4"/>
  <c r="P19" i="4"/>
  <c r="N20" i="4"/>
  <c r="O20" i="4"/>
  <c r="Q20" i="4" s="1"/>
  <c r="P20" i="4"/>
  <c r="N21" i="4"/>
  <c r="O21" i="4"/>
  <c r="P21" i="4"/>
  <c r="N22" i="4"/>
  <c r="O22" i="4"/>
  <c r="Q22" i="4" s="1"/>
  <c r="P22" i="4"/>
  <c r="N23" i="4"/>
  <c r="Q23" i="4" s="1"/>
  <c r="O23" i="4"/>
  <c r="P23" i="4"/>
  <c r="N24" i="4"/>
  <c r="O24" i="4"/>
  <c r="Q24" i="4" s="1"/>
  <c r="P24" i="4"/>
  <c r="N25" i="4"/>
  <c r="O25" i="4"/>
  <c r="P25" i="4"/>
  <c r="O3" i="4"/>
  <c r="P3" i="4"/>
  <c r="N3" i="4"/>
  <c r="M128" i="4"/>
  <c r="L128" i="4"/>
  <c r="K128" i="4"/>
  <c r="J128" i="4"/>
  <c r="Q124" i="4"/>
  <c r="Q122" i="4"/>
  <c r="Q119" i="4"/>
  <c r="Q118" i="4"/>
  <c r="Q115" i="4"/>
  <c r="Q113" i="4"/>
  <c r="Q108" i="4"/>
  <c r="Q107" i="4"/>
  <c r="Q106" i="4"/>
  <c r="Q99" i="4"/>
  <c r="Q96" i="4"/>
  <c r="Q94" i="4"/>
  <c r="Q93" i="4"/>
  <c r="Q91" i="4"/>
  <c r="Q88" i="4"/>
  <c r="Q86" i="4"/>
  <c r="Q84" i="4"/>
  <c r="Q82" i="4"/>
  <c r="Q81" i="4"/>
  <c r="Q80" i="4"/>
  <c r="Q79" i="4"/>
  <c r="Q76" i="4"/>
  <c r="Q73" i="4"/>
  <c r="Q72" i="4"/>
  <c r="Q70" i="4"/>
  <c r="Q68" i="4"/>
  <c r="Q66" i="4"/>
  <c r="Q64" i="4"/>
  <c r="Q59" i="4"/>
  <c r="Q57" i="4"/>
  <c r="Q55" i="4"/>
  <c r="Q54" i="4"/>
  <c r="Q53" i="4"/>
  <c r="Q52" i="4"/>
  <c r="Q51" i="4"/>
  <c r="Q47" i="4"/>
  <c r="Q44" i="4"/>
  <c r="Q42" i="4"/>
  <c r="Q39" i="4"/>
  <c r="Q35" i="4"/>
  <c r="Q34" i="4"/>
  <c r="Q33" i="4"/>
  <c r="E128" i="4"/>
  <c r="Q27" i="4"/>
  <c r="Q25" i="4"/>
  <c r="Q21" i="4"/>
  <c r="Q19" i="4"/>
  <c r="Q17" i="4"/>
  <c r="H128" i="4"/>
  <c r="Q15" i="4"/>
  <c r="Q13" i="4"/>
  <c r="Q11" i="4"/>
  <c r="G128" i="4"/>
  <c r="Q10" i="4"/>
  <c r="Q8" i="4"/>
  <c r="Q6" i="4"/>
  <c r="I128" i="4"/>
  <c r="Q5" i="4"/>
  <c r="Q3" i="4"/>
  <c r="N128" i="6" l="1"/>
  <c r="G128" i="6"/>
  <c r="K128" i="6"/>
  <c r="O128" i="6"/>
  <c r="Q128" i="6" s="1"/>
  <c r="O128" i="5"/>
  <c r="L128" i="5"/>
  <c r="I128" i="5"/>
  <c r="G128" i="5"/>
  <c r="F128" i="5"/>
  <c r="Q95" i="4"/>
  <c r="Q101" i="4"/>
  <c r="Q97" i="4"/>
  <c r="Q100" i="4"/>
  <c r="Q114" i="4"/>
  <c r="Q102" i="4"/>
  <c r="Q103" i="4"/>
  <c r="Q105" i="4"/>
  <c r="P128" i="4"/>
  <c r="Q56" i="4"/>
  <c r="Q83" i="4"/>
  <c r="Q87" i="4"/>
  <c r="Q61" i="4"/>
  <c r="Q62" i="4"/>
  <c r="Q69" i="4"/>
  <c r="Q74" i="4"/>
  <c r="Q89" i="4"/>
  <c r="Q29" i="4"/>
  <c r="Q40" i="4"/>
  <c r="Q45" i="4"/>
  <c r="Q32" i="4"/>
  <c r="Q41" i="4"/>
  <c r="Q43" i="4"/>
  <c r="Q28" i="4"/>
  <c r="Q30" i="4"/>
  <c r="Q31" i="4"/>
  <c r="Q46" i="4"/>
  <c r="N128" i="4"/>
  <c r="O128" i="4"/>
  <c r="Q16" i="4"/>
  <c r="F128" i="4"/>
  <c r="Q128" i="5" l="1"/>
  <c r="Q128" i="4"/>
  <c r="P128" i="3" l="1"/>
  <c r="O128" i="3"/>
  <c r="N128" i="3"/>
  <c r="M128" i="3"/>
  <c r="L128" i="3"/>
  <c r="K128" i="3"/>
  <c r="J128" i="3"/>
  <c r="Q127" i="3"/>
  <c r="Q126" i="3"/>
  <c r="Q125" i="3"/>
  <c r="Q124" i="3"/>
  <c r="I123" i="3"/>
  <c r="H123" i="3"/>
  <c r="Q123" i="3" s="1"/>
  <c r="Q122" i="3"/>
  <c r="Q121" i="3"/>
  <c r="Q120" i="3"/>
  <c r="Q119" i="3"/>
  <c r="Q118" i="3"/>
  <c r="Q117" i="3"/>
  <c r="Q116" i="3"/>
  <c r="I115" i="3"/>
  <c r="H115" i="3"/>
  <c r="F115" i="3"/>
  <c r="Q115" i="3" s="1"/>
  <c r="I114" i="3"/>
  <c r="H114" i="3"/>
  <c r="Q114" i="3" s="1"/>
  <c r="Q113" i="3"/>
  <c r="I113" i="3"/>
  <c r="H113" i="3"/>
  <c r="I112" i="3"/>
  <c r="Q112" i="3" s="1"/>
  <c r="H112" i="3"/>
  <c r="F112" i="3"/>
  <c r="I111" i="3"/>
  <c r="Q111" i="3" s="1"/>
  <c r="H111" i="3"/>
  <c r="E111" i="3"/>
  <c r="Q110" i="3"/>
  <c r="Q109" i="3"/>
  <c r="G108" i="3"/>
  <c r="Q108" i="3" s="1"/>
  <c r="Q107" i="3"/>
  <c r="I106" i="3"/>
  <c r="H106" i="3"/>
  <c r="G106" i="3"/>
  <c r="F106" i="3"/>
  <c r="Q106" i="3" s="1"/>
  <c r="F105" i="3"/>
  <c r="Q105" i="3" s="1"/>
  <c r="Q104" i="3"/>
  <c r="I103" i="3"/>
  <c r="Q103" i="3" s="1"/>
  <c r="H103" i="3"/>
  <c r="G103" i="3"/>
  <c r="I102" i="3"/>
  <c r="H102" i="3"/>
  <c r="G102" i="3"/>
  <c r="F102" i="3"/>
  <c r="Q102" i="3" s="1"/>
  <c r="I101" i="3"/>
  <c r="H101" i="3"/>
  <c r="F101" i="3"/>
  <c r="Q101" i="3" s="1"/>
  <c r="I100" i="3"/>
  <c r="H100" i="3"/>
  <c r="F100" i="3"/>
  <c r="Q100" i="3" s="1"/>
  <c r="I99" i="3"/>
  <c r="H99" i="3"/>
  <c r="G99" i="3"/>
  <c r="F99" i="3"/>
  <c r="E99" i="3"/>
  <c r="Q99" i="3" s="1"/>
  <c r="Q98" i="3"/>
  <c r="F97" i="3"/>
  <c r="Q97" i="3" s="1"/>
  <c r="Q96" i="3"/>
  <c r="I95" i="3"/>
  <c r="H95" i="3"/>
  <c r="G95" i="3"/>
  <c r="F95" i="3"/>
  <c r="Q95" i="3" s="1"/>
  <c r="Q94" i="3"/>
  <c r="Q93" i="3"/>
  <c r="Q92" i="3"/>
  <c r="Q91" i="3"/>
  <c r="Q90" i="3"/>
  <c r="I89" i="3"/>
  <c r="H89" i="3"/>
  <c r="Q89" i="3" s="1"/>
  <c r="Q88" i="3"/>
  <c r="G87" i="3"/>
  <c r="Q87" i="3" s="1"/>
  <c r="Q86" i="3"/>
  <c r="Q85" i="3"/>
  <c r="Q84" i="3"/>
  <c r="I83" i="3"/>
  <c r="Q83" i="3" s="1"/>
  <c r="H83" i="3"/>
  <c r="I82" i="3"/>
  <c r="H82" i="3"/>
  <c r="Q82" i="3" s="1"/>
  <c r="I81" i="3"/>
  <c r="H81" i="3"/>
  <c r="G81" i="3"/>
  <c r="F81" i="3"/>
  <c r="Q81" i="3" s="1"/>
  <c r="H80" i="3"/>
  <c r="F80" i="3"/>
  <c r="Q80" i="3" s="1"/>
  <c r="I79" i="3"/>
  <c r="H79" i="3"/>
  <c r="Q79" i="3" s="1"/>
  <c r="Q78" i="3"/>
  <c r="I78" i="3"/>
  <c r="H78" i="3"/>
  <c r="F78" i="3"/>
  <c r="Q77" i="3"/>
  <c r="Q76" i="3"/>
  <c r="Q75" i="3"/>
  <c r="I74" i="3"/>
  <c r="H74" i="3"/>
  <c r="G74" i="3"/>
  <c r="F74" i="3"/>
  <c r="Q74" i="3" s="1"/>
  <c r="F73" i="3"/>
  <c r="Q73" i="3" s="1"/>
  <c r="Q72" i="3"/>
  <c r="Q71" i="3"/>
  <c r="I70" i="3"/>
  <c r="H70" i="3"/>
  <c r="G70" i="3"/>
  <c r="Q70" i="3" s="1"/>
  <c r="I69" i="3"/>
  <c r="H69" i="3"/>
  <c r="G69" i="3"/>
  <c r="F69" i="3"/>
  <c r="Q69" i="3" s="1"/>
  <c r="Q68" i="3"/>
  <c r="I68" i="3"/>
  <c r="H68" i="3"/>
  <c r="F68" i="3"/>
  <c r="Q67" i="3"/>
  <c r="F67" i="3"/>
  <c r="I66" i="3"/>
  <c r="H66" i="3"/>
  <c r="G66" i="3"/>
  <c r="F66" i="3"/>
  <c r="Q66" i="3" s="1"/>
  <c r="I65" i="3"/>
  <c r="H65" i="3"/>
  <c r="Q65" i="3" s="1"/>
  <c r="I64" i="3"/>
  <c r="H64" i="3"/>
  <c r="F64" i="3"/>
  <c r="Q64" i="3" s="1"/>
  <c r="Q63" i="3"/>
  <c r="I62" i="3"/>
  <c r="H62" i="3"/>
  <c r="F62" i="3"/>
  <c r="E62" i="3"/>
  <c r="Q62" i="3" s="1"/>
  <c r="I61" i="3"/>
  <c r="H61" i="3"/>
  <c r="G61" i="3"/>
  <c r="F61" i="3"/>
  <c r="E61" i="3"/>
  <c r="Q61" i="3" s="1"/>
  <c r="Q60" i="3"/>
  <c r="Q59" i="3"/>
  <c r="Q58" i="3"/>
  <c r="Q57" i="3"/>
  <c r="I56" i="3"/>
  <c r="H56" i="3"/>
  <c r="F56" i="3"/>
  <c r="Q56" i="3" s="1"/>
  <c r="I55" i="3"/>
  <c r="Q55" i="3" s="1"/>
  <c r="F55" i="3"/>
  <c r="E55" i="3"/>
  <c r="Q54" i="3"/>
  <c r="Q53" i="3"/>
  <c r="Q52" i="3"/>
  <c r="Q51" i="3"/>
  <c r="Q50" i="3"/>
  <c r="Q49" i="3"/>
  <c r="Q48" i="3"/>
  <c r="Q47" i="3"/>
  <c r="Q46" i="3"/>
  <c r="I46" i="3"/>
  <c r="H46" i="3"/>
  <c r="Q45" i="3"/>
  <c r="F45" i="3"/>
  <c r="Q44" i="3"/>
  <c r="F43" i="3"/>
  <c r="E43" i="3"/>
  <c r="Q43" i="3" s="1"/>
  <c r="I42" i="3"/>
  <c r="H42" i="3"/>
  <c r="Q42" i="3" s="1"/>
  <c r="H41" i="3"/>
  <c r="F41" i="3"/>
  <c r="Q41" i="3" s="1"/>
  <c r="I40" i="3"/>
  <c r="H40" i="3"/>
  <c r="G40" i="3"/>
  <c r="F40" i="3"/>
  <c r="Q40" i="3" s="1"/>
  <c r="Q39" i="3"/>
  <c r="Q38" i="3"/>
  <c r="Q37" i="3"/>
  <c r="Q36" i="3"/>
  <c r="I35" i="3"/>
  <c r="H35" i="3"/>
  <c r="F35" i="3"/>
  <c r="Q35" i="3" s="1"/>
  <c r="F34" i="3"/>
  <c r="Q34" i="3" s="1"/>
  <c r="E33" i="3"/>
  <c r="E128" i="3" s="1"/>
  <c r="H32" i="3"/>
  <c r="F32" i="3"/>
  <c r="Q32" i="3" s="1"/>
  <c r="I31" i="3"/>
  <c r="H31" i="3"/>
  <c r="Q31" i="3" s="1"/>
  <c r="I30" i="3"/>
  <c r="H30" i="3"/>
  <c r="G30" i="3"/>
  <c r="F30" i="3"/>
  <c r="Q30" i="3" s="1"/>
  <c r="I29" i="3"/>
  <c r="Q29" i="3" s="1"/>
  <c r="G29" i="3"/>
  <c r="I28" i="3"/>
  <c r="Q28" i="3" s="1"/>
  <c r="G28" i="3"/>
  <c r="Q27" i="3"/>
  <c r="Q26" i="3"/>
  <c r="Q25" i="3"/>
  <c r="Q24" i="3"/>
  <c r="Q23" i="3"/>
  <c r="Q22" i="3"/>
  <c r="I21" i="3"/>
  <c r="Q21" i="3" s="1"/>
  <c r="Q20" i="3"/>
  <c r="H20" i="3"/>
  <c r="I19" i="3"/>
  <c r="H19" i="3"/>
  <c r="Q19" i="3" s="1"/>
  <c r="I18" i="3"/>
  <c r="H18" i="3"/>
  <c r="Q18" i="3" s="1"/>
  <c r="Q17" i="3"/>
  <c r="I17" i="3"/>
  <c r="I16" i="3"/>
  <c r="H16" i="3"/>
  <c r="Q16" i="3" s="1"/>
  <c r="H15" i="3"/>
  <c r="Q15" i="3" s="1"/>
  <c r="Q14" i="3"/>
  <c r="Q13" i="3"/>
  <c r="I13" i="3"/>
  <c r="H13" i="3"/>
  <c r="F13" i="3"/>
  <c r="Q12" i="3"/>
  <c r="I12" i="3"/>
  <c r="H12" i="3"/>
  <c r="F12" i="3"/>
  <c r="Q11" i="3"/>
  <c r="I10" i="3"/>
  <c r="H10" i="3"/>
  <c r="G10" i="3"/>
  <c r="G128" i="3" s="1"/>
  <c r="F10" i="3"/>
  <c r="Q10" i="3" s="1"/>
  <c r="Q9" i="3"/>
  <c r="Q8" i="3"/>
  <c r="I7" i="3"/>
  <c r="Q7" i="3" s="1"/>
  <c r="H7" i="3"/>
  <c r="H128" i="3" s="1"/>
  <c r="F7" i="3"/>
  <c r="Q6" i="3"/>
  <c r="I5" i="3"/>
  <c r="I128" i="3" s="1"/>
  <c r="F5" i="3"/>
  <c r="F128" i="3" s="1"/>
  <c r="Q4" i="3"/>
  <c r="Q3" i="3"/>
  <c r="Q128" i="3" l="1"/>
  <c r="Q5" i="3"/>
  <c r="Q33" i="3"/>
</calcChain>
</file>

<file path=xl/sharedStrings.xml><?xml version="1.0" encoding="utf-8"?>
<sst xmlns="http://schemas.openxmlformats.org/spreadsheetml/2006/main" count="1868" uniqueCount="291">
  <si>
    <t>ACTUAL Jan  2016</t>
  </si>
  <si>
    <t>ACTUAL Feb  2016</t>
  </si>
  <si>
    <t>ACTUAL Mar  2016</t>
  </si>
  <si>
    <t>ACTUAL Apr  2016</t>
  </si>
  <si>
    <t>ACTUAL May  2016</t>
  </si>
  <si>
    <t>ACTUAL June  2016</t>
  </si>
  <si>
    <t>ACTUAL July  2016</t>
  </si>
  <si>
    <t>ACTUAL Aug  2016</t>
  </si>
  <si>
    <t>ACTUAL Sep  2016</t>
  </si>
  <si>
    <t>FORECAST Oct  2016</t>
  </si>
  <si>
    <t>FORECAST Nov  2016</t>
  </si>
  <si>
    <t>FORECAST Dec  2016</t>
  </si>
  <si>
    <t>TOTAL</t>
  </si>
  <si>
    <t>CODE</t>
  </si>
  <si>
    <t>DESCRIPTION</t>
  </si>
  <si>
    <t>External Billings and Fees</t>
  </si>
  <si>
    <t>Billings - Media</t>
  </si>
  <si>
    <t>Billings - Non-Media</t>
  </si>
  <si>
    <t>Billings - Commissions</t>
  </si>
  <si>
    <t>Billings - Fees</t>
  </si>
  <si>
    <t>BRMC</t>
  </si>
  <si>
    <t>Billings - Media Rebates Credit</t>
  </si>
  <si>
    <t>BRMCA</t>
  </si>
  <si>
    <t>Billings - Media Rebates Credit accruals</t>
  </si>
  <si>
    <t>BRMI</t>
  </si>
  <si>
    <t>Billings - Media Rebates Invoiced</t>
  </si>
  <si>
    <t>BRMIA</t>
  </si>
  <si>
    <t>Billings - Media Rebates Invoiced accruals</t>
  </si>
  <si>
    <t>Billings - Media Rebates</t>
  </si>
  <si>
    <t xml:space="preserve">Billings - I/Group Rebates </t>
  </si>
  <si>
    <t>Billings - Media Rebates Release</t>
  </si>
  <si>
    <t>10018RG</t>
  </si>
  <si>
    <t>Billings - Media Rebates Gross Vendor True Ups</t>
  </si>
  <si>
    <t>10018RP</t>
  </si>
  <si>
    <t>Billings - Media Rebates Provisioned Vendor True-Ups</t>
  </si>
  <si>
    <t>Billings - Media Rebates Net Vendor True Ups</t>
  </si>
  <si>
    <t>Billings - Media Rebate Client True-Ups</t>
  </si>
  <si>
    <t>10020T</t>
  </si>
  <si>
    <t>Billings - Total Media Rebates</t>
  </si>
  <si>
    <t>BRNMC</t>
  </si>
  <si>
    <t>Billings - Non-Media Rebates Credit</t>
  </si>
  <si>
    <t>BRNMCA</t>
  </si>
  <si>
    <t>Billings - Non-Media Rebates Credit accruals</t>
  </si>
  <si>
    <t>BRNMI</t>
  </si>
  <si>
    <t>Billings - Non-Media Rebates Invoiced</t>
  </si>
  <si>
    <t>BRNMIA</t>
  </si>
  <si>
    <t>Billings - Non-Media Rebates Invoiced accruals</t>
  </si>
  <si>
    <t>Billings - Non-Media Rebates</t>
  </si>
  <si>
    <t>Billings - Barter</t>
  </si>
  <si>
    <t>Billings - Contract</t>
  </si>
  <si>
    <t>Billings - Specialist Agency Commission</t>
  </si>
  <si>
    <t xml:space="preserve">Billings - Trading Income </t>
  </si>
  <si>
    <t xml:space="preserve">Billings - Accrued Trading Income </t>
  </si>
  <si>
    <t xml:space="preserve">Billings - New Business Trading Income </t>
  </si>
  <si>
    <t xml:space="preserve">Billings - I/Group Trading Income </t>
  </si>
  <si>
    <t>Billings - I/Group</t>
  </si>
  <si>
    <t>Billings - WPP Discounts - Group</t>
  </si>
  <si>
    <t>CYR</t>
  </si>
  <si>
    <t>Billings - Current Year Incentives</t>
  </si>
  <si>
    <t>PYR</t>
  </si>
  <si>
    <t>Billings - Prior Year Incentives</t>
  </si>
  <si>
    <t>Billings - Client Incentive</t>
  </si>
  <si>
    <t>Billings - New Business</t>
  </si>
  <si>
    <t>Billings - Accrued</t>
  </si>
  <si>
    <t>Billings - 24/7</t>
  </si>
  <si>
    <t>Billings - Free Spaces</t>
  </si>
  <si>
    <t>Billings  - Deferred (Negative input)</t>
  </si>
  <si>
    <t>Billings - Adjustments</t>
  </si>
  <si>
    <t>TOTAL BILLINGS AND FEES</t>
  </si>
  <si>
    <t>COGS - Media</t>
  </si>
  <si>
    <t>COGS - Non-Media</t>
  </si>
  <si>
    <t>COGS - Commissions</t>
  </si>
  <si>
    <t>COGS - Fees</t>
  </si>
  <si>
    <t>COGS - Media Rebates Credit</t>
  </si>
  <si>
    <t>COGS - Media Rebates Credit accruals</t>
  </si>
  <si>
    <t>COGS - Media Rebates Invoiced</t>
  </si>
  <si>
    <t>COGS - Media Rebates Invoiced accruals</t>
  </si>
  <si>
    <t>COGS - Media Rebates</t>
  </si>
  <si>
    <t>COGS - I/Group Rebates</t>
  </si>
  <si>
    <t>COGS - Media Rebates Release</t>
  </si>
  <si>
    <t>10318RG</t>
  </si>
  <si>
    <t>COGS - Media Rebates Gross Vendor True Ups</t>
  </si>
  <si>
    <t>10318RP</t>
  </si>
  <si>
    <t>COGS - Media Rebates Provisioned Vendor True-Ups</t>
  </si>
  <si>
    <t>COGS - Media Rebates Net Vendor True Ups</t>
  </si>
  <si>
    <t>COGS - Media Rebate Client True-Ups</t>
  </si>
  <si>
    <t>10320T</t>
  </si>
  <si>
    <t>COGS - Total Media Rebates</t>
  </si>
  <si>
    <t>COGS - Non-Media Rebates Credit</t>
  </si>
  <si>
    <t>COGS - Non-Media Rebates Credit accruals</t>
  </si>
  <si>
    <t>COGS - Non-Media Rebates Invoiced</t>
  </si>
  <si>
    <t>COGS - Non-Media Rebates Invoiced accruals</t>
  </si>
  <si>
    <t>COGS - Non-Media Rebates</t>
  </si>
  <si>
    <t>COGS - Barter</t>
  </si>
  <si>
    <t>COGS - Contract</t>
  </si>
  <si>
    <t>COGS - Specialist Agency Commission</t>
  </si>
  <si>
    <t>COGS - Trading Income</t>
  </si>
  <si>
    <t>COGS - New Business Trading Income</t>
  </si>
  <si>
    <t>COGS - I/Group Trading Income</t>
  </si>
  <si>
    <t>COGS - I/Group</t>
  </si>
  <si>
    <t>COGS - Media Credits</t>
  </si>
  <si>
    <t>COGS - Current Year Incentives</t>
  </si>
  <si>
    <t>COGS - Prior Year Incentives</t>
  </si>
  <si>
    <t>COGS - Client Incentive</t>
  </si>
  <si>
    <t>COGS - Unclaimed Balances</t>
  </si>
  <si>
    <t>COGS - New Business</t>
  </si>
  <si>
    <t>COGS - Accrued</t>
  </si>
  <si>
    <t>COGS - 24/7</t>
  </si>
  <si>
    <t>COGS - Free Spaces</t>
  </si>
  <si>
    <t>COST OF GOODS SOLD (COGS)</t>
  </si>
  <si>
    <t>Revenue - Media</t>
  </si>
  <si>
    <t>Revenue - Non-Media</t>
  </si>
  <si>
    <t>Commissions</t>
  </si>
  <si>
    <t>Fees</t>
  </si>
  <si>
    <t>Revenue - Media Rebates Credit</t>
  </si>
  <si>
    <t>Revenue - Media Rebates Credit accruals</t>
  </si>
  <si>
    <t>Revenue - Media Rebates Invoiced</t>
  </si>
  <si>
    <t>Revenue - Media Rebates Invoiced accruals</t>
  </si>
  <si>
    <t>Revenue - Media Rebates</t>
  </si>
  <si>
    <t>Revenue - I/Group Rebates</t>
  </si>
  <si>
    <t>Revenue - Media Rebates Release</t>
  </si>
  <si>
    <t>10918RG</t>
  </si>
  <si>
    <t>Revenue - Media Rebates Gross Vendor True Ups</t>
  </si>
  <si>
    <t>10918RP</t>
  </si>
  <si>
    <t>Revenue - Media Rebates Provisioned Vendor True-Ups</t>
  </si>
  <si>
    <t>Revenue - Media Rebates Net Vendor True Ups</t>
  </si>
  <si>
    <t>Revenue - Media Rebate Client True-Ups</t>
  </si>
  <si>
    <t>10920T</t>
  </si>
  <si>
    <t>Revenue - Total Media Rebates</t>
  </si>
  <si>
    <t>Revenue - Non-Media Rebates Credit</t>
  </si>
  <si>
    <t>Revenue - Non-Media Rebates Credit accruals</t>
  </si>
  <si>
    <t>Revenue - Non-Media Rebates Invoiced</t>
  </si>
  <si>
    <t>Revenue - Non-Media Rebates Invoiced accruals</t>
  </si>
  <si>
    <t>Revenue - Non-Media Rebates</t>
  </si>
  <si>
    <t>Production Rebates</t>
  </si>
  <si>
    <t>Revenue - Barter</t>
  </si>
  <si>
    <t>Contract revenue</t>
  </si>
  <si>
    <t>Revenue - Specialist Agency Commission</t>
  </si>
  <si>
    <t>Revenue - Trading Income</t>
  </si>
  <si>
    <t>Revenue - Accrued Trading Income</t>
  </si>
  <si>
    <t>Revenue - New Business Trading Income</t>
  </si>
  <si>
    <t>Revenue - I/Group Trading Income</t>
  </si>
  <si>
    <t>I/Group Revenue</t>
  </si>
  <si>
    <t>Media Credits</t>
  </si>
  <si>
    <t>WPP Discounts - Group Revenue</t>
  </si>
  <si>
    <t>Current Year Incentives</t>
  </si>
  <si>
    <t>Prior Year Incentives</t>
  </si>
  <si>
    <t>Client Incentive Revenue</t>
  </si>
  <si>
    <t>Unclaimed Balances</t>
  </si>
  <si>
    <t>New Business Revenue</t>
  </si>
  <si>
    <t>Revenue - Accrued</t>
  </si>
  <si>
    <t>24/7 Revenue</t>
  </si>
  <si>
    <t>Revenue - Free Spaces</t>
  </si>
  <si>
    <t>Revenue - Deferred (Negative input)</t>
  </si>
  <si>
    <t>Revenue - Adjustments</t>
  </si>
  <si>
    <t>REVENUE</t>
  </si>
  <si>
    <t>TOTAL DIRECT COSTS</t>
  </si>
  <si>
    <t>GROSS MARGIN / NET SALES</t>
  </si>
  <si>
    <t>Maxus</t>
  </si>
  <si>
    <t>Ferrero</t>
  </si>
  <si>
    <t>Bank of Montreal</t>
  </si>
  <si>
    <t>Suncor</t>
  </si>
  <si>
    <t>Treasury Wine Estates</t>
  </si>
  <si>
    <t>Church &amp; Dwight</t>
  </si>
  <si>
    <t>Little Caesars</t>
  </si>
  <si>
    <t>Kruger</t>
  </si>
  <si>
    <t>MLSE</t>
  </si>
  <si>
    <t>Xaxis Canada</t>
  </si>
  <si>
    <t>Valeant</t>
  </si>
  <si>
    <t>Universal</t>
  </si>
  <si>
    <t>Revlon</t>
  </si>
  <si>
    <t>SC Johnson</t>
  </si>
  <si>
    <t>Panera Bread</t>
  </si>
  <si>
    <t>HUF</t>
  </si>
  <si>
    <t>Pandora</t>
  </si>
  <si>
    <t>World Vision</t>
  </si>
  <si>
    <t>Air France</t>
  </si>
  <si>
    <t>BEHR</t>
  </si>
  <si>
    <t>Nestle</t>
  </si>
  <si>
    <t>Osram</t>
  </si>
  <si>
    <t>Cetaphil</t>
  </si>
  <si>
    <t>PATAKS</t>
  </si>
  <si>
    <t>UPS</t>
  </si>
  <si>
    <t>Kilz</t>
  </si>
  <si>
    <t>MEC</t>
  </si>
  <si>
    <t>Cara Operations</t>
  </si>
  <si>
    <t>Edgewell</t>
  </si>
  <si>
    <t>Energizer</t>
  </si>
  <si>
    <t>Molson</t>
  </si>
  <si>
    <t>Scotts Canada</t>
  </si>
  <si>
    <t>Toronto Tourism</t>
  </si>
  <si>
    <t>Visit Orlando</t>
  </si>
  <si>
    <t>Pfizer</t>
  </si>
  <si>
    <t>Dare Foods</t>
  </si>
  <si>
    <t>Hays</t>
  </si>
  <si>
    <t>United Nations High Commissioner for Refugees</t>
  </si>
  <si>
    <t>General Electric</t>
  </si>
  <si>
    <t>Governor General</t>
  </si>
  <si>
    <t>L'Oreal</t>
  </si>
  <si>
    <t>BlackRock</t>
  </si>
  <si>
    <t>Discover Boating</t>
  </si>
  <si>
    <t>Nespresso</t>
  </si>
  <si>
    <t>Manifest (Kids Help Phone)</t>
  </si>
  <si>
    <t>Reliance</t>
  </si>
  <si>
    <t>Next Direct</t>
  </si>
  <si>
    <t>Energizer/Edgewell</t>
  </si>
  <si>
    <t>Banana Boat</t>
  </si>
  <si>
    <t>Harvey's</t>
  </si>
  <si>
    <t>Montana's</t>
  </si>
  <si>
    <t>MEC Montreal</t>
  </si>
  <si>
    <t>Investors Group (Direct Client)</t>
  </si>
  <si>
    <t>Brand Source (Direct Client)</t>
  </si>
  <si>
    <t>Financière Liberté 55 (Direct Client)</t>
  </si>
  <si>
    <t>Mediacom</t>
  </si>
  <si>
    <t>Canadian Tire</t>
  </si>
  <si>
    <t>CIBC</t>
  </si>
  <si>
    <t>Yum</t>
  </si>
  <si>
    <t>Tetley Tea</t>
  </si>
  <si>
    <t>Atlific Hotels</t>
  </si>
  <si>
    <t>Canadian Cancer Society</t>
  </si>
  <si>
    <t>Mars Wrigleys</t>
  </si>
  <si>
    <t>Pfizer MC Montreal</t>
  </si>
  <si>
    <t>TJX</t>
  </si>
  <si>
    <t>Shell</t>
  </si>
  <si>
    <t>Husqvarna</t>
  </si>
  <si>
    <t>Dairy Queen</t>
  </si>
  <si>
    <t>Flight Centre</t>
  </si>
  <si>
    <t>Michelin</t>
  </si>
  <si>
    <t>President's Choice</t>
  </si>
  <si>
    <t>Canon</t>
  </si>
  <si>
    <t>Volkswagen</t>
  </si>
  <si>
    <t>Diagio</t>
  </si>
  <si>
    <t>Expedia</t>
  </si>
  <si>
    <t>Bayer</t>
  </si>
  <si>
    <t>Whirlpool</t>
  </si>
  <si>
    <t>Industrielle Alliance</t>
  </si>
  <si>
    <t>Starbucks</t>
  </si>
  <si>
    <t>Kubota</t>
  </si>
  <si>
    <t>BC Centre for Disease Control</t>
  </si>
  <si>
    <t>Combe</t>
  </si>
  <si>
    <t>BC Used Oil</t>
  </si>
  <si>
    <t>Sherwin Williams</t>
  </si>
  <si>
    <t>Siemens</t>
  </si>
  <si>
    <t>Grant Thornton</t>
  </si>
  <si>
    <t>GTAA</t>
  </si>
  <si>
    <t>Indeed</t>
  </si>
  <si>
    <t>Tempur-Sealy</t>
  </si>
  <si>
    <t>ATCO energry CDN</t>
  </si>
  <si>
    <t>Lenar Homes</t>
  </si>
  <si>
    <t>SEARS</t>
  </si>
  <si>
    <t>TFB &amp; Associate</t>
  </si>
  <si>
    <t>New Business/Blue Sky (Mediacom)</t>
  </si>
  <si>
    <t>Mindshare</t>
  </si>
  <si>
    <t>American Express</t>
  </si>
  <si>
    <t>Air Canada</t>
  </si>
  <si>
    <t>Cisco</t>
  </si>
  <si>
    <t>Dyson</t>
  </si>
  <si>
    <t>Delta</t>
  </si>
  <si>
    <t>Ford</t>
  </si>
  <si>
    <t>Heart &amp; Stroke</t>
  </si>
  <si>
    <t>Jaguar Land Rover</t>
  </si>
  <si>
    <t>Mazda</t>
  </si>
  <si>
    <t>Motts Canada</t>
  </si>
  <si>
    <t>Walmart</t>
  </si>
  <si>
    <t>Smuckers</t>
  </si>
  <si>
    <t>Tim Hortons</t>
  </si>
  <si>
    <t>Swiss Int'l Air Lines</t>
  </si>
  <si>
    <t>Forevermark</t>
  </si>
  <si>
    <t>LG</t>
  </si>
  <si>
    <t>University of Toronto</t>
  </si>
  <si>
    <t>Manulife</t>
  </si>
  <si>
    <t>3M</t>
  </si>
  <si>
    <t>John Deere</t>
  </si>
  <si>
    <t>Booking.com</t>
  </si>
  <si>
    <t>Nordstrom</t>
  </si>
  <si>
    <t>Egypt Tourism Authority</t>
  </si>
  <si>
    <t>Direct Client</t>
  </si>
  <si>
    <t>Kraft Food Service (Direct Client)</t>
  </si>
  <si>
    <t xml:space="preserve">Presidents Choice </t>
  </si>
  <si>
    <t>JUST EAT</t>
  </si>
  <si>
    <t>Toronto Symphony Orchestra</t>
  </si>
  <si>
    <t>Universal Music Canada</t>
  </si>
  <si>
    <t>McEathron Media</t>
  </si>
  <si>
    <t>Shaw Media</t>
  </si>
  <si>
    <t>Mirium Agency</t>
  </si>
  <si>
    <t>GREY Vancouver</t>
  </si>
  <si>
    <t>Kanetix</t>
  </si>
  <si>
    <t>REVENUES</t>
  </si>
  <si>
    <t>Marketplace</t>
  </si>
  <si>
    <t>Investors Group</t>
  </si>
  <si>
    <t>Financière Liberté 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</si>
</sst>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mmm\-yy;@"/>
    <numFmt numFmtId="180" formatCode="_(* #,##0.0000000000000000_);_(* \(#,##0.00000000000000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0" fontId="0" fillId="2" borderId="0" xfId="0" applyFill="1"/>
    <xf numFmtId="43" fontId="0" fillId="0" borderId="0" xfId="1" applyFont="1" applyFill="1"/>
    <xf numFmtId="43" fontId="3" fillId="0" borderId="0" xfId="1" applyFont="1" applyFill="1"/>
    <xf numFmtId="43" fontId="2" fillId="0" borderId="0" xfId="1" applyFont="1" applyFill="1"/>
    <xf numFmtId="43" fontId="1" fillId="0" borderId="0" xfId="1" applyFont="1" applyFill="1"/>
    <xf numFmtId="164" fontId="0" fillId="0" borderId="0" xfId="0" applyNumberFormat="1"/>
    <xf numFmtId="0" fontId="0" fillId="2" borderId="1" xfId="0" applyFill="1" applyBorder="1"/>
    <xf numFmtId="0" fontId="0" fillId="0" borderId="1" xfId="0" applyBorder="1"/>
    <xf numFmtId="43" fontId="1" fillId="0" borderId="1" xfId="1" applyFont="1" applyFill="1" applyBorder="1"/>
    <xf numFmtId="43" fontId="0" fillId="0" borderId="1" xfId="1" applyFont="1" applyFill="1" applyBorder="1"/>
    <xf numFmtId="43" fontId="3" fillId="0" borderId="1" xfId="1" applyFont="1" applyFill="1" applyBorder="1"/>
    <xf numFmtId="0" fontId="0" fillId="2" borderId="2" xfId="0" applyFill="1" applyBorder="1"/>
    <xf numFmtId="0" fontId="0" fillId="0" borderId="2" xfId="0" applyBorder="1"/>
    <xf numFmtId="43" fontId="0" fillId="0" borderId="2" xfId="1" applyFont="1" applyFill="1" applyBorder="1"/>
    <xf numFmtId="43" fontId="3" fillId="0" borderId="2" xfId="1" applyFont="1" applyFill="1" applyBorder="1"/>
    <xf numFmtId="0" fontId="0" fillId="2" borderId="0" xfId="0" applyFill="1" applyBorder="1"/>
    <xf numFmtId="0" fontId="0" fillId="0" borderId="0" xfId="0" applyBorder="1"/>
    <xf numFmtId="43" fontId="0" fillId="0" borderId="0" xfId="1" applyFont="1" applyFill="1" applyBorder="1"/>
    <xf numFmtId="43" fontId="3" fillId="0" borderId="0" xfId="1" applyFont="1" applyFill="1" applyBorder="1"/>
    <xf numFmtId="0" fontId="3" fillId="2" borderId="3" xfId="0" applyFont="1" applyFill="1" applyBorder="1"/>
    <xf numFmtId="0" fontId="3" fillId="0" borderId="3" xfId="0" applyFont="1" applyBorder="1"/>
    <xf numFmtId="43" fontId="3" fillId="0" borderId="3" xfId="1" applyFont="1" applyFill="1" applyBorder="1"/>
    <xf numFmtId="0" fontId="0" fillId="0" borderId="3" xfId="0" applyBorder="1"/>
    <xf numFmtId="0" fontId="4" fillId="0" borderId="0" xfId="0" applyFont="1"/>
    <xf numFmtId="180" fontId="0" fillId="0" borderId="0" xfId="1" applyNumberFormat="1" applyFont="1" applyFill="1"/>
    <xf numFmtId="180" fontId="3" fillId="0" borderId="0" xfId="1" applyNumberFormat="1" applyFont="1" applyFill="1"/>
    <xf numFmtId="180" fontId="2" fillId="0" borderId="0" xfId="1" applyNumberFormat="1" applyFont="1" applyFill="1"/>
    <xf numFmtId="180" fontId="1" fillId="0" borderId="0" xfId="1" applyNumberFormat="1" applyFont="1" applyFill="1"/>
    <xf numFmtId="180" fontId="1" fillId="0" borderId="1" xfId="1" applyNumberFormat="1" applyFont="1" applyFill="1" applyBorder="1"/>
    <xf numFmtId="180" fontId="0" fillId="0" borderId="1" xfId="1" applyNumberFormat="1" applyFont="1" applyFill="1" applyBorder="1"/>
    <xf numFmtId="180" fontId="3" fillId="0" borderId="1" xfId="1" applyNumberFormat="1" applyFont="1" applyFill="1" applyBorder="1"/>
    <xf numFmtId="180" fontId="0" fillId="0" borderId="2" xfId="1" applyNumberFormat="1" applyFont="1" applyFill="1" applyBorder="1"/>
    <xf numFmtId="180" fontId="3" fillId="0" borderId="2" xfId="1" applyNumberFormat="1" applyFont="1" applyFill="1" applyBorder="1"/>
    <xf numFmtId="180" fontId="0" fillId="0" borderId="0" xfId="1" applyNumberFormat="1" applyFont="1" applyFill="1" applyBorder="1"/>
    <xf numFmtId="180" fontId="3" fillId="0" borderId="0" xfId="1" applyNumberFormat="1" applyFont="1" applyFill="1" applyBorder="1"/>
    <xf numFmtId="180" fontId="3" fillId="0" borderId="3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33"/>
  <sheetViews>
    <sheetView topLeftCell="B1" zoomScale="90" zoomScaleNormal="90" workbookViewId="0">
      <selection activeCell="C134" sqref="C134"/>
    </sheetView>
  </sheetViews>
  <sheetFormatPr defaultRowHeight="15" x14ac:dyDescent="0.25"/>
  <cols>
    <col min="1" max="1" width="8.85546875" bestFit="1" customWidth="1"/>
    <col min="3" max="3" width="66.140625" bestFit="1" customWidth="1"/>
    <col min="4" max="4" width="16.140625" bestFit="1" customWidth="1"/>
    <col min="5" max="5" width="16.5703125" bestFit="1" customWidth="1"/>
    <col min="6" max="6" width="16.7109375" bestFit="1" customWidth="1"/>
    <col min="7" max="7" width="16.42578125" bestFit="1" customWidth="1"/>
    <col min="8" max="8" width="17" bestFit="1" customWidth="1"/>
    <col min="9" max="9" width="17.5703125" bestFit="1" customWidth="1"/>
    <col min="10" max="11" width="16.7109375" bestFit="1" customWidth="1"/>
    <col min="12" max="12" width="16.5703125" bestFit="1" customWidth="1"/>
    <col min="13" max="13" width="18.5703125" bestFit="1" customWidth="1"/>
    <col min="14" max="14" width="19.140625" bestFit="1" customWidth="1"/>
    <col min="15" max="15" width="18.85546875" bestFit="1" customWidth="1"/>
    <col min="16" max="16" width="10" style="1" bestFit="1" customWidth="1"/>
  </cols>
  <sheetData>
    <row r="1" spans="1:16" x14ac:dyDescent="0.25">
      <c r="C1" s="25">
        <v>1.2903230000000001</v>
      </c>
    </row>
    <row r="2" spans="1:16" x14ac:dyDescent="0.25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s="1" t="s">
        <v>12</v>
      </c>
    </row>
    <row r="4" spans="1:16" x14ac:dyDescent="0.25">
      <c r="A4" t="s">
        <v>13</v>
      </c>
      <c r="C4" t="s">
        <v>14</v>
      </c>
    </row>
    <row r="6" spans="1:16" x14ac:dyDescent="0.25">
      <c r="A6">
        <v>10001</v>
      </c>
      <c r="C6" t="s">
        <v>15</v>
      </c>
      <c r="D6">
        <f>'2016 Q3RF Xaxis Canada -- CAD'!D6/$C$1</f>
        <v>0</v>
      </c>
      <c r="E6">
        <f>'2016 Q3RF Xaxis Canada -- CAD'!E6/$C$1</f>
        <v>0</v>
      </c>
      <c r="F6">
        <f>'2016 Q3RF Xaxis Canada -- CAD'!F6/$C$1</f>
        <v>0</v>
      </c>
      <c r="G6">
        <f>'2016 Q3RF Xaxis Canada -- CAD'!G6/$C$1</f>
        <v>0</v>
      </c>
      <c r="H6">
        <f>'2016 Q3RF Xaxis Canada -- CAD'!H6/$C$1</f>
        <v>0</v>
      </c>
      <c r="I6">
        <f>'2016 Q3RF Xaxis Canada -- CAD'!I6/$C$1</f>
        <v>0</v>
      </c>
      <c r="J6">
        <f>'2016 Q3RF Xaxis Canada -- CAD'!J6/$C$1</f>
        <v>0</v>
      </c>
      <c r="K6">
        <f>'2016 Q3RF Xaxis Canada -- CAD'!K6/$C$1</f>
        <v>0</v>
      </c>
      <c r="L6">
        <f>'2016 Q3RF Xaxis Canada -- CAD'!L6/$C$1</f>
        <v>0</v>
      </c>
      <c r="M6">
        <f>'2016 Q3RF Xaxis Canada -- CAD'!M6/$C$1</f>
        <v>0</v>
      </c>
      <c r="N6">
        <f>'2016 Q3RF Xaxis Canada -- CAD'!N6/$C$1</f>
        <v>0</v>
      </c>
      <c r="O6">
        <f>'2016 Q3RF Xaxis Canada -- CAD'!O6/$C$1</f>
        <v>0</v>
      </c>
      <c r="P6" s="1">
        <f>'2016 Q3RF Xaxis Canada -- CAD'!P6/$C$1</f>
        <v>0</v>
      </c>
    </row>
    <row r="7" spans="1:16" x14ac:dyDescent="0.25">
      <c r="A7">
        <v>10006</v>
      </c>
      <c r="C7" t="s">
        <v>16</v>
      </c>
    </row>
    <row r="8" spans="1:16" x14ac:dyDescent="0.25">
      <c r="A8">
        <v>10008</v>
      </c>
      <c r="C8" t="s">
        <v>17</v>
      </c>
    </row>
    <row r="9" spans="1:16" x14ac:dyDescent="0.25">
      <c r="A9">
        <v>10010</v>
      </c>
      <c r="C9" t="s">
        <v>18</v>
      </c>
    </row>
    <row r="10" spans="1:16" x14ac:dyDescent="0.25">
      <c r="A10">
        <v>10015</v>
      </c>
      <c r="C10" t="s">
        <v>19</v>
      </c>
    </row>
    <row r="11" spans="1:16" x14ac:dyDescent="0.25">
      <c r="A11" t="s">
        <v>20</v>
      </c>
      <c r="C11" t="s">
        <v>21</v>
      </c>
    </row>
    <row r="12" spans="1:16" x14ac:dyDescent="0.25">
      <c r="A12" t="s">
        <v>22</v>
      </c>
      <c r="C12" t="s">
        <v>23</v>
      </c>
    </row>
    <row r="13" spans="1:16" x14ac:dyDescent="0.25">
      <c r="A13" t="s">
        <v>24</v>
      </c>
      <c r="C13" t="s">
        <v>25</v>
      </c>
    </row>
    <row r="14" spans="1:16" x14ac:dyDescent="0.25">
      <c r="A14" t="s">
        <v>26</v>
      </c>
      <c r="C14" t="s">
        <v>27</v>
      </c>
    </row>
    <row r="15" spans="1:16" x14ac:dyDescent="0.25">
      <c r="A15">
        <v>10020</v>
      </c>
      <c r="C15" t="s">
        <v>28</v>
      </c>
    </row>
    <row r="16" spans="1:16" x14ac:dyDescent="0.25">
      <c r="A16">
        <v>10016</v>
      </c>
      <c r="C16" t="s">
        <v>29</v>
      </c>
    </row>
    <row r="17" spans="1:16" x14ac:dyDescent="0.25">
      <c r="A17">
        <v>10017</v>
      </c>
      <c r="C17" t="s">
        <v>30</v>
      </c>
    </row>
    <row r="18" spans="1:16" x14ac:dyDescent="0.25">
      <c r="A18" t="s">
        <v>31</v>
      </c>
      <c r="C18" t="s">
        <v>32</v>
      </c>
    </row>
    <row r="19" spans="1:16" x14ac:dyDescent="0.25">
      <c r="A19" t="s">
        <v>33</v>
      </c>
      <c r="C19" t="s">
        <v>34</v>
      </c>
    </row>
    <row r="20" spans="1:16" x14ac:dyDescent="0.25">
      <c r="A20">
        <v>10018</v>
      </c>
      <c r="C20" t="s">
        <v>35</v>
      </c>
    </row>
    <row r="21" spans="1:16" x14ac:dyDescent="0.25">
      <c r="A21">
        <v>10019</v>
      </c>
      <c r="C21" t="s">
        <v>36</v>
      </c>
    </row>
    <row r="22" spans="1:16" x14ac:dyDescent="0.25">
      <c r="A22" t="s">
        <v>37</v>
      </c>
      <c r="C22" t="s">
        <v>38</v>
      </c>
    </row>
    <row r="23" spans="1:16" x14ac:dyDescent="0.25">
      <c r="A23" t="s">
        <v>39</v>
      </c>
      <c r="C23" t="s">
        <v>40</v>
      </c>
    </row>
    <row r="24" spans="1:16" x14ac:dyDescent="0.25">
      <c r="A24" t="s">
        <v>41</v>
      </c>
      <c r="C24" t="s">
        <v>42</v>
      </c>
    </row>
    <row r="25" spans="1:16" x14ac:dyDescent="0.25">
      <c r="A25" t="s">
        <v>43</v>
      </c>
      <c r="C25" t="s">
        <v>44</v>
      </c>
    </row>
    <row r="26" spans="1:16" x14ac:dyDescent="0.25">
      <c r="A26" t="s">
        <v>45</v>
      </c>
      <c r="C26" t="s">
        <v>46</v>
      </c>
    </row>
    <row r="27" spans="1:16" x14ac:dyDescent="0.25">
      <c r="A27">
        <v>10021</v>
      </c>
      <c r="C27" t="s">
        <v>47</v>
      </c>
    </row>
    <row r="28" spans="1:16" x14ac:dyDescent="0.25">
      <c r="A28">
        <v>10024</v>
      </c>
      <c r="C28" t="s">
        <v>48</v>
      </c>
    </row>
    <row r="29" spans="1:16" x14ac:dyDescent="0.25">
      <c r="A29">
        <v>10025</v>
      </c>
      <c r="C29" t="s">
        <v>49</v>
      </c>
    </row>
    <row r="30" spans="1:16" x14ac:dyDescent="0.25">
      <c r="A30">
        <v>10026</v>
      </c>
      <c r="C30" t="s">
        <v>50</v>
      </c>
    </row>
    <row r="31" spans="1:16" x14ac:dyDescent="0.25">
      <c r="A31">
        <v>10027</v>
      </c>
      <c r="C31" t="s">
        <v>51</v>
      </c>
      <c r="D31">
        <f>'2016 Q3RF Xaxis Canada -- CAD'!D31/$C$1</f>
        <v>2356.3797591765779</v>
      </c>
      <c r="E31">
        <f>'2016 Q3RF Xaxis Canada -- CAD'!E31/$C$1</f>
        <v>2836.4789281443482</v>
      </c>
      <c r="F31">
        <f>'2016 Q3RF Xaxis Canada -- CAD'!F31/$C$1</f>
        <v>2874.694165724396</v>
      </c>
      <c r="G31">
        <f>'2016 Q3RF Xaxis Canada -- CAD'!G31/$C$1</f>
        <v>3487.3066666253335</v>
      </c>
      <c r="H31">
        <f>'2016 Q3RF Xaxis Canada -- CAD'!H31/$C$1</f>
        <v>4647.1139396879698</v>
      </c>
      <c r="I31">
        <f>'2016 Q3RF Xaxis Canada -- CAD'!I31/$C$1</f>
        <v>3557.5309438024428</v>
      </c>
      <c r="J31">
        <f>'2016 Q3RF Xaxis Canada -- CAD'!J31/$C$1</f>
        <v>3633.0670692532021</v>
      </c>
      <c r="K31">
        <f>'2016 Q3RF Xaxis Canada -- CAD'!K31/$C$1</f>
        <v>4524.9972293759001</v>
      </c>
      <c r="L31">
        <f>'2016 Q3RF Xaxis Canada -- CAD'!L31/$C$1</f>
        <v>5098.2862430569703</v>
      </c>
      <c r="M31">
        <f>'2016 Q3RF Xaxis Canada -- CAD'!M31/$C$1</f>
        <v>4895.2580090411466</v>
      </c>
      <c r="N31">
        <f>'2016 Q3RF Xaxis Canada -- CAD'!N31/$C$1</f>
        <v>5294.0085544472195</v>
      </c>
      <c r="O31">
        <f>'2016 Q3RF Xaxis Canada -- CAD'!O31/$C$1</f>
        <v>5147.1794271666859</v>
      </c>
      <c r="P31" s="1">
        <f>'2016 Q3RF Xaxis Canada -- CAD'!P31/$C$1</f>
        <v>48352.300935502193</v>
      </c>
    </row>
    <row r="32" spans="1:16" x14ac:dyDescent="0.25">
      <c r="A32">
        <v>10028</v>
      </c>
      <c r="C32" t="s">
        <v>52</v>
      </c>
    </row>
    <row r="33" spans="1:16" x14ac:dyDescent="0.25">
      <c r="A33">
        <v>10023</v>
      </c>
      <c r="C33" t="s">
        <v>53</v>
      </c>
    </row>
    <row r="34" spans="1:16" x14ac:dyDescent="0.25">
      <c r="A34">
        <v>10029</v>
      </c>
      <c r="C34" t="s">
        <v>54</v>
      </c>
    </row>
    <row r="35" spans="1:16" x14ac:dyDescent="0.25">
      <c r="A35">
        <v>10030</v>
      </c>
      <c r="C35" t="s">
        <v>55</v>
      </c>
    </row>
    <row r="36" spans="1:16" x14ac:dyDescent="0.25">
      <c r="A36">
        <v>10040</v>
      </c>
      <c r="C36" t="s">
        <v>56</v>
      </c>
    </row>
    <row r="37" spans="1:16" x14ac:dyDescent="0.25">
      <c r="A37" t="s">
        <v>57</v>
      </c>
      <c r="C37" t="s">
        <v>58</v>
      </c>
    </row>
    <row r="38" spans="1:16" x14ac:dyDescent="0.25">
      <c r="A38" t="s">
        <v>59</v>
      </c>
      <c r="C38" t="s">
        <v>60</v>
      </c>
    </row>
    <row r="39" spans="1:16" x14ac:dyDescent="0.25">
      <c r="A39">
        <v>10045</v>
      </c>
      <c r="C39" t="s">
        <v>61</v>
      </c>
    </row>
    <row r="40" spans="1:16" x14ac:dyDescent="0.25">
      <c r="A40">
        <v>10055</v>
      </c>
      <c r="C40" t="s">
        <v>62</v>
      </c>
      <c r="D40">
        <f>'2016 Q3RF Xaxis Canada -- CAD'!D40/$C$1</f>
        <v>0</v>
      </c>
      <c r="E40">
        <f>'2016 Q3RF Xaxis Canada -- CAD'!E40/$C$1</f>
        <v>0</v>
      </c>
      <c r="F40">
        <f>'2016 Q3RF Xaxis Canada -- CAD'!F40/$C$1</f>
        <v>0</v>
      </c>
      <c r="G40">
        <f>'2016 Q3RF Xaxis Canada -- CAD'!G40/$C$1</f>
        <v>0</v>
      </c>
      <c r="H40">
        <f>'2016 Q3RF Xaxis Canada -- CAD'!H40/$C$1</f>
        <v>0</v>
      </c>
      <c r="I40">
        <f>'2016 Q3RF Xaxis Canada -- CAD'!I40/$C$1</f>
        <v>0</v>
      </c>
      <c r="J40">
        <f>'2016 Q3RF Xaxis Canada -- CAD'!J40/$C$1</f>
        <v>0</v>
      </c>
      <c r="K40">
        <f>'2016 Q3RF Xaxis Canada -- CAD'!K40/$C$1</f>
        <v>0</v>
      </c>
      <c r="L40">
        <f>'2016 Q3RF Xaxis Canada -- CAD'!L40/$C$1</f>
        <v>0</v>
      </c>
      <c r="M40">
        <f>'2016 Q3RF Xaxis Canada -- CAD'!M40/$C$1</f>
        <v>0</v>
      </c>
      <c r="N40">
        <f>'2016 Q3RF Xaxis Canada -- CAD'!N40/$C$1</f>
        <v>0</v>
      </c>
      <c r="O40">
        <f>'2016 Q3RF Xaxis Canada -- CAD'!O40/$C$1</f>
        <v>0</v>
      </c>
      <c r="P40" s="1">
        <f>'2016 Q3RF Xaxis Canada -- CAD'!P40/$C$1</f>
        <v>0</v>
      </c>
    </row>
    <row r="41" spans="1:16" x14ac:dyDescent="0.25">
      <c r="A41">
        <v>10058</v>
      </c>
      <c r="C41" t="s">
        <v>63</v>
      </c>
    </row>
    <row r="42" spans="1:16" x14ac:dyDescent="0.25">
      <c r="A42">
        <v>10060</v>
      </c>
      <c r="C42" t="s">
        <v>64</v>
      </c>
    </row>
    <row r="43" spans="1:16" x14ac:dyDescent="0.25">
      <c r="A43">
        <v>10062</v>
      </c>
      <c r="C43" t="s">
        <v>65</v>
      </c>
    </row>
    <row r="44" spans="1:16" x14ac:dyDescent="0.25">
      <c r="A44">
        <v>10065</v>
      </c>
      <c r="C44" t="s">
        <v>66</v>
      </c>
    </row>
    <row r="45" spans="1:16" x14ac:dyDescent="0.25">
      <c r="A45">
        <v>10069</v>
      </c>
      <c r="C45" t="s">
        <v>67</v>
      </c>
    </row>
    <row r="46" spans="1:16" x14ac:dyDescent="0.25">
      <c r="A46">
        <v>10000</v>
      </c>
      <c r="C46" t="s">
        <v>68</v>
      </c>
      <c r="D46">
        <f>'2016 Q3RF Xaxis Canada -- CAD'!D46/$C$1</f>
        <v>2356.3797591765779</v>
      </c>
      <c r="E46">
        <f>'2016 Q3RF Xaxis Canada -- CAD'!E46/$C$1</f>
        <v>2836.4789281443482</v>
      </c>
      <c r="F46">
        <f>'2016 Q3RF Xaxis Canada -- CAD'!F46/$C$1</f>
        <v>2874.694165724396</v>
      </c>
      <c r="G46">
        <f>'2016 Q3RF Xaxis Canada -- CAD'!G46/$C$1</f>
        <v>3487.3066666253335</v>
      </c>
      <c r="H46">
        <f>'2016 Q3RF Xaxis Canada -- CAD'!H46/$C$1</f>
        <v>4647.1139396879698</v>
      </c>
      <c r="I46">
        <f>'2016 Q3RF Xaxis Canada -- CAD'!I46/$C$1</f>
        <v>3557.5309438024428</v>
      </c>
      <c r="J46">
        <f>'2016 Q3RF Xaxis Canada -- CAD'!J46/$C$1</f>
        <v>3633.0670692532021</v>
      </c>
      <c r="K46">
        <f>'2016 Q3RF Xaxis Canada -- CAD'!K46/$C$1</f>
        <v>4524.9972293759001</v>
      </c>
      <c r="L46">
        <f>'2016 Q3RF Xaxis Canada -- CAD'!L46/$C$1</f>
        <v>5098.2862430569703</v>
      </c>
      <c r="M46">
        <f>'2016 Q3RF Xaxis Canada -- CAD'!M46/$C$1</f>
        <v>4895.2580090411466</v>
      </c>
      <c r="N46">
        <f>'2016 Q3RF Xaxis Canada -- CAD'!N46/$C$1</f>
        <v>5294.0085544472195</v>
      </c>
      <c r="O46">
        <f>'2016 Q3RF Xaxis Canada -- CAD'!O46/$C$1</f>
        <v>5147.1794271666859</v>
      </c>
      <c r="P46" s="1">
        <f>'2016 Q3RF Xaxis Canada -- CAD'!P46/$C$1</f>
        <v>48352.300935502193</v>
      </c>
    </row>
    <row r="48" spans="1:16" x14ac:dyDescent="0.25">
      <c r="A48">
        <v>10306</v>
      </c>
      <c r="C48" t="s">
        <v>69</v>
      </c>
    </row>
    <row r="49" spans="1:3" x14ac:dyDescent="0.25">
      <c r="A49">
        <v>10308</v>
      </c>
      <c r="C49" t="s">
        <v>70</v>
      </c>
    </row>
    <row r="50" spans="1:3" x14ac:dyDescent="0.25">
      <c r="A50">
        <v>10310</v>
      </c>
      <c r="C50" t="s">
        <v>71</v>
      </c>
    </row>
    <row r="51" spans="1:3" x14ac:dyDescent="0.25">
      <c r="A51">
        <v>10315</v>
      </c>
      <c r="C51" t="s">
        <v>72</v>
      </c>
    </row>
    <row r="52" spans="1:3" x14ac:dyDescent="0.25">
      <c r="A52" t="s">
        <v>20</v>
      </c>
      <c r="C52" t="s">
        <v>73</v>
      </c>
    </row>
    <row r="53" spans="1:3" x14ac:dyDescent="0.25">
      <c r="A53" t="s">
        <v>22</v>
      </c>
      <c r="C53" t="s">
        <v>74</v>
      </c>
    </row>
    <row r="54" spans="1:3" x14ac:dyDescent="0.25">
      <c r="A54" t="s">
        <v>24</v>
      </c>
      <c r="C54" t="s">
        <v>75</v>
      </c>
    </row>
    <row r="55" spans="1:3" x14ac:dyDescent="0.25">
      <c r="A55" t="s">
        <v>26</v>
      </c>
      <c r="C55" t="s">
        <v>76</v>
      </c>
    </row>
    <row r="56" spans="1:3" x14ac:dyDescent="0.25">
      <c r="A56">
        <v>10320</v>
      </c>
      <c r="C56" t="s">
        <v>77</v>
      </c>
    </row>
    <row r="57" spans="1:3" x14ac:dyDescent="0.25">
      <c r="A57">
        <v>10316</v>
      </c>
      <c r="C57" t="s">
        <v>78</v>
      </c>
    </row>
    <row r="58" spans="1:3" x14ac:dyDescent="0.25">
      <c r="A58">
        <v>10317</v>
      </c>
      <c r="C58" t="s">
        <v>79</v>
      </c>
    </row>
    <row r="59" spans="1:3" x14ac:dyDescent="0.25">
      <c r="A59" t="s">
        <v>80</v>
      </c>
      <c r="C59" t="s">
        <v>81</v>
      </c>
    </row>
    <row r="60" spans="1:3" x14ac:dyDescent="0.25">
      <c r="A60" t="s">
        <v>82</v>
      </c>
      <c r="C60" t="s">
        <v>83</v>
      </c>
    </row>
    <row r="61" spans="1:3" x14ac:dyDescent="0.25">
      <c r="A61">
        <v>10318</v>
      </c>
      <c r="C61" t="s">
        <v>84</v>
      </c>
    </row>
    <row r="62" spans="1:3" x14ac:dyDescent="0.25">
      <c r="A62">
        <v>10319</v>
      </c>
      <c r="C62" t="s">
        <v>85</v>
      </c>
    </row>
    <row r="63" spans="1:3" x14ac:dyDescent="0.25">
      <c r="A63" t="s">
        <v>86</v>
      </c>
      <c r="C63" t="s">
        <v>87</v>
      </c>
    </row>
    <row r="64" spans="1:3" x14ac:dyDescent="0.25">
      <c r="A64" t="s">
        <v>39</v>
      </c>
      <c r="C64" t="s">
        <v>88</v>
      </c>
    </row>
    <row r="65" spans="1:3" x14ac:dyDescent="0.25">
      <c r="A65" t="s">
        <v>41</v>
      </c>
      <c r="C65" t="s">
        <v>89</v>
      </c>
    </row>
    <row r="66" spans="1:3" x14ac:dyDescent="0.25">
      <c r="A66" t="s">
        <v>43</v>
      </c>
      <c r="C66" t="s">
        <v>90</v>
      </c>
    </row>
    <row r="67" spans="1:3" x14ac:dyDescent="0.25">
      <c r="A67" t="s">
        <v>45</v>
      </c>
      <c r="C67" t="s">
        <v>91</v>
      </c>
    </row>
    <row r="68" spans="1:3" x14ac:dyDescent="0.25">
      <c r="A68">
        <v>10321</v>
      </c>
      <c r="C68" t="s">
        <v>92</v>
      </c>
    </row>
    <row r="69" spans="1:3" x14ac:dyDescent="0.25">
      <c r="A69">
        <v>10324</v>
      </c>
      <c r="C69" t="s">
        <v>93</v>
      </c>
    </row>
    <row r="70" spans="1:3" x14ac:dyDescent="0.25">
      <c r="A70">
        <v>10325</v>
      </c>
      <c r="C70" t="s">
        <v>94</v>
      </c>
    </row>
    <row r="71" spans="1:3" x14ac:dyDescent="0.25">
      <c r="A71">
        <v>10326</v>
      </c>
      <c r="C71" t="s">
        <v>95</v>
      </c>
    </row>
    <row r="72" spans="1:3" x14ac:dyDescent="0.25">
      <c r="A72">
        <v>10327</v>
      </c>
      <c r="C72" t="s">
        <v>96</v>
      </c>
    </row>
    <row r="73" spans="1:3" x14ac:dyDescent="0.25">
      <c r="A73">
        <v>10323</v>
      </c>
      <c r="C73" t="s">
        <v>97</v>
      </c>
    </row>
    <row r="74" spans="1:3" x14ac:dyDescent="0.25">
      <c r="A74">
        <v>10329</v>
      </c>
      <c r="C74" t="s">
        <v>98</v>
      </c>
    </row>
    <row r="75" spans="1:3" x14ac:dyDescent="0.25">
      <c r="A75">
        <v>10330</v>
      </c>
      <c r="C75" t="s">
        <v>99</v>
      </c>
    </row>
    <row r="76" spans="1:3" x14ac:dyDescent="0.25">
      <c r="A76">
        <v>10335</v>
      </c>
      <c r="C76" t="s">
        <v>100</v>
      </c>
    </row>
    <row r="77" spans="1:3" x14ac:dyDescent="0.25">
      <c r="A77" t="s">
        <v>57</v>
      </c>
      <c r="C77" t="s">
        <v>101</v>
      </c>
    </row>
    <row r="78" spans="1:3" x14ac:dyDescent="0.25">
      <c r="A78" t="s">
        <v>59</v>
      </c>
      <c r="C78" t="s">
        <v>102</v>
      </c>
    </row>
    <row r="79" spans="1:3" x14ac:dyDescent="0.25">
      <c r="A79">
        <v>10345</v>
      </c>
      <c r="C79" t="s">
        <v>103</v>
      </c>
    </row>
    <row r="80" spans="1:3" x14ac:dyDescent="0.25">
      <c r="A80">
        <v>10350</v>
      </c>
      <c r="C80" t="s">
        <v>104</v>
      </c>
    </row>
    <row r="81" spans="1:16" x14ac:dyDescent="0.25">
      <c r="A81">
        <v>10355</v>
      </c>
      <c r="C81" t="s">
        <v>105</v>
      </c>
      <c r="D81">
        <f>'2016 Q3RF Xaxis Canada -- CAD'!D81/$C$1</f>
        <v>0</v>
      </c>
      <c r="E81">
        <f>'2016 Q3RF Xaxis Canada -- CAD'!E81/$C$1</f>
        <v>0</v>
      </c>
      <c r="F81">
        <f>'2016 Q3RF Xaxis Canada -- CAD'!F81/$C$1</f>
        <v>0</v>
      </c>
      <c r="G81">
        <f>'2016 Q3RF Xaxis Canada -- CAD'!G81/$C$1</f>
        <v>0</v>
      </c>
      <c r="H81">
        <f>'2016 Q3RF Xaxis Canada -- CAD'!H81/$C$1</f>
        <v>0</v>
      </c>
      <c r="I81">
        <f>'2016 Q3RF Xaxis Canada -- CAD'!I81/$C$1</f>
        <v>0</v>
      </c>
      <c r="J81">
        <f>'2016 Q3RF Xaxis Canada -- CAD'!J81/$C$1</f>
        <v>0</v>
      </c>
      <c r="K81">
        <f>'2016 Q3RF Xaxis Canada -- CAD'!K81/$C$1</f>
        <v>0</v>
      </c>
      <c r="L81">
        <f>'2016 Q3RF Xaxis Canada -- CAD'!L81/$C$1</f>
        <v>0</v>
      </c>
      <c r="M81">
        <f>'2016 Q3RF Xaxis Canada -- CAD'!M81/$C$1</f>
        <v>0</v>
      </c>
      <c r="N81">
        <f>'2016 Q3RF Xaxis Canada -- CAD'!N81/$C$1</f>
        <v>0</v>
      </c>
      <c r="O81">
        <f>'2016 Q3RF Xaxis Canada -- CAD'!O81/$C$1</f>
        <v>0</v>
      </c>
      <c r="P81" s="1">
        <f>'2016 Q3RF Xaxis Canada -- CAD'!P81/$C$1</f>
        <v>0</v>
      </c>
    </row>
    <row r="82" spans="1:16" x14ac:dyDescent="0.25">
      <c r="A82">
        <v>10358</v>
      </c>
      <c r="C82" t="s">
        <v>106</v>
      </c>
    </row>
    <row r="83" spans="1:16" x14ac:dyDescent="0.25">
      <c r="A83">
        <v>10360</v>
      </c>
      <c r="C83" t="s">
        <v>107</v>
      </c>
    </row>
    <row r="84" spans="1:16" x14ac:dyDescent="0.25">
      <c r="A84">
        <v>10362</v>
      </c>
      <c r="C84" t="s">
        <v>108</v>
      </c>
    </row>
    <row r="85" spans="1:16" x14ac:dyDescent="0.25">
      <c r="A85">
        <v>10300</v>
      </c>
      <c r="C85" t="s">
        <v>109</v>
      </c>
      <c r="D85">
        <f>'2016 Q3RF Xaxis Canada -- CAD'!D85/$C$1</f>
        <v>0</v>
      </c>
      <c r="E85">
        <f>'2016 Q3RF Xaxis Canada -- CAD'!E85/$C$1</f>
        <v>0</v>
      </c>
      <c r="F85">
        <f>'2016 Q3RF Xaxis Canada -- CAD'!F85/$C$1</f>
        <v>0</v>
      </c>
      <c r="G85">
        <f>'2016 Q3RF Xaxis Canada -- CAD'!G85/$C$1</f>
        <v>0</v>
      </c>
      <c r="H85">
        <f>'2016 Q3RF Xaxis Canada -- CAD'!H85/$C$1</f>
        <v>0</v>
      </c>
      <c r="I85">
        <f>'2016 Q3RF Xaxis Canada -- CAD'!I85/$C$1</f>
        <v>0</v>
      </c>
      <c r="J85">
        <f>'2016 Q3RF Xaxis Canada -- CAD'!J85/$C$1</f>
        <v>0</v>
      </c>
      <c r="K85">
        <f>'2016 Q3RF Xaxis Canada -- CAD'!K85/$C$1</f>
        <v>0</v>
      </c>
      <c r="L85">
        <f>'2016 Q3RF Xaxis Canada -- CAD'!L85/$C$1</f>
        <v>0</v>
      </c>
      <c r="M85">
        <f>'2016 Q3RF Xaxis Canada -- CAD'!M85/$C$1</f>
        <v>0</v>
      </c>
      <c r="N85">
        <f>'2016 Q3RF Xaxis Canada -- CAD'!N85/$C$1</f>
        <v>0</v>
      </c>
      <c r="O85">
        <f>'2016 Q3RF Xaxis Canada -- CAD'!O85/$C$1</f>
        <v>0</v>
      </c>
      <c r="P85" s="1">
        <f>'2016 Q3RF Xaxis Canada -- CAD'!P85/$C$1</f>
        <v>0</v>
      </c>
    </row>
    <row r="87" spans="1:16" x14ac:dyDescent="0.25">
      <c r="A87">
        <v>10906</v>
      </c>
      <c r="C87" t="s">
        <v>110</v>
      </c>
    </row>
    <row r="88" spans="1:16" x14ac:dyDescent="0.25">
      <c r="A88">
        <v>10908</v>
      </c>
      <c r="C88" t="s">
        <v>111</v>
      </c>
    </row>
    <row r="89" spans="1:16" x14ac:dyDescent="0.25">
      <c r="A89">
        <v>10910</v>
      </c>
      <c r="C89" t="s">
        <v>112</v>
      </c>
    </row>
    <row r="90" spans="1:16" x14ac:dyDescent="0.25">
      <c r="A90">
        <v>10915</v>
      </c>
      <c r="C90" t="s">
        <v>113</v>
      </c>
    </row>
    <row r="91" spans="1:16" x14ac:dyDescent="0.25">
      <c r="A91" t="s">
        <v>20</v>
      </c>
      <c r="C91" t="s">
        <v>114</v>
      </c>
    </row>
    <row r="92" spans="1:16" x14ac:dyDescent="0.25">
      <c r="A92" t="s">
        <v>22</v>
      </c>
      <c r="C92" t="s">
        <v>115</v>
      </c>
    </row>
    <row r="93" spans="1:16" x14ac:dyDescent="0.25">
      <c r="A93" t="s">
        <v>24</v>
      </c>
      <c r="C93" t="s">
        <v>116</v>
      </c>
    </row>
    <row r="94" spans="1:16" x14ac:dyDescent="0.25">
      <c r="A94" t="s">
        <v>26</v>
      </c>
      <c r="C94" t="s">
        <v>117</v>
      </c>
    </row>
    <row r="95" spans="1:16" x14ac:dyDescent="0.25">
      <c r="A95">
        <v>10920</v>
      </c>
      <c r="C95" t="s">
        <v>118</v>
      </c>
    </row>
    <row r="96" spans="1:16" x14ac:dyDescent="0.25">
      <c r="A96">
        <v>10916</v>
      </c>
      <c r="C96" t="s">
        <v>119</v>
      </c>
    </row>
    <row r="97" spans="1:16" x14ac:dyDescent="0.25">
      <c r="A97">
        <v>10917</v>
      </c>
      <c r="C97" t="s">
        <v>120</v>
      </c>
    </row>
    <row r="98" spans="1:16" x14ac:dyDescent="0.25">
      <c r="A98" t="s">
        <v>121</v>
      </c>
      <c r="C98" t="s">
        <v>122</v>
      </c>
    </row>
    <row r="99" spans="1:16" x14ac:dyDescent="0.25">
      <c r="A99" t="s">
        <v>123</v>
      </c>
      <c r="C99" t="s">
        <v>124</v>
      </c>
    </row>
    <row r="100" spans="1:16" x14ac:dyDescent="0.25">
      <c r="A100">
        <v>10918</v>
      </c>
      <c r="C100" t="s">
        <v>125</v>
      </c>
    </row>
    <row r="101" spans="1:16" x14ac:dyDescent="0.25">
      <c r="A101">
        <v>10919</v>
      </c>
      <c r="C101" t="s">
        <v>126</v>
      </c>
    </row>
    <row r="102" spans="1:16" x14ac:dyDescent="0.25">
      <c r="A102" t="s">
        <v>127</v>
      </c>
      <c r="C102" t="s">
        <v>128</v>
      </c>
    </row>
    <row r="103" spans="1:16" x14ac:dyDescent="0.25">
      <c r="A103" t="s">
        <v>39</v>
      </c>
      <c r="C103" t="s">
        <v>129</v>
      </c>
    </row>
    <row r="104" spans="1:16" x14ac:dyDescent="0.25">
      <c r="A104" t="s">
        <v>41</v>
      </c>
      <c r="C104" t="s">
        <v>130</v>
      </c>
    </row>
    <row r="105" spans="1:16" x14ac:dyDescent="0.25">
      <c r="A105" t="s">
        <v>43</v>
      </c>
      <c r="C105" t="s">
        <v>131</v>
      </c>
    </row>
    <row r="106" spans="1:16" x14ac:dyDescent="0.25">
      <c r="A106" t="s">
        <v>45</v>
      </c>
      <c r="C106" t="s">
        <v>132</v>
      </c>
    </row>
    <row r="107" spans="1:16" x14ac:dyDescent="0.25">
      <c r="A107">
        <v>10921</v>
      </c>
      <c r="C107" t="s">
        <v>133</v>
      </c>
    </row>
    <row r="108" spans="1:16" x14ac:dyDescent="0.25">
      <c r="A108">
        <v>10922</v>
      </c>
      <c r="C108" t="s">
        <v>134</v>
      </c>
      <c r="D108">
        <f>'2016 Q3RF Xaxis Canada -- CAD'!D108/$C$1</f>
        <v>0</v>
      </c>
      <c r="E108">
        <f>'2016 Q3RF Xaxis Canada -- CAD'!E108/$C$1</f>
        <v>0</v>
      </c>
      <c r="F108">
        <f>'2016 Q3RF Xaxis Canada -- CAD'!F108/$C$1</f>
        <v>0</v>
      </c>
      <c r="G108">
        <f>'2016 Q3RF Xaxis Canada -- CAD'!G108/$C$1</f>
        <v>0</v>
      </c>
      <c r="H108">
        <f>'2016 Q3RF Xaxis Canada -- CAD'!H108/$C$1</f>
        <v>0</v>
      </c>
      <c r="I108">
        <f>'2016 Q3RF Xaxis Canada -- CAD'!I108/$C$1</f>
        <v>0</v>
      </c>
      <c r="J108">
        <f>'2016 Q3RF Xaxis Canada -- CAD'!J108/$C$1</f>
        <v>0</v>
      </c>
      <c r="K108">
        <f>'2016 Q3RF Xaxis Canada -- CAD'!K108/$C$1</f>
        <v>0</v>
      </c>
      <c r="L108">
        <f>'2016 Q3RF Xaxis Canada -- CAD'!L108/$C$1</f>
        <v>0</v>
      </c>
      <c r="M108">
        <f>'2016 Q3RF Xaxis Canada -- CAD'!M108/$C$1</f>
        <v>0</v>
      </c>
      <c r="N108">
        <f>'2016 Q3RF Xaxis Canada -- CAD'!N108/$C$1</f>
        <v>0</v>
      </c>
      <c r="O108">
        <f>'2016 Q3RF Xaxis Canada -- CAD'!O108/$C$1</f>
        <v>0</v>
      </c>
      <c r="P108" s="1">
        <f>'2016 Q3RF Xaxis Canada -- CAD'!P108/$C$1</f>
        <v>0</v>
      </c>
    </row>
    <row r="109" spans="1:16" x14ac:dyDescent="0.25">
      <c r="A109">
        <v>10924</v>
      </c>
      <c r="C109" t="s">
        <v>135</v>
      </c>
    </row>
    <row r="110" spans="1:16" x14ac:dyDescent="0.25">
      <c r="A110">
        <v>10925</v>
      </c>
      <c r="C110" t="s">
        <v>136</v>
      </c>
    </row>
    <row r="111" spans="1:16" x14ac:dyDescent="0.25">
      <c r="A111">
        <v>10926</v>
      </c>
      <c r="C111" t="s">
        <v>137</v>
      </c>
    </row>
    <row r="112" spans="1:16" x14ac:dyDescent="0.25">
      <c r="A112">
        <v>10927</v>
      </c>
      <c r="C112" t="s">
        <v>138</v>
      </c>
      <c r="D112">
        <f>'2016 Q3RF Xaxis Canada -- CAD'!D112/$C$1</f>
        <v>2356.3797591765779</v>
      </c>
      <c r="E112">
        <f>'2016 Q3RF Xaxis Canada -- CAD'!E112/$C$1</f>
        <v>2836.4789281443482</v>
      </c>
      <c r="F112">
        <f>'2016 Q3RF Xaxis Canada -- CAD'!F112/$C$1</f>
        <v>2874.694165724396</v>
      </c>
      <c r="G112">
        <f>'2016 Q3RF Xaxis Canada -- CAD'!G112/$C$1</f>
        <v>3487.3066666253335</v>
      </c>
      <c r="H112">
        <f>'2016 Q3RF Xaxis Canada -- CAD'!H112/$C$1</f>
        <v>4647.1139396879698</v>
      </c>
      <c r="I112">
        <f>'2016 Q3RF Xaxis Canada -- CAD'!I112/$C$1</f>
        <v>3557.5309438024428</v>
      </c>
      <c r="J112">
        <f>'2016 Q3RF Xaxis Canada -- CAD'!J112/$C$1</f>
        <v>3633.0670692532021</v>
      </c>
      <c r="K112">
        <f>'2016 Q3RF Xaxis Canada -- CAD'!K112/$C$1</f>
        <v>4524.9972293759001</v>
      </c>
      <c r="L112">
        <f>'2016 Q3RF Xaxis Canada -- CAD'!L112/$C$1</f>
        <v>5098.2862430569703</v>
      </c>
      <c r="M112">
        <f>'2016 Q3RF Xaxis Canada -- CAD'!M112/$C$1</f>
        <v>4895.2580090411466</v>
      </c>
      <c r="N112">
        <f>'2016 Q3RF Xaxis Canada -- CAD'!N112/$C$1</f>
        <v>5294.0085544472195</v>
      </c>
      <c r="O112">
        <f>'2016 Q3RF Xaxis Canada -- CAD'!O112/$C$1</f>
        <v>5147.1794271666859</v>
      </c>
      <c r="P112" s="1">
        <f>'2016 Q3RF Xaxis Canada -- CAD'!P112/$C$1</f>
        <v>48352.300935502193</v>
      </c>
    </row>
    <row r="113" spans="1:16" x14ac:dyDescent="0.25">
      <c r="A113">
        <v>10928</v>
      </c>
      <c r="C113" t="s">
        <v>139</v>
      </c>
    </row>
    <row r="114" spans="1:16" x14ac:dyDescent="0.25">
      <c r="A114">
        <v>10923</v>
      </c>
      <c r="C114" t="s">
        <v>140</v>
      </c>
    </row>
    <row r="115" spans="1:16" x14ac:dyDescent="0.25">
      <c r="A115">
        <v>10929</v>
      </c>
      <c r="C115" t="s">
        <v>141</v>
      </c>
    </row>
    <row r="116" spans="1:16" x14ac:dyDescent="0.25">
      <c r="A116">
        <v>10930</v>
      </c>
      <c r="C116" t="s">
        <v>142</v>
      </c>
    </row>
    <row r="117" spans="1:16" x14ac:dyDescent="0.25">
      <c r="A117">
        <v>10935</v>
      </c>
      <c r="C117" t="s">
        <v>143</v>
      </c>
    </row>
    <row r="118" spans="1:16" x14ac:dyDescent="0.25">
      <c r="A118">
        <v>10940</v>
      </c>
      <c r="C118" t="s">
        <v>144</v>
      </c>
    </row>
    <row r="119" spans="1:16" x14ac:dyDescent="0.25">
      <c r="A119" t="s">
        <v>57</v>
      </c>
      <c r="C119" t="s">
        <v>145</v>
      </c>
    </row>
    <row r="120" spans="1:16" x14ac:dyDescent="0.25">
      <c r="A120" t="s">
        <v>59</v>
      </c>
      <c r="C120" t="s">
        <v>146</v>
      </c>
    </row>
    <row r="121" spans="1:16" x14ac:dyDescent="0.25">
      <c r="A121">
        <v>10945</v>
      </c>
      <c r="C121" t="s">
        <v>147</v>
      </c>
    </row>
    <row r="122" spans="1:16" x14ac:dyDescent="0.25">
      <c r="A122">
        <v>10950</v>
      </c>
      <c r="C122" t="s">
        <v>148</v>
      </c>
    </row>
    <row r="123" spans="1:16" x14ac:dyDescent="0.25">
      <c r="A123">
        <v>10955</v>
      </c>
      <c r="C123" t="s">
        <v>149</v>
      </c>
      <c r="D123">
        <f>'2016 Q3RF Xaxis Canada -- CAD'!D123/$C$1</f>
        <v>0</v>
      </c>
      <c r="E123">
        <f>'2016 Q3RF Xaxis Canada -- CAD'!E123/$C$1</f>
        <v>0</v>
      </c>
      <c r="F123">
        <f>'2016 Q3RF Xaxis Canada -- CAD'!F123/$C$1</f>
        <v>0</v>
      </c>
      <c r="G123">
        <f>'2016 Q3RF Xaxis Canada -- CAD'!G123/$C$1</f>
        <v>0</v>
      </c>
      <c r="H123">
        <f>'2016 Q3RF Xaxis Canada -- CAD'!H123/$C$1</f>
        <v>0</v>
      </c>
      <c r="I123">
        <f>'2016 Q3RF Xaxis Canada -- CAD'!I123/$C$1</f>
        <v>0</v>
      </c>
      <c r="J123">
        <f>'2016 Q3RF Xaxis Canada -- CAD'!J123/$C$1</f>
        <v>0</v>
      </c>
      <c r="K123">
        <f>'2016 Q3RF Xaxis Canada -- CAD'!K123/$C$1</f>
        <v>0</v>
      </c>
      <c r="L123">
        <f>'2016 Q3RF Xaxis Canada -- CAD'!L123/$C$1</f>
        <v>0</v>
      </c>
      <c r="M123">
        <f>'2016 Q3RF Xaxis Canada -- CAD'!M123/$C$1</f>
        <v>0</v>
      </c>
      <c r="N123">
        <f>'2016 Q3RF Xaxis Canada -- CAD'!N123/$C$1</f>
        <v>0</v>
      </c>
      <c r="O123">
        <f>'2016 Q3RF Xaxis Canada -- CAD'!O123/$C$1</f>
        <v>0</v>
      </c>
      <c r="P123" s="1">
        <f>'2016 Q3RF Xaxis Canada -- CAD'!P123/$C$1</f>
        <v>0</v>
      </c>
    </row>
    <row r="124" spans="1:16" x14ac:dyDescent="0.25">
      <c r="A124">
        <v>10958</v>
      </c>
      <c r="C124" t="s">
        <v>150</v>
      </c>
    </row>
    <row r="125" spans="1:16" x14ac:dyDescent="0.25">
      <c r="A125">
        <v>10960</v>
      </c>
      <c r="C125" t="s">
        <v>151</v>
      </c>
    </row>
    <row r="126" spans="1:16" x14ac:dyDescent="0.25">
      <c r="A126">
        <v>10962</v>
      </c>
      <c r="C126" t="s">
        <v>152</v>
      </c>
    </row>
    <row r="127" spans="1:16" x14ac:dyDescent="0.25">
      <c r="A127">
        <v>10965</v>
      </c>
      <c r="C127" t="s">
        <v>153</v>
      </c>
    </row>
    <row r="128" spans="1:16" x14ac:dyDescent="0.25">
      <c r="A128">
        <v>10969</v>
      </c>
      <c r="C128" t="s">
        <v>154</v>
      </c>
    </row>
    <row r="129" spans="1:16" x14ac:dyDescent="0.25">
      <c r="A129">
        <v>10900</v>
      </c>
      <c r="C129" t="s">
        <v>155</v>
      </c>
      <c r="D129">
        <f>'2016 Q3RF Xaxis Canada -- CAD'!D129/$C$1</f>
        <v>2356.3797591765779</v>
      </c>
      <c r="E129">
        <f>'2016 Q3RF Xaxis Canada -- CAD'!E129/$C$1</f>
        <v>2836.4789281443482</v>
      </c>
      <c r="F129">
        <f>'2016 Q3RF Xaxis Canada -- CAD'!F129/$C$1</f>
        <v>2874.694165724396</v>
      </c>
      <c r="G129">
        <f>'2016 Q3RF Xaxis Canada -- CAD'!G129/$C$1</f>
        <v>3487.3066666253335</v>
      </c>
      <c r="H129">
        <f>'2016 Q3RF Xaxis Canada -- CAD'!H129/$C$1</f>
        <v>4647.1139396879698</v>
      </c>
      <c r="I129">
        <f>'2016 Q3RF Xaxis Canada -- CAD'!I129/$C$1</f>
        <v>3557.5309438024428</v>
      </c>
      <c r="J129">
        <f>'2016 Q3RF Xaxis Canada -- CAD'!J129/$C$1</f>
        <v>3633.0670692532021</v>
      </c>
      <c r="K129">
        <f>'2016 Q3RF Xaxis Canada -- CAD'!K129/$C$1</f>
        <v>4524.9972293759001</v>
      </c>
      <c r="L129">
        <f>'2016 Q3RF Xaxis Canada -- CAD'!L129/$C$1</f>
        <v>5098.2862430569703</v>
      </c>
      <c r="M129">
        <f>'2016 Q3RF Xaxis Canada -- CAD'!M129/$C$1</f>
        <v>4895.2580090411466</v>
      </c>
      <c r="N129">
        <f>'2016 Q3RF Xaxis Canada -- CAD'!N129/$C$1</f>
        <v>5294.0085544472195</v>
      </c>
      <c r="O129">
        <f>'2016 Q3RF Xaxis Canada -- CAD'!O129/$C$1</f>
        <v>5147.1794271666859</v>
      </c>
      <c r="P129" s="1">
        <f>'2016 Q3RF Xaxis Canada -- CAD'!P129/$C$1</f>
        <v>48352.300935502193</v>
      </c>
    </row>
    <row r="131" spans="1:16" x14ac:dyDescent="0.25">
      <c r="A131">
        <v>12900</v>
      </c>
      <c r="C131" t="s">
        <v>156</v>
      </c>
      <c r="D131">
        <f>'2016 Q3RF Xaxis Canada -- CAD'!D131/$C$1</f>
        <v>1618.2234990773627</v>
      </c>
      <c r="E131">
        <f>'2016 Q3RF Xaxis Canada -- CAD'!E131/$C$1</f>
        <v>1579.7633615769073</v>
      </c>
      <c r="F131">
        <f>'2016 Q3RF Xaxis Canada -- CAD'!F131/$C$1</f>
        <v>1618.1157741123732</v>
      </c>
      <c r="G131">
        <f>'2016 Q3RF Xaxis Canada -- CAD'!G131/$C$1</f>
        <v>2102.0015918494823</v>
      </c>
      <c r="H131">
        <f>'2016 Q3RF Xaxis Canada -- CAD'!H131/$C$1</f>
        <v>2860.2977704032246</v>
      </c>
      <c r="I131">
        <f>'2016 Q3RF Xaxis Canada -- CAD'!I131/$C$1</f>
        <v>1704.6173709993543</v>
      </c>
      <c r="J131">
        <f>'2016 Q3RF Xaxis Canada -- CAD'!J131/$C$1</f>
        <v>1942.7042686211125</v>
      </c>
      <c r="K131">
        <f>'2016 Q3RF Xaxis Canada -- CAD'!K131/$C$1</f>
        <v>2735.6460359150383</v>
      </c>
      <c r="L131">
        <f>'2016 Q3RF Xaxis Canada -- CAD'!L131/$C$1</f>
        <v>3060.85763022127</v>
      </c>
      <c r="M131">
        <f>'2016 Q3RF Xaxis Canada -- CAD'!M131/$C$1</f>
        <v>2961.6305374700751</v>
      </c>
      <c r="N131">
        <f>'2016 Q3RF Xaxis Canada -- CAD'!N131/$C$1</f>
        <v>3202.8755590654428</v>
      </c>
      <c r="O131">
        <f>'2016 Q3RF Xaxis Canada -- CAD'!O131/$C$1</f>
        <v>2995.4933764646526</v>
      </c>
      <c r="P131" s="1">
        <f>'2016 Q3RF Xaxis Canada -- CAD'!P131/$C$1</f>
        <v>28382.226775776293</v>
      </c>
    </row>
    <row r="133" spans="1:16" x14ac:dyDescent="0.25">
      <c r="A133">
        <v>13900</v>
      </c>
      <c r="C133" t="s">
        <v>157</v>
      </c>
      <c r="D133">
        <f>'2016 Q3RF Xaxis Canada -- CAD'!D133/$C$1</f>
        <v>738.15626009921539</v>
      </c>
      <c r="E133">
        <f>'2016 Q3RF Xaxis Canada -- CAD'!E133/$C$1</f>
        <v>1256.7155665674406</v>
      </c>
      <c r="F133">
        <f>'2016 Q3RF Xaxis Canada -- CAD'!F133/$C$1</f>
        <v>1256.5783916120226</v>
      </c>
      <c r="G133">
        <f>'2016 Q3RF Xaxis Canada -- CAD'!G133/$C$1</f>
        <v>1385.3050747758505</v>
      </c>
      <c r="H133">
        <f>'2016 Q3RF Xaxis Canada -- CAD'!H133/$C$1</f>
        <v>1786.816169284745</v>
      </c>
      <c r="I133">
        <f>'2016 Q3RF Xaxis Canada -- CAD'!I133/$C$1</f>
        <v>1852.9135728030888</v>
      </c>
      <c r="J133">
        <f>'2016 Q3RF Xaxis Canada -- CAD'!J133/$C$1</f>
        <v>1690.3628006320896</v>
      </c>
      <c r="K133">
        <f>'2016 Q3RF Xaxis Canada -- CAD'!K133/$C$1</f>
        <v>1789.3511934608619</v>
      </c>
      <c r="L133">
        <f>'2016 Q3RF Xaxis Canada -- CAD'!L133/$C$1</f>
        <v>2037.4286128357005</v>
      </c>
      <c r="M133">
        <f>'2016 Q3RF Xaxis Canada -- CAD'!M133/$C$1</f>
        <v>1933.6274715710715</v>
      </c>
      <c r="N133">
        <f>'2016 Q3RF Xaxis Canada -- CAD'!N133/$C$1</f>
        <v>2091.1329953817763</v>
      </c>
      <c r="O133">
        <f>'2016 Q3RF Xaxis Canada -- CAD'!O133/$C$1</f>
        <v>2151.6860507020333</v>
      </c>
      <c r="P133" s="1">
        <f>'2016 Q3RF Xaxis Canada -- CAD'!P133/$C$1</f>
        <v>19970.074159725897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129"/>
  <sheetViews>
    <sheetView tabSelected="1" workbookViewId="0">
      <selection activeCell="G7" sqref="G7"/>
    </sheetView>
  </sheetViews>
  <sheetFormatPr defaultRowHeight="15" x14ac:dyDescent="0.25"/>
  <cols>
    <col min="1" max="1" width="13.5703125" bestFit="1" customWidth="1"/>
    <col min="2" max="2" width="12.85546875" bestFit="1" customWidth="1"/>
    <col min="3" max="3" width="44.7109375" bestFit="1" customWidth="1"/>
    <col min="5" max="16" width="24" bestFit="1" customWidth="1"/>
    <col min="17" max="17" width="25" style="1" bestFit="1" customWidth="1"/>
  </cols>
  <sheetData>
    <row r="1" spans="1:17" x14ac:dyDescent="0.25">
      <c r="A1" t="s">
        <v>287</v>
      </c>
      <c r="C1">
        <v>1.2903230000000001</v>
      </c>
      <c r="E1" s="7">
        <v>42370</v>
      </c>
      <c r="F1" s="7">
        <v>42401</v>
      </c>
      <c r="G1" s="7">
        <v>42430</v>
      </c>
      <c r="H1" s="7">
        <v>42461</v>
      </c>
      <c r="I1" s="7">
        <v>42491</v>
      </c>
      <c r="J1" s="7">
        <v>42522</v>
      </c>
      <c r="K1" s="7">
        <v>42552</v>
      </c>
      <c r="L1" s="7">
        <v>42583</v>
      </c>
      <c r="M1" s="7">
        <v>42614</v>
      </c>
      <c r="N1" s="7">
        <v>42644</v>
      </c>
      <c r="O1" s="7">
        <v>42675</v>
      </c>
      <c r="P1" s="7">
        <v>42705</v>
      </c>
      <c r="Q1" s="1" t="s">
        <v>12</v>
      </c>
    </row>
    <row r="3" spans="1:17" x14ac:dyDescent="0.25">
      <c r="A3" s="2" t="s">
        <v>158</v>
      </c>
      <c r="B3" t="s">
        <v>167</v>
      </c>
      <c r="C3" s="2" t="s">
        <v>159</v>
      </c>
      <c r="D3" s="2"/>
      <c r="E3" s="26">
        <f>('Agency Revenues CAD'!E3/$C$1)/1000</f>
        <v>0</v>
      </c>
      <c r="F3" s="26">
        <f>('Agency Revenues CAD'!F3/$C$1)/1000</f>
        <v>0</v>
      </c>
      <c r="G3" s="26">
        <f>('Agency Revenues CAD'!G3/$C$1)/1000</f>
        <v>0</v>
      </c>
      <c r="H3" s="26">
        <f>('Agency Revenues CAD'!H3/$C$1)/1000</f>
        <v>0</v>
      </c>
      <c r="I3" s="26">
        <f>('Agency Revenues CAD'!I3/$C$1)/1000</f>
        <v>0</v>
      </c>
      <c r="J3" s="26">
        <f>('Agency Revenues CAD'!J3/$C$1)/1000</f>
        <v>0</v>
      </c>
      <c r="K3" s="26">
        <f>('Agency Revenues CAD'!K3/$C$1)/1000</f>
        <v>0</v>
      </c>
      <c r="L3" s="26">
        <f>('Agency Revenues CAD'!L3/$C$1)/1000</f>
        <v>0</v>
      </c>
      <c r="M3" s="26">
        <f>('Agency Revenues CAD'!M3/$C$1)/1000</f>
        <v>0</v>
      </c>
      <c r="N3" s="26">
        <f>('Agency Revenues CAD'!N3/$C$1)/1000</f>
        <v>0</v>
      </c>
      <c r="O3" s="26">
        <f>('Agency Revenues CAD'!O3/$C$1)/1000</f>
        <v>0</v>
      </c>
      <c r="P3" s="26">
        <f>('Agency Revenues CAD'!P3/$C$1)/1000</f>
        <v>0</v>
      </c>
      <c r="Q3" s="27">
        <f>('Agency Revenues CAD'!Q3/$C$1)/1000</f>
        <v>0</v>
      </c>
    </row>
    <row r="4" spans="1:17" x14ac:dyDescent="0.25">
      <c r="A4" s="2" t="s">
        <v>158</v>
      </c>
      <c r="B4" t="s">
        <v>167</v>
      </c>
      <c r="C4" s="2" t="s">
        <v>160</v>
      </c>
      <c r="D4" s="2"/>
      <c r="E4" s="26">
        <f>('Agency Revenues CAD'!E4/$C$1)/1000</f>
        <v>0</v>
      </c>
      <c r="F4" s="26">
        <f>('Agency Revenues CAD'!F4/$C$1)/1000</f>
        <v>0</v>
      </c>
      <c r="G4" s="26">
        <f>('Agency Revenues CAD'!G4/$C$1)/1000</f>
        <v>0</v>
      </c>
      <c r="H4" s="26">
        <f>('Agency Revenues CAD'!H4/$C$1)/1000</f>
        <v>0</v>
      </c>
      <c r="I4" s="26">
        <f>('Agency Revenues CAD'!I4/$C$1)/1000</f>
        <v>0</v>
      </c>
      <c r="J4" s="26">
        <f>('Agency Revenues CAD'!J4/$C$1)/1000</f>
        <v>0</v>
      </c>
      <c r="K4" s="26">
        <f>('Agency Revenues CAD'!K4/$C$1)/1000</f>
        <v>0</v>
      </c>
      <c r="L4" s="26">
        <f>('Agency Revenues CAD'!L4/$C$1)/1000</f>
        <v>0</v>
      </c>
      <c r="M4" s="26">
        <f>('Agency Revenues CAD'!M4/$C$1)/1000</f>
        <v>0</v>
      </c>
      <c r="N4" s="26">
        <f>('Agency Revenues CAD'!N4/$C$1)/1000</f>
        <v>0</v>
      </c>
      <c r="O4" s="26">
        <f>('Agency Revenues CAD'!O4/$C$1)/1000</f>
        <v>0</v>
      </c>
      <c r="P4" s="26">
        <f>('Agency Revenues CAD'!P4/$C$1)/1000</f>
        <v>0</v>
      </c>
      <c r="Q4" s="27">
        <f>('Agency Revenues CAD'!Q4/$C$1)/1000</f>
        <v>0</v>
      </c>
    </row>
    <row r="5" spans="1:17" x14ac:dyDescent="0.25">
      <c r="A5" s="2" t="s">
        <v>158</v>
      </c>
      <c r="B5" t="s">
        <v>167</v>
      </c>
      <c r="C5" s="2" t="s">
        <v>161</v>
      </c>
      <c r="D5" s="2"/>
      <c r="E5" s="26">
        <f>('Agency Revenues CAD'!E5/$C$1)/1000</f>
        <v>32.896343783688273</v>
      </c>
      <c r="F5" s="26">
        <f>('Agency Revenues CAD'!F5/$C$1)/1000</f>
        <v>10.382834375578826</v>
      </c>
      <c r="G5" s="26">
        <f>('Agency Revenues CAD'!G5/$C$1)/1000</f>
        <v>0</v>
      </c>
      <c r="H5" s="26">
        <f>('Agency Revenues CAD'!H5/$C$1)/1000</f>
        <v>0</v>
      </c>
      <c r="I5" s="26">
        <f>('Agency Revenues CAD'!I5/$C$1)/1000</f>
        <v>7.9455144177078134</v>
      </c>
      <c r="J5" s="26">
        <f>('Agency Revenues CAD'!J5/$C$1)/1000</f>
        <v>0</v>
      </c>
      <c r="K5" s="26">
        <f>('Agency Revenues CAD'!K5/$C$1)/1000</f>
        <v>0</v>
      </c>
      <c r="L5" s="26">
        <f>('Agency Revenues CAD'!L5/$C$1)/1000</f>
        <v>0</v>
      </c>
      <c r="M5" s="26">
        <f>('Agency Revenues CAD'!M5/$C$1)/1000</f>
        <v>0</v>
      </c>
      <c r="N5" s="26">
        <f>('Agency Revenues CAD'!N5/$C$1)/1000</f>
        <v>0</v>
      </c>
      <c r="O5" s="26">
        <f>('Agency Revenues CAD'!O5/$C$1)/1000</f>
        <v>0</v>
      </c>
      <c r="P5" s="26">
        <f>('Agency Revenues CAD'!P5/$C$1)/1000</f>
        <v>0</v>
      </c>
      <c r="Q5" s="27">
        <f>('Agency Revenues CAD'!Q5/$C$1)/1000</f>
        <v>51.224692576974917</v>
      </c>
    </row>
    <row r="6" spans="1:17" x14ac:dyDescent="0.25">
      <c r="A6" s="2" t="s">
        <v>158</v>
      </c>
      <c r="B6" t="s">
        <v>167</v>
      </c>
      <c r="C6" s="2" t="s">
        <v>162</v>
      </c>
      <c r="D6" s="2"/>
      <c r="E6" s="26">
        <f>('Agency Revenues CAD'!E6/$C$1)/1000</f>
        <v>0</v>
      </c>
      <c r="F6" s="26">
        <f>('Agency Revenues CAD'!F6/$C$1)/1000</f>
        <v>0</v>
      </c>
      <c r="G6" s="26">
        <f>('Agency Revenues CAD'!G6/$C$1)/1000</f>
        <v>0</v>
      </c>
      <c r="H6" s="26">
        <f>('Agency Revenues CAD'!H6/$C$1)/1000</f>
        <v>0</v>
      </c>
      <c r="I6" s="26">
        <f>('Agency Revenues CAD'!I6/$C$1)/1000</f>
        <v>0</v>
      </c>
      <c r="J6" s="26">
        <f>('Agency Revenues CAD'!J6/$C$1)/1000</f>
        <v>0</v>
      </c>
      <c r="K6" s="26">
        <f>('Agency Revenues CAD'!K6/$C$1)/1000</f>
        <v>0</v>
      </c>
      <c r="L6" s="26">
        <f>('Agency Revenues CAD'!L6/$C$1)/1000</f>
        <v>0</v>
      </c>
      <c r="M6" s="26">
        <f>('Agency Revenues CAD'!M6/$C$1)/1000</f>
        <v>0</v>
      </c>
      <c r="N6" s="26">
        <f>('Agency Revenues CAD'!N6/$C$1)/1000</f>
        <v>0</v>
      </c>
      <c r="O6" s="28">
        <f>('Agency Revenues CAD'!O6/$C$1)/1000</f>
        <v>0</v>
      </c>
      <c r="P6" s="28">
        <f>('Agency Revenues CAD'!P6/$C$1)/1000</f>
        <v>15.938644819940434</v>
      </c>
      <c r="Q6" s="27">
        <f>('Agency Revenues CAD'!Q6/$C$1)/1000</f>
        <v>15.938644819940434</v>
      </c>
    </row>
    <row r="7" spans="1:17" x14ac:dyDescent="0.25">
      <c r="A7" s="2" t="s">
        <v>158</v>
      </c>
      <c r="B7" t="s">
        <v>167</v>
      </c>
      <c r="C7" s="2" t="s">
        <v>163</v>
      </c>
      <c r="D7" s="2"/>
      <c r="E7" s="26">
        <f>('Agency Revenues CAD'!E7/$C$1)/1000</f>
        <v>104.37075755450378</v>
      </c>
      <c r="F7" s="26">
        <f>('Agency Revenues CAD'!F7/$C$1)/1000</f>
        <v>133.86370699429523</v>
      </c>
      <c r="G7" s="26">
        <f>('Agency Revenues CAD'!G7/$C$1)/1000</f>
        <v>68.356791284042814</v>
      </c>
      <c r="H7" s="26">
        <f>('Agency Revenues CAD'!H7/$C$1)/1000</f>
        <v>86.687310076624229</v>
      </c>
      <c r="I7" s="26">
        <f>('Agency Revenues CAD'!I7/$C$1)/1000</f>
        <v>121.06544640372991</v>
      </c>
      <c r="J7" s="26">
        <f>('Agency Revenues CAD'!J7/$C$1)/1000</f>
        <v>74.291673480206114</v>
      </c>
      <c r="K7" s="26">
        <f>('Agency Revenues CAD'!K7/$C$1)/1000</f>
        <v>175.99496205988734</v>
      </c>
      <c r="L7" s="26">
        <f>('Agency Revenues CAD'!L7/$C$1)/1000</f>
        <v>119.63056617606597</v>
      </c>
      <c r="M7" s="26">
        <f>('Agency Revenues CAD'!M7/$C$1)/1000</f>
        <v>92.313039797012038</v>
      </c>
      <c r="N7" s="26">
        <f>('Agency Revenues CAD'!N7/$C$1)/1000</f>
        <v>109.74926433148909</v>
      </c>
      <c r="O7" s="26">
        <f>('Agency Revenues CAD'!O7/$C$1)/1000</f>
        <v>138.23438007382646</v>
      </c>
      <c r="P7" s="26">
        <f>('Agency Revenues CAD'!P7/$C$1)/1000</f>
        <v>50.33003364273906</v>
      </c>
      <c r="Q7" s="27">
        <f>('Agency Revenues CAD'!Q7/$C$1)/1000</f>
        <v>1274.8879318744221</v>
      </c>
    </row>
    <row r="8" spans="1:17" x14ac:dyDescent="0.25">
      <c r="A8" s="2" t="s">
        <v>158</v>
      </c>
      <c r="B8" t="s">
        <v>167</v>
      </c>
      <c r="C8" s="2" t="s">
        <v>164</v>
      </c>
      <c r="D8" s="2"/>
      <c r="E8" s="26">
        <f>('Agency Revenues CAD'!E8/$C$1)/1000</f>
        <v>0</v>
      </c>
      <c r="F8" s="26">
        <f>('Agency Revenues CAD'!F8/$C$1)/1000</f>
        <v>0</v>
      </c>
      <c r="G8" s="26">
        <f>('Agency Revenues CAD'!G8/$C$1)/1000</f>
        <v>0</v>
      </c>
      <c r="H8" s="26">
        <f>('Agency Revenues CAD'!H8/$C$1)/1000</f>
        <v>0</v>
      </c>
      <c r="I8" s="26">
        <f>('Agency Revenues CAD'!I8/$C$1)/1000</f>
        <v>0</v>
      </c>
      <c r="J8" s="26">
        <f>('Agency Revenues CAD'!J8/$C$1)/1000</f>
        <v>0</v>
      </c>
      <c r="K8" s="26">
        <f>('Agency Revenues CAD'!K8/$C$1)/1000</f>
        <v>0</v>
      </c>
      <c r="L8" s="26">
        <f>('Agency Revenues CAD'!L8/$C$1)/1000</f>
        <v>0</v>
      </c>
      <c r="M8" s="26">
        <f>('Agency Revenues CAD'!M8/$C$1)/1000</f>
        <v>0</v>
      </c>
      <c r="N8" s="26">
        <f>('Agency Revenues CAD'!N8/$C$1)/1000</f>
        <v>0</v>
      </c>
      <c r="O8" s="26">
        <f>('Agency Revenues CAD'!O8/$C$1)/1000</f>
        <v>0</v>
      </c>
      <c r="P8" s="26">
        <f>('Agency Revenues CAD'!P8/$C$1)/1000</f>
        <v>0</v>
      </c>
      <c r="Q8" s="27">
        <f>('Agency Revenues CAD'!Q8/$C$1)/1000</f>
        <v>0</v>
      </c>
    </row>
    <row r="9" spans="1:17" x14ac:dyDescent="0.25">
      <c r="A9" s="2" t="s">
        <v>158</v>
      </c>
      <c r="B9" t="s">
        <v>167</v>
      </c>
      <c r="C9" s="2" t="s">
        <v>165</v>
      </c>
      <c r="D9" s="2"/>
      <c r="E9" s="26">
        <f>('Agency Revenues CAD'!E9/$C$1)/1000</f>
        <v>0</v>
      </c>
      <c r="F9" s="26">
        <f>('Agency Revenues CAD'!F9/$C$1)/1000</f>
        <v>0</v>
      </c>
      <c r="G9" s="26">
        <f>('Agency Revenues CAD'!G9/$C$1)/1000</f>
        <v>0</v>
      </c>
      <c r="H9" s="26">
        <f>('Agency Revenues CAD'!H9/$C$1)/1000</f>
        <v>0</v>
      </c>
      <c r="I9" s="26">
        <f>('Agency Revenues CAD'!I9/$C$1)/1000</f>
        <v>0</v>
      </c>
      <c r="J9" s="26">
        <f>('Agency Revenues CAD'!J9/$C$1)/1000</f>
        <v>0</v>
      </c>
      <c r="K9" s="26">
        <f>('Agency Revenues CAD'!K9/$C$1)/1000</f>
        <v>0</v>
      </c>
      <c r="L9" s="26">
        <f>('Agency Revenues CAD'!L9/$C$1)/1000</f>
        <v>0</v>
      </c>
      <c r="M9" s="26">
        <f>('Agency Revenues CAD'!M9/$C$1)/1000</f>
        <v>31.770858149471096</v>
      </c>
      <c r="N9" s="26">
        <f>('Agency Revenues CAD'!N9/$C$1)/1000</f>
        <v>30.999989925003273</v>
      </c>
      <c r="O9" s="26">
        <f>('Agency Revenues CAD'!O9/$C$1)/1000</f>
        <v>0</v>
      </c>
      <c r="P9" s="26">
        <f>('Agency Revenues CAD'!P9/$C$1)/1000</f>
        <v>0</v>
      </c>
      <c r="Q9" s="27">
        <f>('Agency Revenues CAD'!Q9/$C$1)/1000</f>
        <v>62.770848074474365</v>
      </c>
    </row>
    <row r="10" spans="1:17" x14ac:dyDescent="0.25">
      <c r="A10" s="2" t="s">
        <v>158</v>
      </c>
      <c r="B10" t="s">
        <v>167</v>
      </c>
      <c r="C10" s="2" t="s">
        <v>166</v>
      </c>
      <c r="D10" s="2"/>
      <c r="E10" s="26">
        <f>('Agency Revenues CAD'!E10/$C$1)/1000</f>
        <v>3.8762154902299653</v>
      </c>
      <c r="F10" s="26">
        <f>('Agency Revenues CAD'!F10/$C$1)/1000</f>
        <v>7.2910968803935141</v>
      </c>
      <c r="G10" s="26">
        <f>('Agency Revenues CAD'!G10/$C$1)/1000</f>
        <v>16.983282480433189</v>
      </c>
      <c r="H10" s="26">
        <f>('Agency Revenues CAD'!H10/$C$1)/1000</f>
        <v>1.6769696424848659</v>
      </c>
      <c r="I10" s="26">
        <f>('Agency Revenues CAD'!I10/$C$1)/1000</f>
        <v>1.472305771500624</v>
      </c>
      <c r="J10" s="26">
        <f>('Agency Revenues CAD'!J10/$C$1)/1000</f>
        <v>7.7500931937197111</v>
      </c>
      <c r="K10" s="26">
        <f>('Agency Revenues CAD'!K10/$C$1)/1000</f>
        <v>0</v>
      </c>
      <c r="L10" s="26">
        <f>('Agency Revenues CAD'!L10/$C$1)/1000</f>
        <v>0</v>
      </c>
      <c r="M10" s="26">
        <f>('Agency Revenues CAD'!M10/$C$1)/1000</f>
        <v>0</v>
      </c>
      <c r="N10" s="26">
        <f>('Agency Revenues CAD'!N10/$C$1)/1000</f>
        <v>11.624996221876227</v>
      </c>
      <c r="O10" s="26">
        <f>('Agency Revenues CAD'!O10/$C$1)/1000</f>
        <v>7.7499974812508183</v>
      </c>
      <c r="P10" s="26">
        <f>('Agency Revenues CAD'!P10/$C$1)/1000</f>
        <v>11.624996221876227</v>
      </c>
      <c r="Q10" s="27">
        <f>('Agency Revenues CAD'!Q10/$C$1)/1000</f>
        <v>70.049953383765143</v>
      </c>
    </row>
    <row r="11" spans="1:17" x14ac:dyDescent="0.25">
      <c r="A11" s="2" t="s">
        <v>158</v>
      </c>
      <c r="B11" t="s">
        <v>167</v>
      </c>
      <c r="C11" s="2" t="s">
        <v>168</v>
      </c>
      <c r="D11" s="2"/>
      <c r="E11" s="26">
        <f>('Agency Revenues CAD'!E11/$C$1)/1000</f>
        <v>0</v>
      </c>
      <c r="F11" s="26">
        <f>('Agency Revenues CAD'!F11/$C$1)/1000</f>
        <v>0</v>
      </c>
      <c r="G11" s="26">
        <f>('Agency Revenues CAD'!G11/$C$1)/1000</f>
        <v>0</v>
      </c>
      <c r="H11" s="26">
        <f>('Agency Revenues CAD'!H11/$C$1)/1000</f>
        <v>0</v>
      </c>
      <c r="I11" s="26">
        <f>('Agency Revenues CAD'!I11/$C$1)/1000</f>
        <v>0</v>
      </c>
      <c r="J11" s="26">
        <f>('Agency Revenues CAD'!J11/$C$1)/1000</f>
        <v>-4.6592984857279918E-2</v>
      </c>
      <c r="K11" s="26">
        <f>('Agency Revenues CAD'!K11/$C$1)/1000</f>
        <v>0</v>
      </c>
      <c r="L11" s="26">
        <f>('Agency Revenues CAD'!L11/$C$1)/1000</f>
        <v>0</v>
      </c>
      <c r="M11" s="26">
        <f>('Agency Revenues CAD'!M11/$C$1)/1000</f>
        <v>0</v>
      </c>
      <c r="N11" s="26">
        <f>('Agency Revenues CAD'!N11/$C$1)/1000</f>
        <v>36.812488035941385</v>
      </c>
      <c r="O11" s="26">
        <f>('Agency Revenues CAD'!O11/$C$1)/1000</f>
        <v>14.724995214376555</v>
      </c>
      <c r="P11" s="26">
        <f>('Agency Revenues CAD'!P11/$C$1)/1000</f>
        <v>29.449990428753111</v>
      </c>
      <c r="Q11" s="27">
        <f>('Agency Revenues CAD'!Q11/$C$1)/1000</f>
        <v>80.940880694213774</v>
      </c>
    </row>
    <row r="12" spans="1:17" x14ac:dyDescent="0.25">
      <c r="A12" s="2" t="s">
        <v>158</v>
      </c>
      <c r="B12" t="s">
        <v>167</v>
      </c>
      <c r="C12" s="2" t="s">
        <v>169</v>
      </c>
      <c r="D12" s="2"/>
      <c r="E12" s="29">
        <f>('Agency Revenues CAD'!E12/$C$1)/1000</f>
        <v>24.710533719076537</v>
      </c>
      <c r="F12" s="26">
        <f>('Agency Revenues CAD'!F12/$C$1)/1000</f>
        <v>5.5844156850649016</v>
      </c>
      <c r="G12" s="26">
        <f>('Agency Revenues CAD'!G12/$C$1)/1000</f>
        <v>38.08067437378083</v>
      </c>
      <c r="H12" s="26">
        <f>('Agency Revenues CAD'!H12/$C$1)/1000</f>
        <v>40.114135429655981</v>
      </c>
      <c r="I12" s="26">
        <f>('Agency Revenues CAD'!I12/$C$1)/1000</f>
        <v>55.340887514211552</v>
      </c>
      <c r="J12" s="26">
        <f>('Agency Revenues CAD'!J12/$C$1)/1000</f>
        <v>38.312363656231796</v>
      </c>
      <c r="K12" s="26">
        <f>('Agency Revenues CAD'!K12/$C$1)/1000</f>
        <v>37.076471364146805</v>
      </c>
      <c r="L12" s="26">
        <f>('Agency Revenues CAD'!L12/$C$1)/1000</f>
        <v>1.5777855622196921</v>
      </c>
      <c r="M12" s="26">
        <f>('Agency Revenues CAD'!M12/$C$1)/1000</f>
        <v>13.390622735547607</v>
      </c>
      <c r="N12" s="26">
        <f>('Agency Revenues CAD'!N12/$C$1)/1000</f>
        <v>30.999989925003273</v>
      </c>
      <c r="O12" s="26">
        <f>('Agency Revenues CAD'!O12/$C$1)/1000</f>
        <v>0</v>
      </c>
      <c r="P12" s="26">
        <f>('Agency Revenues CAD'!P12/$C$1)/1000</f>
        <v>14.259995365501505</v>
      </c>
      <c r="Q12" s="27">
        <f>('Agency Revenues CAD'!Q12/$C$1)/1000</f>
        <v>299.44787533044047</v>
      </c>
    </row>
    <row r="13" spans="1:17" x14ac:dyDescent="0.25">
      <c r="A13" s="2" t="s">
        <v>158</v>
      </c>
      <c r="B13" t="s">
        <v>167</v>
      </c>
      <c r="C13" s="2" t="s">
        <v>170</v>
      </c>
      <c r="D13" s="2"/>
      <c r="E13" s="29">
        <f>('Agency Revenues CAD'!E13/$C$1)/1000</f>
        <v>2.4473717046041958</v>
      </c>
      <c r="F13" s="26">
        <f>('Agency Revenues CAD'!F13/$C$1)/1000</f>
        <v>10.338581889960885</v>
      </c>
      <c r="G13" s="26">
        <f>('Agency Revenues CAD'!G13/$C$1)/1000</f>
        <v>14.287903106431488</v>
      </c>
      <c r="H13" s="26">
        <f>('Agency Revenues CAD'!H13/$C$1)/1000</f>
        <v>14.580473261346189</v>
      </c>
      <c r="I13" s="26">
        <f>('Agency Revenues CAD'!I13/$C$1)/1000</f>
        <v>9.7997710650744025</v>
      </c>
      <c r="J13" s="26">
        <f>('Agency Revenues CAD'!J13/$C$1)/1000</f>
        <v>-0.26535991375802798</v>
      </c>
      <c r="K13" s="26">
        <f>('Agency Revenues CAD'!K13/$C$1)/1000</f>
        <v>0</v>
      </c>
      <c r="L13" s="26">
        <f>('Agency Revenues CAD'!L13/$C$1)/1000</f>
        <v>0</v>
      </c>
      <c r="M13" s="26">
        <f>('Agency Revenues CAD'!M13/$C$1)/1000</f>
        <v>0</v>
      </c>
      <c r="N13" s="26">
        <f>('Agency Revenues CAD'!N13/$C$1)/1000</f>
        <v>0</v>
      </c>
      <c r="O13" s="26">
        <f>('Agency Revenues CAD'!O13/$C$1)/1000</f>
        <v>0</v>
      </c>
      <c r="P13" s="26">
        <f>('Agency Revenues CAD'!P13/$C$1)/1000</f>
        <v>0</v>
      </c>
      <c r="Q13" s="27">
        <f>('Agency Revenues CAD'!Q13/$C$1)/1000</f>
        <v>51.188741113659141</v>
      </c>
    </row>
    <row r="14" spans="1:17" x14ac:dyDescent="0.25">
      <c r="A14" s="2" t="s">
        <v>158</v>
      </c>
      <c r="B14" t="s">
        <v>167</v>
      </c>
      <c r="C14" s="2" t="s">
        <v>171</v>
      </c>
      <c r="D14" s="2"/>
      <c r="E14" s="29">
        <f>('Agency Revenues CAD'!E14/$C$1)/1000</f>
        <v>0</v>
      </c>
      <c r="F14" s="26">
        <f>('Agency Revenues CAD'!F14/$C$1)/1000</f>
        <v>0</v>
      </c>
      <c r="G14" s="26">
        <f>('Agency Revenues CAD'!G14/$C$1)/1000</f>
        <v>0</v>
      </c>
      <c r="H14" s="26">
        <f>('Agency Revenues CAD'!H14/$C$1)/1000</f>
        <v>0</v>
      </c>
      <c r="I14" s="29">
        <f>('Agency Revenues CAD'!I14/$C$1)/1000</f>
        <v>0</v>
      </c>
      <c r="J14" s="26">
        <f>('Agency Revenues CAD'!J14/$C$1)/1000</f>
        <v>0</v>
      </c>
      <c r="K14" s="26">
        <f>('Agency Revenues CAD'!K14/$C$1)/1000</f>
        <v>0</v>
      </c>
      <c r="L14" s="26">
        <f>('Agency Revenues CAD'!L14/$C$1)/1000</f>
        <v>0</v>
      </c>
      <c r="M14" s="26">
        <f>('Agency Revenues CAD'!M14/$C$1)/1000</f>
        <v>0</v>
      </c>
      <c r="N14" s="26">
        <f>('Agency Revenues CAD'!N14/$C$1)/1000</f>
        <v>0</v>
      </c>
      <c r="O14" s="26">
        <f>('Agency Revenues CAD'!O14/$C$1)/1000</f>
        <v>0</v>
      </c>
      <c r="P14" s="26">
        <f>('Agency Revenues CAD'!P14/$C$1)/1000</f>
        <v>0</v>
      </c>
      <c r="Q14" s="27">
        <f>('Agency Revenues CAD'!Q14/$C$1)/1000</f>
        <v>0</v>
      </c>
    </row>
    <row r="15" spans="1:17" x14ac:dyDescent="0.25">
      <c r="A15" s="2" t="s">
        <v>158</v>
      </c>
      <c r="B15" t="s">
        <v>167</v>
      </c>
      <c r="C15" s="2" t="s">
        <v>172</v>
      </c>
      <c r="D15" s="2"/>
      <c r="E15" s="29">
        <f>('Agency Revenues CAD'!E15/$C$1)/1000</f>
        <v>0</v>
      </c>
      <c r="F15" s="26">
        <f>('Agency Revenues CAD'!F15/$C$1)/1000</f>
        <v>0</v>
      </c>
      <c r="G15" s="26">
        <f>('Agency Revenues CAD'!G15/$C$1)/1000</f>
        <v>1.9520926155698997</v>
      </c>
      <c r="H15" s="26">
        <f>('Agency Revenues CAD'!H15/$C$1)/1000</f>
        <v>5.2052935582795934</v>
      </c>
      <c r="I15" s="26">
        <f>('Agency Revenues CAD'!I15/$C$1)/1000</f>
        <v>3.3495721613890468</v>
      </c>
      <c r="J15" s="26">
        <f>('Agency Revenues CAD'!J15/$C$1)/1000</f>
        <v>5.019880293538904</v>
      </c>
      <c r="K15" s="26">
        <f>('Agency Revenues CAD'!K15/$C$1)/1000</f>
        <v>3.0662101659816958</v>
      </c>
      <c r="L15" s="26">
        <f>('Agency Revenues CAD'!L15/$C$1)/1000</f>
        <v>4.7254098392418022</v>
      </c>
      <c r="M15" s="26">
        <f>('Agency Revenues CAD'!M15/$C$1)/1000</f>
        <v>2.5758201628584465</v>
      </c>
      <c r="N15" s="26">
        <f>('Agency Revenues CAD'!N15/$C$1)/1000</f>
        <v>4.9658728860913115</v>
      </c>
      <c r="O15" s="26">
        <f>('Agency Revenues CAD'!O15/$C$1)/1000</f>
        <v>4.3251185943364563</v>
      </c>
      <c r="P15" s="26">
        <f>('Agency Revenues CAD'!P15/$C$1)/1000</f>
        <v>6.4075816675359576</v>
      </c>
      <c r="Q15" s="27">
        <f>('Agency Revenues CAD'!Q15/$C$1)/1000</f>
        <v>41.592851944823117</v>
      </c>
    </row>
    <row r="16" spans="1:17" x14ac:dyDescent="0.25">
      <c r="A16" s="2" t="s">
        <v>158</v>
      </c>
      <c r="B16" t="s">
        <v>167</v>
      </c>
      <c r="C16" s="2" t="s">
        <v>173</v>
      </c>
      <c r="D16" s="2"/>
      <c r="E16" s="29">
        <f>('Agency Revenues CAD'!E16/$C$1)/1000</f>
        <v>0</v>
      </c>
      <c r="F16" s="26">
        <f>('Agency Revenues CAD'!F16/$C$1)/1000</f>
        <v>0</v>
      </c>
      <c r="G16" s="26">
        <f>('Agency Revenues CAD'!G16/$C$1)/1000</f>
        <v>0</v>
      </c>
      <c r="H16" s="26">
        <f>('Agency Revenues CAD'!H16/$C$1)/1000</f>
        <v>2.4579659511610656</v>
      </c>
      <c r="I16" s="29">
        <f>('Agency Revenues CAD'!I16/$C$1)/1000</f>
        <v>2.1339075564800436</v>
      </c>
      <c r="J16" s="26">
        <f>('Agency Revenues CAD'!J16/$C$1)/1000</f>
        <v>2.4573723013540021</v>
      </c>
      <c r="K16" s="26">
        <f>('Agency Revenues CAD'!K16/$C$1)/1000</f>
        <v>2.5215484804967438</v>
      </c>
      <c r="L16" s="26">
        <f>('Agency Revenues CAD'!L16/$C$1)/1000</f>
        <v>2.1611549976246254</v>
      </c>
      <c r="M16" s="26">
        <f>('Agency Revenues CAD'!M16/$C$1)/1000</f>
        <v>1.9012758820853382</v>
      </c>
      <c r="N16" s="26">
        <f>('Agency Revenues CAD'!N16/$C$1)/1000</f>
        <v>2.3398482395493221</v>
      </c>
      <c r="O16" s="26">
        <f>('Agency Revenues CAD'!O16/$C$1)/1000</f>
        <v>2.2643632640819389</v>
      </c>
      <c r="P16" s="26">
        <f>('Agency Revenues CAD'!P16/$C$1)/1000</f>
        <v>0</v>
      </c>
      <c r="Q16" s="27">
        <f>('Agency Revenues CAD'!Q16/$C$1)/1000</f>
        <v>18.237436672833084</v>
      </c>
    </row>
    <row r="17" spans="1:17" x14ac:dyDescent="0.25">
      <c r="A17" s="2" t="s">
        <v>158</v>
      </c>
      <c r="B17" t="s">
        <v>167</v>
      </c>
      <c r="C17" s="2" t="s">
        <v>174</v>
      </c>
      <c r="D17" s="2"/>
      <c r="E17" s="29">
        <f>('Agency Revenues CAD'!E17/$C$1)/1000</f>
        <v>0</v>
      </c>
      <c r="F17" s="26">
        <f>('Agency Revenues CAD'!F17/$C$1)/1000</f>
        <v>0</v>
      </c>
      <c r="G17" s="26">
        <f>('Agency Revenues CAD'!G17/$C$1)/1000</f>
        <v>0</v>
      </c>
      <c r="H17" s="26">
        <f>('Agency Revenues CAD'!H17/$C$1)/1000</f>
        <v>0</v>
      </c>
      <c r="I17" s="29">
        <f>('Agency Revenues CAD'!I17/$C$1)/1000</f>
        <v>17.418894338859339</v>
      </c>
      <c r="J17" s="26">
        <f>('Agency Revenues CAD'!J17/$C$1)/1000</f>
        <v>0</v>
      </c>
      <c r="K17" s="26">
        <f>('Agency Revenues CAD'!K17/$C$1)/1000</f>
        <v>23.615331975017103</v>
      </c>
      <c r="L17" s="26">
        <f>('Agency Revenues CAD'!L17/$C$1)/1000</f>
        <v>30.046827809780957</v>
      </c>
      <c r="M17" s="26">
        <f>('Agency Revenues CAD'!M17/$C$1)/1000</f>
        <v>22.444454605552249</v>
      </c>
      <c r="N17" s="26">
        <f>('Agency Revenues CAD'!N17/$C$1)/1000</f>
        <v>19.374993703127046</v>
      </c>
      <c r="O17" s="26">
        <f>('Agency Revenues CAD'!O17/$C$1)/1000</f>
        <v>23.249992443752454</v>
      </c>
      <c r="P17" s="26">
        <f>('Agency Revenues CAD'!P17/$C$1)/1000</f>
        <v>23.249992443752454</v>
      </c>
      <c r="Q17" s="27">
        <f>('Agency Revenues CAD'!Q17/$C$1)/1000</f>
        <v>159.4004873198416</v>
      </c>
    </row>
    <row r="18" spans="1:17" x14ac:dyDescent="0.25">
      <c r="A18" s="2" t="s">
        <v>158</v>
      </c>
      <c r="B18" t="s">
        <v>167</v>
      </c>
      <c r="C18" s="2" t="s">
        <v>175</v>
      </c>
      <c r="D18" s="2"/>
      <c r="E18" s="29">
        <f>('Agency Revenues CAD'!E18/$C$1)/1000</f>
        <v>0</v>
      </c>
      <c r="F18" s="26">
        <f>('Agency Revenues CAD'!F18/$C$1)/1000</f>
        <v>0</v>
      </c>
      <c r="G18" s="26">
        <f>('Agency Revenues CAD'!G18/$C$1)/1000</f>
        <v>15.202484959192384</v>
      </c>
      <c r="H18" s="26">
        <f>('Agency Revenues CAD'!H18/$C$1)/1000</f>
        <v>63.797057015956462</v>
      </c>
      <c r="I18" s="29">
        <f>('Agency Revenues CAD'!I18/$C$1)/1000</f>
        <v>47.5675082905598</v>
      </c>
      <c r="J18" s="26">
        <f>('Agency Revenues CAD'!J18/$C$1)/1000</f>
        <v>19.230239250172243</v>
      </c>
      <c r="K18" s="26">
        <f>('Agency Revenues CAD'!K18/$C$1)/1000</f>
        <v>3.8749987406254092</v>
      </c>
      <c r="L18" s="26">
        <f>('Agency Revenues CAD'!L18/$C$1)/1000</f>
        <v>5.6746582057360833</v>
      </c>
      <c r="M18" s="26">
        <f>('Agency Revenues CAD'!M18/$C$1)/1000</f>
        <v>76.254605242253277</v>
      </c>
      <c r="N18" s="26">
        <f>('Agency Revenues CAD'!N18/$C$1)/1000</f>
        <v>0</v>
      </c>
      <c r="O18" s="26">
        <f>('Agency Revenues CAD'!O18/$C$1)/1000</f>
        <v>0</v>
      </c>
      <c r="P18" s="26">
        <f>('Agency Revenues CAD'!P18/$C$1)/1000</f>
        <v>0</v>
      </c>
      <c r="Q18" s="27">
        <f>('Agency Revenues CAD'!Q18/$C$1)/1000</f>
        <v>231.60155170449568</v>
      </c>
    </row>
    <row r="19" spans="1:17" x14ac:dyDescent="0.25">
      <c r="A19" s="2" t="s">
        <v>158</v>
      </c>
      <c r="B19" t="s">
        <v>167</v>
      </c>
      <c r="C19" s="2" t="s">
        <v>176</v>
      </c>
      <c r="D19" s="2"/>
      <c r="E19" s="29">
        <f>('Agency Revenues CAD'!E19/$C$1)/1000</f>
        <v>0</v>
      </c>
      <c r="F19" s="26">
        <f>('Agency Revenues CAD'!F19/$C$1)/1000</f>
        <v>0</v>
      </c>
      <c r="G19" s="26">
        <f>('Agency Revenues CAD'!G19/$C$1)/1000</f>
        <v>17.983683155302973</v>
      </c>
      <c r="H19" s="26">
        <f>('Agency Revenues CAD'!H19/$C$1)/1000</f>
        <v>22.564012266696011</v>
      </c>
      <c r="I19" s="29">
        <f>('Agency Revenues CAD'!I19/$C$1)/1000</f>
        <v>5.9522770655099526</v>
      </c>
      <c r="J19" s="26">
        <f>('Agency Revenues CAD'!J19/$C$1)/1000</f>
        <v>0</v>
      </c>
      <c r="K19" s="26">
        <f>('Agency Revenues CAD'!K19/$C$1)/1000</f>
        <v>0</v>
      </c>
      <c r="L19" s="26">
        <f>('Agency Revenues CAD'!L19/$C$1)/1000</f>
        <v>0</v>
      </c>
      <c r="M19" s="26">
        <f>('Agency Revenues CAD'!M19/$C$1)/1000</f>
        <v>0</v>
      </c>
      <c r="N19" s="26">
        <f>('Agency Revenues CAD'!N19/$C$1)/1000</f>
        <v>0</v>
      </c>
      <c r="O19" s="26">
        <f>('Agency Revenues CAD'!O19/$C$1)/1000</f>
        <v>0</v>
      </c>
      <c r="P19" s="26">
        <f>('Agency Revenues CAD'!P19/$C$1)/1000</f>
        <v>0</v>
      </c>
      <c r="Q19" s="27">
        <f>('Agency Revenues CAD'!Q19/$C$1)/1000</f>
        <v>46.499972487508941</v>
      </c>
    </row>
    <row r="20" spans="1:17" x14ac:dyDescent="0.25">
      <c r="A20" s="2" t="s">
        <v>158</v>
      </c>
      <c r="B20" t="s">
        <v>167</v>
      </c>
      <c r="C20" s="2" t="s">
        <v>177</v>
      </c>
      <c r="D20" s="2"/>
      <c r="E20" s="29">
        <f>('Agency Revenues CAD'!E20/$C$1)/1000</f>
        <v>0</v>
      </c>
      <c r="F20" s="26">
        <f>('Agency Revenues CAD'!F20/$C$1)/1000</f>
        <v>0</v>
      </c>
      <c r="G20" s="26">
        <f>('Agency Revenues CAD'!G20/$C$1)/1000</f>
        <v>0</v>
      </c>
      <c r="H20" s="26">
        <f>('Agency Revenues CAD'!H20/$C$1)/1000</f>
        <v>1.7828825650631663</v>
      </c>
      <c r="I20" s="29">
        <f>('Agency Revenues CAD'!I20/$C$1)/1000</f>
        <v>0</v>
      </c>
      <c r="J20" s="26">
        <f>('Agency Revenues CAD'!J20/$C$1)/1000</f>
        <v>116.50761714702443</v>
      </c>
      <c r="K20" s="26">
        <f>('Agency Revenues CAD'!K20/$C$1)/1000</f>
        <v>92.33192024012591</v>
      </c>
      <c r="L20" s="26">
        <f>('Agency Revenues CAD'!L20/$C$1)/1000</f>
        <v>43.574227011376216</v>
      </c>
      <c r="M20" s="26">
        <f>('Agency Revenues CAD'!M20/$C$1)/1000</f>
        <v>32.298833214629205</v>
      </c>
      <c r="N20" s="26">
        <f>('Agency Revenues CAD'!N20/$C$1)/1000</f>
        <v>30.743488258366312</v>
      </c>
      <c r="O20" s="26">
        <f>('Agency Revenues CAD'!O20/$C$1)/1000</f>
        <v>26.530101377717052</v>
      </c>
      <c r="P20" s="26">
        <f>('Agency Revenues CAD'!P20/$C$1)/1000</f>
        <v>0</v>
      </c>
      <c r="Q20" s="27">
        <f>('Agency Revenues CAD'!Q20/$C$1)/1000</f>
        <v>343.76906981430227</v>
      </c>
    </row>
    <row r="21" spans="1:17" x14ac:dyDescent="0.25">
      <c r="A21" s="2" t="s">
        <v>158</v>
      </c>
      <c r="B21" t="s">
        <v>167</v>
      </c>
      <c r="C21" s="2" t="s">
        <v>178</v>
      </c>
      <c r="D21" s="2"/>
      <c r="E21" s="29">
        <f>('Agency Revenues CAD'!E21/$C$1)/1000</f>
        <v>0</v>
      </c>
      <c r="F21" s="26">
        <f>('Agency Revenues CAD'!F21/$C$1)/1000</f>
        <v>0</v>
      </c>
      <c r="G21" s="26">
        <f>('Agency Revenues CAD'!G21/$C$1)/1000</f>
        <v>0</v>
      </c>
      <c r="H21" s="26">
        <f>('Agency Revenues CAD'!H21/$C$1)/1000</f>
        <v>0</v>
      </c>
      <c r="I21" s="29">
        <f>('Agency Revenues CAD'!I21/$C$1)/1000</f>
        <v>24.461503050011505</v>
      </c>
      <c r="J21" s="26">
        <f>('Agency Revenues CAD'!J21/$C$1)/1000</f>
        <v>18.658948185841837</v>
      </c>
      <c r="K21" s="26">
        <f>('Agency Revenues CAD'!K21/$C$1)/1000</f>
        <v>65.043212823455818</v>
      </c>
      <c r="L21" s="26">
        <f>('Agency Revenues CAD'!L21/$C$1)/1000</f>
        <v>48.246008325047292</v>
      </c>
      <c r="M21" s="26">
        <f>('Agency Revenues CAD'!M21/$C$1)/1000</f>
        <v>100.30276140160254</v>
      </c>
      <c r="N21" s="26">
        <f>('Agency Revenues CAD'!N21/$C$1)/1000</f>
        <v>7.2237184022915191</v>
      </c>
      <c r="O21" s="26">
        <f>('Agency Revenues CAD'!O21/$C$1)/1000</f>
        <v>7.2237184022915191</v>
      </c>
      <c r="P21" s="26">
        <f>('Agency Revenues CAD'!P21/$C$1)/1000</f>
        <v>7.2237184022915191</v>
      </c>
      <c r="Q21" s="27">
        <f>('Agency Revenues CAD'!Q21/$C$1)/1000</f>
        <v>278.3835889928335</v>
      </c>
    </row>
    <row r="22" spans="1:17" x14ac:dyDescent="0.25">
      <c r="A22" s="2" t="s">
        <v>158</v>
      </c>
      <c r="B22" t="s">
        <v>167</v>
      </c>
      <c r="C22" s="2" t="s">
        <v>179</v>
      </c>
      <c r="D22" s="2"/>
      <c r="E22" s="29">
        <f>('Agency Revenues CAD'!E22/$C$1)/1000</f>
        <v>0</v>
      </c>
      <c r="F22" s="26">
        <f>('Agency Revenues CAD'!F22/$C$1)/1000</f>
        <v>0</v>
      </c>
      <c r="G22" s="26">
        <f>('Agency Revenues CAD'!G22/$C$1)/1000</f>
        <v>0</v>
      </c>
      <c r="H22" s="26">
        <f>('Agency Revenues CAD'!H22/$C$1)/1000</f>
        <v>0</v>
      </c>
      <c r="I22" s="29">
        <f>('Agency Revenues CAD'!I22/$C$1)/1000</f>
        <v>0</v>
      </c>
      <c r="J22" s="26">
        <f>('Agency Revenues CAD'!J22/$C$1)/1000</f>
        <v>0</v>
      </c>
      <c r="K22" s="26">
        <f>('Agency Revenues CAD'!K22/$C$1)/1000</f>
        <v>99.825831206604832</v>
      </c>
      <c r="L22" s="26">
        <f>('Agency Revenues CAD'!L22/$C$1)/1000</f>
        <v>7.5232023299592425</v>
      </c>
      <c r="M22" s="26">
        <f>('Agency Revenues CAD'!M22/$C$1)/1000</f>
        <v>0</v>
      </c>
      <c r="N22" s="26">
        <f>('Agency Revenues CAD'!N22/$C$1)/1000</f>
        <v>0</v>
      </c>
      <c r="O22" s="26">
        <f>('Agency Revenues CAD'!O22/$C$1)/1000</f>
        <v>0</v>
      </c>
      <c r="P22" s="26">
        <f>('Agency Revenues CAD'!P22/$C$1)/1000</f>
        <v>0</v>
      </c>
      <c r="Q22" s="27">
        <f>('Agency Revenues CAD'!Q22/$C$1)/1000</f>
        <v>107.34903353656409</v>
      </c>
    </row>
    <row r="23" spans="1:17" x14ac:dyDescent="0.25">
      <c r="A23" s="2" t="s">
        <v>158</v>
      </c>
      <c r="B23" t="s">
        <v>167</v>
      </c>
      <c r="C23" s="2" t="s">
        <v>180</v>
      </c>
      <c r="D23" s="2"/>
      <c r="E23" s="29">
        <f>('Agency Revenues CAD'!E23/$C$1)/1000</f>
        <v>0</v>
      </c>
      <c r="F23" s="26">
        <f>('Agency Revenues CAD'!F23/$C$1)/1000</f>
        <v>0</v>
      </c>
      <c r="G23" s="26">
        <f>('Agency Revenues CAD'!G23/$C$1)/1000</f>
        <v>0</v>
      </c>
      <c r="H23" s="26">
        <f>('Agency Revenues CAD'!H23/$C$1)/1000</f>
        <v>0</v>
      </c>
      <c r="I23" s="29">
        <f>('Agency Revenues CAD'!I23/$C$1)/1000</f>
        <v>0</v>
      </c>
      <c r="J23" s="26">
        <f>('Agency Revenues CAD'!J23/$C$1)/1000</f>
        <v>0</v>
      </c>
      <c r="K23" s="26">
        <f>('Agency Revenues CAD'!K23/$C$1)/1000</f>
        <v>0</v>
      </c>
      <c r="L23" s="26">
        <f>('Agency Revenues CAD'!L23/$C$1)/1000</f>
        <v>0</v>
      </c>
      <c r="M23" s="26">
        <f>('Agency Revenues CAD'!M23/$C$1)/1000</f>
        <v>30.050383416400386</v>
      </c>
      <c r="N23" s="26">
        <f>('Agency Revenues CAD'!N23/$C$1)/1000</f>
        <v>66.649978338757037</v>
      </c>
      <c r="O23" s="26">
        <f>('Agency Revenues CAD'!O23/$C$1)/1000</f>
        <v>66.649978338757037</v>
      </c>
      <c r="P23" s="26">
        <f>('Agency Revenues CAD'!P23/$C$1)/1000</f>
        <v>66.649978338757037</v>
      </c>
      <c r="Q23" s="27">
        <f>('Agency Revenues CAD'!Q23/$C$1)/1000</f>
        <v>230.00031843267152</v>
      </c>
    </row>
    <row r="24" spans="1:17" x14ac:dyDescent="0.25">
      <c r="A24" s="2" t="s">
        <v>158</v>
      </c>
      <c r="B24" t="s">
        <v>167</v>
      </c>
      <c r="C24" s="2" t="s">
        <v>181</v>
      </c>
      <c r="D24" s="2"/>
      <c r="E24" s="29">
        <f>('Agency Revenues CAD'!E24/$C$1)/1000</f>
        <v>0</v>
      </c>
      <c r="F24" s="26">
        <f>('Agency Revenues CAD'!F24/$C$1)/1000</f>
        <v>0</v>
      </c>
      <c r="G24" s="26">
        <f>('Agency Revenues CAD'!G24/$C$1)/1000</f>
        <v>0</v>
      </c>
      <c r="H24" s="26">
        <f>('Agency Revenues CAD'!H24/$C$1)/1000</f>
        <v>0</v>
      </c>
      <c r="I24" s="29">
        <f>('Agency Revenues CAD'!I24/$C$1)/1000</f>
        <v>0</v>
      </c>
      <c r="J24" s="26">
        <f>('Agency Revenues CAD'!J24/$C$1)/1000</f>
        <v>0</v>
      </c>
      <c r="K24" s="26">
        <f>('Agency Revenues CAD'!K24/$C$1)/1000</f>
        <v>0</v>
      </c>
      <c r="L24" s="26">
        <f>('Agency Revenues CAD'!L24/$C$1)/1000</f>
        <v>0</v>
      </c>
      <c r="M24" s="26">
        <f>('Agency Revenues CAD'!M24/$C$1)/1000</f>
        <v>8.031749027181565</v>
      </c>
      <c r="N24" s="26">
        <f>('Agency Revenues CAD'!N24/$C$1)/1000</f>
        <v>7.7499974812508183</v>
      </c>
      <c r="O24" s="26">
        <f>('Agency Revenues CAD'!O24/$C$1)/1000</f>
        <v>0</v>
      </c>
      <c r="P24" s="26">
        <f>('Agency Revenues CAD'!P24/$C$1)/1000</f>
        <v>0</v>
      </c>
      <c r="Q24" s="27">
        <f>('Agency Revenues CAD'!Q24/$C$1)/1000</f>
        <v>15.781746508432381</v>
      </c>
    </row>
    <row r="25" spans="1:17" x14ac:dyDescent="0.25">
      <c r="A25" s="2" t="s">
        <v>158</v>
      </c>
      <c r="B25" t="s">
        <v>167</v>
      </c>
      <c r="C25" s="2" t="s">
        <v>182</v>
      </c>
      <c r="D25" s="2"/>
      <c r="E25" s="29">
        <f>('Agency Revenues CAD'!E25/$C$1)/1000</f>
        <v>0</v>
      </c>
      <c r="F25" s="26">
        <f>('Agency Revenues CAD'!F25/$C$1)/1000</f>
        <v>0</v>
      </c>
      <c r="G25" s="26">
        <f>('Agency Revenues CAD'!G25/$C$1)/1000</f>
        <v>0</v>
      </c>
      <c r="H25" s="26">
        <f>('Agency Revenues CAD'!H25/$C$1)/1000</f>
        <v>0</v>
      </c>
      <c r="I25" s="29">
        <f>('Agency Revenues CAD'!I25/$C$1)/1000</f>
        <v>0</v>
      </c>
      <c r="J25" s="26">
        <f>('Agency Revenues CAD'!J25/$C$1)/1000</f>
        <v>0</v>
      </c>
      <c r="K25" s="26">
        <f>('Agency Revenues CAD'!K25/$C$1)/1000</f>
        <v>0</v>
      </c>
      <c r="L25" s="26">
        <f>('Agency Revenues CAD'!L25/$C$1)/1000</f>
        <v>0</v>
      </c>
      <c r="M25" s="26">
        <f>('Agency Revenues CAD'!M25/$C$1)/1000</f>
        <v>39.169397119945934</v>
      </c>
      <c r="N25" s="26">
        <f>('Agency Revenues CAD'!N25/$C$1)/1000</f>
        <v>65.840103601966334</v>
      </c>
      <c r="O25" s="26">
        <f>('Agency Revenues CAD'!O25/$C$1)/1000</f>
        <v>0</v>
      </c>
      <c r="P25" s="26">
        <f>('Agency Revenues CAD'!P25/$C$1)/1000</f>
        <v>0</v>
      </c>
      <c r="Q25" s="27">
        <f>('Agency Revenues CAD'!Q25/$C$1)/1000</f>
        <v>105.00950072191225</v>
      </c>
    </row>
    <row r="26" spans="1:17" s="9" customFormat="1" x14ac:dyDescent="0.25">
      <c r="A26" s="8" t="s">
        <v>158</v>
      </c>
      <c r="B26" s="9" t="s">
        <v>167</v>
      </c>
      <c r="C26" s="8" t="s">
        <v>183</v>
      </c>
      <c r="D26" s="8"/>
      <c r="E26" s="30">
        <f>('Agency Revenues CAD'!E26/$C$1)/1000</f>
        <v>0</v>
      </c>
      <c r="F26" s="31">
        <f>('Agency Revenues CAD'!F26/$C$1)/1000</f>
        <v>0</v>
      </c>
      <c r="G26" s="31">
        <f>('Agency Revenues CAD'!G26/$C$1)/1000</f>
        <v>0</v>
      </c>
      <c r="H26" s="31">
        <f>('Agency Revenues CAD'!H26/$C$1)/1000</f>
        <v>0</v>
      </c>
      <c r="I26" s="30">
        <f>('Agency Revenues CAD'!I26/$C$1)/1000</f>
        <v>0</v>
      </c>
      <c r="J26" s="31">
        <f>('Agency Revenues CAD'!J26/$C$1)/1000</f>
        <v>0</v>
      </c>
      <c r="K26" s="31">
        <f>('Agency Revenues CAD'!K26/$C$1)/1000</f>
        <v>0</v>
      </c>
      <c r="L26" s="31">
        <f>('Agency Revenues CAD'!L26/$C$1)/1000</f>
        <v>0</v>
      </c>
      <c r="M26" s="31">
        <f>('Agency Revenues CAD'!M26/$C$1)/1000</f>
        <v>0</v>
      </c>
      <c r="N26" s="31">
        <f>('Agency Revenues CAD'!N26/$C$1)/1000</f>
        <v>19.374993703127046</v>
      </c>
      <c r="O26" s="31">
        <f>('Agency Revenues CAD'!O26/$C$1)/1000</f>
        <v>0</v>
      </c>
      <c r="P26" s="31">
        <f>('Agency Revenues CAD'!P26/$C$1)/1000</f>
        <v>0</v>
      </c>
      <c r="Q26" s="32">
        <f>('Agency Revenues CAD'!Q26/$C$1)/1000</f>
        <v>19.374993703127046</v>
      </c>
    </row>
    <row r="27" spans="1:17" x14ac:dyDescent="0.25">
      <c r="A27" s="2" t="s">
        <v>184</v>
      </c>
      <c r="B27" t="s">
        <v>167</v>
      </c>
      <c r="C27" s="2" t="s">
        <v>185</v>
      </c>
      <c r="D27" s="2"/>
      <c r="E27" s="26">
        <f>('Agency Revenues CAD'!E27/$C$1)/1000</f>
        <v>0</v>
      </c>
      <c r="F27" s="26">
        <f>('Agency Revenues CAD'!F27/$C$1)/1000</f>
        <v>0</v>
      </c>
      <c r="G27" s="26">
        <f>('Agency Revenues CAD'!G27/$C$1)/1000</f>
        <v>0</v>
      </c>
      <c r="H27" s="26">
        <f>('Agency Revenues CAD'!H27/$C$1)/1000</f>
        <v>0</v>
      </c>
      <c r="I27" s="26">
        <f>('Agency Revenues CAD'!I27/$C$1)/1000</f>
        <v>0</v>
      </c>
      <c r="J27" s="26">
        <f>('Agency Revenues CAD'!J27/$C$1)/1000</f>
        <v>0</v>
      </c>
      <c r="K27" s="26">
        <f>('Agency Revenues CAD'!K27/$C$1)/1000</f>
        <v>0</v>
      </c>
      <c r="L27" s="26">
        <f>('Agency Revenues CAD'!L27/$C$1)/1000</f>
        <v>0</v>
      </c>
      <c r="M27" s="26">
        <f>('Agency Revenues CAD'!M27/$C$1)/1000</f>
        <v>0</v>
      </c>
      <c r="N27" s="26">
        <f>('Agency Revenues CAD'!N27/$C$1)/1000</f>
        <v>0</v>
      </c>
      <c r="O27" s="28">
        <f>('Agency Revenues CAD'!O27/$C$1)/1000</f>
        <v>0</v>
      </c>
      <c r="P27" s="28">
        <f>('Agency Revenues CAD'!P27/$C$1)/1000</f>
        <v>77.357374858853163</v>
      </c>
      <c r="Q27" s="27">
        <f>('Agency Revenues CAD'!Q27/$C$1)/1000</f>
        <v>77.357374858853163</v>
      </c>
    </row>
    <row r="28" spans="1:17" x14ac:dyDescent="0.25">
      <c r="A28" s="2" t="s">
        <v>184</v>
      </c>
      <c r="B28" t="s">
        <v>167</v>
      </c>
      <c r="C28" s="2" t="s">
        <v>186</v>
      </c>
      <c r="D28" s="2"/>
      <c r="E28" s="26">
        <f>('Agency Revenues CAD'!E28/$C$1)/1000</f>
        <v>12.734764861201418</v>
      </c>
      <c r="F28" s="26">
        <f>('Agency Revenues CAD'!F28/$C$1)/1000</f>
        <v>11.965104861340919</v>
      </c>
      <c r="G28" s="26">
        <f>('Agency Revenues CAD'!G28/$C$1)/1000</f>
        <v>7.602034529338777</v>
      </c>
      <c r="H28" s="26">
        <f>('Agency Revenues CAD'!H28/$C$1)/1000</f>
        <v>44.088774671148229</v>
      </c>
      <c r="I28" s="26">
        <f>('Agency Revenues CAD'!I28/$C$1)/1000</f>
        <v>58.012691395875294</v>
      </c>
      <c r="J28" s="26">
        <f>('Agency Revenues CAD'!J28/$C$1)/1000</f>
        <v>33.719877038539956</v>
      </c>
      <c r="K28" s="26">
        <f>('Agency Revenues CAD'!K28/$C$1)/1000</f>
        <v>96.407937934920156</v>
      </c>
      <c r="L28" s="26">
        <f>('Agency Revenues CAD'!L28/$C$1)/1000</f>
        <v>22.564716547717122</v>
      </c>
      <c r="M28" s="26">
        <f>('Agency Revenues CAD'!M28/$C$1)/1000</f>
        <v>307.48873806791022</v>
      </c>
      <c r="N28" s="26">
        <f>('Agency Revenues CAD'!N28/$C$1)/1000</f>
        <v>116.24996221876228</v>
      </c>
      <c r="O28" s="26">
        <f>('Agency Revenues CAD'!O28/$C$1)/1000</f>
        <v>30.999989925003273</v>
      </c>
      <c r="P28" s="26">
        <f>('Agency Revenues CAD'!P28/$C$1)/1000</f>
        <v>30.999989925003273</v>
      </c>
      <c r="Q28" s="27">
        <f>('Agency Revenues CAD'!Q28/$C$1)/1000</f>
        <v>772.83458197676089</v>
      </c>
    </row>
    <row r="29" spans="1:17" x14ac:dyDescent="0.25">
      <c r="A29" s="2" t="s">
        <v>184</v>
      </c>
      <c r="B29" t="s">
        <v>167</v>
      </c>
      <c r="C29" s="2" t="s">
        <v>187</v>
      </c>
      <c r="D29" s="2"/>
      <c r="E29" s="29">
        <f>('Agency Revenues CAD'!E29/$C$1)/1000</f>
        <v>26.041812786410848</v>
      </c>
      <c r="F29" s="26">
        <f>('Agency Revenues CAD'!F29/$C$1)/1000</f>
        <v>18.98127058108706</v>
      </c>
      <c r="G29" s="26">
        <f>('Agency Revenues CAD'!G29/$C$1)/1000</f>
        <v>23.215411954991112</v>
      </c>
      <c r="H29" s="26">
        <f>('Agency Revenues CAD'!H29/$C$1)/1000</f>
        <v>21.872453641452566</v>
      </c>
      <c r="I29" s="26">
        <f>('Agency Revenues CAD'!I29/$C$1)/1000</f>
        <v>36.045191785312667</v>
      </c>
      <c r="J29" s="26">
        <f>('Agency Revenues CAD'!J29/$C$1)/1000</f>
        <v>34.606322029445337</v>
      </c>
      <c r="K29" s="26">
        <f>('Agency Revenues CAD'!K29/$C$1)/1000</f>
        <v>61.703392406397462</v>
      </c>
      <c r="L29" s="26">
        <f>('Agency Revenues CAD'!L29/$C$1)/1000</f>
        <v>606.87930323717887</v>
      </c>
      <c r="M29" s="26">
        <f>('Agency Revenues CAD'!M29/$C$1)/1000</f>
        <v>443.07684651516627</v>
      </c>
      <c r="N29" s="26">
        <f>('Agency Revenues CAD'!N29/$C$1)/1000</f>
        <v>116.24996221876228</v>
      </c>
      <c r="O29" s="26">
        <f>('Agency Revenues CAD'!O29/$C$1)/1000</f>
        <v>154.99994962501637</v>
      </c>
      <c r="P29" s="26">
        <f>('Agency Revenues CAD'!P29/$C$1)/1000</f>
        <v>123.99995970001309</v>
      </c>
      <c r="Q29" s="27">
        <f>('Agency Revenues CAD'!Q29/$C$1)/1000</f>
        <v>1667.6718764812335</v>
      </c>
    </row>
    <row r="30" spans="1:17" x14ac:dyDescent="0.25">
      <c r="A30" s="2" t="s">
        <v>184</v>
      </c>
      <c r="B30" t="s">
        <v>167</v>
      </c>
      <c r="C30" s="2" t="s">
        <v>188</v>
      </c>
      <c r="D30" s="2"/>
      <c r="E30" s="26">
        <f>('Agency Revenues CAD'!E30/$C$1)/1000</f>
        <v>0</v>
      </c>
      <c r="F30" s="26">
        <f>('Agency Revenues CAD'!F30/$C$1)/1000</f>
        <v>68.225886076587017</v>
      </c>
      <c r="G30" s="26">
        <f>('Agency Revenues CAD'!G30/$C$1)/1000</f>
        <v>20.462124599809503</v>
      </c>
      <c r="H30" s="26">
        <f>('Agency Revenues CAD'!H30/$C$1)/1000</f>
        <v>120.75207525557553</v>
      </c>
      <c r="I30" s="26">
        <f>('Agency Revenues CAD'!I30/$C$1)/1000</f>
        <v>92.147524302054606</v>
      </c>
      <c r="J30" s="26">
        <f>('Agency Revenues CAD'!J30/$C$1)/1000</f>
        <v>30.664215626629922</v>
      </c>
      <c r="K30" s="26">
        <f>('Agency Revenues CAD'!K30/$C$1)/1000</f>
        <v>60.093965619461159</v>
      </c>
      <c r="L30" s="26">
        <f>('Agency Revenues CAD'!L30/$C$1)/1000</f>
        <v>40.109538464399996</v>
      </c>
      <c r="M30" s="26">
        <f>('Agency Revenues CAD'!M30/$C$1)/1000</f>
        <v>27.035850480848595</v>
      </c>
      <c r="N30" s="26">
        <f>('Agency Revenues CAD'!N30/$C$1)/1000</f>
        <v>34.874988665628685</v>
      </c>
      <c r="O30" s="26">
        <f>('Agency Revenues CAD'!O30/$C$1)/1000</f>
        <v>34.874988665628685</v>
      </c>
      <c r="P30" s="26">
        <f>('Agency Revenues CAD'!P30/$C$1)/1000</f>
        <v>34.874988665628685</v>
      </c>
      <c r="Q30" s="27">
        <f>('Agency Revenues CAD'!Q30/$C$1)/1000</f>
        <v>564.11614642225231</v>
      </c>
    </row>
    <row r="31" spans="1:17" x14ac:dyDescent="0.25">
      <c r="A31" s="2" t="s">
        <v>184</v>
      </c>
      <c r="B31" t="s">
        <v>167</v>
      </c>
      <c r="C31" s="2" t="s">
        <v>189</v>
      </c>
      <c r="D31" s="2"/>
      <c r="E31" s="26">
        <f>('Agency Revenues CAD'!E31/$C$1)/1000</f>
        <v>0</v>
      </c>
      <c r="F31" s="26">
        <f>('Agency Revenues CAD'!F31/$C$1)/1000</f>
        <v>0</v>
      </c>
      <c r="G31" s="26">
        <f>('Agency Revenues CAD'!G31/$C$1)/1000</f>
        <v>2.4894888721661164</v>
      </c>
      <c r="H31" s="26">
        <f>('Agency Revenues CAD'!H31/$C$1)/1000</f>
        <v>29.551461145775129</v>
      </c>
      <c r="I31" s="26">
        <f>('Agency Revenues CAD'!I31/$C$1)/1000</f>
        <v>55.011907871129942</v>
      </c>
      <c r="J31" s="26">
        <f>('Agency Revenues CAD'!J31/$C$1)/1000</f>
        <v>30.374134561656263</v>
      </c>
      <c r="K31" s="26">
        <f>('Agency Revenues CAD'!K31/$C$1)/1000</f>
        <v>0</v>
      </c>
      <c r="L31" s="26">
        <f>('Agency Revenues CAD'!L31/$C$1)/1000</f>
        <v>0</v>
      </c>
      <c r="M31" s="26">
        <f>('Agency Revenues CAD'!M31/$C$1)/1000</f>
        <v>35.417782989220527</v>
      </c>
      <c r="N31" s="26">
        <f>('Agency Revenues CAD'!N31/$C$1)/1000</f>
        <v>0</v>
      </c>
      <c r="O31" s="26">
        <f>('Agency Revenues CAD'!O31/$C$1)/1000</f>
        <v>0</v>
      </c>
      <c r="P31" s="26">
        <f>('Agency Revenues CAD'!P31/$C$1)/1000</f>
        <v>0</v>
      </c>
      <c r="Q31" s="27">
        <f>('Agency Revenues CAD'!Q31/$C$1)/1000</f>
        <v>152.84477543994799</v>
      </c>
    </row>
    <row r="32" spans="1:17" x14ac:dyDescent="0.25">
      <c r="A32" s="2" t="s">
        <v>184</v>
      </c>
      <c r="B32" t="s">
        <v>167</v>
      </c>
      <c r="C32" s="2" t="s">
        <v>190</v>
      </c>
      <c r="D32" s="2"/>
      <c r="E32" s="26">
        <f>('Agency Revenues CAD'!E32/$C$1)/1000</f>
        <v>0</v>
      </c>
      <c r="F32" s="26">
        <f>('Agency Revenues CAD'!F32/$C$1)/1000</f>
        <v>17.688733751161529</v>
      </c>
      <c r="G32" s="26">
        <f>('Agency Revenues CAD'!G32/$C$1)/1000</f>
        <v>11.393842859501069</v>
      </c>
      <c r="H32" s="26">
        <f>('Agency Revenues CAD'!H32/$C$1)/1000</f>
        <v>9.68649710188844</v>
      </c>
      <c r="I32" s="26">
        <f>('Agency Revenues CAD'!I32/$C$1)/1000</f>
        <v>0</v>
      </c>
      <c r="J32" s="26">
        <f>('Agency Revenues CAD'!J32/$C$1)/1000</f>
        <v>57.499250900743455</v>
      </c>
      <c r="K32" s="26">
        <f>('Agency Revenues CAD'!K32/$C$1)/1000</f>
        <v>65.892429879960289</v>
      </c>
      <c r="L32" s="26">
        <f>('Agency Revenues CAD'!L32/$C$1)/1000</f>
        <v>66.83131161732372</v>
      </c>
      <c r="M32" s="26">
        <f>('Agency Revenues CAD'!M32/$C$1)/1000</f>
        <v>49.111966538610872</v>
      </c>
      <c r="N32" s="26">
        <f>('Agency Revenues CAD'!N32/$C$1)/1000</f>
        <v>36.424988161878844</v>
      </c>
      <c r="O32" s="26">
        <f>('Agency Revenues CAD'!O32/$C$1)/1000</f>
        <v>36.424988161878844</v>
      </c>
      <c r="P32" s="26">
        <f>('Agency Revenues CAD'!P32/$C$1)/1000</f>
        <v>36.424988161878844</v>
      </c>
      <c r="Q32" s="27">
        <f>('Agency Revenues CAD'!Q32/$C$1)/1000</f>
        <v>387.37899713482591</v>
      </c>
    </row>
    <row r="33" spans="1:17" x14ac:dyDescent="0.25">
      <c r="A33" s="2" t="s">
        <v>184</v>
      </c>
      <c r="B33" t="s">
        <v>167</v>
      </c>
      <c r="C33" s="2" t="s">
        <v>191</v>
      </c>
      <c r="D33" s="2"/>
      <c r="E33" s="26">
        <f>('Agency Revenues CAD'!E33/$C$1)/1000</f>
        <v>0.44808160437347849</v>
      </c>
      <c r="F33" s="26">
        <f>('Agency Revenues CAD'!F33/$C$1)/1000</f>
        <v>0</v>
      </c>
      <c r="G33" s="26">
        <f>('Agency Revenues CAD'!G33/$C$1)/1000</f>
        <v>0</v>
      </c>
      <c r="H33" s="26">
        <f>('Agency Revenues CAD'!H33/$C$1)/1000</f>
        <v>0</v>
      </c>
      <c r="I33" s="26">
        <f>('Agency Revenues CAD'!I33/$C$1)/1000</f>
        <v>0</v>
      </c>
      <c r="J33" s="26">
        <f>('Agency Revenues CAD'!J33/$C$1)/1000</f>
        <v>0</v>
      </c>
      <c r="K33" s="26">
        <f>('Agency Revenues CAD'!K33/$C$1)/1000</f>
        <v>0</v>
      </c>
      <c r="L33" s="26">
        <f>('Agency Revenues CAD'!L33/$C$1)/1000</f>
        <v>0</v>
      </c>
      <c r="M33" s="26">
        <f>('Agency Revenues CAD'!M33/$C$1)/1000</f>
        <v>0</v>
      </c>
      <c r="N33" s="26">
        <f>('Agency Revenues CAD'!N33/$C$1)/1000</f>
        <v>34.874988665628685</v>
      </c>
      <c r="O33" s="26">
        <f>('Agency Revenues CAD'!O33/$C$1)/1000</f>
        <v>34.874988665628685</v>
      </c>
      <c r="P33" s="26">
        <f>('Agency Revenues CAD'!P33/$C$1)/1000</f>
        <v>34.874988665628685</v>
      </c>
      <c r="Q33" s="27">
        <f>('Agency Revenues CAD'!Q33/$C$1)/1000</f>
        <v>105.0730476012595</v>
      </c>
    </row>
    <row r="34" spans="1:17" x14ac:dyDescent="0.25">
      <c r="A34" s="2" t="s">
        <v>184</v>
      </c>
      <c r="B34" t="s">
        <v>167</v>
      </c>
      <c r="C34" s="2" t="s">
        <v>192</v>
      </c>
      <c r="D34" s="2"/>
      <c r="E34" s="29">
        <f>('Agency Revenues CAD'!E34/$C$1)/1000</f>
        <v>83.334729978462761</v>
      </c>
      <c r="F34" s="26">
        <f>('Agency Revenues CAD'!F34/$C$1)/1000</f>
        <v>73.960535462825973</v>
      </c>
      <c r="G34" s="26">
        <f>('Agency Revenues CAD'!G34/$C$1)/1000</f>
        <v>8.3561480342518877</v>
      </c>
      <c r="H34" s="26">
        <f>('Agency Revenues CAD'!H34/$C$1)/1000</f>
        <v>0</v>
      </c>
      <c r="I34" s="26">
        <f>('Agency Revenues CAD'!I34/$C$1)/1000</f>
        <v>0</v>
      </c>
      <c r="J34" s="26">
        <f>('Agency Revenues CAD'!J34/$C$1)/1000</f>
        <v>14.061994492851788</v>
      </c>
      <c r="K34" s="26">
        <f>('Agency Revenues CAD'!K34/$C$1)/1000</f>
        <v>24.534212348380983</v>
      </c>
      <c r="L34" s="26">
        <f>('Agency Revenues CAD'!L34/$C$1)/1000</f>
        <v>244.74103245466443</v>
      </c>
      <c r="M34" s="26">
        <f>('Agency Revenues CAD'!M34/$C$1)/1000</f>
        <v>177.89186352564434</v>
      </c>
      <c r="N34" s="26">
        <f>('Agency Revenues CAD'!N34/$C$1)/1000</f>
        <v>170.499944587518</v>
      </c>
      <c r="O34" s="26">
        <f>('Agency Revenues CAD'!O34/$C$1)/1000</f>
        <v>170.499944587518</v>
      </c>
      <c r="P34" s="26">
        <f>('Agency Revenues CAD'!P34/$C$1)/1000</f>
        <v>170.499944587518</v>
      </c>
      <c r="Q34" s="27">
        <f>('Agency Revenues CAD'!Q34/$C$1)/1000</f>
        <v>1138.3803500596362</v>
      </c>
    </row>
    <row r="35" spans="1:17" x14ac:dyDescent="0.25">
      <c r="A35" s="2" t="s">
        <v>184</v>
      </c>
      <c r="B35" t="s">
        <v>167</v>
      </c>
      <c r="C35" s="2" t="s">
        <v>193</v>
      </c>
      <c r="D35" s="2"/>
      <c r="E35" s="26">
        <f>('Agency Revenues CAD'!E35/$C$1)/1000</f>
        <v>0</v>
      </c>
      <c r="F35" s="26">
        <f>('Agency Revenues CAD'!F35/$C$1)/1000</f>
        <v>19.522328905243107</v>
      </c>
      <c r="G35" s="26">
        <f>('Agency Revenues CAD'!G35/$C$1)/1000</f>
        <v>40.241114759637696</v>
      </c>
      <c r="H35" s="26">
        <f>('Agency Revenues CAD'!H35/$C$1)/1000</f>
        <v>44.822032932839292</v>
      </c>
      <c r="I35" s="26">
        <f>('Agency Revenues CAD'!I35/$C$1)/1000</f>
        <v>57.874849940673762</v>
      </c>
      <c r="J35" s="26">
        <f>('Agency Revenues CAD'!J35/$C$1)/1000</f>
        <v>27.211478552269469</v>
      </c>
      <c r="K35" s="26">
        <f>('Agency Revenues CAD'!K35/$C$1)/1000</f>
        <v>9.911781778670921</v>
      </c>
      <c r="L35" s="26">
        <f>('Agency Revenues CAD'!L35/$C$1)/1000</f>
        <v>20.454526812278786</v>
      </c>
      <c r="M35" s="26">
        <f>('Agency Revenues CAD'!M35/$C$1)/1000</f>
        <v>62.966443285905932</v>
      </c>
      <c r="N35" s="26">
        <f>('Agency Revenues CAD'!N35/$C$1)/1000</f>
        <v>38.749987406254093</v>
      </c>
      <c r="O35" s="26">
        <f>('Agency Revenues CAD'!O35/$C$1)/1000</f>
        <v>38.749987406254093</v>
      </c>
      <c r="P35" s="26">
        <f>('Agency Revenues CAD'!P35/$C$1)/1000</f>
        <v>23.249992443752454</v>
      </c>
      <c r="Q35" s="27">
        <f>('Agency Revenues CAD'!Q35/$C$1)/1000</f>
        <v>383.75452422377958</v>
      </c>
    </row>
    <row r="36" spans="1:17" x14ac:dyDescent="0.25">
      <c r="A36" s="2" t="s">
        <v>184</v>
      </c>
      <c r="B36" t="s">
        <v>167</v>
      </c>
      <c r="C36" s="2" t="s">
        <v>194</v>
      </c>
      <c r="D36" s="2"/>
      <c r="E36" s="26">
        <f>('Agency Revenues CAD'!E36/$C$1)/1000</f>
        <v>0</v>
      </c>
      <c r="F36" s="26">
        <f>('Agency Revenues CAD'!F36/$C$1)/1000</f>
        <v>0</v>
      </c>
      <c r="G36" s="26">
        <f>('Agency Revenues CAD'!G36/$C$1)/1000</f>
        <v>0</v>
      </c>
      <c r="H36" s="26">
        <f>('Agency Revenues CAD'!H36/$C$1)/1000</f>
        <v>0</v>
      </c>
      <c r="I36" s="26">
        <f>('Agency Revenues CAD'!I36/$C$1)/1000</f>
        <v>0</v>
      </c>
      <c r="J36" s="26">
        <f>('Agency Revenues CAD'!J36/$C$1)/1000</f>
        <v>0</v>
      </c>
      <c r="K36" s="26">
        <f>('Agency Revenues CAD'!K36/$C$1)/1000</f>
        <v>0</v>
      </c>
      <c r="L36" s="26">
        <f>('Agency Revenues CAD'!L36/$C$1)/1000</f>
        <v>0</v>
      </c>
      <c r="M36" s="26">
        <f>('Agency Revenues CAD'!M36/$C$1)/1000</f>
        <v>0</v>
      </c>
      <c r="N36" s="26">
        <f>('Agency Revenues CAD'!N36/$C$1)/1000</f>
        <v>0</v>
      </c>
      <c r="O36" s="26">
        <f>('Agency Revenues CAD'!O36/$C$1)/1000</f>
        <v>0</v>
      </c>
      <c r="P36" s="26">
        <f>('Agency Revenues CAD'!P36/$C$1)/1000</f>
        <v>0</v>
      </c>
      <c r="Q36" s="27">
        <f>('Agency Revenues CAD'!Q36/$C$1)/1000</f>
        <v>0</v>
      </c>
    </row>
    <row r="37" spans="1:17" x14ac:dyDescent="0.25">
      <c r="A37" s="2" t="s">
        <v>184</v>
      </c>
      <c r="B37" t="s">
        <v>167</v>
      </c>
      <c r="C37" s="2" t="s">
        <v>195</v>
      </c>
      <c r="D37" s="2"/>
      <c r="E37" s="26">
        <f>('Agency Revenues CAD'!E37/$C$1)/1000</f>
        <v>0</v>
      </c>
      <c r="F37" s="26">
        <f>('Agency Revenues CAD'!F37/$C$1)/1000</f>
        <v>0</v>
      </c>
      <c r="G37" s="26">
        <f>('Agency Revenues CAD'!G37/$C$1)/1000</f>
        <v>0</v>
      </c>
      <c r="H37" s="26">
        <f>('Agency Revenues CAD'!H37/$C$1)/1000</f>
        <v>0</v>
      </c>
      <c r="I37" s="26">
        <f>('Agency Revenues CAD'!I37/$C$1)/1000</f>
        <v>0</v>
      </c>
      <c r="J37" s="26">
        <f>('Agency Revenues CAD'!J37/$C$1)/1000</f>
        <v>0</v>
      </c>
      <c r="K37" s="26">
        <f>('Agency Revenues CAD'!K37/$C$1)/1000</f>
        <v>0</v>
      </c>
      <c r="L37" s="26">
        <f>('Agency Revenues CAD'!L37/$C$1)/1000</f>
        <v>0</v>
      </c>
      <c r="M37" s="26">
        <f>('Agency Revenues CAD'!M37/$C$1)/1000</f>
        <v>0</v>
      </c>
      <c r="N37" s="26">
        <f>('Agency Revenues CAD'!N37/$C$1)/1000</f>
        <v>0</v>
      </c>
      <c r="O37" s="26">
        <f>('Agency Revenues CAD'!O37/$C$1)/1000</f>
        <v>0</v>
      </c>
      <c r="P37" s="26">
        <f>('Agency Revenues CAD'!P37/$C$1)/1000</f>
        <v>0</v>
      </c>
      <c r="Q37" s="27">
        <f>('Agency Revenues CAD'!Q37/$C$1)/1000</f>
        <v>0</v>
      </c>
    </row>
    <row r="38" spans="1:17" x14ac:dyDescent="0.25">
      <c r="A38" s="2" t="s">
        <v>184</v>
      </c>
      <c r="B38" t="s">
        <v>167</v>
      </c>
      <c r="C38" s="2" t="s">
        <v>196</v>
      </c>
      <c r="D38" s="2"/>
      <c r="E38" s="26">
        <f>('Agency Revenues CAD'!E38/$C$1)/1000</f>
        <v>0</v>
      </c>
      <c r="F38" s="26">
        <f>('Agency Revenues CAD'!F38/$C$1)/1000</f>
        <v>0</v>
      </c>
      <c r="G38" s="26">
        <f>('Agency Revenues CAD'!G38/$C$1)/1000</f>
        <v>0</v>
      </c>
      <c r="H38" s="26">
        <f>('Agency Revenues CAD'!H38/$C$1)/1000</f>
        <v>0</v>
      </c>
      <c r="I38" s="26">
        <f>('Agency Revenues CAD'!I38/$C$1)/1000</f>
        <v>0</v>
      </c>
      <c r="J38" s="26">
        <f>('Agency Revenues CAD'!J38/$C$1)/1000</f>
        <v>6.0907854079947423</v>
      </c>
      <c r="K38" s="26">
        <f>('Agency Revenues CAD'!K38/$C$1)/1000</f>
        <v>18.173829731005334</v>
      </c>
      <c r="L38" s="26">
        <f>('Agency Revenues CAD'!L38/$C$1)/1000</f>
        <v>18.443781130771132</v>
      </c>
      <c r="M38" s="26">
        <f>('Agency Revenues CAD'!M38/$C$1)/1000</f>
        <v>16.850173948693467</v>
      </c>
      <c r="N38" s="26">
        <f>('Agency Revenues CAD'!N38/$C$1)/1000</f>
        <v>12.399995970001308</v>
      </c>
      <c r="O38" s="26">
        <f>('Agency Revenues CAD'!O38/$C$1)/1000</f>
        <v>12.399995970001308</v>
      </c>
      <c r="P38" s="26">
        <f>('Agency Revenues CAD'!P38/$C$1)/1000</f>
        <v>12.399995970001308</v>
      </c>
      <c r="Q38" s="27">
        <f>('Agency Revenues CAD'!Q38/$C$1)/1000</f>
        <v>96.758558128468607</v>
      </c>
    </row>
    <row r="39" spans="1:17" x14ac:dyDescent="0.25">
      <c r="A39" s="2" t="s">
        <v>184</v>
      </c>
      <c r="B39" t="s">
        <v>167</v>
      </c>
      <c r="C39" s="2" t="s">
        <v>197</v>
      </c>
      <c r="D39" s="2"/>
      <c r="E39" s="26">
        <f>('Agency Revenues CAD'!E39/$C$1)/1000</f>
        <v>0</v>
      </c>
      <c r="F39" s="26">
        <f>('Agency Revenues CAD'!F39/$C$1)/1000</f>
        <v>0</v>
      </c>
      <c r="G39" s="26">
        <f>('Agency Revenues CAD'!G39/$C$1)/1000</f>
        <v>0</v>
      </c>
      <c r="H39" s="26">
        <f>('Agency Revenues CAD'!H39/$C$1)/1000</f>
        <v>0</v>
      </c>
      <c r="I39" s="26">
        <f>('Agency Revenues CAD'!I39/$C$1)/1000</f>
        <v>0</v>
      </c>
      <c r="J39" s="26">
        <f>('Agency Revenues CAD'!J39/$C$1)/1000</f>
        <v>0</v>
      </c>
      <c r="K39" s="26">
        <f>('Agency Revenues CAD'!K39/$C$1)/1000</f>
        <v>0</v>
      </c>
      <c r="L39" s="26">
        <f>('Agency Revenues CAD'!L39/$C$1)/1000</f>
        <v>0</v>
      </c>
      <c r="M39" s="26">
        <f>('Agency Revenues CAD'!M39/$C$1)/1000</f>
        <v>0</v>
      </c>
      <c r="N39" s="26">
        <f>('Agency Revenues CAD'!N39/$C$1)/1000</f>
        <v>0</v>
      </c>
      <c r="O39" s="26">
        <f>('Agency Revenues CAD'!O39/$C$1)/1000</f>
        <v>0</v>
      </c>
      <c r="P39" s="26">
        <f>('Agency Revenues CAD'!P39/$C$1)/1000</f>
        <v>0</v>
      </c>
      <c r="Q39" s="27">
        <f>('Agency Revenues CAD'!Q39/$C$1)/1000</f>
        <v>0</v>
      </c>
    </row>
    <row r="40" spans="1:17" x14ac:dyDescent="0.25">
      <c r="A40" s="2" t="s">
        <v>184</v>
      </c>
      <c r="B40" t="s">
        <v>167</v>
      </c>
      <c r="C40" s="2" t="s">
        <v>198</v>
      </c>
      <c r="D40" s="2"/>
      <c r="E40" s="26">
        <f>('Agency Revenues CAD'!E40/$C$1)/1000</f>
        <v>47.171808919162096</v>
      </c>
      <c r="F40" s="26">
        <f>('Agency Revenues CAD'!F40/$C$1)/1000</f>
        <v>114.63800149264949</v>
      </c>
      <c r="G40" s="26">
        <f>('Agency Revenues CAD'!G40/$C$1)/1000</f>
        <v>127.44202033134337</v>
      </c>
      <c r="H40" s="26">
        <f>('Agency Revenues CAD'!H40/$C$1)/1000</f>
        <v>59.015951819815648</v>
      </c>
      <c r="I40" s="26">
        <f>('Agency Revenues CAD'!I40/$C$1)/1000</f>
        <v>36.804342788588592</v>
      </c>
      <c r="J40" s="26">
        <f>('Agency Revenues CAD'!J40/$C$1)/1000</f>
        <v>6.7818388884023602</v>
      </c>
      <c r="K40" s="26">
        <f>('Agency Revenues CAD'!K40/$C$1)/1000</f>
        <v>0</v>
      </c>
      <c r="L40" s="26">
        <f>('Agency Revenues CAD'!L40/$C$1)/1000</f>
        <v>15.499994962501637</v>
      </c>
      <c r="M40" s="26">
        <f>('Agency Revenues CAD'!M40/$C$1)/1000</f>
        <v>-5.63155891974335</v>
      </c>
      <c r="N40" s="26">
        <f>('Agency Revenues CAD'!N40/$C$1)/1000</f>
        <v>0</v>
      </c>
      <c r="O40" s="26">
        <f>('Agency Revenues CAD'!O40/$C$1)/1000</f>
        <v>0</v>
      </c>
      <c r="P40" s="26">
        <f>('Agency Revenues CAD'!P40/$C$1)/1000</f>
        <v>0</v>
      </c>
      <c r="Q40" s="27">
        <f>('Agency Revenues CAD'!Q40/$C$1)/1000</f>
        <v>401.72240028271989</v>
      </c>
    </row>
    <row r="41" spans="1:17" x14ac:dyDescent="0.25">
      <c r="A41" s="2" t="s">
        <v>184</v>
      </c>
      <c r="B41" t="s">
        <v>167</v>
      </c>
      <c r="C41" s="2" t="s">
        <v>199</v>
      </c>
      <c r="D41" s="2"/>
      <c r="E41" s="29">
        <f>('Agency Revenues CAD'!E41/$C$1)/1000</f>
        <v>0</v>
      </c>
      <c r="F41" s="26">
        <f>('Agency Revenues CAD'!F41/$C$1)/1000</f>
        <v>5.3471495121764079</v>
      </c>
      <c r="G41" s="26">
        <f>('Agency Revenues CAD'!G41/$C$1)/1000</f>
        <v>12.292373304978675</v>
      </c>
      <c r="H41" s="26">
        <f>('Agency Revenues CAD'!H41/$C$1)/1000</f>
        <v>9.4854699172222752</v>
      </c>
      <c r="I41" s="26">
        <f>('Agency Revenues CAD'!I41/$C$1)/1000</f>
        <v>0</v>
      </c>
      <c r="J41" s="26">
        <f>('Agency Revenues CAD'!J41/$C$1)/1000</f>
        <v>0</v>
      </c>
      <c r="K41" s="26">
        <f>('Agency Revenues CAD'!K41/$C$1)/1000</f>
        <v>0</v>
      </c>
      <c r="L41" s="26">
        <f>('Agency Revenues CAD'!L41/$C$1)/1000</f>
        <v>0</v>
      </c>
      <c r="M41" s="26">
        <f>('Agency Revenues CAD'!M41/$C$1)/1000</f>
        <v>0</v>
      </c>
      <c r="N41" s="26">
        <f>('Agency Revenues CAD'!N41/$C$1)/1000</f>
        <v>0</v>
      </c>
      <c r="O41" s="26">
        <f>('Agency Revenues CAD'!O41/$C$1)/1000</f>
        <v>0</v>
      </c>
      <c r="P41" s="26">
        <f>('Agency Revenues CAD'!P41/$C$1)/1000</f>
        <v>0</v>
      </c>
      <c r="Q41" s="27">
        <f>('Agency Revenues CAD'!Q41/$C$1)/1000</f>
        <v>27.124992734377361</v>
      </c>
    </row>
    <row r="42" spans="1:17" x14ac:dyDescent="0.25">
      <c r="A42" s="2" t="s">
        <v>184</v>
      </c>
      <c r="B42" t="s">
        <v>167</v>
      </c>
      <c r="C42" s="2" t="s">
        <v>200</v>
      </c>
      <c r="D42" s="2"/>
      <c r="E42" s="29">
        <f>('Agency Revenues CAD'!E42/$C$1)/1000</f>
        <v>0</v>
      </c>
      <c r="F42" s="26">
        <f>('Agency Revenues CAD'!F42/$C$1)/1000</f>
        <v>0</v>
      </c>
      <c r="G42" s="26">
        <f>('Agency Revenues CAD'!G42/$C$1)/1000</f>
        <v>34.874988665628685</v>
      </c>
      <c r="H42" s="26">
        <f>('Agency Revenues CAD'!H42/$C$1)/1000</f>
        <v>1.6425964661561483</v>
      </c>
      <c r="I42" s="26">
        <f>('Agency Revenues CAD'!I42/$C$1)/1000</f>
        <v>5.394083496922863</v>
      </c>
      <c r="J42" s="26">
        <f>('Agency Revenues CAD'!J42/$C$1)/1000</f>
        <v>5.0912334818491178</v>
      </c>
      <c r="K42" s="26">
        <f>('Agency Revenues CAD'!K42/$C$1)/1000</f>
        <v>16.608610789701491</v>
      </c>
      <c r="L42" s="26">
        <f>('Agency Revenues CAD'!L42/$C$1)/1000</f>
        <v>3.6468930647597535</v>
      </c>
      <c r="M42" s="26">
        <f>('Agency Revenues CAD'!M42/$C$1)/1000</f>
        <v>0.28101490867015466</v>
      </c>
      <c r="N42" s="26">
        <f>('Agency Revenues CAD'!N42/$C$1)/1000</f>
        <v>0</v>
      </c>
      <c r="O42" s="26">
        <f>('Agency Revenues CAD'!O42/$C$1)/1000</f>
        <v>0</v>
      </c>
      <c r="P42" s="26">
        <f>('Agency Revenues CAD'!P42/$C$1)/1000</f>
        <v>0</v>
      </c>
      <c r="Q42" s="27">
        <f>('Agency Revenues CAD'!Q42/$C$1)/1000</f>
        <v>67.539420873688229</v>
      </c>
    </row>
    <row r="43" spans="1:17" x14ac:dyDescent="0.25">
      <c r="A43" s="2" t="s">
        <v>184</v>
      </c>
      <c r="B43" t="s">
        <v>167</v>
      </c>
      <c r="C43" s="2" t="s">
        <v>201</v>
      </c>
      <c r="D43" s="2"/>
      <c r="E43" s="29">
        <f>('Agency Revenues CAD'!E43/$C$1)/1000</f>
        <v>102.96084778772446</v>
      </c>
      <c r="F43" s="26">
        <f>('Agency Revenues CAD'!F43/$C$1)/1000</f>
        <v>-16.291889705135844</v>
      </c>
      <c r="G43" s="26">
        <f>('Agency Revenues CAD'!G43/$C$1)/1000</f>
        <v>0</v>
      </c>
      <c r="H43" s="26">
        <f>('Agency Revenues CAD'!H43/$C$1)/1000</f>
        <v>0</v>
      </c>
      <c r="I43" s="26">
        <f>('Agency Revenues CAD'!I43/$C$1)/1000</f>
        <v>0</v>
      </c>
      <c r="J43" s="26">
        <f>('Agency Revenues CAD'!J43/$C$1)/1000</f>
        <v>0</v>
      </c>
      <c r="K43" s="26">
        <f>('Agency Revenues CAD'!K43/$C$1)/1000</f>
        <v>0</v>
      </c>
      <c r="L43" s="26">
        <f>('Agency Revenues CAD'!L43/$C$1)/1000</f>
        <v>35.497220463403345</v>
      </c>
      <c r="M43" s="26">
        <f>('Agency Revenues CAD'!M43/$C$1)/1000</f>
        <v>77.763068627002696</v>
      </c>
      <c r="N43" s="26">
        <f>('Agency Revenues CAD'!N43/$C$1)/1000</f>
        <v>77.499974812508185</v>
      </c>
      <c r="O43" s="26">
        <f>('Agency Revenues CAD'!O43/$C$1)/1000</f>
        <v>77.499974812508185</v>
      </c>
      <c r="P43" s="26">
        <f>('Agency Revenues CAD'!P43/$C$1)/1000</f>
        <v>77.499974812508185</v>
      </c>
      <c r="Q43" s="27">
        <f>('Agency Revenues CAD'!Q43/$C$1)/1000</f>
        <v>432.42917161051918</v>
      </c>
    </row>
    <row r="44" spans="1:17" x14ac:dyDescent="0.25">
      <c r="A44" s="2" t="s">
        <v>184</v>
      </c>
      <c r="B44" t="s">
        <v>167</v>
      </c>
      <c r="C44" s="2" t="s">
        <v>202</v>
      </c>
      <c r="D44" s="2"/>
      <c r="E44" s="29">
        <f>('Agency Revenues CAD'!E44/$C$1)/1000</f>
        <v>0</v>
      </c>
      <c r="F44" s="26">
        <f>('Agency Revenues CAD'!F44/$C$1)/1000</f>
        <v>0</v>
      </c>
      <c r="G44" s="26">
        <f>('Agency Revenues CAD'!G44/$C$1)/1000</f>
        <v>0</v>
      </c>
      <c r="H44" s="26">
        <f>('Agency Revenues CAD'!H44/$C$1)/1000</f>
        <v>0</v>
      </c>
      <c r="I44" s="26">
        <f>('Agency Revenues CAD'!I44/$C$1)/1000</f>
        <v>0</v>
      </c>
      <c r="J44" s="26">
        <f>('Agency Revenues CAD'!J44/$C$1)/1000</f>
        <v>0</v>
      </c>
      <c r="K44" s="26">
        <f>('Agency Revenues CAD'!K44/$C$1)/1000</f>
        <v>0</v>
      </c>
      <c r="L44" s="26">
        <f>('Agency Revenues CAD'!L44/$C$1)/1000</f>
        <v>0</v>
      </c>
      <c r="M44" s="26">
        <f>('Agency Revenues CAD'!M44/$C$1)/1000</f>
        <v>0</v>
      </c>
      <c r="N44" s="26">
        <f>('Agency Revenues CAD'!N44/$C$1)/1000</f>
        <v>0</v>
      </c>
      <c r="O44" s="26">
        <f>('Agency Revenues CAD'!O44/$C$1)/1000</f>
        <v>0</v>
      </c>
      <c r="P44" s="26">
        <f>('Agency Revenues CAD'!P44/$C$1)/1000</f>
        <v>0</v>
      </c>
      <c r="Q44" s="27">
        <f>('Agency Revenues CAD'!Q44/$C$1)/1000</f>
        <v>0</v>
      </c>
    </row>
    <row r="45" spans="1:17" x14ac:dyDescent="0.25">
      <c r="A45" s="2" t="s">
        <v>184</v>
      </c>
      <c r="B45" t="s">
        <v>167</v>
      </c>
      <c r="C45" s="2" t="s">
        <v>203</v>
      </c>
      <c r="D45" s="2"/>
      <c r="E45" s="29">
        <f>('Agency Revenues CAD'!E45/$C$1)/1000</f>
        <v>0</v>
      </c>
      <c r="F45" s="26">
        <f>('Agency Revenues CAD'!F45/$C$1)/1000</f>
        <v>7.0116087212271649</v>
      </c>
      <c r="G45" s="26">
        <f>('Agency Revenues CAD'!G45/$C$1)/1000</f>
        <v>29.651910413129112</v>
      </c>
      <c r="H45" s="26">
        <f>('Agency Revenues CAD'!H45/$C$1)/1000</f>
        <v>0</v>
      </c>
      <c r="I45" s="26">
        <f>('Agency Revenues CAD'!I45/$C$1)/1000</f>
        <v>0</v>
      </c>
      <c r="J45" s="26">
        <f>('Agency Revenues CAD'!J45/$C$1)/1000</f>
        <v>0</v>
      </c>
      <c r="K45" s="26">
        <f>('Agency Revenues CAD'!K45/$C$1)/1000</f>
        <v>0</v>
      </c>
      <c r="L45" s="26">
        <f>('Agency Revenues CAD'!L45/$C$1)/1000</f>
        <v>0</v>
      </c>
      <c r="M45" s="26">
        <f>('Agency Revenues CAD'!M45/$C$1)/1000</f>
        <v>0</v>
      </c>
      <c r="N45" s="26">
        <f>('Agency Revenues CAD'!N45/$C$1)/1000</f>
        <v>0</v>
      </c>
      <c r="O45" s="26">
        <f>('Agency Revenues CAD'!O45/$C$1)/1000</f>
        <v>0</v>
      </c>
      <c r="P45" s="26">
        <f>('Agency Revenues CAD'!P45/$C$1)/1000</f>
        <v>0</v>
      </c>
      <c r="Q45" s="27">
        <f>('Agency Revenues CAD'!Q45/$C$1)/1000</f>
        <v>36.663519134356278</v>
      </c>
    </row>
    <row r="46" spans="1:17" x14ac:dyDescent="0.25">
      <c r="A46" s="2" t="s">
        <v>184</v>
      </c>
      <c r="B46" t="s">
        <v>167</v>
      </c>
      <c r="C46" s="2" t="s">
        <v>204</v>
      </c>
      <c r="D46" s="2"/>
      <c r="E46" s="29">
        <f>('Agency Revenues CAD'!E46/$C$1)/1000</f>
        <v>0</v>
      </c>
      <c r="F46" s="26">
        <f>('Agency Revenues CAD'!F46/$C$1)/1000</f>
        <v>0</v>
      </c>
      <c r="G46" s="26">
        <f>('Agency Revenues CAD'!G46/$C$1)/1000</f>
        <v>0</v>
      </c>
      <c r="H46" s="26">
        <f>('Agency Revenues CAD'!H46/$C$1)/1000</f>
        <v>17.716323742194781</v>
      </c>
      <c r="I46" s="26">
        <f>('Agency Revenues CAD'!I46/$C$1)/1000</f>
        <v>-5.803973113708738E-2</v>
      </c>
      <c r="J46" s="26">
        <f>('Agency Revenues CAD'!J46/$C$1)/1000</f>
        <v>0</v>
      </c>
      <c r="K46" s="26">
        <f>('Agency Revenues CAD'!K46/$C$1)/1000</f>
        <v>0</v>
      </c>
      <c r="L46" s="26">
        <f>('Agency Revenues CAD'!L46/$C$1)/1000</f>
        <v>0</v>
      </c>
      <c r="M46" s="26">
        <f>('Agency Revenues CAD'!M46/$C$1)/1000</f>
        <v>0</v>
      </c>
      <c r="N46" s="26">
        <f>('Agency Revenues CAD'!N46/$C$1)/1000</f>
        <v>0</v>
      </c>
      <c r="O46" s="26">
        <f>('Agency Revenues CAD'!O46/$C$1)/1000</f>
        <v>0</v>
      </c>
      <c r="P46" s="26">
        <f>('Agency Revenues CAD'!P46/$C$1)/1000</f>
        <v>0</v>
      </c>
      <c r="Q46" s="27">
        <f>('Agency Revenues CAD'!Q46/$C$1)/1000</f>
        <v>17.658284011057695</v>
      </c>
    </row>
    <row r="47" spans="1:17" x14ac:dyDescent="0.25">
      <c r="A47" s="2" t="s">
        <v>184</v>
      </c>
      <c r="B47" t="s">
        <v>167</v>
      </c>
      <c r="C47" s="2" t="s">
        <v>205</v>
      </c>
      <c r="D47" s="2"/>
      <c r="E47" s="29">
        <f>('Agency Revenues CAD'!E47/$C$1)/1000</f>
        <v>0</v>
      </c>
      <c r="F47" s="26">
        <f>('Agency Revenues CAD'!F47/$C$1)/1000</f>
        <v>0</v>
      </c>
      <c r="G47" s="26">
        <f>('Agency Revenues CAD'!G47/$C$1)/1000</f>
        <v>0</v>
      </c>
      <c r="H47" s="26">
        <f>('Agency Revenues CAD'!H47/$C$1)/1000</f>
        <v>0</v>
      </c>
      <c r="I47" s="26">
        <f>('Agency Revenues CAD'!I47/$C$1)/1000</f>
        <v>0</v>
      </c>
      <c r="J47" s="26">
        <f>('Agency Revenues CAD'!J47/$C$1)/1000</f>
        <v>0</v>
      </c>
      <c r="K47" s="26">
        <f>('Agency Revenues CAD'!K47/$C$1)/1000</f>
        <v>0</v>
      </c>
      <c r="L47" s="26">
        <f>('Agency Revenues CAD'!L47/$C$1)/1000</f>
        <v>0</v>
      </c>
      <c r="M47" s="26">
        <f>('Agency Revenues CAD'!M47/$C$1)/1000</f>
        <v>0</v>
      </c>
      <c r="N47" s="26">
        <f>('Agency Revenues CAD'!N47/$C$1)/1000</f>
        <v>0</v>
      </c>
      <c r="O47" s="26">
        <f>('Agency Revenues CAD'!O47/$C$1)/1000</f>
        <v>0</v>
      </c>
      <c r="P47" s="26">
        <f>('Agency Revenues CAD'!P47/$C$1)/1000</f>
        <v>0</v>
      </c>
      <c r="Q47" s="27">
        <f>('Agency Revenues CAD'!Q47/$C$1)/1000</f>
        <v>0</v>
      </c>
    </row>
    <row r="48" spans="1:17" x14ac:dyDescent="0.25">
      <c r="A48" s="2" t="s">
        <v>184</v>
      </c>
      <c r="B48" t="s">
        <v>167</v>
      </c>
      <c r="C48" s="2" t="s">
        <v>206</v>
      </c>
      <c r="D48" s="2"/>
      <c r="E48" s="29">
        <f>('Agency Revenues CAD'!E48/$C$1)/1000</f>
        <v>0</v>
      </c>
      <c r="F48" s="26">
        <f>('Agency Revenues CAD'!F48/$C$1)/1000</f>
        <v>0</v>
      </c>
      <c r="G48" s="26">
        <f>('Agency Revenues CAD'!G48/$C$1)/1000</f>
        <v>0</v>
      </c>
      <c r="H48" s="26">
        <f>('Agency Revenues CAD'!H48/$C$1)/1000</f>
        <v>0</v>
      </c>
      <c r="I48" s="26">
        <f>('Agency Revenues CAD'!I48/$C$1)/1000</f>
        <v>0</v>
      </c>
      <c r="J48" s="26">
        <f>('Agency Revenues CAD'!J48/$C$1)/1000</f>
        <v>0</v>
      </c>
      <c r="K48" s="26">
        <f>('Agency Revenues CAD'!K48/$C$1)/1000</f>
        <v>0</v>
      </c>
      <c r="L48" s="26">
        <f>('Agency Revenues CAD'!L48/$C$1)/1000</f>
        <v>0</v>
      </c>
      <c r="M48" s="26">
        <f>('Agency Revenues CAD'!M48/$C$1)/1000</f>
        <v>0</v>
      </c>
      <c r="N48" s="26">
        <f>('Agency Revenues CAD'!N48/$C$1)/1000</f>
        <v>0</v>
      </c>
      <c r="O48" s="26">
        <f>('Agency Revenues CAD'!O48/$C$1)/1000</f>
        <v>0</v>
      </c>
      <c r="P48" s="26">
        <f>('Agency Revenues CAD'!P48/$C$1)/1000</f>
        <v>0</v>
      </c>
      <c r="Q48" s="27">
        <f>('Agency Revenues CAD'!Q48/$C$1)/1000</f>
        <v>0</v>
      </c>
    </row>
    <row r="49" spans="1:17" x14ac:dyDescent="0.25">
      <c r="A49" s="2" t="s">
        <v>184</v>
      </c>
      <c r="B49" t="s">
        <v>167</v>
      </c>
      <c r="C49" s="2" t="s">
        <v>207</v>
      </c>
      <c r="D49" s="2"/>
      <c r="E49" s="29">
        <f>('Agency Revenues CAD'!E49/$C$1)/1000</f>
        <v>0</v>
      </c>
      <c r="F49" s="26">
        <f>('Agency Revenues CAD'!F49/$C$1)/1000</f>
        <v>0</v>
      </c>
      <c r="G49" s="26">
        <f>('Agency Revenues CAD'!G49/$C$1)/1000</f>
        <v>0</v>
      </c>
      <c r="H49" s="26">
        <f>('Agency Revenues CAD'!H49/$C$1)/1000</f>
        <v>0</v>
      </c>
      <c r="I49" s="26">
        <f>('Agency Revenues CAD'!I49/$C$1)/1000</f>
        <v>0</v>
      </c>
      <c r="J49" s="26">
        <f>('Agency Revenues CAD'!J49/$C$1)/1000</f>
        <v>0</v>
      </c>
      <c r="K49" s="26">
        <f>('Agency Revenues CAD'!K49/$C$1)/1000</f>
        <v>0</v>
      </c>
      <c r="L49" s="26">
        <f>('Agency Revenues CAD'!L49/$C$1)/1000</f>
        <v>0</v>
      </c>
      <c r="M49" s="26">
        <f>('Agency Revenues CAD'!M49/$C$1)/1000</f>
        <v>0</v>
      </c>
      <c r="N49" s="26">
        <f>('Agency Revenues CAD'!N49/$C$1)/1000</f>
        <v>0</v>
      </c>
      <c r="O49" s="26">
        <f>('Agency Revenues CAD'!O49/$C$1)/1000</f>
        <v>0</v>
      </c>
      <c r="P49" s="26">
        <f>('Agency Revenues CAD'!P49/$C$1)/1000</f>
        <v>0</v>
      </c>
      <c r="Q49" s="27">
        <f>('Agency Revenues CAD'!Q49/$C$1)/1000</f>
        <v>0</v>
      </c>
    </row>
    <row r="50" spans="1:17" s="9" customFormat="1" x14ac:dyDescent="0.25">
      <c r="A50" s="8" t="s">
        <v>184</v>
      </c>
      <c r="B50" s="9" t="s">
        <v>167</v>
      </c>
      <c r="C50" s="8" t="s">
        <v>208</v>
      </c>
      <c r="D50" s="8"/>
      <c r="E50" s="30">
        <f>('Agency Revenues CAD'!E50/$C$1)/1000</f>
        <v>0</v>
      </c>
      <c r="F50" s="31">
        <f>('Agency Revenues CAD'!F50/$C$1)/1000</f>
        <v>0</v>
      </c>
      <c r="G50" s="31">
        <f>('Agency Revenues CAD'!G50/$C$1)/1000</f>
        <v>0</v>
      </c>
      <c r="H50" s="31">
        <f>('Agency Revenues CAD'!H50/$C$1)/1000</f>
        <v>0</v>
      </c>
      <c r="I50" s="31">
        <f>('Agency Revenues CAD'!I50/$C$1)/1000</f>
        <v>0</v>
      </c>
      <c r="J50" s="31">
        <f>('Agency Revenues CAD'!J50/$C$1)/1000</f>
        <v>0</v>
      </c>
      <c r="K50" s="31">
        <f>('Agency Revenues CAD'!K50/$C$1)/1000</f>
        <v>0</v>
      </c>
      <c r="L50" s="31">
        <f>('Agency Revenues CAD'!L50/$C$1)/1000</f>
        <v>0</v>
      </c>
      <c r="M50" s="31">
        <f>('Agency Revenues CAD'!M50/$C$1)/1000</f>
        <v>0</v>
      </c>
      <c r="N50" s="31">
        <f>('Agency Revenues CAD'!N50/$C$1)/1000</f>
        <v>0</v>
      </c>
      <c r="O50" s="31">
        <f>('Agency Revenues CAD'!O50/$C$1)/1000</f>
        <v>0</v>
      </c>
      <c r="P50" s="31">
        <f>('Agency Revenues CAD'!P50/$C$1)/1000</f>
        <v>0</v>
      </c>
      <c r="Q50" s="32">
        <f>('Agency Revenues CAD'!Q50/$C$1)/1000</f>
        <v>0</v>
      </c>
    </row>
    <row r="51" spans="1:17" s="14" customFormat="1" x14ac:dyDescent="0.25">
      <c r="A51" s="13" t="s">
        <v>209</v>
      </c>
      <c r="B51" s="14" t="s">
        <v>167</v>
      </c>
      <c r="C51" s="13" t="s">
        <v>210</v>
      </c>
      <c r="D51" s="13"/>
      <c r="E51" s="33">
        <f>('Agency Revenues CAD'!E51/$C$1)/1000</f>
        <v>0</v>
      </c>
      <c r="F51" s="33">
        <f>('Agency Revenues CAD'!F51/$C$1)/1000</f>
        <v>0</v>
      </c>
      <c r="G51" s="33">
        <f>('Agency Revenues CAD'!G51/$C$1)/1000</f>
        <v>0</v>
      </c>
      <c r="H51" s="33">
        <f>('Agency Revenues CAD'!H51/$C$1)/1000</f>
        <v>0</v>
      </c>
      <c r="I51" s="33">
        <f>('Agency Revenues CAD'!I51/$C$1)/1000</f>
        <v>0</v>
      </c>
      <c r="J51" s="33">
        <f>('Agency Revenues CAD'!J51/$C$1)/1000</f>
        <v>0</v>
      </c>
      <c r="K51" s="33">
        <f>('Agency Revenues CAD'!K51/$C$1)/1000</f>
        <v>0</v>
      </c>
      <c r="L51" s="33">
        <f>('Agency Revenues CAD'!L51/$C$1)/1000</f>
        <v>0</v>
      </c>
      <c r="M51" s="33">
        <f>('Agency Revenues CAD'!M51/$C$1)/1000</f>
        <v>0</v>
      </c>
      <c r="N51" s="33">
        <f>('Agency Revenues CAD'!N51/$C$1)/1000</f>
        <v>0</v>
      </c>
      <c r="O51" s="33">
        <f>('Agency Revenues CAD'!O51/$C$1)/1000</f>
        <v>0</v>
      </c>
      <c r="P51" s="33">
        <f>('Agency Revenues CAD'!P51/$C$1)/1000</f>
        <v>0</v>
      </c>
      <c r="Q51" s="34">
        <f>('Agency Revenues CAD'!Q51/$C$1)/1000</f>
        <v>0</v>
      </c>
    </row>
    <row r="52" spans="1:17" s="18" customFormat="1" x14ac:dyDescent="0.25">
      <c r="A52" s="17" t="s">
        <v>209</v>
      </c>
      <c r="B52" s="18" t="s">
        <v>167</v>
      </c>
      <c r="C52" s="17" t="s">
        <v>211</v>
      </c>
      <c r="D52" s="17"/>
      <c r="E52" s="35">
        <f>('Agency Revenues CAD'!E52/$C$1)/1000</f>
        <v>0</v>
      </c>
      <c r="F52" s="35">
        <f>('Agency Revenues CAD'!F52/$C$1)/1000</f>
        <v>0</v>
      </c>
      <c r="G52" s="35">
        <f>('Agency Revenues CAD'!G52/$C$1)/1000</f>
        <v>0</v>
      </c>
      <c r="H52" s="35">
        <f>('Agency Revenues CAD'!H52/$C$1)/1000</f>
        <v>0</v>
      </c>
      <c r="I52" s="35">
        <f>('Agency Revenues CAD'!I52/$C$1)/1000</f>
        <v>0</v>
      </c>
      <c r="J52" s="35">
        <f>('Agency Revenues CAD'!J52/$C$1)/1000</f>
        <v>0</v>
      </c>
      <c r="K52" s="35">
        <f>('Agency Revenues CAD'!K52/$C$1)/1000</f>
        <v>0</v>
      </c>
      <c r="L52" s="35">
        <f>('Agency Revenues CAD'!L52/$C$1)/1000</f>
        <v>0</v>
      </c>
      <c r="M52" s="35">
        <f>('Agency Revenues CAD'!M52/$C$1)/1000</f>
        <v>0</v>
      </c>
      <c r="N52" s="35">
        <f>('Agency Revenues CAD'!N52/$C$1)/1000</f>
        <v>0</v>
      </c>
      <c r="O52" s="35">
        <f>('Agency Revenues CAD'!O52/$C$1)/1000</f>
        <v>0</v>
      </c>
      <c r="P52" s="35">
        <f>('Agency Revenues CAD'!P52/$C$1)/1000</f>
        <v>0</v>
      </c>
      <c r="Q52" s="36">
        <f>('Agency Revenues CAD'!Q52/$C$1)/1000</f>
        <v>0</v>
      </c>
    </row>
    <row r="53" spans="1:17" s="9" customFormat="1" x14ac:dyDescent="0.25">
      <c r="A53" s="8" t="s">
        <v>209</v>
      </c>
      <c r="B53" s="9" t="s">
        <v>167</v>
      </c>
      <c r="C53" s="8" t="s">
        <v>212</v>
      </c>
      <c r="D53" s="8"/>
      <c r="E53" s="31">
        <f>('Agency Revenues CAD'!E53/$C$1)/1000</f>
        <v>0</v>
      </c>
      <c r="F53" s="31">
        <f>('Agency Revenues CAD'!F53/$C$1)/1000</f>
        <v>0</v>
      </c>
      <c r="G53" s="31">
        <f>('Agency Revenues CAD'!G53/$C$1)/1000</f>
        <v>0</v>
      </c>
      <c r="H53" s="31">
        <f>('Agency Revenues CAD'!H53/$C$1)/1000</f>
        <v>0</v>
      </c>
      <c r="I53" s="31">
        <f>('Agency Revenues CAD'!I53/$C$1)/1000</f>
        <v>0</v>
      </c>
      <c r="J53" s="31">
        <f>('Agency Revenues CAD'!J53/$C$1)/1000</f>
        <v>0</v>
      </c>
      <c r="K53" s="31">
        <f>('Agency Revenues CAD'!K53/$C$1)/1000</f>
        <v>0</v>
      </c>
      <c r="L53" s="31">
        <f>('Agency Revenues CAD'!L53/$C$1)/1000</f>
        <v>0</v>
      </c>
      <c r="M53" s="31">
        <f>('Agency Revenues CAD'!M53/$C$1)/1000</f>
        <v>0</v>
      </c>
      <c r="N53" s="31">
        <f>('Agency Revenues CAD'!N53/$C$1)/1000</f>
        <v>0</v>
      </c>
      <c r="O53" s="31">
        <f>('Agency Revenues CAD'!O53/$C$1)/1000</f>
        <v>0</v>
      </c>
      <c r="P53" s="31">
        <f>('Agency Revenues CAD'!P53/$C$1)/1000</f>
        <v>0</v>
      </c>
      <c r="Q53" s="32">
        <f>('Agency Revenues CAD'!Q53/$C$1)/1000</f>
        <v>0</v>
      </c>
    </row>
    <row r="54" spans="1:17" x14ac:dyDescent="0.25">
      <c r="A54" s="2" t="s">
        <v>213</v>
      </c>
      <c r="B54" t="s">
        <v>167</v>
      </c>
      <c r="C54" s="2" t="s">
        <v>214</v>
      </c>
      <c r="D54" s="2"/>
      <c r="E54" s="26">
        <f>('Agency Revenues CAD'!E54/$C$1)/1000</f>
        <v>0</v>
      </c>
      <c r="F54" s="26">
        <f>('Agency Revenues CAD'!F54/$C$1)/1000</f>
        <v>0</v>
      </c>
      <c r="G54" s="26">
        <f>('Agency Revenues CAD'!G54/$C$1)/1000</f>
        <v>0</v>
      </c>
      <c r="H54" s="26">
        <f>('Agency Revenues CAD'!H54/$C$1)/1000</f>
        <v>0</v>
      </c>
      <c r="I54" s="26">
        <f>('Agency Revenues CAD'!I54/$C$1)/1000</f>
        <v>0</v>
      </c>
      <c r="J54" s="26">
        <f>('Agency Revenues CAD'!J54/$C$1)/1000</f>
        <v>0</v>
      </c>
      <c r="K54" s="26">
        <f>('Agency Revenues CAD'!K54/$C$1)/1000</f>
        <v>0</v>
      </c>
      <c r="L54" s="26">
        <f>('Agency Revenues CAD'!L54/$C$1)/1000</f>
        <v>0</v>
      </c>
      <c r="M54" s="26">
        <f>('Agency Revenues CAD'!M54/$C$1)/1000</f>
        <v>0</v>
      </c>
      <c r="N54" s="26">
        <f>('Agency Revenues CAD'!N54/$C$1)/1000</f>
        <v>0</v>
      </c>
      <c r="O54" s="28">
        <f>('Agency Revenues CAD'!O54/$C$1)/1000</f>
        <v>0</v>
      </c>
      <c r="P54" s="28">
        <f>('Agency Revenues CAD'!P54/$C$1)/1000</f>
        <v>102.65491663715208</v>
      </c>
      <c r="Q54" s="27">
        <f>('Agency Revenues CAD'!Q54/$C$1)/1000</f>
        <v>102.65491663715208</v>
      </c>
    </row>
    <row r="55" spans="1:17" x14ac:dyDescent="0.25">
      <c r="A55" s="2" t="s">
        <v>213</v>
      </c>
      <c r="B55" t="s">
        <v>167</v>
      </c>
      <c r="C55" s="2" t="s">
        <v>215</v>
      </c>
      <c r="D55" s="2"/>
      <c r="E55" s="26">
        <f>('Agency Revenues CAD'!E55/$C$1)/1000</f>
        <v>-38.805888138086353</v>
      </c>
      <c r="F55" s="26">
        <f>('Agency Revenues CAD'!F55/$C$1)/1000</f>
        <v>50.832930979297423</v>
      </c>
      <c r="G55" s="26">
        <f>('Agency Revenues CAD'!G55/$C$1)/1000</f>
        <v>0</v>
      </c>
      <c r="H55" s="26">
        <f>('Agency Revenues CAD'!H55/$C$1)/1000</f>
        <v>0</v>
      </c>
      <c r="I55" s="26">
        <f>('Agency Revenues CAD'!I55/$C$1)/1000</f>
        <v>-8.337393040347262</v>
      </c>
      <c r="J55" s="26">
        <f>('Agency Revenues CAD'!J55/$C$1)/1000</f>
        <v>0</v>
      </c>
      <c r="K55" s="26">
        <f>('Agency Revenues CAD'!K55/$C$1)/1000</f>
        <v>0</v>
      </c>
      <c r="L55" s="26">
        <f>('Agency Revenues CAD'!L55/$C$1)/1000</f>
        <v>0</v>
      </c>
      <c r="M55" s="26">
        <f>('Agency Revenues CAD'!M55/$C$1)/1000</f>
        <v>0</v>
      </c>
      <c r="N55" s="26">
        <f>('Agency Revenues CAD'!N55/$C$1)/1000</f>
        <v>0</v>
      </c>
      <c r="O55" s="26">
        <f>('Agency Revenues CAD'!O55/$C$1)/1000</f>
        <v>0</v>
      </c>
      <c r="P55" s="26">
        <f>('Agency Revenues CAD'!P55/$C$1)/1000</f>
        <v>0</v>
      </c>
      <c r="Q55" s="27">
        <f>('Agency Revenues CAD'!Q55/$C$1)/1000</f>
        <v>3.6896498008638119</v>
      </c>
    </row>
    <row r="56" spans="1:17" x14ac:dyDescent="0.25">
      <c r="A56" s="2" t="s">
        <v>213</v>
      </c>
      <c r="B56" t="s">
        <v>167</v>
      </c>
      <c r="C56" s="2" t="s">
        <v>216</v>
      </c>
      <c r="D56" s="2"/>
      <c r="E56" s="26">
        <f>('Agency Revenues CAD'!E56/$C$1)/1000</f>
        <v>99.544040941686674</v>
      </c>
      <c r="F56" s="26">
        <f>('Agency Revenues CAD'!F56/$C$1)/1000</f>
        <v>102.54064292429103</v>
      </c>
      <c r="G56" s="26">
        <f>('Agency Revenues CAD'!G56/$C$1)/1000</f>
        <v>75.710072043976567</v>
      </c>
      <c r="H56" s="26">
        <f>('Agency Revenues CAD'!H56/$C$1)/1000</f>
        <v>91.23886809736787</v>
      </c>
      <c r="I56" s="26">
        <f>('Agency Revenues CAD'!I56/$C$1)/1000</f>
        <v>99.822726557613862</v>
      </c>
      <c r="J56" s="26">
        <f>('Agency Revenues CAD'!J56/$C$1)/1000</f>
        <v>71.748799308390232</v>
      </c>
      <c r="K56" s="26">
        <f>('Agency Revenues CAD'!K56/$C$1)/1000</f>
        <v>78.779338537714963</v>
      </c>
      <c r="L56" s="26">
        <f>('Agency Revenues CAD'!L56/$C$1)/1000</f>
        <v>98.093125682484157</v>
      </c>
      <c r="M56" s="26">
        <f>('Agency Revenues CAD'!M56/$C$1)/1000</f>
        <v>68.287083055947988</v>
      </c>
      <c r="N56" s="26">
        <f>('Agency Revenues CAD'!N56/$C$1)/1000</f>
        <v>97.849918198776578</v>
      </c>
      <c r="O56" s="26">
        <f>('Agency Revenues CAD'!O56/$C$1)/1000</f>
        <v>100.66596203431233</v>
      </c>
      <c r="P56" s="26">
        <f>('Agency Revenues CAD'!P56/$C$1)/1000</f>
        <v>54.847606684527854</v>
      </c>
      <c r="Q56" s="27">
        <f>('Agency Revenues CAD'!Q56/$C$1)/1000</f>
        <v>1039.1281840670902</v>
      </c>
    </row>
    <row r="57" spans="1:17" x14ac:dyDescent="0.25">
      <c r="A57" s="2" t="s">
        <v>213</v>
      </c>
      <c r="B57" t="s">
        <v>167</v>
      </c>
      <c r="C57" s="2" t="s">
        <v>217</v>
      </c>
      <c r="D57" s="2"/>
      <c r="E57" s="26">
        <f>('Agency Revenues CAD'!E57/$C$1)/1000</f>
        <v>0</v>
      </c>
      <c r="F57" s="26">
        <f>('Agency Revenues CAD'!F57/$C$1)/1000</f>
        <v>0</v>
      </c>
      <c r="G57" s="26">
        <f>('Agency Revenues CAD'!G57/$C$1)/1000</f>
        <v>0</v>
      </c>
      <c r="H57" s="26">
        <f>('Agency Revenues CAD'!H57/$C$1)/1000</f>
        <v>0</v>
      </c>
      <c r="I57" s="26">
        <f>('Agency Revenues CAD'!I57/$C$1)/1000</f>
        <v>0</v>
      </c>
      <c r="J57" s="26">
        <f>('Agency Revenues CAD'!J57/$C$1)/1000</f>
        <v>0</v>
      </c>
      <c r="K57" s="26">
        <f>('Agency Revenues CAD'!K57/$C$1)/1000</f>
        <v>0</v>
      </c>
      <c r="L57" s="26">
        <f>('Agency Revenues CAD'!L57/$C$1)/1000</f>
        <v>0</v>
      </c>
      <c r="M57" s="26">
        <f>('Agency Revenues CAD'!M57/$C$1)/1000</f>
        <v>0</v>
      </c>
      <c r="N57" s="26">
        <f>('Agency Revenues CAD'!N57/$C$1)/1000</f>
        <v>48.983084080497669</v>
      </c>
      <c r="O57" s="26">
        <f>('Agency Revenues CAD'!O57/$C$1)/1000</f>
        <v>48.983084080497669</v>
      </c>
      <c r="P57" s="26">
        <f>('Agency Revenues CAD'!P57/$C$1)/1000</f>
        <v>48.983084080497669</v>
      </c>
      <c r="Q57" s="27">
        <f>('Agency Revenues CAD'!Q57/$C$1)/1000</f>
        <v>146.94925224149299</v>
      </c>
    </row>
    <row r="58" spans="1:17" x14ac:dyDescent="0.25">
      <c r="A58" s="2" t="s">
        <v>213</v>
      </c>
      <c r="B58" t="s">
        <v>167</v>
      </c>
      <c r="C58" s="2" t="s">
        <v>218</v>
      </c>
      <c r="D58" s="2"/>
      <c r="E58" s="26">
        <f>('Agency Revenues CAD'!E58/$C$1)/1000</f>
        <v>0</v>
      </c>
      <c r="F58" s="26">
        <f>('Agency Revenues CAD'!F58/$C$1)/1000</f>
        <v>0</v>
      </c>
      <c r="G58" s="26">
        <f>('Agency Revenues CAD'!G58/$C$1)/1000</f>
        <v>0</v>
      </c>
      <c r="H58" s="26">
        <f>('Agency Revenues CAD'!H58/$C$1)/1000</f>
        <v>0</v>
      </c>
      <c r="I58" s="26">
        <f>('Agency Revenues CAD'!I58/$C$1)/1000</f>
        <v>0</v>
      </c>
      <c r="J58" s="26">
        <f>('Agency Revenues CAD'!J58/$C$1)/1000</f>
        <v>0</v>
      </c>
      <c r="K58" s="26">
        <f>('Agency Revenues CAD'!K58/$C$1)/1000</f>
        <v>0</v>
      </c>
      <c r="L58" s="26">
        <f>('Agency Revenues CAD'!L58/$C$1)/1000</f>
        <v>0</v>
      </c>
      <c r="M58" s="26">
        <f>('Agency Revenues CAD'!M58/$C$1)/1000</f>
        <v>0</v>
      </c>
      <c r="N58" s="26">
        <f>('Agency Revenues CAD'!N58/$C$1)/1000</f>
        <v>0</v>
      </c>
      <c r="O58" s="26">
        <f>('Agency Revenues CAD'!O58/$C$1)/1000</f>
        <v>0</v>
      </c>
      <c r="P58" s="26">
        <f>('Agency Revenues CAD'!P58/$C$1)/1000</f>
        <v>0</v>
      </c>
      <c r="Q58" s="27">
        <f>('Agency Revenues CAD'!Q58/$C$1)/1000</f>
        <v>0</v>
      </c>
    </row>
    <row r="59" spans="1:17" x14ac:dyDescent="0.25">
      <c r="A59" s="2" t="s">
        <v>213</v>
      </c>
      <c r="B59" t="s">
        <v>167</v>
      </c>
      <c r="C59" s="2" t="s">
        <v>219</v>
      </c>
      <c r="D59" s="2"/>
      <c r="E59" s="26">
        <f>('Agency Revenues CAD'!E59/$C$1)/1000</f>
        <v>0</v>
      </c>
      <c r="F59" s="26">
        <f>('Agency Revenues CAD'!F59/$C$1)/1000</f>
        <v>0</v>
      </c>
      <c r="G59" s="26">
        <f>('Agency Revenues CAD'!G59/$C$1)/1000</f>
        <v>0</v>
      </c>
      <c r="H59" s="26">
        <f>('Agency Revenues CAD'!H59/$C$1)/1000</f>
        <v>0</v>
      </c>
      <c r="I59" s="26">
        <f>('Agency Revenues CAD'!I59/$C$1)/1000</f>
        <v>0</v>
      </c>
      <c r="J59" s="26">
        <f>('Agency Revenues CAD'!J59/$C$1)/1000</f>
        <v>0</v>
      </c>
      <c r="K59" s="26">
        <f>('Agency Revenues CAD'!K59/$C$1)/1000</f>
        <v>0</v>
      </c>
      <c r="L59" s="26">
        <f>('Agency Revenues CAD'!L59/$C$1)/1000</f>
        <v>0</v>
      </c>
      <c r="M59" s="26">
        <f>('Agency Revenues CAD'!M59/$C$1)/1000</f>
        <v>0</v>
      </c>
      <c r="N59" s="26">
        <f>('Agency Revenues CAD'!N59/$C$1)/1000</f>
        <v>0</v>
      </c>
      <c r="O59" s="26">
        <f>('Agency Revenues CAD'!O59/$C$1)/1000</f>
        <v>0</v>
      </c>
      <c r="P59" s="26">
        <f>('Agency Revenues CAD'!P59/$C$1)/1000</f>
        <v>0</v>
      </c>
      <c r="Q59" s="27">
        <f>('Agency Revenues CAD'!Q59/$C$1)/1000</f>
        <v>0</v>
      </c>
    </row>
    <row r="60" spans="1:17" x14ac:dyDescent="0.25">
      <c r="A60" s="2" t="s">
        <v>213</v>
      </c>
      <c r="B60" t="s">
        <v>167</v>
      </c>
      <c r="C60" s="2" t="s">
        <v>169</v>
      </c>
      <c r="D60" s="2"/>
      <c r="E60" s="26">
        <f>('Agency Revenues CAD'!E60/$C$1)/1000</f>
        <v>0</v>
      </c>
      <c r="F60" s="26">
        <f>('Agency Revenues CAD'!F60/$C$1)/1000</f>
        <v>0</v>
      </c>
      <c r="G60" s="26">
        <f>('Agency Revenues CAD'!G60/$C$1)/1000</f>
        <v>0</v>
      </c>
      <c r="H60" s="26">
        <f>('Agency Revenues CAD'!H60/$C$1)/1000</f>
        <v>0</v>
      </c>
      <c r="I60" s="26">
        <f>('Agency Revenues CAD'!I60/$C$1)/1000</f>
        <v>0</v>
      </c>
      <c r="J60" s="26">
        <f>('Agency Revenues CAD'!J60/$C$1)/1000</f>
        <v>0</v>
      </c>
      <c r="K60" s="26">
        <f>('Agency Revenues CAD'!K60/$C$1)/1000</f>
        <v>0</v>
      </c>
      <c r="L60" s="26">
        <f>('Agency Revenues CAD'!L60/$C$1)/1000</f>
        <v>0</v>
      </c>
      <c r="M60" s="26">
        <f>('Agency Revenues CAD'!M60/$C$1)/1000</f>
        <v>0</v>
      </c>
      <c r="N60" s="26">
        <f>('Agency Revenues CAD'!N60/$C$1)/1000</f>
        <v>3.2937489295315978</v>
      </c>
      <c r="O60" s="26">
        <f>('Agency Revenues CAD'!O60/$C$1)/1000</f>
        <v>3.2937489295315978</v>
      </c>
      <c r="P60" s="26">
        <f>('Agency Revenues CAD'!P60/$C$1)/1000</f>
        <v>2.634999143625278</v>
      </c>
      <c r="Q60" s="27">
        <f>('Agency Revenues CAD'!Q60/$C$1)/1000</f>
        <v>9.2224970026884723</v>
      </c>
    </row>
    <row r="61" spans="1:17" x14ac:dyDescent="0.25">
      <c r="A61" s="2" t="s">
        <v>213</v>
      </c>
      <c r="B61" t="s">
        <v>167</v>
      </c>
      <c r="C61" s="2" t="s">
        <v>220</v>
      </c>
      <c r="D61" s="2"/>
      <c r="E61" s="26">
        <f>('Agency Revenues CAD'!E61/$C$1)/1000</f>
        <v>208.26995651476409</v>
      </c>
      <c r="F61" s="26">
        <f>('Agency Revenues CAD'!F61/$C$1)/1000</f>
        <v>324.72311196498856</v>
      </c>
      <c r="G61" s="26">
        <f>('Agency Revenues CAD'!G61/$C$1)/1000</f>
        <v>229.84432580059408</v>
      </c>
      <c r="H61" s="26">
        <f>('Agency Revenues CAD'!H61/$C$1)/1000</f>
        <v>275.97654230762373</v>
      </c>
      <c r="I61" s="29">
        <f>('Agency Revenues CAD'!I61/$C$1)/1000</f>
        <v>383.46660487335339</v>
      </c>
      <c r="J61" s="26">
        <f>('Agency Revenues CAD'!J61/$C$1)/1000</f>
        <v>306.3710321183388</v>
      </c>
      <c r="K61" s="26">
        <f>('Agency Revenues CAD'!K61/$C$1)/1000</f>
        <v>338.98562285377369</v>
      </c>
      <c r="L61" s="26">
        <f>('Agency Revenues CAD'!L61/$C$1)/1000</f>
        <v>289.81057365059939</v>
      </c>
      <c r="M61" s="26">
        <f>('Agency Revenues CAD'!M61/$C$1)/1000</f>
        <v>400.24705283250773</v>
      </c>
      <c r="N61" s="26">
        <f>('Agency Revenues CAD'!N61/$C$1)/1000</f>
        <v>353.78738501909987</v>
      </c>
      <c r="O61" s="26">
        <f>('Agency Revenues CAD'!O61/$C$1)/1000</f>
        <v>307.3277172056919</v>
      </c>
      <c r="P61" s="26">
        <f>('Agency Revenues CAD'!P61/$C$1)/1000</f>
        <v>417.76432943474725</v>
      </c>
      <c r="Q61" s="27">
        <f>('Agency Revenues CAD'!Q61/$C$1)/1000</f>
        <v>3836.5742545760827</v>
      </c>
    </row>
    <row r="62" spans="1:17" x14ac:dyDescent="0.25">
      <c r="A62" s="2" t="s">
        <v>213</v>
      </c>
      <c r="B62" t="s">
        <v>167</v>
      </c>
      <c r="C62" s="2" t="s">
        <v>221</v>
      </c>
      <c r="D62" s="2"/>
      <c r="E62" s="26">
        <f>('Agency Revenues CAD'!E62/$C$1)/1000</f>
        <v>47.781676347705179</v>
      </c>
      <c r="F62" s="26">
        <f>('Agency Revenues CAD'!F62/$C$1)/1000</f>
        <v>36.598185105589835</v>
      </c>
      <c r="G62" s="26">
        <f>('Agency Revenues CAD'!G62/$C$1)/1000</f>
        <v>11.572908147804851</v>
      </c>
      <c r="H62" s="26">
        <f>('Agency Revenues CAD'!H62/$C$1)/1000</f>
        <v>7.8240487071841693</v>
      </c>
      <c r="I62" s="26">
        <f>('Agency Revenues CAD'!I62/$C$1)/1000</f>
        <v>30.328034143388901</v>
      </c>
      <c r="J62" s="26">
        <f>('Agency Revenues CAD'!J62/$C$1)/1000</f>
        <v>27.784570762514498</v>
      </c>
      <c r="K62" s="26">
        <f>('Agency Revenues CAD'!K62/$C$1)/1000</f>
        <v>28.716748829556625</v>
      </c>
      <c r="L62" s="26">
        <f>('Agency Revenues CAD'!L62/$C$1)/1000</f>
        <v>38.346233167974205</v>
      </c>
      <c r="M62" s="26">
        <f>('Agency Revenues CAD'!M62/$C$1)/1000</f>
        <v>57.330801279989579</v>
      </c>
      <c r="N62" s="26">
        <f>('Agency Revenues CAD'!N62/$C$1)/1000</f>
        <v>98.812467885947939</v>
      </c>
      <c r="O62" s="26">
        <f>('Agency Revenues CAD'!O62/$C$1)/1000</f>
        <v>135.02413620465572</v>
      </c>
      <c r="P62" s="26">
        <f>('Agency Revenues CAD'!P62/$C$1)/1000</f>
        <v>147.34407481692571</v>
      </c>
      <c r="Q62" s="27">
        <f>('Agency Revenues CAD'!Q62/$C$1)/1000</f>
        <v>667.46388539923714</v>
      </c>
    </row>
    <row r="63" spans="1:17" x14ac:dyDescent="0.25">
      <c r="A63" s="2" t="s">
        <v>213</v>
      </c>
      <c r="B63" t="s">
        <v>167</v>
      </c>
      <c r="C63" s="2" t="s">
        <v>222</v>
      </c>
      <c r="D63" s="2"/>
      <c r="E63" s="26">
        <f>('Agency Revenues CAD'!E63/$C$1)/1000</f>
        <v>0</v>
      </c>
      <c r="F63" s="26">
        <f>('Agency Revenues CAD'!F63/$C$1)/1000</f>
        <v>0</v>
      </c>
      <c r="G63" s="26">
        <f>('Agency Revenues CAD'!G63/$C$1)/1000</f>
        <v>0</v>
      </c>
      <c r="H63" s="26">
        <f>('Agency Revenues CAD'!H63/$C$1)/1000</f>
        <v>0</v>
      </c>
      <c r="I63" s="26">
        <f>('Agency Revenues CAD'!I63/$C$1)/1000</f>
        <v>0</v>
      </c>
      <c r="J63" s="26">
        <f>('Agency Revenues CAD'!J63/$C$1)/1000</f>
        <v>0</v>
      </c>
      <c r="K63" s="26">
        <f>('Agency Revenues CAD'!K63/$C$1)/1000</f>
        <v>0</v>
      </c>
      <c r="L63" s="26">
        <f>('Agency Revenues CAD'!L63/$C$1)/1000</f>
        <v>0</v>
      </c>
      <c r="M63" s="26">
        <f>('Agency Revenues CAD'!M63/$C$1)/1000</f>
        <v>0</v>
      </c>
      <c r="N63" s="26">
        <f>('Agency Revenues CAD'!N63/$C$1)/1000</f>
        <v>0</v>
      </c>
      <c r="O63" s="26">
        <f>('Agency Revenues CAD'!O63/$C$1)/1000</f>
        <v>0</v>
      </c>
      <c r="P63" s="26">
        <f>('Agency Revenues CAD'!P63/$C$1)/1000</f>
        <v>0</v>
      </c>
      <c r="Q63" s="27">
        <f>('Agency Revenues CAD'!Q63/$C$1)/1000</f>
        <v>0</v>
      </c>
    </row>
    <row r="64" spans="1:17" x14ac:dyDescent="0.25">
      <c r="A64" s="2" t="s">
        <v>213</v>
      </c>
      <c r="B64" t="s">
        <v>167</v>
      </c>
      <c r="C64" s="2" t="s">
        <v>223</v>
      </c>
      <c r="D64" s="2"/>
      <c r="E64" s="26">
        <f>('Agency Revenues CAD'!E64/$C$1)/1000</f>
        <v>0</v>
      </c>
      <c r="F64" s="26">
        <f>('Agency Revenues CAD'!F64/$C$1)/1000</f>
        <v>2.0143793453267125</v>
      </c>
      <c r="G64" s="26">
        <f>('Agency Revenues CAD'!G64/$C$1)/1000</f>
        <v>3.7116443712155789</v>
      </c>
      <c r="H64" s="26">
        <f>('Agency Revenues CAD'!H64/$C$1)/1000</f>
        <v>3.9420284688407472</v>
      </c>
      <c r="I64" s="29">
        <f>('Agency Revenues CAD'!I64/$C$1)/1000</f>
        <v>20.422708112619862</v>
      </c>
      <c r="J64" s="26">
        <f>('Agency Revenues CAD'!J64/$C$1)/1000</f>
        <v>25.728331138792381</v>
      </c>
      <c r="K64" s="26">
        <f>('Agency Revenues CAD'!K64/$C$1)/1000</f>
        <v>21.296569386114946</v>
      </c>
      <c r="L64" s="26">
        <f>('Agency Revenues CAD'!L64/$C$1)/1000</f>
        <v>1.9124447134554681</v>
      </c>
      <c r="M64" s="26">
        <f>('Agency Revenues CAD'!M64/$C$1)/1000</f>
        <v>3.7534399371320193</v>
      </c>
      <c r="N64" s="26">
        <f>('Agency Revenues CAD'!N64/$C$1)/1000</f>
        <v>3.0271490161765695</v>
      </c>
      <c r="O64" s="26">
        <f>('Agency Revenues CAD'!O64/$C$1)/1000</f>
        <v>2.3008580952211197</v>
      </c>
      <c r="P64" s="26">
        <f>('Agency Revenues CAD'!P64/$C$1)/1000</f>
        <v>4.1417658911760755</v>
      </c>
      <c r="Q64" s="27">
        <f>('Agency Revenues CAD'!Q64/$C$1)/1000</f>
        <v>92.251318476071475</v>
      </c>
    </row>
    <row r="65" spans="1:17" x14ac:dyDescent="0.25">
      <c r="A65" s="2" t="s">
        <v>213</v>
      </c>
      <c r="B65" t="s">
        <v>167</v>
      </c>
      <c r="C65" s="2" t="s">
        <v>224</v>
      </c>
      <c r="D65" s="2"/>
      <c r="E65" s="26">
        <f>('Agency Revenues CAD'!E65/$C$1)/1000</f>
        <v>0</v>
      </c>
      <c r="F65" s="26">
        <f>('Agency Revenues CAD'!F65/$C$1)/1000</f>
        <v>0</v>
      </c>
      <c r="G65" s="26">
        <f>('Agency Revenues CAD'!G65/$C$1)/1000</f>
        <v>0</v>
      </c>
      <c r="H65" s="26">
        <f>('Agency Revenues CAD'!H65/$C$1)/1000</f>
        <v>3.4524688779476147</v>
      </c>
      <c r="I65" s="26">
        <f>('Agency Revenues CAD'!I65/$C$1)/1000</f>
        <v>7.4576365762681123</v>
      </c>
      <c r="J65" s="26">
        <f>('Agency Revenues CAD'!J65/$C$1)/1000</f>
        <v>3.3873406503642887</v>
      </c>
      <c r="K65" s="26">
        <f>('Agency Revenues CAD'!K65/$C$1)/1000</f>
        <v>0</v>
      </c>
      <c r="L65" s="26">
        <f>('Agency Revenues CAD'!L65/$C$1)/1000</f>
        <v>0</v>
      </c>
      <c r="M65" s="26">
        <f>('Agency Revenues CAD'!M65/$C$1)/1000</f>
        <v>0</v>
      </c>
      <c r="N65" s="26">
        <f>('Agency Revenues CAD'!N65/$C$1)/1000</f>
        <v>5.4249982368755729</v>
      </c>
      <c r="O65" s="26">
        <f>('Agency Revenues CAD'!O65/$C$1)/1000</f>
        <v>10.849996473751146</v>
      </c>
      <c r="P65" s="26">
        <f>('Agency Revenues CAD'!P65/$C$1)/1000</f>
        <v>10.849746962582238</v>
      </c>
      <c r="Q65" s="27">
        <f>('Agency Revenues CAD'!Q65/$C$1)/1000</f>
        <v>41.42218777778897</v>
      </c>
    </row>
    <row r="66" spans="1:17" x14ac:dyDescent="0.25">
      <c r="A66" s="2" t="s">
        <v>213</v>
      </c>
      <c r="B66" t="s">
        <v>167</v>
      </c>
      <c r="C66" s="2" t="s">
        <v>225</v>
      </c>
      <c r="D66" s="2"/>
      <c r="E66" s="26">
        <f>('Agency Revenues CAD'!E66/$C$1)/1000</f>
        <v>68.631799944665019</v>
      </c>
      <c r="F66" s="26">
        <f>('Agency Revenues CAD'!F66/$C$1)/1000</f>
        <v>72.634642643741131</v>
      </c>
      <c r="G66" s="26">
        <f>('Agency Revenues CAD'!G66/$C$1)/1000</f>
        <v>93.644537065525441</v>
      </c>
      <c r="H66" s="26">
        <f>('Agency Revenues CAD'!H66/$C$1)/1000</f>
        <v>73.882353488235111</v>
      </c>
      <c r="I66" s="26">
        <f>('Agency Revenues CAD'!I66/$C$1)/1000</f>
        <v>85.544906197905476</v>
      </c>
      <c r="J66" s="26">
        <f>('Agency Revenues CAD'!J66/$C$1)/1000</f>
        <v>93.312890725810519</v>
      </c>
      <c r="K66" s="26">
        <f>('Agency Revenues CAD'!K66/$C$1)/1000</f>
        <v>119.68065437878732</v>
      </c>
      <c r="L66" s="26">
        <f>('Agency Revenues CAD'!L66/$C$1)/1000</f>
        <v>130.87366930605742</v>
      </c>
      <c r="M66" s="26">
        <f>('Agency Revenues CAD'!M66/$C$1)/1000</f>
        <v>64.595531312702306</v>
      </c>
      <c r="N66" s="26">
        <f>('Agency Revenues CAD'!N66/$C$1)/1000</f>
        <v>98.812467885947939</v>
      </c>
      <c r="O66" s="26">
        <f>('Agency Revenues CAD'!O66/$C$1)/1000</f>
        <v>146.20440017731994</v>
      </c>
      <c r="P66" s="26">
        <f>('Agency Revenues CAD'!P66/$C$1)/1000</f>
        <v>124.26076699400072</v>
      </c>
      <c r="Q66" s="27">
        <f>('Agency Revenues CAD'!Q66/$C$1)/1000</f>
        <v>1172.0786201206981</v>
      </c>
    </row>
    <row r="67" spans="1:17" x14ac:dyDescent="0.25">
      <c r="A67" s="2" t="s">
        <v>213</v>
      </c>
      <c r="B67" t="s">
        <v>167</v>
      </c>
      <c r="C67" s="2" t="s">
        <v>226</v>
      </c>
      <c r="D67" s="2"/>
      <c r="E67" s="26">
        <f>('Agency Revenues CAD'!E67/$C$1)/1000</f>
        <v>9.7291375880302819</v>
      </c>
      <c r="F67" s="26">
        <f>('Agency Revenues CAD'!F67/$C$1)/1000</f>
        <v>1.0446609104852045</v>
      </c>
      <c r="G67" s="26">
        <f>('Agency Revenues CAD'!G67/$C$1)/1000</f>
        <v>0</v>
      </c>
      <c r="H67" s="26">
        <f>('Agency Revenues CAD'!H67/$C$1)/1000</f>
        <v>0</v>
      </c>
      <c r="I67" s="26">
        <f>('Agency Revenues CAD'!I67/$C$1)/1000</f>
        <v>0</v>
      </c>
      <c r="J67" s="26">
        <f>('Agency Revenues CAD'!J67/$C$1)/1000</f>
        <v>0</v>
      </c>
      <c r="K67" s="26">
        <f>('Agency Revenues CAD'!K67/$C$1)/1000</f>
        <v>0</v>
      </c>
      <c r="L67" s="26">
        <f>('Agency Revenues CAD'!L67/$C$1)/1000</f>
        <v>0</v>
      </c>
      <c r="M67" s="26">
        <f>('Agency Revenues CAD'!M67/$C$1)/1000</f>
        <v>0</v>
      </c>
      <c r="N67" s="26">
        <f>('Agency Revenues CAD'!N67/$C$1)/1000</f>
        <v>24.703116971486985</v>
      </c>
      <c r="O67" s="26">
        <f>('Agency Revenues CAD'!O67/$C$1)/1000</f>
        <v>24.703116971486985</v>
      </c>
      <c r="P67" s="26">
        <f>('Agency Revenues CAD'!P67/$C$1)/1000</f>
        <v>0</v>
      </c>
      <c r="Q67" s="27">
        <f>('Agency Revenues CAD'!Q67/$C$1)/1000</f>
        <v>60.180032441489452</v>
      </c>
    </row>
    <row r="68" spans="1:17" x14ac:dyDescent="0.25">
      <c r="A68" s="2" t="s">
        <v>213</v>
      </c>
      <c r="B68" t="s">
        <v>167</v>
      </c>
      <c r="C68" s="2" t="s">
        <v>227</v>
      </c>
      <c r="D68" s="2"/>
      <c r="E68" s="26">
        <f>('Agency Revenues CAD'!E68/$C$1)/1000</f>
        <v>55.674310463349087</v>
      </c>
      <c r="F68" s="26">
        <f>('Agency Revenues CAD'!F68/$C$1)/1000</f>
        <v>1.286499581887636E-2</v>
      </c>
      <c r="G68" s="26">
        <f>('Agency Revenues CAD'!G68/$C$1)/1000</f>
        <v>0</v>
      </c>
      <c r="H68" s="26">
        <f>('Agency Revenues CAD'!H68/$C$1)/1000</f>
        <v>60.68788977643581</v>
      </c>
      <c r="I68" s="26">
        <f>('Agency Revenues CAD'!I68/$C$1)/1000</f>
        <v>152.13113305738173</v>
      </c>
      <c r="J68" s="26">
        <f>('Agency Revenues CAD'!J68/$C$1)/1000</f>
        <v>0</v>
      </c>
      <c r="K68" s="26">
        <f>('Agency Revenues CAD'!K68/$C$1)/1000</f>
        <v>0</v>
      </c>
      <c r="L68" s="26">
        <f>('Agency Revenues CAD'!L68/$C$1)/1000</f>
        <v>4.4630417500114312</v>
      </c>
      <c r="M68" s="26">
        <f>('Agency Revenues CAD'!M68/$C$1)/1000</f>
        <v>45.223754971429628</v>
      </c>
      <c r="N68" s="26">
        <f>('Agency Revenues CAD'!N68/$C$1)/1000</f>
        <v>116.24996221876228</v>
      </c>
      <c r="O68" s="26">
        <f>('Agency Revenues CAD'!O68/$C$1)/1000</f>
        <v>71.026207247332636</v>
      </c>
      <c r="P68" s="26">
        <f>('Agency Revenues CAD'!P68/$C$1)/1000</f>
        <v>239.56521629080461</v>
      </c>
      <c r="Q68" s="27">
        <f>('Agency Revenues CAD'!Q68/$C$1)/1000</f>
        <v>745.03438077132614</v>
      </c>
    </row>
    <row r="69" spans="1:17" x14ac:dyDescent="0.25">
      <c r="A69" s="2" t="s">
        <v>213</v>
      </c>
      <c r="B69" t="s">
        <v>167</v>
      </c>
      <c r="C69" s="2" t="s">
        <v>228</v>
      </c>
      <c r="D69" s="2"/>
      <c r="E69" s="29">
        <f>('Agency Revenues CAD'!E69/$C$1)/1000</f>
        <v>66.607622006272834</v>
      </c>
      <c r="F69" s="26">
        <f>('Agency Revenues CAD'!F69/$C$1)/1000</f>
        <v>112.77330559867566</v>
      </c>
      <c r="G69" s="26">
        <f>('Agency Revenues CAD'!G69/$C$1)/1000</f>
        <v>96.349565186391303</v>
      </c>
      <c r="H69" s="26">
        <f>('Agency Revenues CAD'!H69/$C$1)/1000</f>
        <v>28.00386414874415</v>
      </c>
      <c r="I69" s="26">
        <f>('Agency Revenues CAD'!I69/$C$1)/1000</f>
        <v>120.80900673707281</v>
      </c>
      <c r="J69" s="26">
        <f>('Agency Revenues CAD'!J69/$C$1)/1000</f>
        <v>47.808149897351285</v>
      </c>
      <c r="K69" s="26">
        <f>('Agency Revenues CAD'!K69/$C$1)/1000</f>
        <v>12.673147343727113</v>
      </c>
      <c r="L69" s="26">
        <f>('Agency Revenues CAD'!L69/$C$1)/1000</f>
        <v>7.5481561593492472</v>
      </c>
      <c r="M69" s="26">
        <f>('Agency Revenues CAD'!M69/$C$1)/1000</f>
        <v>43.608646827189773</v>
      </c>
      <c r="N69" s="26">
        <f>('Agency Revenues CAD'!N69/$C$1)/1000</f>
        <v>19.14249377868952</v>
      </c>
      <c r="O69" s="26">
        <f>('Agency Revenues CAD'!O69/$C$1)/1000</f>
        <v>-5.3236592698107348</v>
      </c>
      <c r="P69" s="26">
        <f>('Agency Revenues CAD'!P69/$C$1)/1000</f>
        <v>0.51146883377269037</v>
      </c>
      <c r="Q69" s="27">
        <f>('Agency Revenues CAD'!Q69/$C$1)/1000</f>
        <v>550.51176724742561</v>
      </c>
    </row>
    <row r="70" spans="1:17" x14ac:dyDescent="0.25">
      <c r="A70" s="2" t="s">
        <v>213</v>
      </c>
      <c r="B70" t="s">
        <v>167</v>
      </c>
      <c r="C70" s="2" t="s">
        <v>229</v>
      </c>
      <c r="D70" s="2"/>
      <c r="E70" s="26">
        <f>('Agency Revenues CAD'!E70/$C$1)/1000</f>
        <v>0.10237614922775151</v>
      </c>
      <c r="F70" s="26">
        <f>('Agency Revenues CAD'!F70/$C$1)/1000</f>
        <v>0</v>
      </c>
      <c r="G70" s="26">
        <f>('Agency Revenues CAD'!G70/$C$1)/1000</f>
        <v>-0.79979974006508436</v>
      </c>
      <c r="H70" s="26">
        <f>('Agency Revenues CAD'!H70/$C$1)/1000</f>
        <v>30.260554915319648</v>
      </c>
      <c r="I70" s="26">
        <f>('Agency Revenues CAD'!I70/$C$1)/1000</f>
        <v>69.999891500035261</v>
      </c>
      <c r="J70" s="26">
        <f>('Agency Revenues CAD'!J70/$C$1)/1000</f>
        <v>74.365286188031973</v>
      </c>
      <c r="K70" s="26">
        <f>('Agency Revenues CAD'!K70/$C$1)/1000</f>
        <v>0</v>
      </c>
      <c r="L70" s="26">
        <f>('Agency Revenues CAD'!L70/$C$1)/1000</f>
        <v>0</v>
      </c>
      <c r="M70" s="26">
        <f>('Agency Revenues CAD'!M70/$C$1)/1000</f>
        <v>0</v>
      </c>
      <c r="N70" s="26">
        <f>('Agency Revenues CAD'!N70/$C$1)/1000</f>
        <v>39.524987154379176</v>
      </c>
      <c r="O70" s="26">
        <f>('Agency Revenues CAD'!O70/$C$1)/1000</f>
        <v>32.937489295315977</v>
      </c>
      <c r="P70" s="26">
        <f>('Agency Revenues CAD'!P70/$C$1)/1000</f>
        <v>16.468744647657989</v>
      </c>
      <c r="Q70" s="27">
        <f>('Agency Revenues CAD'!Q70/$C$1)/1000</f>
        <v>262.85953010990272</v>
      </c>
    </row>
    <row r="71" spans="1:17" x14ac:dyDescent="0.25">
      <c r="A71" s="2" t="s">
        <v>213</v>
      </c>
      <c r="B71" t="s">
        <v>167</v>
      </c>
      <c r="C71" s="2" t="s">
        <v>230</v>
      </c>
      <c r="D71" s="2"/>
      <c r="E71" s="26">
        <f>('Agency Revenues CAD'!E71/$C$1)/1000</f>
        <v>0</v>
      </c>
      <c r="F71" s="26">
        <f>('Agency Revenues CAD'!F71/$C$1)/1000</f>
        <v>0</v>
      </c>
      <c r="G71" s="26">
        <f>('Agency Revenues CAD'!G71/$C$1)/1000</f>
        <v>0</v>
      </c>
      <c r="H71" s="26">
        <f>('Agency Revenues CAD'!H71/$C$1)/1000</f>
        <v>0</v>
      </c>
      <c r="I71" s="26">
        <f>('Agency Revenues CAD'!I71/$C$1)/1000</f>
        <v>0</v>
      </c>
      <c r="J71" s="26">
        <f>('Agency Revenues CAD'!J71/$C$1)/1000</f>
        <v>0</v>
      </c>
      <c r="K71" s="26">
        <f>('Agency Revenues CAD'!K71/$C$1)/1000</f>
        <v>0</v>
      </c>
      <c r="L71" s="26">
        <f>('Agency Revenues CAD'!L71/$C$1)/1000</f>
        <v>0</v>
      </c>
      <c r="M71" s="26">
        <f>('Agency Revenues CAD'!M71/$C$1)/1000</f>
        <v>0</v>
      </c>
      <c r="N71" s="26">
        <f>('Agency Revenues CAD'!N71/$C$1)/1000</f>
        <v>0</v>
      </c>
      <c r="O71" s="26">
        <f>('Agency Revenues CAD'!O71/$C$1)/1000</f>
        <v>0</v>
      </c>
      <c r="P71" s="26">
        <f>('Agency Revenues CAD'!P71/$C$1)/1000</f>
        <v>0</v>
      </c>
      <c r="Q71" s="27">
        <f>('Agency Revenues CAD'!Q71/$C$1)/1000</f>
        <v>0</v>
      </c>
    </row>
    <row r="72" spans="1:17" x14ac:dyDescent="0.25">
      <c r="A72" s="2" t="s">
        <v>213</v>
      </c>
      <c r="B72" t="s">
        <v>167</v>
      </c>
      <c r="C72" s="2" t="s">
        <v>231</v>
      </c>
      <c r="D72" s="2"/>
      <c r="E72" s="29">
        <f>('Agency Revenues CAD'!E72/$C$1)/1000</f>
        <v>0</v>
      </c>
      <c r="F72" s="26">
        <f>('Agency Revenues CAD'!F72/$C$1)/1000</f>
        <v>0</v>
      </c>
      <c r="G72" s="26">
        <f>('Agency Revenues CAD'!G72/$C$1)/1000</f>
        <v>0</v>
      </c>
      <c r="H72" s="26">
        <f>('Agency Revenues CAD'!H72/$C$1)/1000</f>
        <v>0</v>
      </c>
      <c r="I72" s="26">
        <f>('Agency Revenues CAD'!I72/$C$1)/1000</f>
        <v>0</v>
      </c>
      <c r="J72" s="26">
        <f>('Agency Revenues CAD'!J72/$C$1)/1000</f>
        <v>0</v>
      </c>
      <c r="K72" s="26">
        <f>('Agency Revenues CAD'!K72/$C$1)/1000</f>
        <v>0</v>
      </c>
      <c r="L72" s="26">
        <f>('Agency Revenues CAD'!L72/$C$1)/1000</f>
        <v>0</v>
      </c>
      <c r="M72" s="26">
        <f>('Agency Revenues CAD'!M72/$C$1)/1000</f>
        <v>0</v>
      </c>
      <c r="N72" s="26">
        <f>('Agency Revenues CAD'!N72/$C$1)/1000</f>
        <v>0</v>
      </c>
      <c r="O72" s="26">
        <f>('Agency Revenues CAD'!O72/$C$1)/1000</f>
        <v>0</v>
      </c>
      <c r="P72" s="26">
        <f>('Agency Revenues CAD'!P72/$C$1)/1000</f>
        <v>0</v>
      </c>
      <c r="Q72" s="27">
        <f>('Agency Revenues CAD'!Q72/$C$1)/1000</f>
        <v>0</v>
      </c>
    </row>
    <row r="73" spans="1:17" x14ac:dyDescent="0.25">
      <c r="A73" s="2" t="s">
        <v>213</v>
      </c>
      <c r="B73" t="s">
        <v>167</v>
      </c>
      <c r="C73" s="2" t="s">
        <v>232</v>
      </c>
      <c r="D73" s="2"/>
      <c r="E73" s="29">
        <f>('Agency Revenues CAD'!E73/$C$1)/1000</f>
        <v>22.361865982393553</v>
      </c>
      <c r="F73" s="26">
        <f>('Agency Revenues CAD'!F73/$C$1)/1000</f>
        <v>9.9936682520578159</v>
      </c>
      <c r="G73" s="26">
        <f>('Agency Revenues CAD'!G73/$C$1)/1000</f>
        <v>0</v>
      </c>
      <c r="H73" s="26">
        <f>('Agency Revenues CAD'!H73/$C$1)/1000</f>
        <v>0</v>
      </c>
      <c r="I73" s="29">
        <f>('Agency Revenues CAD'!I73/$C$1)/1000</f>
        <v>0</v>
      </c>
      <c r="J73" s="26">
        <f>('Agency Revenues CAD'!J73/$C$1)/1000</f>
        <v>0</v>
      </c>
      <c r="K73" s="26">
        <f>('Agency Revenues CAD'!K73/$C$1)/1000</f>
        <v>0</v>
      </c>
      <c r="L73" s="26">
        <f>('Agency Revenues CAD'!L73/$C$1)/1000</f>
        <v>0</v>
      </c>
      <c r="M73" s="26">
        <f>('Agency Revenues CAD'!M73/$C$1)/1000</f>
        <v>0</v>
      </c>
      <c r="N73" s="26">
        <f>('Agency Revenues CAD'!N73/$C$1)/1000</f>
        <v>0</v>
      </c>
      <c r="O73" s="26">
        <f>('Agency Revenues CAD'!O73/$C$1)/1000</f>
        <v>0</v>
      </c>
      <c r="P73" s="26">
        <f>('Agency Revenues CAD'!P73/$C$1)/1000</f>
        <v>0</v>
      </c>
      <c r="Q73" s="27">
        <f>('Agency Revenues CAD'!Q73/$C$1)/1000</f>
        <v>32.355534234451369</v>
      </c>
    </row>
    <row r="74" spans="1:17" x14ac:dyDescent="0.25">
      <c r="A74" s="2" t="s">
        <v>213</v>
      </c>
      <c r="B74" t="s">
        <v>167</v>
      </c>
      <c r="C74" s="2" t="s">
        <v>233</v>
      </c>
      <c r="D74" s="2"/>
      <c r="E74" s="26">
        <f>('Agency Revenues CAD'!E74/$C$1)/1000</f>
        <v>46.174398356070533</v>
      </c>
      <c r="F74" s="26">
        <f>('Agency Revenues CAD'!F74/$C$1)/1000</f>
        <v>113.98896245358721</v>
      </c>
      <c r="G74" s="26">
        <f>('Agency Revenues CAD'!G74/$C$1)/1000</f>
        <v>129.52635890393336</v>
      </c>
      <c r="H74" s="26">
        <f>('Agency Revenues CAD'!H74/$C$1)/1000</f>
        <v>159.00773682248553</v>
      </c>
      <c r="I74" s="26">
        <f>('Agency Revenues CAD'!I74/$C$1)/1000</f>
        <v>322.20741628258969</v>
      </c>
      <c r="J74" s="26">
        <f>('Agency Revenues CAD'!J74/$C$1)/1000</f>
        <v>377.22413763840524</v>
      </c>
      <c r="K74" s="26">
        <f>('Agency Revenues CAD'!K74/$C$1)/1000</f>
        <v>107.62011694746198</v>
      </c>
      <c r="L74" s="26">
        <f>('Agency Revenues CAD'!L74/$C$1)/1000</f>
        <v>194.79231758249676</v>
      </c>
      <c r="M74" s="26">
        <f>('Agency Revenues CAD'!M74/$C$1)/1000</f>
        <v>181.63761879699891</v>
      </c>
      <c r="N74" s="26">
        <f>('Agency Revenues CAD'!N74/$C$1)/1000</f>
        <v>118.26496156388748</v>
      </c>
      <c r="O74" s="26">
        <f>('Agency Revenues CAD'!O74/$C$1)/1000</f>
        <v>196.48475831322853</v>
      </c>
      <c r="P74" s="26">
        <f>('Agency Revenues CAD'!P74/$C$1)/1000</f>
        <v>115.36258750715906</v>
      </c>
      <c r="Q74" s="27">
        <f>('Agency Revenues CAD'!Q74/$C$1)/1000</f>
        <v>2062.2913711683041</v>
      </c>
    </row>
    <row r="75" spans="1:17" x14ac:dyDescent="0.25">
      <c r="A75" s="2" t="s">
        <v>213</v>
      </c>
      <c r="B75" t="s">
        <v>167</v>
      </c>
      <c r="C75" s="2" t="s">
        <v>234</v>
      </c>
      <c r="D75" s="2"/>
      <c r="E75" s="26">
        <f>('Agency Revenues CAD'!E75/$C$1)/1000</f>
        <v>0</v>
      </c>
      <c r="F75" s="26">
        <f>('Agency Revenues CAD'!F75/$C$1)/1000</f>
        <v>0</v>
      </c>
      <c r="G75" s="26">
        <f>('Agency Revenues CAD'!G75/$C$1)/1000</f>
        <v>0</v>
      </c>
      <c r="H75" s="26">
        <f>('Agency Revenues CAD'!H75/$C$1)/1000</f>
        <v>0</v>
      </c>
      <c r="I75" s="26">
        <f>('Agency Revenues CAD'!I75/$C$1)/1000</f>
        <v>0</v>
      </c>
      <c r="J75" s="26">
        <f>('Agency Revenues CAD'!J75/$C$1)/1000</f>
        <v>0</v>
      </c>
      <c r="K75" s="26">
        <f>('Agency Revenues CAD'!K75/$C$1)/1000</f>
        <v>0</v>
      </c>
      <c r="L75" s="26">
        <f>('Agency Revenues CAD'!L75/$C$1)/1000</f>
        <v>0</v>
      </c>
      <c r="M75" s="26">
        <f>('Agency Revenues CAD'!M75/$C$1)/1000</f>
        <v>0</v>
      </c>
      <c r="N75" s="26">
        <f>('Agency Revenues CAD'!N75/$C$1)/1000</f>
        <v>0</v>
      </c>
      <c r="O75" s="26">
        <f>('Agency Revenues CAD'!O75/$C$1)/1000</f>
        <v>0</v>
      </c>
      <c r="P75" s="26">
        <f>('Agency Revenues CAD'!P75/$C$1)/1000</f>
        <v>0</v>
      </c>
      <c r="Q75" s="27">
        <f>('Agency Revenues CAD'!Q75/$C$1)/1000</f>
        <v>0</v>
      </c>
    </row>
    <row r="76" spans="1:17" x14ac:dyDescent="0.25">
      <c r="A76" s="2" t="s">
        <v>213</v>
      </c>
      <c r="B76" t="s">
        <v>167</v>
      </c>
      <c r="C76" s="2" t="s">
        <v>235</v>
      </c>
      <c r="D76" s="2"/>
      <c r="E76" s="26">
        <f>('Agency Revenues CAD'!E76/$C$1)/1000</f>
        <v>0</v>
      </c>
      <c r="F76" s="26">
        <f>('Agency Revenues CAD'!F76/$C$1)/1000</f>
        <v>0</v>
      </c>
      <c r="G76" s="26">
        <f>('Agency Revenues CAD'!G76/$C$1)/1000</f>
        <v>0</v>
      </c>
      <c r="H76" s="26">
        <f>('Agency Revenues CAD'!H76/$C$1)/1000</f>
        <v>0</v>
      </c>
      <c r="I76" s="26">
        <f>('Agency Revenues CAD'!I76/$C$1)/1000</f>
        <v>0</v>
      </c>
      <c r="J76" s="26">
        <f>('Agency Revenues CAD'!J76/$C$1)/1000</f>
        <v>0</v>
      </c>
      <c r="K76" s="26">
        <f>('Agency Revenues CAD'!K76/$C$1)/1000</f>
        <v>0</v>
      </c>
      <c r="L76" s="26">
        <f>('Agency Revenues CAD'!L76/$C$1)/1000</f>
        <v>0</v>
      </c>
      <c r="M76" s="26">
        <f>('Agency Revenues CAD'!M76/$C$1)/1000</f>
        <v>0</v>
      </c>
      <c r="N76" s="26">
        <f>('Agency Revenues CAD'!N76/$C$1)/1000</f>
        <v>0</v>
      </c>
      <c r="O76" s="26">
        <f>('Agency Revenues CAD'!O76/$C$1)/1000</f>
        <v>0</v>
      </c>
      <c r="P76" s="26">
        <f>('Agency Revenues CAD'!P76/$C$1)/1000</f>
        <v>0</v>
      </c>
      <c r="Q76" s="27">
        <f>('Agency Revenues CAD'!Q76/$C$1)/1000</f>
        <v>0</v>
      </c>
    </row>
    <row r="77" spans="1:17" x14ac:dyDescent="0.25">
      <c r="A77" s="2" t="s">
        <v>213</v>
      </c>
      <c r="B77" t="s">
        <v>167</v>
      </c>
      <c r="C77" s="2" t="s">
        <v>170</v>
      </c>
      <c r="D77" s="2"/>
      <c r="E77" s="26">
        <f>('Agency Revenues CAD'!E77/$C$1)/1000</f>
        <v>0</v>
      </c>
      <c r="F77" s="26">
        <f>('Agency Revenues CAD'!F77/$C$1)/1000</f>
        <v>0</v>
      </c>
      <c r="G77" s="26">
        <f>('Agency Revenues CAD'!G77/$C$1)/1000</f>
        <v>0</v>
      </c>
      <c r="H77" s="26">
        <f>('Agency Revenues CAD'!H77/$C$1)/1000</f>
        <v>0</v>
      </c>
      <c r="I77" s="26">
        <f>('Agency Revenues CAD'!I77/$C$1)/1000</f>
        <v>0</v>
      </c>
      <c r="J77" s="26">
        <f>('Agency Revenues CAD'!J77/$C$1)/1000</f>
        <v>0</v>
      </c>
      <c r="K77" s="26">
        <f>('Agency Revenues CAD'!K77/$C$1)/1000</f>
        <v>0</v>
      </c>
      <c r="L77" s="26">
        <f>('Agency Revenues CAD'!L77/$C$1)/1000</f>
        <v>0</v>
      </c>
      <c r="M77" s="26">
        <f>('Agency Revenues CAD'!M77/$C$1)/1000</f>
        <v>0</v>
      </c>
      <c r="N77" s="26">
        <f>('Agency Revenues CAD'!N77/$C$1)/1000</f>
        <v>0</v>
      </c>
      <c r="O77" s="26">
        <f>('Agency Revenues CAD'!O77/$C$1)/1000</f>
        <v>0</v>
      </c>
      <c r="P77" s="26">
        <f>('Agency Revenues CAD'!P77/$C$1)/1000</f>
        <v>0</v>
      </c>
      <c r="Q77" s="27">
        <f>('Agency Revenues CAD'!Q77/$C$1)/1000</f>
        <v>0</v>
      </c>
    </row>
    <row r="78" spans="1:17" x14ac:dyDescent="0.25">
      <c r="A78" s="2" t="s">
        <v>213</v>
      </c>
      <c r="B78" t="s">
        <v>167</v>
      </c>
      <c r="C78" s="2" t="s">
        <v>236</v>
      </c>
      <c r="D78" s="2"/>
      <c r="E78" s="29">
        <f>('Agency Revenues CAD'!E78/$C$1)/1000</f>
        <v>47.362041860836392</v>
      </c>
      <c r="F78" s="26">
        <f>('Agency Revenues CAD'!F78/$C$1)/1000</f>
        <v>96.391663172709471</v>
      </c>
      <c r="G78" s="26">
        <f>('Agency Revenues CAD'!G78/$C$1)/1000</f>
        <v>31.030743170508465</v>
      </c>
      <c r="H78" s="26">
        <f>('Agency Revenues CAD'!H78/$C$1)/1000</f>
        <v>62.951881040638654</v>
      </c>
      <c r="I78" s="26">
        <f>('Agency Revenues CAD'!I78/$C$1)/1000</f>
        <v>46.806109788014311</v>
      </c>
      <c r="J78" s="26">
        <f>('Agency Revenues CAD'!J78/$C$1)/1000</f>
        <v>6.6769328299968294</v>
      </c>
      <c r="K78" s="26">
        <f>('Agency Revenues CAD'!K78/$C$1)/1000</f>
        <v>135.45570271164658</v>
      </c>
      <c r="L78" s="26">
        <f>('Agency Revenues CAD'!L78/$C$1)/1000</f>
        <v>35.84694343974337</v>
      </c>
      <c r="M78" s="26">
        <f>('Agency Revenues CAD'!M78/$C$1)/1000</f>
        <v>57.3112313738498</v>
      </c>
      <c r="N78" s="26">
        <f>('Agency Revenues CAD'!N78/$C$1)/1000</f>
        <v>197.62493577189588</v>
      </c>
      <c r="O78" s="26">
        <f>('Agency Revenues CAD'!O78/$C$1)/1000</f>
        <v>140.31370439804607</v>
      </c>
      <c r="P78" s="26">
        <f>('Agency Revenues CAD'!P78/$C$1)/1000</f>
        <v>294.05521109830624</v>
      </c>
      <c r="Q78" s="27">
        <f>('Agency Revenues CAD'!Q78/$C$1)/1000</f>
        <v>1151.8271006561922</v>
      </c>
    </row>
    <row r="79" spans="1:17" x14ac:dyDescent="0.25">
      <c r="A79" s="2" t="s">
        <v>213</v>
      </c>
      <c r="B79" t="s">
        <v>167</v>
      </c>
      <c r="C79" s="2" t="s">
        <v>237</v>
      </c>
      <c r="D79" s="2"/>
      <c r="E79" s="26">
        <f>('Agency Revenues CAD'!E79/$C$1)/1000</f>
        <v>0</v>
      </c>
      <c r="F79" s="26">
        <f>('Agency Revenues CAD'!F79/$C$1)/1000</f>
        <v>0</v>
      </c>
      <c r="G79" s="26">
        <f>('Agency Revenues CAD'!G79/$C$1)/1000</f>
        <v>0</v>
      </c>
      <c r="H79" s="26">
        <f>('Agency Revenues CAD'!H79/$C$1)/1000</f>
        <v>22.151143550878345</v>
      </c>
      <c r="I79" s="26">
        <f>('Agency Revenues CAD'!I79/$C$1)/1000</f>
        <v>24.348841336626563</v>
      </c>
      <c r="J79" s="26">
        <f>('Agency Revenues CAD'!J79/$C$1)/1000</f>
        <v>10.917074406950816</v>
      </c>
      <c r="K79" s="26">
        <f>('Agency Revenues CAD'!K79/$C$1)/1000</f>
        <v>11.243081615998474</v>
      </c>
      <c r="L79" s="26">
        <f>('Agency Revenues CAD'!L79/$C$1)/1000</f>
        <v>23.199673260106184</v>
      </c>
      <c r="M79" s="26">
        <f>('Agency Revenues CAD'!M79/$C$1)/1000</f>
        <v>13.030450786353493</v>
      </c>
      <c r="N79" s="26">
        <f>('Agency Revenues CAD'!N79/$C$1)/1000</f>
        <v>2.3249992443752454</v>
      </c>
      <c r="O79" s="26">
        <f>('Agency Revenues CAD'!O79/$C$1)/1000</f>
        <v>-8.3804522976030018</v>
      </c>
      <c r="P79" s="26">
        <f>('Agency Revenues CAD'!P79/$C$1)/1000</f>
        <v>-18.549488771416154</v>
      </c>
      <c r="Q79" s="27">
        <f>('Agency Revenues CAD'!Q79/$C$1)/1000</f>
        <v>80.285323132269966</v>
      </c>
    </row>
    <row r="80" spans="1:17" x14ac:dyDescent="0.25">
      <c r="A80" s="2" t="s">
        <v>213</v>
      </c>
      <c r="B80" t="s">
        <v>167</v>
      </c>
      <c r="C80" s="2" t="s">
        <v>238</v>
      </c>
      <c r="D80" s="2"/>
      <c r="E80" s="26">
        <f>('Agency Revenues CAD'!E80/$C$1)/1000</f>
        <v>0</v>
      </c>
      <c r="F80" s="26">
        <f>('Agency Revenues CAD'!F80/$C$1)/1000</f>
        <v>3.559411093191394</v>
      </c>
      <c r="G80" s="26">
        <f>('Agency Revenues CAD'!G80/$C$1)/1000</f>
        <v>8.1975112045588574</v>
      </c>
      <c r="H80" s="26">
        <f>('Agency Revenues CAD'!H80/$C$1)/1000</f>
        <v>6.0981397681045744</v>
      </c>
      <c r="I80" s="26">
        <f>('Agency Revenues CAD'!I80/$C$1)/1000</f>
        <v>0</v>
      </c>
      <c r="J80" s="26">
        <f>('Agency Revenues CAD'!J80/$C$1)/1000</f>
        <v>0</v>
      </c>
      <c r="K80" s="26">
        <f>('Agency Revenues CAD'!K80/$C$1)/1000</f>
        <v>-6.8819977633507265E-2</v>
      </c>
      <c r="L80" s="26">
        <f>('Agency Revenues CAD'!L80/$C$1)/1000</f>
        <v>0</v>
      </c>
      <c r="M80" s="26">
        <f>('Agency Revenues CAD'!M80/$C$1)/1000</f>
        <v>0</v>
      </c>
      <c r="N80" s="26">
        <f>('Agency Revenues CAD'!N80/$C$1)/1000</f>
        <v>0</v>
      </c>
      <c r="O80" s="26">
        <f>('Agency Revenues CAD'!O80/$C$1)/1000</f>
        <v>0</v>
      </c>
      <c r="P80" s="26">
        <f>('Agency Revenues CAD'!P80/$C$1)/1000</f>
        <v>0</v>
      </c>
      <c r="Q80" s="27">
        <f>('Agency Revenues CAD'!Q80/$C$1)/1000</f>
        <v>17.786242088221318</v>
      </c>
    </row>
    <row r="81" spans="1:17" x14ac:dyDescent="0.25">
      <c r="A81" s="2" t="s">
        <v>213</v>
      </c>
      <c r="B81" t="s">
        <v>167</v>
      </c>
      <c r="C81" s="2" t="s">
        <v>239</v>
      </c>
      <c r="D81" s="2"/>
      <c r="E81" s="26">
        <f>('Agency Revenues CAD'!E81/$C$1)/1000</f>
        <v>7.2772476348945183</v>
      </c>
      <c r="F81" s="26">
        <f>('Agency Revenues CAD'!F81/$C$1)/1000</f>
        <v>7.2772476348945183</v>
      </c>
      <c r="G81" s="26">
        <f>('Agency Revenues CAD'!G81/$C$1)/1000</f>
        <v>15.656017911794176</v>
      </c>
      <c r="H81" s="26">
        <f>('Agency Revenues CAD'!H81/$C$1)/1000</f>
        <v>15.170651069538403</v>
      </c>
      <c r="I81" s="26">
        <f>('Agency Revenues CAD'!I81/$C$1)/1000</f>
        <v>26.51439213282255</v>
      </c>
      <c r="J81" s="26">
        <f>('Agency Revenues CAD'!J81/$C$1)/1000</f>
        <v>21.957415313840023</v>
      </c>
      <c r="K81" s="26">
        <f>('Agency Revenues CAD'!K81/$C$1)/1000</f>
        <v>21.350672273531508</v>
      </c>
      <c r="L81" s="26">
        <f>('Agency Revenues CAD'!L81/$C$1)/1000</f>
        <v>21.407291158880376</v>
      </c>
      <c r="M81" s="26">
        <f>('Agency Revenues CAD'!M81/$C$1)/1000</f>
        <v>11.902922059050331</v>
      </c>
      <c r="N81" s="26">
        <f>('Agency Revenues CAD'!N81/$C$1)/1000</f>
        <v>23.056242506721183</v>
      </c>
      <c r="O81" s="26">
        <f>('Agency Revenues CAD'!O81/$C$1)/1000</f>
        <v>24.32831616579724</v>
      </c>
      <c r="P81" s="26">
        <f>('Agency Revenues CAD'!P81/$C$1)/1000</f>
        <v>19.435266479788389</v>
      </c>
      <c r="Q81" s="27">
        <f>('Agency Revenues CAD'!Q81/$C$1)/1000</f>
        <v>215.33368234155324</v>
      </c>
    </row>
    <row r="82" spans="1:17" x14ac:dyDescent="0.25">
      <c r="A82" s="2" t="s">
        <v>213</v>
      </c>
      <c r="B82" t="s">
        <v>167</v>
      </c>
      <c r="C82" s="2" t="s">
        <v>240</v>
      </c>
      <c r="D82" s="2"/>
      <c r="E82" s="26">
        <f>('Agency Revenues CAD'!E82/$C$1)/1000</f>
        <v>0</v>
      </c>
      <c r="F82" s="26">
        <f>('Agency Revenues CAD'!F82/$C$1)/1000</f>
        <v>0</v>
      </c>
      <c r="G82" s="26">
        <f>('Agency Revenues CAD'!G82/$C$1)/1000</f>
        <v>0</v>
      </c>
      <c r="H82" s="26">
        <f>('Agency Revenues CAD'!H82/$C$1)/1000</f>
        <v>22.680406378867922</v>
      </c>
      <c r="I82" s="26">
        <f>('Agency Revenues CAD'!I82/$C$1)/1000</f>
        <v>11.8377181527416</v>
      </c>
      <c r="J82" s="26">
        <f>('Agency Revenues CAD'!J82/$C$1)/1000</f>
        <v>11.738168660095187</v>
      </c>
      <c r="K82" s="26">
        <f>('Agency Revenues CAD'!K82/$C$1)/1000</f>
        <v>9.9906920980250664</v>
      </c>
      <c r="L82" s="26">
        <f>('Agency Revenues CAD'!L82/$C$1)/1000</f>
        <v>11.173813068510752</v>
      </c>
      <c r="M82" s="26">
        <f>('Agency Revenues CAD'!M82/$C$1)/1000</f>
        <v>12.011194483861791</v>
      </c>
      <c r="N82" s="26">
        <f>('Agency Revenues CAD'!N82/$C$1)/1000</f>
        <v>12.012496095938769</v>
      </c>
      <c r="O82" s="26">
        <f>('Agency Revenues CAD'!O82/$C$1)/1000</f>
        <v>1.3016120769762214E-3</v>
      </c>
      <c r="P82" s="26">
        <f>('Agency Revenues CAD'!P82/$C$1)/1000</f>
        <v>0.83854972747133849</v>
      </c>
      <c r="Q82" s="27">
        <f>('Agency Revenues CAD'!Q82/$C$1)/1000</f>
        <v>92.284340277589394</v>
      </c>
    </row>
    <row r="83" spans="1:17" x14ac:dyDescent="0.25">
      <c r="A83" s="2" t="s">
        <v>213</v>
      </c>
      <c r="B83" t="s">
        <v>167</v>
      </c>
      <c r="C83" s="2" t="s">
        <v>241</v>
      </c>
      <c r="D83" s="2"/>
      <c r="E83" s="26">
        <f>('Agency Revenues CAD'!E83/$C$1)/1000</f>
        <v>0</v>
      </c>
      <c r="F83" s="26">
        <f>('Agency Revenues CAD'!F83/$C$1)/1000</f>
        <v>0</v>
      </c>
      <c r="G83" s="26">
        <f>('Agency Revenues CAD'!G83/$C$1)/1000</f>
        <v>0</v>
      </c>
      <c r="H83" s="26">
        <f>('Agency Revenues CAD'!H83/$C$1)/1000</f>
        <v>11.707998694900423</v>
      </c>
      <c r="I83" s="26">
        <f>('Agency Revenues CAD'!I83/$C$1)/1000</f>
        <v>11.187818863958867</v>
      </c>
      <c r="J83" s="26">
        <f>('Agency Revenues CAD'!J83/$C$1)/1000</f>
        <v>27.731238767347396</v>
      </c>
      <c r="K83" s="26">
        <f>('Agency Revenues CAD'!K83/$C$1)/1000</f>
        <v>15.611621508723008</v>
      </c>
      <c r="L83" s="26">
        <f>('Agency Revenues CAD'!L83/$C$1)/1000</f>
        <v>13.626994752476705</v>
      </c>
      <c r="M83" s="26">
        <f>('Agency Revenues CAD'!M83/$C$1)/1000</f>
        <v>16.126193906486979</v>
      </c>
      <c r="N83" s="26">
        <f>('Agency Revenues CAD'!N83/$C$1)/1000</f>
        <v>11.709471194421862</v>
      </c>
      <c r="O83" s="26">
        <f>('Agency Revenues CAD'!O83/$C$1)/1000</f>
        <v>-0.47817399209345146</v>
      </c>
      <c r="P83" s="26">
        <f>('Agency Revenues CAD'!P83/$C$1)/1000</f>
        <v>3.3793733274536746</v>
      </c>
      <c r="Q83" s="27">
        <f>('Agency Revenues CAD'!Q83/$C$1)/1000</f>
        <v>110.60253702367547</v>
      </c>
    </row>
    <row r="84" spans="1:17" x14ac:dyDescent="0.25">
      <c r="A84" s="2" t="s">
        <v>213</v>
      </c>
      <c r="B84" t="s">
        <v>167</v>
      </c>
      <c r="C84" s="2" t="s">
        <v>242</v>
      </c>
      <c r="D84" s="2"/>
      <c r="E84" s="26">
        <f>('Agency Revenues CAD'!E84/$C$1)/1000</f>
        <v>0</v>
      </c>
      <c r="F84" s="26">
        <f>('Agency Revenues CAD'!F84/$C$1)/1000</f>
        <v>0</v>
      </c>
      <c r="G84" s="26">
        <f>('Agency Revenues CAD'!G84/$C$1)/1000</f>
        <v>0</v>
      </c>
      <c r="H84" s="26">
        <f>('Agency Revenues CAD'!H84/$C$1)/1000</f>
        <v>0</v>
      </c>
      <c r="I84" s="26">
        <f>('Agency Revenues CAD'!I84/$C$1)/1000</f>
        <v>0</v>
      </c>
      <c r="J84" s="26">
        <f>('Agency Revenues CAD'!J84/$C$1)/1000</f>
        <v>0</v>
      </c>
      <c r="K84" s="26">
        <f>('Agency Revenues CAD'!K84/$C$1)/1000</f>
        <v>0</v>
      </c>
      <c r="L84" s="26">
        <f>('Agency Revenues CAD'!L84/$C$1)/1000</f>
        <v>0</v>
      </c>
      <c r="M84" s="26">
        <f>('Agency Revenues CAD'!M84/$C$1)/1000</f>
        <v>0</v>
      </c>
      <c r="N84" s="26">
        <f>('Agency Revenues CAD'!N84/$C$1)/1000</f>
        <v>0</v>
      </c>
      <c r="O84" s="26">
        <f>('Agency Revenues CAD'!O84/$C$1)/1000</f>
        <v>0</v>
      </c>
      <c r="P84" s="26">
        <f>('Agency Revenues CAD'!P84/$C$1)/1000</f>
        <v>0</v>
      </c>
      <c r="Q84" s="27">
        <f>('Agency Revenues CAD'!Q84/$C$1)/1000</f>
        <v>0</v>
      </c>
    </row>
    <row r="85" spans="1:17" x14ac:dyDescent="0.25">
      <c r="A85" s="2" t="s">
        <v>213</v>
      </c>
      <c r="B85" t="s">
        <v>167</v>
      </c>
      <c r="C85" s="2" t="s">
        <v>243</v>
      </c>
      <c r="D85" s="2"/>
      <c r="E85" s="26">
        <f>('Agency Revenues CAD'!E85/$C$1)/1000</f>
        <v>0</v>
      </c>
      <c r="F85" s="26">
        <f>('Agency Revenues CAD'!F85/$C$1)/1000</f>
        <v>0</v>
      </c>
      <c r="G85" s="26">
        <f>('Agency Revenues CAD'!G85/$C$1)/1000</f>
        <v>0</v>
      </c>
      <c r="H85" s="26">
        <f>('Agency Revenues CAD'!H85/$C$1)/1000</f>
        <v>0</v>
      </c>
      <c r="I85" s="26">
        <f>('Agency Revenues CAD'!I85/$C$1)/1000</f>
        <v>0</v>
      </c>
      <c r="J85" s="26">
        <f>('Agency Revenues CAD'!J85/$C$1)/1000</f>
        <v>0</v>
      </c>
      <c r="K85" s="26">
        <f>('Agency Revenues CAD'!K85/$C$1)/1000</f>
        <v>0</v>
      </c>
      <c r="L85" s="26">
        <f>('Agency Revenues CAD'!L85/$C$1)/1000</f>
        <v>0</v>
      </c>
      <c r="M85" s="26">
        <f>('Agency Revenues CAD'!M85/$C$1)/1000</f>
        <v>0</v>
      </c>
      <c r="N85" s="26">
        <f>('Agency Revenues CAD'!N85/$C$1)/1000</f>
        <v>0</v>
      </c>
      <c r="O85" s="26">
        <f>('Agency Revenues CAD'!O85/$C$1)/1000</f>
        <v>0</v>
      </c>
      <c r="P85" s="26">
        <f>('Agency Revenues CAD'!P85/$C$1)/1000</f>
        <v>0</v>
      </c>
      <c r="Q85" s="27">
        <f>('Agency Revenues CAD'!Q85/$C$1)/1000</f>
        <v>0</v>
      </c>
    </row>
    <row r="86" spans="1:17" x14ac:dyDescent="0.25">
      <c r="A86" s="2" t="s">
        <v>213</v>
      </c>
      <c r="B86" t="s">
        <v>167</v>
      </c>
      <c r="C86" s="2" t="s">
        <v>244</v>
      </c>
      <c r="D86" s="2"/>
      <c r="E86" s="26">
        <f>('Agency Revenues CAD'!E86/$C$1)/1000</f>
        <v>0</v>
      </c>
      <c r="F86" s="26">
        <f>('Agency Revenues CAD'!F86/$C$1)/1000</f>
        <v>0</v>
      </c>
      <c r="G86" s="26">
        <f>('Agency Revenues CAD'!G86/$C$1)/1000</f>
        <v>0</v>
      </c>
      <c r="H86" s="26">
        <f>('Agency Revenues CAD'!H86/$C$1)/1000</f>
        <v>0</v>
      </c>
      <c r="I86" s="26">
        <f>('Agency Revenues CAD'!I86/$C$1)/1000</f>
        <v>0</v>
      </c>
      <c r="J86" s="26">
        <f>('Agency Revenues CAD'!J86/$C$1)/1000</f>
        <v>0</v>
      </c>
      <c r="K86" s="26">
        <f>('Agency Revenues CAD'!K86/$C$1)/1000</f>
        <v>-2.4614767000200724</v>
      </c>
      <c r="L86" s="26">
        <f>('Agency Revenues CAD'!L86/$C$1)/1000</f>
        <v>0</v>
      </c>
      <c r="M86" s="26">
        <f>('Agency Revenues CAD'!M86/$C$1)/1000</f>
        <v>0</v>
      </c>
      <c r="N86" s="26">
        <f>('Agency Revenues CAD'!N86/$C$1)/1000</f>
        <v>0</v>
      </c>
      <c r="O86" s="26">
        <f>('Agency Revenues CAD'!O86/$C$1)/1000</f>
        <v>0</v>
      </c>
      <c r="P86" s="26">
        <f>('Agency Revenues CAD'!P86/$C$1)/1000</f>
        <v>0</v>
      </c>
      <c r="Q86" s="27">
        <f>('Agency Revenues CAD'!Q86/$C$1)/1000</f>
        <v>-2.4614767000200724</v>
      </c>
    </row>
    <row r="87" spans="1:17" x14ac:dyDescent="0.25">
      <c r="A87" s="2" t="s">
        <v>213</v>
      </c>
      <c r="B87" t="s">
        <v>167</v>
      </c>
      <c r="C87" s="2" t="s">
        <v>245</v>
      </c>
      <c r="D87" s="2"/>
      <c r="E87" s="26">
        <f>('Agency Revenues CAD'!E87/$C$1)/1000</f>
        <v>0</v>
      </c>
      <c r="F87" s="26">
        <f>('Agency Revenues CAD'!F87/$C$1)/1000</f>
        <v>0</v>
      </c>
      <c r="G87" s="26">
        <f>('Agency Revenues CAD'!G87/$C$1)/1000</f>
        <v>-0.55386906999255225</v>
      </c>
      <c r="H87" s="26">
        <f>('Agency Revenues CAD'!H87/$C$1)/1000</f>
        <v>0</v>
      </c>
      <c r="I87" s="26">
        <f>('Agency Revenues CAD'!I87/$C$1)/1000</f>
        <v>0</v>
      </c>
      <c r="J87" s="26">
        <f>('Agency Revenues CAD'!J87/$C$1)/1000</f>
        <v>0</v>
      </c>
      <c r="K87" s="26">
        <f>('Agency Revenues CAD'!K87/$C$1)/1000</f>
        <v>0</v>
      </c>
      <c r="L87" s="26">
        <f>('Agency Revenues CAD'!L87/$C$1)/1000</f>
        <v>0</v>
      </c>
      <c r="M87" s="26">
        <f>('Agency Revenues CAD'!M87/$C$1)/1000</f>
        <v>0</v>
      </c>
      <c r="N87" s="26">
        <f>('Agency Revenues CAD'!N87/$C$1)/1000</f>
        <v>0</v>
      </c>
      <c r="O87" s="26">
        <f>('Agency Revenues CAD'!O87/$C$1)/1000</f>
        <v>0</v>
      </c>
      <c r="P87" s="26">
        <f>('Agency Revenues CAD'!P87/$C$1)/1000</f>
        <v>0</v>
      </c>
      <c r="Q87" s="27">
        <f>('Agency Revenues CAD'!Q87/$C$1)/1000</f>
        <v>-0.55386906999255225</v>
      </c>
    </row>
    <row r="88" spans="1:17" x14ac:dyDescent="0.25">
      <c r="A88" s="2" t="s">
        <v>213</v>
      </c>
      <c r="B88" t="s">
        <v>167</v>
      </c>
      <c r="C88" s="2" t="s">
        <v>246</v>
      </c>
      <c r="D88" s="2"/>
      <c r="E88" s="26">
        <f>('Agency Revenues CAD'!E88/$C$1)/1000</f>
        <v>0</v>
      </c>
      <c r="F88" s="26">
        <f>('Agency Revenues CAD'!F88/$C$1)/1000</f>
        <v>0</v>
      </c>
      <c r="G88" s="26">
        <f>('Agency Revenues CAD'!G88/$C$1)/1000</f>
        <v>0</v>
      </c>
      <c r="H88" s="26">
        <f>('Agency Revenues CAD'!H88/$C$1)/1000</f>
        <v>0</v>
      </c>
      <c r="I88" s="26">
        <f>('Agency Revenues CAD'!I88/$C$1)/1000</f>
        <v>0</v>
      </c>
      <c r="J88" s="26">
        <f>('Agency Revenues CAD'!J88/$C$1)/1000</f>
        <v>0</v>
      </c>
      <c r="K88" s="26">
        <f>('Agency Revenues CAD'!K88/$C$1)/1000</f>
        <v>0</v>
      </c>
      <c r="L88" s="26">
        <f>('Agency Revenues CAD'!L88/$C$1)/1000</f>
        <v>0</v>
      </c>
      <c r="M88" s="26">
        <f>('Agency Revenues CAD'!M88/$C$1)/1000</f>
        <v>0</v>
      </c>
      <c r="N88" s="26">
        <f>('Agency Revenues CAD'!N88/$C$1)/1000</f>
        <v>0</v>
      </c>
      <c r="O88" s="26">
        <f>('Agency Revenues CAD'!O88/$C$1)/1000</f>
        <v>0</v>
      </c>
      <c r="P88" s="26">
        <f>('Agency Revenues CAD'!P88/$C$1)/1000</f>
        <v>0</v>
      </c>
      <c r="Q88" s="27">
        <f>('Agency Revenues CAD'!Q88/$C$1)/1000</f>
        <v>0</v>
      </c>
    </row>
    <row r="89" spans="1:17" x14ac:dyDescent="0.25">
      <c r="A89" s="2" t="s">
        <v>213</v>
      </c>
      <c r="B89" t="s">
        <v>167</v>
      </c>
      <c r="C89" s="2" t="s">
        <v>247</v>
      </c>
      <c r="D89" s="2"/>
      <c r="E89" s="26">
        <f>('Agency Revenues CAD'!E89/$C$1)/1000</f>
        <v>0</v>
      </c>
      <c r="F89" s="26">
        <f>('Agency Revenues CAD'!F89/$C$1)/1000</f>
        <v>0</v>
      </c>
      <c r="G89" s="26">
        <f>('Agency Revenues CAD'!G89/$C$1)/1000</f>
        <v>0</v>
      </c>
      <c r="H89" s="26">
        <f>('Agency Revenues CAD'!H89/$C$1)/1000</f>
        <v>7.7356987358979099</v>
      </c>
      <c r="I89" s="26">
        <f>('Agency Revenues CAD'!I89/$C$1)/1000</f>
        <v>3.3731554037244935</v>
      </c>
      <c r="J89" s="26">
        <f>('Agency Revenues CAD'!J89/$C$1)/1000</f>
        <v>5.942443481205868</v>
      </c>
      <c r="K89" s="26">
        <f>('Agency Revenues CAD'!K89/$C$1)/1000</f>
        <v>9.7845868825092612</v>
      </c>
      <c r="L89" s="26">
        <f>('Agency Revenues CAD'!L89/$C$1)/1000</f>
        <v>-3.3953823965007208</v>
      </c>
      <c r="M89" s="26">
        <f>('Agency Revenues CAD'!M89/$C$1)/1000</f>
        <v>0</v>
      </c>
      <c r="N89" s="26">
        <f>('Agency Revenues CAD'!N89/$C$1)/1000</f>
        <v>0</v>
      </c>
      <c r="O89" s="26">
        <f>('Agency Revenues CAD'!O89/$C$1)/1000</f>
        <v>0</v>
      </c>
      <c r="P89" s="26">
        <f>('Agency Revenues CAD'!P89/$C$1)/1000</f>
        <v>0</v>
      </c>
      <c r="Q89" s="27">
        <f>('Agency Revenues CAD'!Q89/$C$1)/1000</f>
        <v>23.440502106836814</v>
      </c>
    </row>
    <row r="90" spans="1:17" x14ac:dyDescent="0.25">
      <c r="A90" s="2" t="s">
        <v>213</v>
      </c>
      <c r="B90" t="s">
        <v>167</v>
      </c>
      <c r="C90" s="2" t="s">
        <v>248</v>
      </c>
      <c r="D90" s="2"/>
      <c r="E90" s="26">
        <f>('Agency Revenues CAD'!E90/$C$1)/1000</f>
        <v>0</v>
      </c>
      <c r="F90" s="26">
        <f>('Agency Revenues CAD'!F90/$C$1)/1000</f>
        <v>0</v>
      </c>
      <c r="G90" s="26">
        <f>('Agency Revenues CAD'!G90/$C$1)/1000</f>
        <v>0</v>
      </c>
      <c r="H90" s="26">
        <f>('Agency Revenues CAD'!H90/$C$1)/1000</f>
        <v>0</v>
      </c>
      <c r="I90" s="26">
        <f>('Agency Revenues CAD'!I90/$C$1)/1000</f>
        <v>0</v>
      </c>
      <c r="J90" s="26">
        <f>('Agency Revenues CAD'!J90/$C$1)/1000</f>
        <v>6.319789308568474</v>
      </c>
      <c r="K90" s="26">
        <f>('Agency Revenues CAD'!K90/$C$1)/1000</f>
        <v>9.1731819862158535</v>
      </c>
      <c r="L90" s="26">
        <f>('Agency Revenues CAD'!L90/$C$1)/1000</f>
        <v>9.2228662900684562</v>
      </c>
      <c r="M90" s="26">
        <f>('Agency Revenues CAD'!M90/$C$1)/1000</f>
        <v>8.3320680170778925</v>
      </c>
      <c r="N90" s="26">
        <f>('Agency Revenues CAD'!N90/$C$1)/1000</f>
        <v>4.9599983880005238</v>
      </c>
      <c r="O90" s="26">
        <f>('Agency Revenues CAD'!O90/$C$1)/1000</f>
        <v>1.5879287589231537</v>
      </c>
      <c r="P90" s="26">
        <f>('Agency Revenues CAD'!P90/$C$1)/1000</f>
        <v>0.69749977331257362</v>
      </c>
      <c r="Q90" s="27">
        <f>('Agency Revenues CAD'!Q90/$C$1)/1000</f>
        <v>40.293332522166921</v>
      </c>
    </row>
    <row r="91" spans="1:17" x14ac:dyDescent="0.25">
      <c r="A91" s="2" t="s">
        <v>213</v>
      </c>
      <c r="B91" t="s">
        <v>167</v>
      </c>
      <c r="C91" s="2" t="s">
        <v>249</v>
      </c>
      <c r="D91" s="2"/>
      <c r="E91" s="26">
        <f>('Agency Revenues CAD'!E91/$C$1)/1000</f>
        <v>0</v>
      </c>
      <c r="F91" s="26">
        <f>('Agency Revenues CAD'!F91/$C$1)/1000</f>
        <v>0</v>
      </c>
      <c r="G91" s="26">
        <f>('Agency Revenues CAD'!G91/$C$1)/1000</f>
        <v>0</v>
      </c>
      <c r="H91" s="26">
        <f>('Agency Revenues CAD'!H91/$C$1)/1000</f>
        <v>0</v>
      </c>
      <c r="I91" s="26">
        <f>('Agency Revenues CAD'!I91/$C$1)/1000</f>
        <v>0</v>
      </c>
      <c r="J91" s="26">
        <f>('Agency Revenues CAD'!J91/$C$1)/1000</f>
        <v>0</v>
      </c>
      <c r="K91" s="26">
        <f>('Agency Revenues CAD'!K91/$C$1)/1000</f>
        <v>0</v>
      </c>
      <c r="L91" s="26">
        <f>('Agency Revenues CAD'!L91/$C$1)/1000</f>
        <v>0</v>
      </c>
      <c r="M91" s="26">
        <f>('Agency Revenues CAD'!M91/$C$1)/1000</f>
        <v>0</v>
      </c>
      <c r="N91" s="26">
        <f>('Agency Revenues CAD'!N91/$C$1)/1000</f>
        <v>182.07611582526232</v>
      </c>
      <c r="O91" s="26">
        <f>('Agency Revenues CAD'!O91/$C$1)/1000</f>
        <v>364.15223165052464</v>
      </c>
      <c r="P91" s="26">
        <f>('Agency Revenues CAD'!P91/$C$1)/1000</f>
        <v>182.07611582526232</v>
      </c>
      <c r="Q91" s="27">
        <f>('Agency Revenues CAD'!Q91/$C$1)/1000</f>
        <v>728.30446330104928</v>
      </c>
    </row>
    <row r="92" spans="1:17" x14ac:dyDescent="0.25">
      <c r="A92" s="2" t="s">
        <v>213</v>
      </c>
      <c r="B92" t="s">
        <v>167</v>
      </c>
      <c r="C92" s="2" t="s">
        <v>250</v>
      </c>
      <c r="D92" s="2"/>
      <c r="E92" s="26">
        <f>('Agency Revenues CAD'!E92/$C$1)/1000</f>
        <v>0</v>
      </c>
      <c r="F92" s="26">
        <f>('Agency Revenues CAD'!F92/$C$1)/1000</f>
        <v>0</v>
      </c>
      <c r="G92" s="26">
        <f>('Agency Revenues CAD'!G92/$C$1)/1000</f>
        <v>0</v>
      </c>
      <c r="H92" s="26">
        <f>('Agency Revenues CAD'!H92/$C$1)/1000</f>
        <v>0</v>
      </c>
      <c r="I92" s="26">
        <f>('Agency Revenues CAD'!I92/$C$1)/1000</f>
        <v>0</v>
      </c>
      <c r="J92" s="26">
        <f>('Agency Revenues CAD'!J92/$C$1)/1000</f>
        <v>0</v>
      </c>
      <c r="K92" s="26">
        <f>('Agency Revenues CAD'!K92/$C$1)/1000</f>
        <v>0</v>
      </c>
      <c r="L92" s="26">
        <f>('Agency Revenues CAD'!L92/$C$1)/1000</f>
        <v>0</v>
      </c>
      <c r="M92" s="26">
        <f>('Agency Revenues CAD'!M92/$C$1)/1000</f>
        <v>0</v>
      </c>
      <c r="N92" s="26">
        <f>('Agency Revenues CAD'!N92/$C$1)/1000</f>
        <v>21.565142991328525</v>
      </c>
      <c r="O92" s="26">
        <f>('Agency Revenues CAD'!O92/$C$1)/1000</f>
        <v>21.565142991328525</v>
      </c>
      <c r="P92" s="26">
        <f>('Agency Revenues CAD'!P92/$C$1)/1000</f>
        <v>21.565142991328525</v>
      </c>
      <c r="Q92" s="27">
        <f>('Agency Revenues CAD'!Q92/$C$1)/1000</f>
        <v>64.695428973985585</v>
      </c>
    </row>
    <row r="93" spans="1:17" s="9" customFormat="1" x14ac:dyDescent="0.25">
      <c r="A93" s="8" t="s">
        <v>213</v>
      </c>
      <c r="B93" s="9" t="s">
        <v>167</v>
      </c>
      <c r="C93" s="8" t="s">
        <v>251</v>
      </c>
      <c r="D93" s="8"/>
      <c r="E93" s="31">
        <f>('Agency Revenues CAD'!E93/$C$1)/1000</f>
        <v>0</v>
      </c>
      <c r="F93" s="31">
        <f>('Agency Revenues CAD'!F93/$C$1)/1000</f>
        <v>0</v>
      </c>
      <c r="G93" s="31">
        <f>('Agency Revenues CAD'!G93/$C$1)/1000</f>
        <v>0</v>
      </c>
      <c r="H93" s="31">
        <f>('Agency Revenues CAD'!H93/$C$1)/1000</f>
        <v>0</v>
      </c>
      <c r="I93" s="31">
        <f>('Agency Revenues CAD'!I93/$C$1)/1000</f>
        <v>0</v>
      </c>
      <c r="J93" s="31">
        <f>('Agency Revenues CAD'!J93/$C$1)/1000</f>
        <v>0</v>
      </c>
      <c r="K93" s="31">
        <f>('Agency Revenues CAD'!K93/$C$1)/1000</f>
        <v>0</v>
      </c>
      <c r="L93" s="31">
        <f>('Agency Revenues CAD'!L93/$C$1)/1000</f>
        <v>0</v>
      </c>
      <c r="M93" s="31">
        <f>('Agency Revenues CAD'!M93/$C$1)/1000</f>
        <v>0</v>
      </c>
      <c r="N93" s="31">
        <f>('Agency Revenues CAD'!N93/$C$1)/1000</f>
        <v>7.01529772002824</v>
      </c>
      <c r="O93" s="31">
        <f>('Agency Revenues CAD'!O93/$C$1)/1000</f>
        <v>14.542653273637686</v>
      </c>
      <c r="P93" s="31">
        <f>('Agency Revenues CAD'!P93/$C$1)/1000</f>
        <v>7.5376475502645457</v>
      </c>
      <c r="Q93" s="32">
        <f>('Agency Revenues CAD'!Q93/$C$1)/1000</f>
        <v>29.095598543930471</v>
      </c>
    </row>
    <row r="94" spans="1:17" x14ac:dyDescent="0.25">
      <c r="A94" s="2" t="s">
        <v>252</v>
      </c>
      <c r="B94" t="s">
        <v>167</v>
      </c>
      <c r="C94" s="2" t="s">
        <v>253</v>
      </c>
      <c r="D94" s="2"/>
      <c r="E94" s="26">
        <f>('Agency Revenues CAD'!E94/$C$1)/1000</f>
        <v>0</v>
      </c>
      <c r="F94" s="26">
        <f>('Agency Revenues CAD'!F94/$C$1)/1000</f>
        <v>0</v>
      </c>
      <c r="G94" s="26">
        <f>('Agency Revenues CAD'!G94/$C$1)/1000</f>
        <v>0</v>
      </c>
      <c r="H94" s="26">
        <f>('Agency Revenues CAD'!H94/$C$1)/1000</f>
        <v>0</v>
      </c>
      <c r="I94" s="26">
        <f>('Agency Revenues CAD'!I94/$C$1)/1000</f>
        <v>0</v>
      </c>
      <c r="J94" s="26">
        <f>('Agency Revenues CAD'!J94/$C$1)/1000</f>
        <v>0</v>
      </c>
      <c r="K94" s="26">
        <f>('Agency Revenues CAD'!K94/$C$1)/1000</f>
        <v>0</v>
      </c>
      <c r="L94" s="26">
        <f>('Agency Revenues CAD'!L94/$C$1)/1000</f>
        <v>0</v>
      </c>
      <c r="M94" s="26">
        <f>('Agency Revenues CAD'!M94/$C$1)/1000</f>
        <v>0</v>
      </c>
      <c r="N94" s="26">
        <f>('Agency Revenues CAD'!N94/$C$1)/1000</f>
        <v>0</v>
      </c>
      <c r="O94" s="26">
        <f>('Agency Revenues CAD'!O94/$C$1)/1000</f>
        <v>0</v>
      </c>
      <c r="P94" s="26">
        <f>('Agency Revenues CAD'!P94/$C$1)/1000</f>
        <v>0</v>
      </c>
      <c r="Q94" s="27">
        <f>('Agency Revenues CAD'!Q94/$C$1)/1000</f>
        <v>0</v>
      </c>
    </row>
    <row r="95" spans="1:17" x14ac:dyDescent="0.25">
      <c r="A95" s="2" t="s">
        <v>252</v>
      </c>
      <c r="B95" t="s">
        <v>167</v>
      </c>
      <c r="C95" s="2" t="s">
        <v>254</v>
      </c>
      <c r="D95" s="2"/>
      <c r="E95" s="29">
        <f>('Agency Revenues CAD'!E95/$C$1)/1000</f>
        <v>256.68382211275781</v>
      </c>
      <c r="F95" s="26">
        <f>('Agency Revenues CAD'!F95/$C$1)/1000</f>
        <v>159.53123365234907</v>
      </c>
      <c r="G95" s="26">
        <f>('Agency Revenues CAD'!G95/$C$1)/1000</f>
        <v>254.39427182186165</v>
      </c>
      <c r="H95" s="26">
        <f>('Agency Revenues CAD'!H95/$C$1)/1000</f>
        <v>265.05914410577816</v>
      </c>
      <c r="I95" s="26">
        <f>('Agency Revenues CAD'!I95/$C$1)/1000</f>
        <v>257.91200342859884</v>
      </c>
      <c r="J95" s="26">
        <f>('Agency Revenues CAD'!J95/$C$1)/1000</f>
        <v>191.76699016447822</v>
      </c>
      <c r="K95" s="26">
        <f>('Agency Revenues CAD'!K95/$C$1)/1000</f>
        <v>131.76661436710032</v>
      </c>
      <c r="L95" s="26">
        <f>('Agency Revenues CAD'!L95/$C$1)/1000</f>
        <v>91.876727493813533</v>
      </c>
      <c r="M95" s="26">
        <f>('Agency Revenues CAD'!M95/$C$1)/1000</f>
        <v>181.26924156199647</v>
      </c>
      <c r="N95" s="26">
        <f>('Agency Revenues CAD'!N95/$C$1)/1000</f>
        <v>309.99989925003274</v>
      </c>
      <c r="O95" s="26">
        <f>('Agency Revenues CAD'!O95/$C$1)/1000</f>
        <v>375.87487784066462</v>
      </c>
      <c r="P95" s="26">
        <f>('Agency Revenues CAD'!P95/$C$1)/1000</f>
        <v>309.99989925003274</v>
      </c>
      <c r="Q95" s="27">
        <f>('Agency Revenues CAD'!Q95/$C$1)/1000</f>
        <v>2786.1347250494641</v>
      </c>
    </row>
    <row r="96" spans="1:17" x14ac:dyDescent="0.25">
      <c r="A96" s="2" t="s">
        <v>252</v>
      </c>
      <c r="B96" t="s">
        <v>167</v>
      </c>
      <c r="C96" s="2" t="s">
        <v>255</v>
      </c>
      <c r="D96" s="2"/>
      <c r="E96" s="26">
        <f>('Agency Revenues CAD'!E96/$C$1)/1000</f>
        <v>0</v>
      </c>
      <c r="F96" s="26">
        <f>('Agency Revenues CAD'!F96/$C$1)/1000</f>
        <v>0</v>
      </c>
      <c r="G96" s="26">
        <f>('Agency Revenues CAD'!G96/$C$1)/1000</f>
        <v>0</v>
      </c>
      <c r="H96" s="26">
        <f>('Agency Revenues CAD'!H96/$C$1)/1000</f>
        <v>0</v>
      </c>
      <c r="I96" s="26">
        <f>('Agency Revenues CAD'!I96/$C$1)/1000</f>
        <v>0</v>
      </c>
      <c r="J96" s="26">
        <f>('Agency Revenues CAD'!J96/$C$1)/1000</f>
        <v>0</v>
      </c>
      <c r="K96" s="26">
        <f>('Agency Revenues CAD'!K96/$C$1)/1000</f>
        <v>0</v>
      </c>
      <c r="L96" s="26">
        <f>('Agency Revenues CAD'!L96/$C$1)/1000</f>
        <v>0</v>
      </c>
      <c r="M96" s="26">
        <f>('Agency Revenues CAD'!M96/$C$1)/1000</f>
        <v>0</v>
      </c>
      <c r="N96" s="26">
        <f>('Agency Revenues CAD'!N96/$C$1)/1000</f>
        <v>0</v>
      </c>
      <c r="O96" s="26">
        <f>('Agency Revenues CAD'!O96/$C$1)/1000</f>
        <v>0</v>
      </c>
      <c r="P96" s="26">
        <f>('Agency Revenues CAD'!P96/$C$1)/1000</f>
        <v>0</v>
      </c>
      <c r="Q96" s="27">
        <f>('Agency Revenues CAD'!Q96/$C$1)/1000</f>
        <v>0</v>
      </c>
    </row>
    <row r="97" spans="1:17" x14ac:dyDescent="0.25">
      <c r="A97" s="2" t="s">
        <v>252</v>
      </c>
      <c r="B97" t="s">
        <v>167</v>
      </c>
      <c r="C97" s="2" t="s">
        <v>256</v>
      </c>
      <c r="D97" s="2"/>
      <c r="E97" s="29">
        <f>('Agency Revenues CAD'!E97/$C$1)/1000</f>
        <v>40.181112109138567</v>
      </c>
      <c r="F97" s="26">
        <f>('Agency Revenues CAD'!F97/$C$1)/1000</f>
        <v>33.426211886481134</v>
      </c>
      <c r="G97" s="26">
        <f>('Agency Revenues CAD'!G97/$C$1)/1000</f>
        <v>0</v>
      </c>
      <c r="H97" s="26">
        <f>('Agency Revenues CAD'!H97/$C$1)/1000</f>
        <v>0</v>
      </c>
      <c r="I97" s="26">
        <f>('Agency Revenues CAD'!I97/$C$1)/1000</f>
        <v>0</v>
      </c>
      <c r="J97" s="26">
        <f>('Agency Revenues CAD'!J97/$C$1)/1000</f>
        <v>0</v>
      </c>
      <c r="K97" s="26">
        <f>('Agency Revenues CAD'!K97/$C$1)/1000</f>
        <v>0</v>
      </c>
      <c r="L97" s="26">
        <f>('Agency Revenues CAD'!L97/$C$1)/1000</f>
        <v>12.115206456057901</v>
      </c>
      <c r="M97" s="26">
        <f>('Agency Revenues CAD'!M97/$C$1)/1000</f>
        <v>75.009640751191768</v>
      </c>
      <c r="N97" s="26">
        <f>('Agency Revenues CAD'!N97/$C$1)/1000</f>
        <v>79.28247423319587</v>
      </c>
      <c r="O97" s="26">
        <f>('Agency Revenues CAD'!O97/$C$1)/1000</f>
        <v>79.28247423319587</v>
      </c>
      <c r="P97" s="26">
        <f>('Agency Revenues CAD'!P97/$C$1)/1000</f>
        <v>79.28247423319587</v>
      </c>
      <c r="Q97" s="27">
        <f>('Agency Revenues CAD'!Q97/$C$1)/1000</f>
        <v>398.57959390245696</v>
      </c>
    </row>
    <row r="98" spans="1:17" x14ac:dyDescent="0.25">
      <c r="A98" s="2" t="s">
        <v>252</v>
      </c>
      <c r="B98" t="s">
        <v>167</v>
      </c>
      <c r="C98" s="2" t="s">
        <v>257</v>
      </c>
      <c r="D98" s="2"/>
      <c r="E98" s="26">
        <f>('Agency Revenues CAD'!E98/$C$1)/1000</f>
        <v>0</v>
      </c>
      <c r="F98" s="26">
        <f>('Agency Revenues CAD'!F98/$C$1)/1000</f>
        <v>0</v>
      </c>
      <c r="G98" s="26">
        <f>('Agency Revenues CAD'!G98/$C$1)/1000</f>
        <v>0</v>
      </c>
      <c r="H98" s="26">
        <f>('Agency Revenues CAD'!H98/$C$1)/1000</f>
        <v>0</v>
      </c>
      <c r="I98" s="26">
        <f>('Agency Revenues CAD'!I98/$C$1)/1000</f>
        <v>0</v>
      </c>
      <c r="J98" s="26">
        <f>('Agency Revenues CAD'!J98/$C$1)/1000</f>
        <v>0</v>
      </c>
      <c r="K98" s="26">
        <f>('Agency Revenues CAD'!K98/$C$1)/1000</f>
        <v>0</v>
      </c>
      <c r="L98" s="26">
        <f>('Agency Revenues CAD'!L98/$C$1)/1000</f>
        <v>0</v>
      </c>
      <c r="M98" s="26">
        <f>('Agency Revenues CAD'!M98/$C$1)/1000</f>
        <v>0</v>
      </c>
      <c r="N98" s="26">
        <f>('Agency Revenues CAD'!N98/$C$1)/1000</f>
        <v>0</v>
      </c>
      <c r="O98" s="26">
        <f>('Agency Revenues CAD'!O98/$C$1)/1000</f>
        <v>0</v>
      </c>
      <c r="P98" s="26">
        <f>('Agency Revenues CAD'!P98/$C$1)/1000</f>
        <v>0</v>
      </c>
      <c r="Q98" s="27">
        <f>('Agency Revenues CAD'!Q98/$C$1)/1000</f>
        <v>0</v>
      </c>
    </row>
    <row r="99" spans="1:17" x14ac:dyDescent="0.25">
      <c r="A99" s="2" t="s">
        <v>252</v>
      </c>
      <c r="B99" t="s">
        <v>167</v>
      </c>
      <c r="C99" s="2" t="s">
        <v>258</v>
      </c>
      <c r="D99" s="2"/>
      <c r="E99" s="26">
        <f>('Agency Revenues CAD'!E99/$C$1)/1000</f>
        <v>317.11270825211977</v>
      </c>
      <c r="F99" s="26">
        <f>('Agency Revenues CAD'!F99/$C$1)/1000</f>
        <v>509.35431670984701</v>
      </c>
      <c r="G99" s="26">
        <f>('Agency Revenues CAD'!G99/$C$1)/1000</f>
        <v>794.30031860239637</v>
      </c>
      <c r="H99" s="26">
        <f>('Agency Revenues CAD'!H99/$C$1)/1000</f>
        <v>767.61958052363616</v>
      </c>
      <c r="I99" s="26">
        <f>('Agency Revenues CAD'!I99/$C$1)/1000</f>
        <v>844.88015791394866</v>
      </c>
      <c r="J99" s="26">
        <f>('Agency Revenues CAD'!J99/$C$1)/1000</f>
        <v>668.10135328131025</v>
      </c>
      <c r="K99" s="26">
        <f>('Agency Revenues CAD'!K99/$C$1)/1000</f>
        <v>775.568019898893</v>
      </c>
      <c r="L99" s="26">
        <f>('Agency Revenues CAD'!L99/$C$1)/1000</f>
        <v>818.96309793749288</v>
      </c>
      <c r="M99" s="26">
        <f>('Agency Revenues CAD'!M99/$C$1)/1000</f>
        <v>1091.3314529230279</v>
      </c>
      <c r="N99" s="26">
        <f>('Agency Revenues CAD'!N99/$C$1)/1000</f>
        <v>625.65729666137861</v>
      </c>
      <c r="O99" s="26">
        <f>('Agency Revenues CAD'!O99/$C$1)/1000</f>
        <v>843.04472601046405</v>
      </c>
      <c r="P99" s="26">
        <f>('Agency Revenues CAD'!P99/$C$1)/1000</f>
        <v>840.02222699277615</v>
      </c>
      <c r="Q99" s="27">
        <f>('Agency Revenues CAD'!Q99/$C$1)/1000</f>
        <v>8895.9552557072893</v>
      </c>
    </row>
    <row r="100" spans="1:17" x14ac:dyDescent="0.25">
      <c r="A100" s="2" t="s">
        <v>252</v>
      </c>
      <c r="B100" t="s">
        <v>167</v>
      </c>
      <c r="C100" s="2" t="s">
        <v>259</v>
      </c>
      <c r="D100" s="2"/>
      <c r="E100" s="26">
        <f>('Agency Revenues CAD'!E100/$C$1)/1000</f>
        <v>52.792774948598144</v>
      </c>
      <c r="F100" s="26">
        <f>('Agency Revenues CAD'!F100/$C$1)/1000</f>
        <v>44.980404131368651</v>
      </c>
      <c r="G100" s="26">
        <f>('Agency Revenues CAD'!G100/$C$1)/1000</f>
        <v>11.092447394954595</v>
      </c>
      <c r="H100" s="26">
        <f>('Agency Revenues CAD'!H100/$C$1)/1000</f>
        <v>1.2950478291094556</v>
      </c>
      <c r="I100" s="26">
        <f>('Agency Revenues CAD'!I100/$C$1)/1000</f>
        <v>14.859659170610767</v>
      </c>
      <c r="J100" s="26">
        <f>('Agency Revenues CAD'!J100/$C$1)/1000</f>
        <v>37.701438709532418</v>
      </c>
      <c r="K100" s="26">
        <f>('Agency Revenues CAD'!K100/$C$1)/1000</f>
        <v>2.7336860615520293</v>
      </c>
      <c r="L100" s="26">
        <f>('Agency Revenues CAD'!L100/$C$1)/1000</f>
        <v>0</v>
      </c>
      <c r="M100" s="26">
        <f>('Agency Revenues CAD'!M100/$C$1)/1000</f>
        <v>1.3225765951626065</v>
      </c>
      <c r="N100" s="26">
        <f>('Agency Revenues CAD'!N100/$C$1)/1000</f>
        <v>75.174975568132936</v>
      </c>
      <c r="O100" s="26">
        <f>('Agency Revenues CAD'!O100/$C$1)/1000</f>
        <v>65.099978842506872</v>
      </c>
      <c r="P100" s="26">
        <f>('Agency Revenues CAD'!P100/$C$1)/1000</f>
        <v>0</v>
      </c>
      <c r="Q100" s="27">
        <f>('Agency Revenues CAD'!Q100/$C$1)/1000</f>
        <v>307.05298925152846</v>
      </c>
    </row>
    <row r="101" spans="1:17" x14ac:dyDescent="0.25">
      <c r="A101" s="2" t="s">
        <v>252</v>
      </c>
      <c r="B101" t="s">
        <v>167</v>
      </c>
      <c r="C101" s="2" t="s">
        <v>260</v>
      </c>
      <c r="D101" s="2"/>
      <c r="E101" s="26">
        <f>('Agency Revenues CAD'!E101/$C$1)/1000</f>
        <v>49.437049870458779</v>
      </c>
      <c r="F101" s="26">
        <f>('Agency Revenues CAD'!F101/$C$1)/1000</f>
        <v>57.691368750305145</v>
      </c>
      <c r="G101" s="26">
        <f>('Agency Revenues CAD'!G101/$C$1)/1000</f>
        <v>78.09686411851915</v>
      </c>
      <c r="H101" s="26">
        <f>('Agency Revenues CAD'!H101/$C$1)/1000</f>
        <v>7.4195840886351707</v>
      </c>
      <c r="I101" s="26">
        <f>('Agency Revenues CAD'!I101/$C$1)/1000</f>
        <v>10.569803064814003</v>
      </c>
      <c r="J101" s="26">
        <f>('Agency Revenues CAD'!J101/$C$1)/1000</f>
        <v>16.768928012598394</v>
      </c>
      <c r="K101" s="26">
        <f>('Agency Revenues CAD'!K101/$C$1)/1000</f>
        <v>30.882844838075428</v>
      </c>
      <c r="L101" s="26">
        <f>('Agency Revenues CAD'!L101/$C$1)/1000</f>
        <v>36.709199557010137</v>
      </c>
      <c r="M101" s="26">
        <f>('Agency Revenues CAD'!M101/$C$1)/1000</f>
        <v>50.947833216954201</v>
      </c>
      <c r="N101" s="26">
        <f>('Agency Revenues CAD'!N101/$C$1)/1000</f>
        <v>13.019995768501374</v>
      </c>
      <c r="O101" s="26">
        <f>('Agency Revenues CAD'!O101/$C$1)/1000</f>
        <v>8.2924973049383759</v>
      </c>
      <c r="P101" s="26">
        <f>('Agency Revenues CAD'!P101/$C$1)/1000</f>
        <v>13.562495592188933</v>
      </c>
      <c r="Q101" s="27">
        <f>('Agency Revenues CAD'!Q101/$C$1)/1000</f>
        <v>373.39846418299913</v>
      </c>
    </row>
    <row r="102" spans="1:17" x14ac:dyDescent="0.25">
      <c r="A102" s="2" t="s">
        <v>252</v>
      </c>
      <c r="B102" t="s">
        <v>167</v>
      </c>
      <c r="C102" s="2" t="s">
        <v>261</v>
      </c>
      <c r="D102" s="2"/>
      <c r="E102" s="26">
        <f>('Agency Revenues CAD'!E102/$C$1)/1000</f>
        <v>298.36275017960622</v>
      </c>
      <c r="F102" s="26">
        <f>('Agency Revenues CAD'!F102/$C$1)/1000</f>
        <v>261.10241389171546</v>
      </c>
      <c r="G102" s="26">
        <f>('Agency Revenues CAD'!G102/$C$1)/1000</f>
        <v>285.73142538728672</v>
      </c>
      <c r="H102" s="26">
        <f>('Agency Revenues CAD'!H102/$C$1)/1000</f>
        <v>453.58696233423717</v>
      </c>
      <c r="I102" s="26">
        <f>('Agency Revenues CAD'!I102/$C$1)/1000</f>
        <v>763.62761107102631</v>
      </c>
      <c r="J102" s="26">
        <f>('Agency Revenues CAD'!J102/$C$1)/1000</f>
        <v>715.22980377781391</v>
      </c>
      <c r="K102" s="26">
        <f>('Agency Revenues CAD'!K102/$C$1)/1000</f>
        <v>597.57583605035325</v>
      </c>
      <c r="L102" s="26">
        <f>('Agency Revenues CAD'!L102/$C$1)/1000</f>
        <v>698.17081265698585</v>
      </c>
      <c r="M102" s="26">
        <f>('Agency Revenues CAD'!M102/$C$1)/1000</f>
        <v>650.24176272142711</v>
      </c>
      <c r="N102" s="26">
        <f>('Agency Revenues CAD'!N102/$C$1)/1000</f>
        <v>730.42176261292707</v>
      </c>
      <c r="O102" s="26">
        <f>('Agency Revenues CAD'!O102/$C$1)/1000</f>
        <v>865.46159372498198</v>
      </c>
      <c r="P102" s="26">
        <f>('Agency Revenues CAD'!P102/$C$1)/1000</f>
        <v>906.5637053667956</v>
      </c>
      <c r="Q102" s="27">
        <f>('Agency Revenues CAD'!Q102/$C$1)/1000</f>
        <v>7226.0764397751554</v>
      </c>
    </row>
    <row r="103" spans="1:17" x14ac:dyDescent="0.25">
      <c r="A103" s="2" t="s">
        <v>252</v>
      </c>
      <c r="B103" t="s">
        <v>167</v>
      </c>
      <c r="C103" s="2" t="s">
        <v>262</v>
      </c>
      <c r="D103" s="2"/>
      <c r="E103" s="26">
        <f>('Agency Revenues CAD'!E103/$C$1)/1000</f>
        <v>65.884278587609458</v>
      </c>
      <c r="F103" s="26">
        <f>('Agency Revenues CAD'!F103/$C$1)/1000</f>
        <v>0</v>
      </c>
      <c r="G103" s="26">
        <f>('Agency Revenues CAD'!G103/$C$1)/1000</f>
        <v>18.465058748855903</v>
      </c>
      <c r="H103" s="26">
        <f>('Agency Revenues CAD'!H103/$C$1)/1000</f>
        <v>30.749246506494881</v>
      </c>
      <c r="I103" s="26">
        <f>('Agency Revenues CAD'!I103/$C$1)/1000</f>
        <v>55.852720597865805</v>
      </c>
      <c r="J103" s="26">
        <f>('Agency Revenues CAD'!J103/$C$1)/1000</f>
        <v>47.664390280573166</v>
      </c>
      <c r="K103" s="26">
        <f>('Agency Revenues CAD'!K103/$C$1)/1000</f>
        <v>56.834403424568883</v>
      </c>
      <c r="L103" s="26">
        <f>('Agency Revenues CAD'!L103/$C$1)/1000</f>
        <v>41.485337981265154</v>
      </c>
      <c r="M103" s="26">
        <f>('Agency Revenues CAD'!M103/$C$1)/1000</f>
        <v>21.820480910593702</v>
      </c>
      <c r="N103" s="26">
        <f>('Agency Revenues CAD'!N103/$C$1)/1000</f>
        <v>0</v>
      </c>
      <c r="O103" s="28">
        <f>('Agency Revenues CAD'!O103/$C$1)/1000</f>
        <v>0</v>
      </c>
      <c r="P103" s="26">
        <f>('Agency Revenues CAD'!P103/$C$1)/1000</f>
        <v>0</v>
      </c>
      <c r="Q103" s="27">
        <f>('Agency Revenues CAD'!Q103/$C$1)/1000</f>
        <v>338.75591703782698</v>
      </c>
    </row>
    <row r="104" spans="1:17" x14ac:dyDescent="0.25">
      <c r="A104" s="2" t="s">
        <v>252</v>
      </c>
      <c r="B104" t="s">
        <v>167</v>
      </c>
      <c r="C104" s="2" t="s">
        <v>263</v>
      </c>
      <c r="D104" s="2"/>
      <c r="E104" s="26">
        <f>('Agency Revenues CAD'!E104/$C$1)/1000</f>
        <v>0</v>
      </c>
      <c r="F104" s="26">
        <f>('Agency Revenues CAD'!F104/$C$1)/1000</f>
        <v>0</v>
      </c>
      <c r="G104" s="26">
        <f>('Agency Revenues CAD'!G104/$C$1)/1000</f>
        <v>0</v>
      </c>
      <c r="H104" s="26">
        <f>('Agency Revenues CAD'!H104/$C$1)/1000</f>
        <v>0</v>
      </c>
      <c r="I104" s="26">
        <f>('Agency Revenues CAD'!I104/$C$1)/1000</f>
        <v>0</v>
      </c>
      <c r="J104" s="26">
        <f>('Agency Revenues CAD'!J104/$C$1)/1000</f>
        <v>0</v>
      </c>
      <c r="K104" s="26">
        <f>('Agency Revenues CAD'!K104/$C$1)/1000</f>
        <v>0</v>
      </c>
      <c r="L104" s="26">
        <f>('Agency Revenues CAD'!L104/$C$1)/1000</f>
        <v>0</v>
      </c>
      <c r="M104" s="26">
        <f>('Agency Revenues CAD'!M104/$C$1)/1000</f>
        <v>0</v>
      </c>
      <c r="N104" s="26">
        <f>('Agency Revenues CAD'!N104/$C$1)/1000</f>
        <v>0</v>
      </c>
      <c r="O104" s="26">
        <f>('Agency Revenues CAD'!O104/$C$1)/1000</f>
        <v>0</v>
      </c>
      <c r="P104" s="26">
        <f>('Agency Revenues CAD'!P104/$C$1)/1000</f>
        <v>0</v>
      </c>
      <c r="Q104" s="27">
        <f>('Agency Revenues CAD'!Q104/$C$1)/1000</f>
        <v>0</v>
      </c>
    </row>
    <row r="105" spans="1:17" x14ac:dyDescent="0.25">
      <c r="A105" s="2" t="s">
        <v>252</v>
      </c>
      <c r="B105" t="s">
        <v>167</v>
      </c>
      <c r="C105" s="2" t="s">
        <v>264</v>
      </c>
      <c r="D105" s="2"/>
      <c r="E105" s="26">
        <f>('Agency Revenues CAD'!E105/$C$1)/1000</f>
        <v>11.031253414842638</v>
      </c>
      <c r="F105" s="26">
        <f>('Agency Revenues CAD'!F105/$C$1)/1000</f>
        <v>29.456949926491273</v>
      </c>
      <c r="G105" s="26">
        <f>('Agency Revenues CAD'!G105/$C$1)/1000</f>
        <v>0</v>
      </c>
      <c r="H105" s="26">
        <f>('Agency Revenues CAD'!H105/$C$1)/1000</f>
        <v>0</v>
      </c>
      <c r="I105" s="26">
        <f>('Agency Revenues CAD'!I105/$C$1)/1000</f>
        <v>0</v>
      </c>
      <c r="J105" s="26">
        <f>('Agency Revenues CAD'!J105/$C$1)/1000</f>
        <v>0</v>
      </c>
      <c r="K105" s="26">
        <f>('Agency Revenues CAD'!K105/$C$1)/1000</f>
        <v>0</v>
      </c>
      <c r="L105" s="26">
        <f>('Agency Revenues CAD'!L105/$C$1)/1000</f>
        <v>0</v>
      </c>
      <c r="M105" s="26">
        <f>('Agency Revenues CAD'!M105/$C$1)/1000</f>
        <v>0</v>
      </c>
      <c r="N105" s="26">
        <f>('Agency Revenues CAD'!N105/$C$1)/1000</f>
        <v>0</v>
      </c>
      <c r="O105" s="26">
        <f>('Agency Revenues CAD'!O105/$C$1)/1000</f>
        <v>0</v>
      </c>
      <c r="P105" s="26">
        <f>('Agency Revenues CAD'!P105/$C$1)/1000</f>
        <v>0</v>
      </c>
      <c r="Q105" s="27">
        <f>('Agency Revenues CAD'!Q105/$C$1)/1000</f>
        <v>40.488203341333907</v>
      </c>
    </row>
    <row r="106" spans="1:17" x14ac:dyDescent="0.25">
      <c r="A106" s="2" t="s">
        <v>252</v>
      </c>
      <c r="B106" t="s">
        <v>167</v>
      </c>
      <c r="C106" s="2" t="s">
        <v>265</v>
      </c>
      <c r="D106" s="2"/>
      <c r="E106" s="26">
        <f>('Agency Revenues CAD'!E106/$C$1)/1000</f>
        <v>151.98796926815999</v>
      </c>
      <c r="F106" s="26">
        <f>('Agency Revenues CAD'!F106/$C$1)/1000</f>
        <v>288.1976993357477</v>
      </c>
      <c r="G106" s="26">
        <f>('Agency Revenues CAD'!G106/$C$1)/1000</f>
        <v>198.93735134536081</v>
      </c>
      <c r="H106" s="26">
        <f>('Agency Revenues CAD'!H106/$C$1)/1000</f>
        <v>295.0516421082163</v>
      </c>
      <c r="I106" s="26">
        <f>('Agency Revenues CAD'!I106/$C$1)/1000</f>
        <v>322.90095580718935</v>
      </c>
      <c r="J106" s="26">
        <f>('Agency Revenues CAD'!J106/$C$1)/1000</f>
        <v>178.26786196169485</v>
      </c>
      <c r="K106" s="26">
        <f>('Agency Revenues CAD'!K106/$C$1)/1000</f>
        <v>150.50188292388805</v>
      </c>
      <c r="L106" s="26">
        <f>('Agency Revenues CAD'!L106/$C$1)/1000</f>
        <v>379.22728593538193</v>
      </c>
      <c r="M106" s="26">
        <f>('Agency Revenues CAD'!M106/$C$1)/1000</f>
        <v>99.647654959262113</v>
      </c>
      <c r="N106" s="26">
        <f>('Agency Revenues CAD'!N106/$C$1)/1000</f>
        <v>275.04741060959151</v>
      </c>
      <c r="O106" s="26">
        <f>('Agency Revenues CAD'!O106/$C$1)/1000</f>
        <v>311.89864863293917</v>
      </c>
      <c r="P106" s="26">
        <f>('Agency Revenues CAD'!P106/$C$1)/1000</f>
        <v>195.64868641417689</v>
      </c>
      <c r="Q106" s="27">
        <f>('Agency Revenues CAD'!Q106/$C$1)/1000</f>
        <v>2847.3150493016083</v>
      </c>
    </row>
    <row r="107" spans="1:17" x14ac:dyDescent="0.25">
      <c r="A107" s="2" t="s">
        <v>252</v>
      </c>
      <c r="B107" t="s">
        <v>167</v>
      </c>
      <c r="C107" s="2" t="s">
        <v>266</v>
      </c>
      <c r="D107" s="2"/>
      <c r="E107" s="26">
        <f>('Agency Revenues CAD'!E107/$C$1)/1000</f>
        <v>0</v>
      </c>
      <c r="F107" s="26">
        <f>('Agency Revenues CAD'!F107/$C$1)/1000</f>
        <v>0</v>
      </c>
      <c r="G107" s="26">
        <f>('Agency Revenues CAD'!G107/$C$1)/1000</f>
        <v>0</v>
      </c>
      <c r="H107" s="26">
        <f>('Agency Revenues CAD'!H107/$C$1)/1000</f>
        <v>0</v>
      </c>
      <c r="I107" s="26">
        <f>('Agency Revenues CAD'!I107/$C$1)/1000</f>
        <v>0</v>
      </c>
      <c r="J107" s="26">
        <f>('Agency Revenues CAD'!J107/$C$1)/1000</f>
        <v>0</v>
      </c>
      <c r="K107" s="26">
        <f>('Agency Revenues CAD'!K107/$C$1)/1000</f>
        <v>0</v>
      </c>
      <c r="L107" s="26">
        <f>('Agency Revenues CAD'!L107/$C$1)/1000</f>
        <v>0</v>
      </c>
      <c r="M107" s="26">
        <f>('Agency Revenues CAD'!M107/$C$1)/1000</f>
        <v>0</v>
      </c>
      <c r="N107" s="26">
        <f>('Agency Revenues CAD'!N107/$C$1)/1000</f>
        <v>0</v>
      </c>
      <c r="O107" s="26">
        <f>('Agency Revenues CAD'!O107/$C$1)/1000</f>
        <v>0</v>
      </c>
      <c r="P107" s="26">
        <f>('Agency Revenues CAD'!P107/$C$1)/1000</f>
        <v>0</v>
      </c>
      <c r="Q107" s="27">
        <f>('Agency Revenues CAD'!Q107/$C$1)/1000</f>
        <v>0</v>
      </c>
    </row>
    <row r="108" spans="1:17" x14ac:dyDescent="0.25">
      <c r="A108" s="2" t="s">
        <v>252</v>
      </c>
      <c r="B108" t="s">
        <v>167</v>
      </c>
      <c r="C108" s="2" t="s">
        <v>267</v>
      </c>
      <c r="D108" s="2"/>
      <c r="E108" s="26">
        <f>('Agency Revenues CAD'!E108/$C$1)/1000</f>
        <v>0</v>
      </c>
      <c r="F108" s="26">
        <f>('Agency Revenues CAD'!F108/$C$1)/1000</f>
        <v>0</v>
      </c>
      <c r="G108" s="26">
        <f>('Agency Revenues CAD'!G108/$C$1)/1000</f>
        <v>-1.2415495964963811E-2</v>
      </c>
      <c r="H108" s="26">
        <f>('Agency Revenues CAD'!H108/$C$1)/1000</f>
        <v>0</v>
      </c>
      <c r="I108" s="26">
        <f>('Agency Revenues CAD'!I108/$C$1)/1000</f>
        <v>0</v>
      </c>
      <c r="J108" s="26">
        <f>('Agency Revenues CAD'!J108/$C$1)/1000</f>
        <v>0</v>
      </c>
      <c r="K108" s="26">
        <f>('Agency Revenues CAD'!K108/$C$1)/1000</f>
        <v>0</v>
      </c>
      <c r="L108" s="26">
        <f>('Agency Revenues CAD'!L108/$C$1)/1000</f>
        <v>0</v>
      </c>
      <c r="M108" s="26">
        <f>('Agency Revenues CAD'!M108/$C$1)/1000</f>
        <v>0</v>
      </c>
      <c r="N108" s="26">
        <f>('Agency Revenues CAD'!N108/$C$1)/1000</f>
        <v>3.8749987406254092</v>
      </c>
      <c r="O108" s="26">
        <f>('Agency Revenues CAD'!O108/$C$1)/1000</f>
        <v>3.8749987406254092</v>
      </c>
      <c r="P108" s="26">
        <f>('Agency Revenues CAD'!P108/$C$1)/1000</f>
        <v>3.8749987406254092</v>
      </c>
      <c r="Q108" s="27">
        <f>('Agency Revenues CAD'!Q108/$C$1)/1000</f>
        <v>11.612580725911263</v>
      </c>
    </row>
    <row r="109" spans="1:17" x14ac:dyDescent="0.25">
      <c r="A109" s="2" t="s">
        <v>252</v>
      </c>
      <c r="B109" t="s">
        <v>167</v>
      </c>
      <c r="C109" s="2" t="s">
        <v>268</v>
      </c>
      <c r="D109" s="2"/>
      <c r="E109" s="26">
        <f>('Agency Revenues CAD'!E109/$C$1)/1000</f>
        <v>0</v>
      </c>
      <c r="F109" s="26">
        <f>('Agency Revenues CAD'!F109/$C$1)/1000</f>
        <v>0</v>
      </c>
      <c r="G109" s="26">
        <f>('Agency Revenues CAD'!G109/$C$1)/1000</f>
        <v>0</v>
      </c>
      <c r="H109" s="26">
        <f>('Agency Revenues CAD'!H109/$C$1)/1000</f>
        <v>0</v>
      </c>
      <c r="I109" s="26">
        <f>('Agency Revenues CAD'!I109/$C$1)/1000</f>
        <v>0</v>
      </c>
      <c r="J109" s="26">
        <f>('Agency Revenues CAD'!J109/$C$1)/1000</f>
        <v>0</v>
      </c>
      <c r="K109" s="26">
        <f>('Agency Revenues CAD'!K109/$C$1)/1000</f>
        <v>0</v>
      </c>
      <c r="L109" s="26">
        <f>('Agency Revenues CAD'!L109/$C$1)/1000</f>
        <v>0</v>
      </c>
      <c r="M109" s="26">
        <f>('Agency Revenues CAD'!M109/$C$1)/1000</f>
        <v>0</v>
      </c>
      <c r="N109" s="26">
        <f>('Agency Revenues CAD'!N109/$C$1)/1000</f>
        <v>0</v>
      </c>
      <c r="O109" s="26">
        <f>('Agency Revenues CAD'!O109/$C$1)/1000</f>
        <v>0</v>
      </c>
      <c r="P109" s="26">
        <f>('Agency Revenues CAD'!P109/$C$1)/1000</f>
        <v>0</v>
      </c>
      <c r="Q109" s="27">
        <f>('Agency Revenues CAD'!Q109/$C$1)/1000</f>
        <v>0</v>
      </c>
    </row>
    <row r="110" spans="1:17" x14ac:dyDescent="0.25">
      <c r="A110" s="2" t="s">
        <v>252</v>
      </c>
      <c r="B110" t="s">
        <v>167</v>
      </c>
      <c r="C110" s="2" t="s">
        <v>269</v>
      </c>
      <c r="D110" s="2"/>
      <c r="E110" s="26">
        <f>('Agency Revenues CAD'!E110/$C$1)/1000</f>
        <v>0</v>
      </c>
      <c r="F110" s="26">
        <f>('Agency Revenues CAD'!F110/$C$1)/1000</f>
        <v>0</v>
      </c>
      <c r="G110" s="26">
        <f>('Agency Revenues CAD'!G110/$C$1)/1000</f>
        <v>0</v>
      </c>
      <c r="H110" s="26">
        <f>('Agency Revenues CAD'!H110/$C$1)/1000</f>
        <v>0</v>
      </c>
      <c r="I110" s="26">
        <f>('Agency Revenues CAD'!I110/$C$1)/1000</f>
        <v>0</v>
      </c>
      <c r="J110" s="26">
        <f>('Agency Revenues CAD'!J110/$C$1)/1000</f>
        <v>0</v>
      </c>
      <c r="K110" s="26">
        <f>('Agency Revenues CAD'!K110/$C$1)/1000</f>
        <v>0</v>
      </c>
      <c r="L110" s="26">
        <f>('Agency Revenues CAD'!L110/$C$1)/1000</f>
        <v>0</v>
      </c>
      <c r="M110" s="26">
        <f>('Agency Revenues CAD'!M110/$C$1)/1000</f>
        <v>0</v>
      </c>
      <c r="N110" s="26">
        <f>('Agency Revenues CAD'!N110/$C$1)/1000</f>
        <v>0</v>
      </c>
      <c r="O110" s="26">
        <f>('Agency Revenues CAD'!O110/$C$1)/1000</f>
        <v>0</v>
      </c>
      <c r="P110" s="26">
        <f>('Agency Revenues CAD'!P110/$C$1)/1000</f>
        <v>0</v>
      </c>
      <c r="Q110" s="27">
        <f>('Agency Revenues CAD'!Q110/$C$1)/1000</f>
        <v>0</v>
      </c>
    </row>
    <row r="111" spans="1:17" x14ac:dyDescent="0.25">
      <c r="A111" s="2" t="s">
        <v>252</v>
      </c>
      <c r="B111" t="s">
        <v>167</v>
      </c>
      <c r="C111" s="2" t="s">
        <v>270</v>
      </c>
      <c r="D111" s="2"/>
      <c r="E111" s="26">
        <f>('Agency Revenues CAD'!E111/$C$1)/1000</f>
        <v>-3.1774989673128356E-4</v>
      </c>
      <c r="F111" s="26">
        <f>('Agency Revenues CAD'!F111/$C$1)/1000</f>
        <v>0</v>
      </c>
      <c r="G111" s="26">
        <f>('Agency Revenues CAD'!G111/$C$1)/1000</f>
        <v>37.412368840980122</v>
      </c>
      <c r="H111" s="26">
        <f>('Agency Revenues CAD'!H111/$C$1)/1000</f>
        <v>56.963519986855992</v>
      </c>
      <c r="I111" s="26">
        <f>('Agency Revenues CAD'!I111/$C$1)/1000</f>
        <v>65.683507152860173</v>
      </c>
      <c r="J111" s="26">
        <f>('Agency Revenues CAD'!J111/$C$1)/1000</f>
        <v>7.375804740363459</v>
      </c>
      <c r="K111" s="26">
        <f>('Agency Revenues CAD'!K111/$C$1)/1000</f>
        <v>61.603621147573122</v>
      </c>
      <c r="L111" s="26">
        <f>('Agency Revenues CAD'!L111/$C$1)/1000</f>
        <v>46.279961412762539</v>
      </c>
      <c r="M111" s="26">
        <f>('Agency Revenues CAD'!M111/$C$1)/1000</f>
        <v>67.237385522849692</v>
      </c>
      <c r="N111" s="26">
        <f>('Agency Revenues CAD'!N111/$C$1)/1000</f>
        <v>65.874978590631954</v>
      </c>
      <c r="O111" s="26">
        <f>('Agency Revenues CAD'!O111/$C$1)/1000</f>
        <v>65.874978590631954</v>
      </c>
      <c r="P111" s="26">
        <f>('Agency Revenues CAD'!P111/$C$1)/1000</f>
        <v>0</v>
      </c>
      <c r="Q111" s="27">
        <f>('Agency Revenues CAD'!Q111/$C$1)/1000</f>
        <v>474.30580823561229</v>
      </c>
    </row>
    <row r="112" spans="1:17" x14ac:dyDescent="0.25">
      <c r="A112" s="2" t="s">
        <v>252</v>
      </c>
      <c r="B112" t="s">
        <v>167</v>
      </c>
      <c r="C112" s="2" t="s">
        <v>271</v>
      </c>
      <c r="D112" s="2"/>
      <c r="E112" s="26">
        <f>('Agency Revenues CAD'!E112/$C$1)/1000</f>
        <v>31.202464034199185</v>
      </c>
      <c r="F112" s="26">
        <f>('Agency Revenues CAD'!F112/$C$1)/1000</f>
        <v>26.996139726254583</v>
      </c>
      <c r="G112" s="26">
        <f>('Agency Revenues CAD'!G112/$C$1)/1000</f>
        <v>0</v>
      </c>
      <c r="H112" s="26">
        <f>('Agency Revenues CAD'!H112/$C$1)/1000</f>
        <v>15.634170668894532</v>
      </c>
      <c r="I112" s="26">
        <f>('Agency Revenues CAD'!I112/$C$1)/1000</f>
        <v>116.8932042597086</v>
      </c>
      <c r="J112" s="26">
        <f>('Agency Revenues CAD'!J112/$C$1)/1000</f>
        <v>0</v>
      </c>
      <c r="K112" s="26">
        <f>('Agency Revenues CAD'!K112/$C$1)/1000</f>
        <v>0</v>
      </c>
      <c r="L112" s="26">
        <f>('Agency Revenues CAD'!L112/$C$1)/1000</f>
        <v>32.592826718581314</v>
      </c>
      <c r="M112" s="26">
        <f>('Agency Revenues CAD'!M112/$C$1)/1000</f>
        <v>118.14455760301878</v>
      </c>
      <c r="N112" s="26">
        <f>('Agency Revenues CAD'!N112/$C$1)/1000</f>
        <v>37.432487834441453</v>
      </c>
      <c r="O112" s="26">
        <f>('Agency Revenues CAD'!O112/$C$1)/1000</f>
        <v>87.807471462571755</v>
      </c>
      <c r="P112" s="26">
        <f>('Agency Revenues CAD'!P112/$C$1)/1000</f>
        <v>81.374973553133586</v>
      </c>
      <c r="Q112" s="27">
        <f>('Agency Revenues CAD'!Q112/$C$1)/1000</f>
        <v>548.07829586080379</v>
      </c>
    </row>
    <row r="113" spans="1:17" x14ac:dyDescent="0.25">
      <c r="A113" s="2" t="s">
        <v>252</v>
      </c>
      <c r="B113" t="s">
        <v>167</v>
      </c>
      <c r="C113" s="2" t="s">
        <v>272</v>
      </c>
      <c r="D113" s="2"/>
      <c r="E113" s="26">
        <f>('Agency Revenues CAD'!E113/$C$1)/1000</f>
        <v>0</v>
      </c>
      <c r="F113" s="26">
        <f>('Agency Revenues CAD'!F113/$C$1)/1000</f>
        <v>0</v>
      </c>
      <c r="G113" s="26">
        <f>('Agency Revenues CAD'!G113/$C$1)/1000</f>
        <v>0</v>
      </c>
      <c r="H113" s="26">
        <f>('Agency Revenues CAD'!H113/$C$1)/1000</f>
        <v>26.690033425739138</v>
      </c>
      <c r="I113" s="26">
        <f>('Agency Revenues CAD'!I113/$C$1)/1000</f>
        <v>43.529038853062367</v>
      </c>
      <c r="J113" s="26">
        <f>('Agency Revenues CAD'!J113/$C$1)/1000</f>
        <v>47.62292949129791</v>
      </c>
      <c r="K113" s="26">
        <f>('Agency Revenues CAD'!K113/$C$1)/1000</f>
        <v>50.686529264377981</v>
      </c>
      <c r="L113" s="26">
        <f>('Agency Revenues CAD'!L113/$C$1)/1000</f>
        <v>45.219118972536329</v>
      </c>
      <c r="M113" s="26">
        <f>('Agency Revenues CAD'!M113/$C$1)/1000</f>
        <v>32.698133723106537</v>
      </c>
      <c r="N113" s="26">
        <f>('Agency Revenues CAD'!N113/$C$1)/1000</f>
        <v>26.117491511815256</v>
      </c>
      <c r="O113" s="26">
        <f>('Agency Revenues CAD'!O113/$C$1)/1000</f>
        <v>0</v>
      </c>
      <c r="P113" s="26">
        <f>('Agency Revenues CAD'!P113/$C$1)/1000</f>
        <v>0</v>
      </c>
      <c r="Q113" s="27">
        <f>('Agency Revenues CAD'!Q113/$C$1)/1000</f>
        <v>272.56327524193546</v>
      </c>
    </row>
    <row r="114" spans="1:17" x14ac:dyDescent="0.25">
      <c r="A114" s="2" t="s">
        <v>252</v>
      </c>
      <c r="B114" t="s">
        <v>167</v>
      </c>
      <c r="C114" s="2" t="s">
        <v>273</v>
      </c>
      <c r="D114" s="2"/>
      <c r="E114" s="26">
        <f>('Agency Revenues CAD'!E114/$C$1)/1000</f>
        <v>0</v>
      </c>
      <c r="F114" s="26">
        <f>('Agency Revenues CAD'!F114/$C$1)/1000</f>
        <v>0</v>
      </c>
      <c r="G114" s="26">
        <f>('Agency Revenues CAD'!G114/$C$1)/1000</f>
        <v>0</v>
      </c>
      <c r="H114" s="26">
        <f>('Agency Revenues CAD'!H114/$C$1)/1000</f>
        <v>64.856039921787016</v>
      </c>
      <c r="I114" s="26">
        <f>('Agency Revenues CAD'!I114/$C$1)/1000</f>
        <v>59.143919778226056</v>
      </c>
      <c r="J114" s="26">
        <f>('Agency Revenues CAD'!J114/$C$1)/1000</f>
        <v>0</v>
      </c>
      <c r="K114" s="26">
        <f>('Agency Revenues CAD'!K114/$C$1)/1000</f>
        <v>0</v>
      </c>
      <c r="L114" s="26">
        <f>('Agency Revenues CAD'!L114/$C$1)/1000</f>
        <v>0</v>
      </c>
      <c r="M114" s="26">
        <f>('Agency Revenues CAD'!M114/$C$1)/1000</f>
        <v>0</v>
      </c>
      <c r="N114" s="26">
        <f>('Agency Revenues CAD'!N114/$C$1)/1000</f>
        <v>0</v>
      </c>
      <c r="O114" s="26">
        <f>('Agency Revenues CAD'!O114/$C$1)/1000</f>
        <v>0</v>
      </c>
      <c r="P114" s="26">
        <f>('Agency Revenues CAD'!P114/$C$1)/1000</f>
        <v>0</v>
      </c>
      <c r="Q114" s="27">
        <f>('Agency Revenues CAD'!Q114/$C$1)/1000</f>
        <v>123.99995970001309</v>
      </c>
    </row>
    <row r="115" spans="1:17" x14ac:dyDescent="0.25">
      <c r="A115" s="2" t="s">
        <v>252</v>
      </c>
      <c r="B115" t="s">
        <v>167</v>
      </c>
      <c r="C115" s="2" t="s">
        <v>274</v>
      </c>
      <c r="D115" s="2"/>
      <c r="E115" s="26">
        <f>('Agency Revenues CAD'!E115/$C$1)/1000</f>
        <v>0</v>
      </c>
      <c r="F115" s="26">
        <f>('Agency Revenues CAD'!F115/$C$1)/1000</f>
        <v>2.847046824709782</v>
      </c>
      <c r="G115" s="26">
        <f>('Agency Revenues CAD'!G115/$C$1)/1000</f>
        <v>0</v>
      </c>
      <c r="H115" s="26">
        <f>('Agency Revenues CAD'!H115/$C$1)/1000</f>
        <v>10.120233460924124</v>
      </c>
      <c r="I115" s="26">
        <f>('Agency Revenues CAD'!I115/$C$1)/1000</f>
        <v>33.324989169378519</v>
      </c>
      <c r="J115" s="26">
        <f>('Agency Revenues CAD'!J115/$C$1)/1000</f>
        <v>0</v>
      </c>
      <c r="K115" s="26">
        <f>('Agency Revenues CAD'!K115/$C$1)/1000</f>
        <v>0.40595184306565096</v>
      </c>
      <c r="L115" s="26">
        <f>('Agency Revenues CAD'!L115/$C$1)/1000</f>
        <v>15.238945403592743</v>
      </c>
      <c r="M115" s="26">
        <f>('Agency Revenues CAD'!M115/$C$1)/1000</f>
        <v>45.891346779062296</v>
      </c>
      <c r="N115" s="26">
        <f>('Agency Revenues CAD'!N115/$C$1)/1000</f>
        <v>42.6249861468795</v>
      </c>
      <c r="O115" s="26">
        <f>('Agency Revenues CAD'!O115/$C$1)/1000</f>
        <v>34.874988665628685</v>
      </c>
      <c r="P115" s="26">
        <f>('Agency Revenues CAD'!P115/$C$1)/1000</f>
        <v>34.874988665628685</v>
      </c>
      <c r="Q115" s="27">
        <f>('Agency Revenues CAD'!Q115/$C$1)/1000</f>
        <v>220.20347695886997</v>
      </c>
    </row>
    <row r="116" spans="1:17" s="9" customFormat="1" x14ac:dyDescent="0.25">
      <c r="A116" s="8" t="s">
        <v>252</v>
      </c>
      <c r="B116" s="9" t="s">
        <v>167</v>
      </c>
      <c r="C116" s="8" t="s">
        <v>275</v>
      </c>
      <c r="D116" s="8"/>
      <c r="E116" s="31">
        <f>('Agency Revenues CAD'!E116/$C$1)/1000</f>
        <v>0</v>
      </c>
      <c r="F116" s="31">
        <f>('Agency Revenues CAD'!F116/$C$1)/1000</f>
        <v>0</v>
      </c>
      <c r="G116" s="31">
        <f>('Agency Revenues CAD'!G116/$C$1)/1000</f>
        <v>0</v>
      </c>
      <c r="H116" s="31">
        <f>('Agency Revenues CAD'!H116/$C$1)/1000</f>
        <v>0</v>
      </c>
      <c r="I116" s="31">
        <f>('Agency Revenues CAD'!I116/$C$1)/1000</f>
        <v>0</v>
      </c>
      <c r="J116" s="31">
        <f>('Agency Revenues CAD'!J116/$C$1)/1000</f>
        <v>0</v>
      </c>
      <c r="K116" s="31">
        <f>('Agency Revenues CAD'!K116/$C$1)/1000</f>
        <v>0</v>
      </c>
      <c r="L116" s="31">
        <f>('Agency Revenues CAD'!L116/$C$1)/1000</f>
        <v>64.077220967153167</v>
      </c>
      <c r="M116" s="31">
        <f>('Agency Revenues CAD'!M116/$C$1)/1000</f>
        <v>31.475012473620943</v>
      </c>
      <c r="N116" s="31">
        <f>('Agency Revenues CAD'!N116/$C$1)/1000</f>
        <v>0</v>
      </c>
      <c r="O116" s="31">
        <f>('Agency Revenues CAD'!O116/$C$1)/1000</f>
        <v>0</v>
      </c>
      <c r="P116" s="31">
        <f>('Agency Revenues CAD'!P116/$C$1)/1000</f>
        <v>0</v>
      </c>
      <c r="Q116" s="32">
        <f>('Agency Revenues CAD'!Q116/$C$1)/1000</f>
        <v>95.552233440774117</v>
      </c>
    </row>
    <row r="117" spans="1:17" x14ac:dyDescent="0.25">
      <c r="A117" s="2" t="s">
        <v>276</v>
      </c>
      <c r="B117" t="s">
        <v>167</v>
      </c>
      <c r="C117" s="2" t="s">
        <v>277</v>
      </c>
      <c r="D117" s="2"/>
      <c r="E117" s="26">
        <f>('Agency Revenues CAD'!E117/$C$1)/1000</f>
        <v>0</v>
      </c>
      <c r="F117" s="26">
        <f>('Agency Revenues CAD'!F117/$C$1)/1000</f>
        <v>0</v>
      </c>
      <c r="G117" s="26">
        <f>('Agency Revenues CAD'!G117/$C$1)/1000</f>
        <v>0</v>
      </c>
      <c r="H117" s="26">
        <f>('Agency Revenues CAD'!H117/$C$1)/1000</f>
        <v>0</v>
      </c>
      <c r="I117" s="26">
        <f>('Agency Revenues CAD'!I117/$C$1)/1000</f>
        <v>0</v>
      </c>
      <c r="J117" s="26">
        <f>('Agency Revenues CAD'!J117/$C$1)/1000</f>
        <v>0</v>
      </c>
      <c r="K117" s="26">
        <f>('Agency Revenues CAD'!K117/$C$1)/1000</f>
        <v>0</v>
      </c>
      <c r="L117" s="26">
        <f>('Agency Revenues CAD'!L117/$C$1)/1000</f>
        <v>0</v>
      </c>
      <c r="M117" s="26">
        <f>('Agency Revenues CAD'!M117/$C$1)/1000</f>
        <v>0</v>
      </c>
      <c r="N117" s="26">
        <f>('Agency Revenues CAD'!N117/$C$1)/1000</f>
        <v>0</v>
      </c>
      <c r="O117" s="26">
        <f>('Agency Revenues CAD'!O117/$C$1)/1000</f>
        <v>0</v>
      </c>
      <c r="P117" s="26">
        <f>('Agency Revenues CAD'!P117/$C$1)/1000</f>
        <v>0</v>
      </c>
      <c r="Q117" s="27">
        <f>('Agency Revenues CAD'!Q117/$C$1)/1000</f>
        <v>0</v>
      </c>
    </row>
    <row r="118" spans="1:17" x14ac:dyDescent="0.25">
      <c r="A118" s="2" t="s">
        <v>276</v>
      </c>
      <c r="B118" t="s">
        <v>167</v>
      </c>
      <c r="C118" s="2" t="s">
        <v>278</v>
      </c>
      <c r="D118" s="2"/>
      <c r="E118" s="26">
        <f>('Agency Revenues CAD'!E118/$C$1)/1000</f>
        <v>0</v>
      </c>
      <c r="F118" s="26">
        <f>('Agency Revenues CAD'!F118/$C$1)/1000</f>
        <v>0</v>
      </c>
      <c r="G118" s="26">
        <f>('Agency Revenues CAD'!G118/$C$1)/1000</f>
        <v>0</v>
      </c>
      <c r="H118" s="26">
        <f>('Agency Revenues CAD'!H118/$C$1)/1000</f>
        <v>0</v>
      </c>
      <c r="I118" s="26">
        <f>('Agency Revenues CAD'!I118/$C$1)/1000</f>
        <v>0</v>
      </c>
      <c r="J118" s="26">
        <f>('Agency Revenues CAD'!J118/$C$1)/1000</f>
        <v>0</v>
      </c>
      <c r="K118" s="26">
        <f>('Agency Revenues CAD'!K118/$C$1)/1000</f>
        <v>0</v>
      </c>
      <c r="L118" s="26">
        <f>('Agency Revenues CAD'!L118/$C$1)/1000</f>
        <v>0</v>
      </c>
      <c r="M118" s="26">
        <f>('Agency Revenues CAD'!M118/$C$1)/1000</f>
        <v>0</v>
      </c>
      <c r="N118" s="26">
        <f>('Agency Revenues CAD'!N118/$C$1)/1000</f>
        <v>0</v>
      </c>
      <c r="O118" s="26">
        <f>('Agency Revenues CAD'!O118/$C$1)/1000</f>
        <v>0</v>
      </c>
      <c r="P118" s="26">
        <f>('Agency Revenues CAD'!P118/$C$1)/1000</f>
        <v>0</v>
      </c>
      <c r="Q118" s="27">
        <f>('Agency Revenues CAD'!Q118/$C$1)/1000</f>
        <v>0</v>
      </c>
    </row>
    <row r="119" spans="1:17" x14ac:dyDescent="0.25">
      <c r="A119" s="2" t="s">
        <v>276</v>
      </c>
      <c r="B119" t="s">
        <v>167</v>
      </c>
      <c r="C119" s="2" t="s">
        <v>279</v>
      </c>
      <c r="D119" s="2"/>
      <c r="E119" s="26">
        <f>('Agency Revenues CAD'!E119/$C$1)/1000</f>
        <v>0</v>
      </c>
      <c r="F119" s="26">
        <f>('Agency Revenues CAD'!F119/$C$1)/1000</f>
        <v>0</v>
      </c>
      <c r="G119" s="26">
        <f>('Agency Revenues CAD'!G119/$C$1)/1000</f>
        <v>0</v>
      </c>
      <c r="H119" s="26">
        <f>('Agency Revenues CAD'!H119/$C$1)/1000</f>
        <v>0</v>
      </c>
      <c r="I119" s="26">
        <f>('Agency Revenues CAD'!I119/$C$1)/1000</f>
        <v>0</v>
      </c>
      <c r="J119" s="26">
        <f>('Agency Revenues CAD'!J119/$C$1)/1000</f>
        <v>0</v>
      </c>
      <c r="K119" s="26">
        <f>('Agency Revenues CAD'!K119/$C$1)/1000</f>
        <v>0</v>
      </c>
      <c r="L119" s="26">
        <f>('Agency Revenues CAD'!L119/$C$1)/1000</f>
        <v>0</v>
      </c>
      <c r="M119" s="26">
        <f>('Agency Revenues CAD'!M119/$C$1)/1000</f>
        <v>0</v>
      </c>
      <c r="N119" s="26">
        <f>('Agency Revenues CAD'!N119/$C$1)/1000</f>
        <v>0</v>
      </c>
      <c r="O119" s="26">
        <f>('Agency Revenues CAD'!O119/$C$1)/1000</f>
        <v>0</v>
      </c>
      <c r="P119" s="26">
        <f>('Agency Revenues CAD'!P119/$C$1)/1000</f>
        <v>0</v>
      </c>
      <c r="Q119" s="27">
        <f>('Agency Revenues CAD'!Q119/$C$1)/1000</f>
        <v>0</v>
      </c>
    </row>
    <row r="120" spans="1:17" x14ac:dyDescent="0.25">
      <c r="A120" s="2" t="s">
        <v>276</v>
      </c>
      <c r="B120" t="s">
        <v>167</v>
      </c>
      <c r="C120" s="2" t="s">
        <v>280</v>
      </c>
      <c r="D120" s="2"/>
      <c r="E120" s="26">
        <f>('Agency Revenues CAD'!E120/$C$1)/1000</f>
        <v>0</v>
      </c>
      <c r="F120" s="26">
        <f>('Agency Revenues CAD'!F120/$C$1)/1000</f>
        <v>0</v>
      </c>
      <c r="G120" s="26">
        <f>('Agency Revenues CAD'!G120/$C$1)/1000</f>
        <v>0</v>
      </c>
      <c r="H120" s="26">
        <f>('Agency Revenues CAD'!H120/$C$1)/1000</f>
        <v>0</v>
      </c>
      <c r="I120" s="26">
        <f>('Agency Revenues CAD'!I120/$C$1)/1000</f>
        <v>0</v>
      </c>
      <c r="J120" s="26">
        <f>('Agency Revenues CAD'!J120/$C$1)/1000</f>
        <v>0</v>
      </c>
      <c r="K120" s="26">
        <f>('Agency Revenues CAD'!K120/$C$1)/1000</f>
        <v>0</v>
      </c>
      <c r="L120" s="26">
        <f>('Agency Revenues CAD'!L120/$C$1)/1000</f>
        <v>0</v>
      </c>
      <c r="M120" s="26">
        <f>('Agency Revenues CAD'!M120/$C$1)/1000</f>
        <v>0</v>
      </c>
      <c r="N120" s="26">
        <f>('Agency Revenues CAD'!N120/$C$1)/1000</f>
        <v>0</v>
      </c>
      <c r="O120" s="26">
        <f>('Agency Revenues CAD'!O120/$C$1)/1000</f>
        <v>0</v>
      </c>
      <c r="P120" s="26">
        <f>('Agency Revenues CAD'!P120/$C$1)/1000</f>
        <v>0</v>
      </c>
      <c r="Q120" s="27">
        <f>('Agency Revenues CAD'!Q120/$C$1)/1000</f>
        <v>0</v>
      </c>
    </row>
    <row r="121" spans="1:17" x14ac:dyDescent="0.25">
      <c r="A121" s="2" t="s">
        <v>276</v>
      </c>
      <c r="B121" t="s">
        <v>167</v>
      </c>
      <c r="C121" s="2" t="s">
        <v>281</v>
      </c>
      <c r="D121" s="2"/>
      <c r="E121" s="26">
        <f>('Agency Revenues CAD'!E121/$C$1)/1000</f>
        <v>0</v>
      </c>
      <c r="F121" s="26">
        <f>('Agency Revenues CAD'!F121/$C$1)/1000</f>
        <v>0</v>
      </c>
      <c r="G121" s="26">
        <f>('Agency Revenues CAD'!G121/$C$1)/1000</f>
        <v>0</v>
      </c>
      <c r="H121" s="26">
        <f>('Agency Revenues CAD'!H121/$C$1)/1000</f>
        <v>0</v>
      </c>
      <c r="I121" s="26">
        <f>('Agency Revenues CAD'!I121/$C$1)/1000</f>
        <v>0</v>
      </c>
      <c r="J121" s="26">
        <f>('Agency Revenues CAD'!J121/$C$1)/1000</f>
        <v>0</v>
      </c>
      <c r="K121" s="26">
        <f>('Agency Revenues CAD'!K121/$C$1)/1000</f>
        <v>0</v>
      </c>
      <c r="L121" s="26">
        <f>('Agency Revenues CAD'!L121/$C$1)/1000</f>
        <v>0</v>
      </c>
      <c r="M121" s="26">
        <f>('Agency Revenues CAD'!M121/$C$1)/1000</f>
        <v>0</v>
      </c>
      <c r="N121" s="26">
        <f>('Agency Revenues CAD'!N121/$C$1)/1000</f>
        <v>0</v>
      </c>
      <c r="O121" s="26">
        <f>('Agency Revenues CAD'!O121/$C$1)/1000</f>
        <v>0</v>
      </c>
      <c r="P121" s="26">
        <f>('Agency Revenues CAD'!P121/$C$1)/1000</f>
        <v>0</v>
      </c>
      <c r="Q121" s="27">
        <f>('Agency Revenues CAD'!Q121/$C$1)/1000</f>
        <v>0</v>
      </c>
    </row>
    <row r="122" spans="1:17" x14ac:dyDescent="0.25">
      <c r="A122" s="2" t="s">
        <v>276</v>
      </c>
      <c r="B122" t="s">
        <v>167</v>
      </c>
      <c r="C122" s="2" t="s">
        <v>282</v>
      </c>
      <c r="D122" s="2"/>
      <c r="E122" s="26">
        <f>('Agency Revenues CAD'!E122/$C$1)/1000</f>
        <v>0</v>
      </c>
      <c r="F122" s="26">
        <f>('Agency Revenues CAD'!F122/$C$1)/1000</f>
        <v>0</v>
      </c>
      <c r="G122" s="26">
        <f>('Agency Revenues CAD'!G122/$C$1)/1000</f>
        <v>0</v>
      </c>
      <c r="H122" s="26">
        <f>('Agency Revenues CAD'!H122/$C$1)/1000</f>
        <v>0</v>
      </c>
      <c r="I122" s="26">
        <f>('Agency Revenues CAD'!I122/$C$1)/1000</f>
        <v>0</v>
      </c>
      <c r="J122" s="26">
        <f>('Agency Revenues CAD'!J122/$C$1)/1000</f>
        <v>0</v>
      </c>
      <c r="K122" s="26">
        <f>('Agency Revenues CAD'!K122/$C$1)/1000</f>
        <v>0</v>
      </c>
      <c r="L122" s="26">
        <f>('Agency Revenues CAD'!L122/$C$1)/1000</f>
        <v>-2.600899154707775E-2</v>
      </c>
      <c r="M122" s="26">
        <f>('Agency Revenues CAD'!M122/$C$1)/1000</f>
        <v>0</v>
      </c>
      <c r="N122" s="26">
        <f>('Agency Revenues CAD'!N122/$C$1)/1000</f>
        <v>0</v>
      </c>
      <c r="O122" s="26">
        <f>('Agency Revenues CAD'!O122/$C$1)/1000</f>
        <v>0</v>
      </c>
      <c r="P122" s="26">
        <f>('Agency Revenues CAD'!P122/$C$1)/1000</f>
        <v>0</v>
      </c>
      <c r="Q122" s="27">
        <f>('Agency Revenues CAD'!Q122/$C$1)/1000</f>
        <v>-2.600899154707775E-2</v>
      </c>
    </row>
    <row r="123" spans="1:17" x14ac:dyDescent="0.25">
      <c r="A123" s="2" t="s">
        <v>276</v>
      </c>
      <c r="B123" t="s">
        <v>167</v>
      </c>
      <c r="C123" s="2" t="s">
        <v>283</v>
      </c>
      <c r="D123" s="2"/>
      <c r="E123" s="26">
        <f>('Agency Revenues CAD'!E123/$C$1)/1000</f>
        <v>0</v>
      </c>
      <c r="F123" s="26">
        <f>('Agency Revenues CAD'!F123/$C$1)/1000</f>
        <v>0</v>
      </c>
      <c r="G123" s="26">
        <f>('Agency Revenues CAD'!G123/$C$1)/1000</f>
        <v>11.518449256503992</v>
      </c>
      <c r="H123" s="26">
        <f>('Agency Revenues CAD'!H123/$C$1)/1000</f>
        <v>11.988905103605839</v>
      </c>
      <c r="I123" s="26">
        <f>('Agency Revenues CAD'!I123/$C$1)/1000</f>
        <v>12.275972760308852</v>
      </c>
      <c r="J123" s="26">
        <f>('Agency Revenues CAD'!J123/$C$1)/1000</f>
        <v>0</v>
      </c>
      <c r="K123" s="26">
        <f>('Agency Revenues CAD'!K123/$C$1)/1000</f>
        <v>0</v>
      </c>
      <c r="L123" s="26">
        <f>('Agency Revenues CAD'!L123/$C$1)/1000</f>
        <v>28.317603421778884</v>
      </c>
      <c r="M123" s="26">
        <f>('Agency Revenues CAD'!M123/$C$1)/1000</f>
        <v>5.0949289441480925</v>
      </c>
      <c r="N123" s="26">
        <f>('Agency Revenues CAD'!N123/$C$1)/1000</f>
        <v>0</v>
      </c>
      <c r="O123" s="26">
        <f>('Agency Revenues CAD'!O123/$C$1)/1000</f>
        <v>0</v>
      </c>
      <c r="P123" s="26">
        <f>('Agency Revenues CAD'!P123/$C$1)/1000</f>
        <v>0</v>
      </c>
      <c r="Q123" s="27">
        <f>('Agency Revenues CAD'!Q123/$C$1)/1000</f>
        <v>69.195859486345654</v>
      </c>
    </row>
    <row r="124" spans="1:17" x14ac:dyDescent="0.25">
      <c r="A124" s="2" t="s">
        <v>276</v>
      </c>
      <c r="B124" t="s">
        <v>167</v>
      </c>
      <c r="C124" s="2" t="s">
        <v>284</v>
      </c>
      <c r="D124" s="2"/>
      <c r="E124" s="26">
        <f>('Agency Revenues CAD'!E124/$C$1)/1000</f>
        <v>0</v>
      </c>
      <c r="F124" s="26">
        <f>('Agency Revenues CAD'!F124/$C$1)/1000</f>
        <v>0</v>
      </c>
      <c r="G124" s="26">
        <f>('Agency Revenues CAD'!G124/$C$1)/1000</f>
        <v>0</v>
      </c>
      <c r="H124" s="26">
        <f>('Agency Revenues CAD'!H124/$C$1)/1000</f>
        <v>0</v>
      </c>
      <c r="I124" s="26">
        <f>('Agency Revenues CAD'!I124/$C$1)/1000</f>
        <v>0</v>
      </c>
      <c r="J124" s="26">
        <f>('Agency Revenues CAD'!J124/$C$1)/1000</f>
        <v>0</v>
      </c>
      <c r="K124" s="26">
        <f>('Agency Revenues CAD'!K124/$C$1)/1000</f>
        <v>0</v>
      </c>
      <c r="L124" s="26">
        <f>('Agency Revenues CAD'!L124/$C$1)/1000</f>
        <v>0</v>
      </c>
      <c r="M124" s="26">
        <f>('Agency Revenues CAD'!M124/$C$1)/1000</f>
        <v>0</v>
      </c>
      <c r="N124" s="26">
        <f>('Agency Revenues CAD'!N124/$C$1)/1000</f>
        <v>0</v>
      </c>
      <c r="O124" s="26">
        <f>('Agency Revenues CAD'!O124/$C$1)/1000</f>
        <v>0</v>
      </c>
      <c r="P124" s="26">
        <f>('Agency Revenues CAD'!P124/$C$1)/1000</f>
        <v>0</v>
      </c>
      <c r="Q124" s="27">
        <f>('Agency Revenues CAD'!Q124/$C$1)/1000</f>
        <v>0</v>
      </c>
    </row>
    <row r="125" spans="1:17" x14ac:dyDescent="0.25">
      <c r="A125" s="2" t="s">
        <v>276</v>
      </c>
      <c r="B125" t="s">
        <v>167</v>
      </c>
      <c r="C125" s="2" t="s">
        <v>285</v>
      </c>
      <c r="D125" s="2"/>
      <c r="E125" s="26">
        <f>('Agency Revenues CAD'!E125/$C$1)/1000</f>
        <v>0</v>
      </c>
      <c r="F125" s="26">
        <f>('Agency Revenues CAD'!F125/$C$1)/1000</f>
        <v>0</v>
      </c>
      <c r="G125" s="26">
        <f>('Agency Revenues CAD'!G125/$C$1)/1000</f>
        <v>0</v>
      </c>
      <c r="H125" s="26">
        <f>('Agency Revenues CAD'!H125/$C$1)/1000</f>
        <v>0</v>
      </c>
      <c r="I125" s="26">
        <f>('Agency Revenues CAD'!I125/$C$1)/1000</f>
        <v>0</v>
      </c>
      <c r="J125" s="26">
        <f>('Agency Revenues CAD'!J125/$C$1)/1000</f>
        <v>0</v>
      </c>
      <c r="K125" s="26">
        <f>('Agency Revenues CAD'!K125/$C$1)/1000</f>
        <v>0</v>
      </c>
      <c r="L125" s="26">
        <f>('Agency Revenues CAD'!L125/$C$1)/1000</f>
        <v>0</v>
      </c>
      <c r="M125" s="26">
        <f>('Agency Revenues CAD'!M125/$C$1)/1000</f>
        <v>0</v>
      </c>
      <c r="N125" s="26">
        <f>('Agency Revenues CAD'!N125/$C$1)/1000</f>
        <v>38.233320907504037</v>
      </c>
      <c r="O125" s="26">
        <f>('Agency Revenues CAD'!O125/$C$1)/1000</f>
        <v>38.233320907504037</v>
      </c>
      <c r="P125" s="26">
        <f>('Agency Revenues CAD'!P125/$C$1)/1000</f>
        <v>38.233320907504037</v>
      </c>
      <c r="Q125" s="27">
        <f>('Agency Revenues CAD'!Q125/$C$1)/1000</f>
        <v>114.69996272251211</v>
      </c>
    </row>
    <row r="126" spans="1:17" x14ac:dyDescent="0.25">
      <c r="A126" s="2" t="s">
        <v>276</v>
      </c>
      <c r="B126" t="s">
        <v>167</v>
      </c>
      <c r="C126" s="2" t="s">
        <v>286</v>
      </c>
      <c r="D126" s="2"/>
      <c r="E126" s="26">
        <f>('Agency Revenues CAD'!E126/$C$1)/1000</f>
        <v>0</v>
      </c>
      <c r="F126" s="26">
        <f>('Agency Revenues CAD'!F126/$C$1)/1000</f>
        <v>0</v>
      </c>
      <c r="G126" s="26">
        <f>('Agency Revenues CAD'!G126/$C$1)/1000</f>
        <v>0</v>
      </c>
      <c r="H126" s="26">
        <f>('Agency Revenues CAD'!H126/$C$1)/1000</f>
        <v>0</v>
      </c>
      <c r="I126" s="26">
        <f>('Agency Revenues CAD'!I126/$C$1)/1000</f>
        <v>0</v>
      </c>
      <c r="J126" s="26">
        <f>('Agency Revenues CAD'!J126/$C$1)/1000</f>
        <v>0</v>
      </c>
      <c r="K126" s="26">
        <f>('Agency Revenues CAD'!K126/$C$1)/1000</f>
        <v>0</v>
      </c>
      <c r="L126" s="26">
        <f>('Agency Revenues CAD'!L126/$C$1)/1000</f>
        <v>0</v>
      </c>
      <c r="M126" s="26">
        <f>('Agency Revenues CAD'!M126/$C$1)/1000</f>
        <v>0</v>
      </c>
      <c r="N126" s="26">
        <f>('Agency Revenues CAD'!N126/$C$1)/1000</f>
        <v>0</v>
      </c>
      <c r="O126" s="26">
        <f>('Agency Revenues CAD'!O126/$C$1)/1000</f>
        <v>0</v>
      </c>
      <c r="P126" s="26">
        <f>('Agency Revenues CAD'!P126/$C$1)/1000</f>
        <v>0</v>
      </c>
      <c r="Q126" s="27">
        <f>('Agency Revenues CAD'!Q126/$C$1)/1000</f>
        <v>0</v>
      </c>
    </row>
    <row r="127" spans="1:17" s="9" customFormat="1" x14ac:dyDescent="0.25">
      <c r="A127" s="8" t="s">
        <v>276</v>
      </c>
      <c r="B127" s="9" t="s">
        <v>167</v>
      </c>
      <c r="C127" s="8" t="s">
        <v>288</v>
      </c>
      <c r="D127" s="8"/>
      <c r="E127" s="31">
        <f>('Agency Revenues CAD'!E127/$C$1)/1000</f>
        <v>0</v>
      </c>
      <c r="F127" s="31">
        <f>('Agency Revenues CAD'!F127/$C$1)/1000</f>
        <v>0</v>
      </c>
      <c r="G127" s="31">
        <f>('Agency Revenues CAD'!G127/$C$1)/1000</f>
        <v>0</v>
      </c>
      <c r="H127" s="31">
        <f>('Agency Revenues CAD'!H127/$C$1)/1000</f>
        <v>0</v>
      </c>
      <c r="I127" s="31">
        <f>('Agency Revenues CAD'!I127/$C$1)/1000</f>
        <v>0</v>
      </c>
      <c r="J127" s="31">
        <f>('Agency Revenues CAD'!J127/$C$1)/1000</f>
        <v>0</v>
      </c>
      <c r="K127" s="31">
        <f>('Agency Revenues CAD'!K127/$C$1)/1000</f>
        <v>0</v>
      </c>
      <c r="L127" s="31">
        <f>('Agency Revenues CAD'!L127/$C$1)/1000</f>
        <v>0</v>
      </c>
      <c r="M127" s="31">
        <f>('Agency Revenues CAD'!M127/$C$1)/1000</f>
        <v>0</v>
      </c>
      <c r="N127" s="31">
        <f>('Agency Revenues CAD'!N127/$C$1)/1000</f>
        <v>0</v>
      </c>
      <c r="O127" s="31">
        <f>('Agency Revenues CAD'!O127/$C$1)/1000</f>
        <v>0</v>
      </c>
      <c r="P127" s="31">
        <f>('Agency Revenues CAD'!P127/$C$1)/1000</f>
        <v>0</v>
      </c>
      <c r="Q127" s="32">
        <f>('Agency Revenues CAD'!Q127/$C$1)/1000</f>
        <v>0</v>
      </c>
    </row>
    <row r="128" spans="1:17" s="24" customFormat="1" ht="15.75" thickBot="1" x14ac:dyDescent="0.3">
      <c r="A128" s="21" t="s">
        <v>12</v>
      </c>
      <c r="B128" s="22"/>
      <c r="C128" s="21"/>
      <c r="D128" s="21"/>
      <c r="E128" s="37">
        <f t="shared" ref="E128:P128" si="0">SUM(E3:E127)</f>
        <v>2356.3797188688418</v>
      </c>
      <c r="F128" s="37">
        <f t="shared" si="0"/>
        <v>2836.4788273943805</v>
      </c>
      <c r="G128" s="37">
        <f t="shared" si="0"/>
        <v>2874.6945253165286</v>
      </c>
      <c r="H128" s="37">
        <f t="shared" si="0"/>
        <v>3487.3061213742599</v>
      </c>
      <c r="I128" s="37">
        <f t="shared" si="0"/>
        <v>4647.1143891878237</v>
      </c>
      <c r="J128" s="37">
        <f t="shared" si="0"/>
        <v>3557.5304672055222</v>
      </c>
      <c r="K128" s="37">
        <f t="shared" si="0"/>
        <v>3633.0674780404197</v>
      </c>
      <c r="L128" s="37">
        <f t="shared" si="0"/>
        <v>4524.997256520629</v>
      </c>
      <c r="M128" s="37">
        <f t="shared" si="0"/>
        <v>5098.2859890484688</v>
      </c>
      <c r="N128" s="37">
        <f t="shared" si="0"/>
        <v>4895.2580348744714</v>
      </c>
      <c r="O128" s="37">
        <f t="shared" si="0"/>
        <v>5294.0084762856541</v>
      </c>
      <c r="P128" s="37">
        <f t="shared" si="0"/>
        <v>5147.1795247643922</v>
      </c>
      <c r="Q128" s="37">
        <f t="shared" ref="Q128" si="1">SUM(E128:P128)</f>
        <v>48352.300808881395</v>
      </c>
    </row>
    <row r="129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129"/>
  <sheetViews>
    <sheetView topLeftCell="A97" workbookViewId="0">
      <selection activeCell="F142" sqref="F142"/>
    </sheetView>
  </sheetViews>
  <sheetFormatPr defaultRowHeight="15" x14ac:dyDescent="0.25"/>
  <cols>
    <col min="1" max="1" width="13.5703125" bestFit="1" customWidth="1"/>
    <col min="2" max="2" width="12.85546875" bestFit="1" customWidth="1"/>
    <col min="3" max="3" width="44.7109375" bestFit="1" customWidth="1"/>
    <col min="5" max="16" width="13.28515625" bestFit="1" customWidth="1"/>
    <col min="17" max="17" width="14.28515625" style="1" bestFit="1" customWidth="1"/>
  </cols>
  <sheetData>
    <row r="1" spans="1:17" x14ac:dyDescent="0.25">
      <c r="A1" t="s">
        <v>287</v>
      </c>
      <c r="C1">
        <v>1.2903230000000001</v>
      </c>
      <c r="E1" s="7">
        <v>42370</v>
      </c>
      <c r="F1" s="7">
        <v>42401</v>
      </c>
      <c r="G1" s="7">
        <v>42430</v>
      </c>
      <c r="H1" s="7">
        <v>42461</v>
      </c>
      <c r="I1" s="7">
        <v>42491</v>
      </c>
      <c r="J1" s="7">
        <v>42522</v>
      </c>
      <c r="K1" s="7">
        <v>42552</v>
      </c>
      <c r="L1" s="7">
        <v>42583</v>
      </c>
      <c r="M1" s="7">
        <v>42614</v>
      </c>
      <c r="N1" s="7">
        <v>42644</v>
      </c>
      <c r="O1" s="7">
        <v>42675</v>
      </c>
      <c r="P1" s="7">
        <v>42705</v>
      </c>
      <c r="Q1" s="1" t="s">
        <v>12</v>
      </c>
    </row>
    <row r="3" spans="1:17" x14ac:dyDescent="0.25">
      <c r="A3" s="2" t="s">
        <v>158</v>
      </c>
      <c r="B3" t="s">
        <v>167</v>
      </c>
      <c r="C3" s="2" t="s">
        <v>159</v>
      </c>
      <c r="D3" s="2"/>
      <c r="E3" s="3">
        <f>('Agency Net Sales CAD'!E3/$C$1)/1000</f>
        <v>0</v>
      </c>
      <c r="F3" s="3">
        <f>('Agency Net Sales CAD'!F3/$C$1)/1000</f>
        <v>0</v>
      </c>
      <c r="G3" s="3">
        <f>('Agency Net Sales CAD'!G3/$C$1)/1000</f>
        <v>0</v>
      </c>
      <c r="H3" s="3">
        <f>('Agency Net Sales CAD'!H3/$C$1)/1000</f>
        <v>0</v>
      </c>
      <c r="I3" s="3">
        <f>('Agency Net Sales CAD'!I3/$C$1)/1000</f>
        <v>0</v>
      </c>
      <c r="J3" s="3">
        <f>('Agency Net Sales CAD'!J3/$C$1)/1000</f>
        <v>4.5394137746905239</v>
      </c>
      <c r="K3" s="3">
        <f>('Agency Net Sales CAD'!K3/$C$1)/1000</f>
        <v>0</v>
      </c>
      <c r="L3" s="3">
        <f>('Agency Net Sales CAD'!L3/$C$1)/1000</f>
        <v>0</v>
      </c>
      <c r="M3" s="3">
        <f>('Agency Net Sales CAD'!M3/$C$1)/1000</f>
        <v>0</v>
      </c>
      <c r="N3" s="3">
        <f>('Agency Net Sales CAD'!N3/$C$1)/1000</f>
        <v>0</v>
      </c>
      <c r="O3" s="3">
        <f>('Agency Net Sales CAD'!O3/$C$1)/1000</f>
        <v>0</v>
      </c>
      <c r="P3" s="3">
        <f>('Agency Net Sales CAD'!P3/$C$1)/1000</f>
        <v>0</v>
      </c>
      <c r="Q3" s="4">
        <f>('Agency Net Sales CAD'!Q3/$C$1)/1000</f>
        <v>4.5394137746905239</v>
      </c>
    </row>
    <row r="4" spans="1:17" x14ac:dyDescent="0.25">
      <c r="A4" s="2" t="s">
        <v>158</v>
      </c>
      <c r="B4" t="s">
        <v>167</v>
      </c>
      <c r="C4" s="2" t="s">
        <v>160</v>
      </c>
      <c r="D4" s="2"/>
      <c r="E4" s="3">
        <f>('Agency Net Sales CAD'!E4/$C$1)/1000</f>
        <v>0</v>
      </c>
      <c r="F4" s="3">
        <f>('Agency Net Sales CAD'!F4/$C$1)/1000</f>
        <v>0</v>
      </c>
      <c r="G4" s="3">
        <f>('Agency Net Sales CAD'!G4/$C$1)/1000</f>
        <v>0</v>
      </c>
      <c r="H4" s="3">
        <f>('Agency Net Sales CAD'!H4/$C$1)/1000</f>
        <v>0</v>
      </c>
      <c r="I4" s="3">
        <f>('Agency Net Sales CAD'!I4/$C$1)/1000</f>
        <v>0</v>
      </c>
      <c r="J4" s="3">
        <f>('Agency Net Sales CAD'!J4/$C$1)/1000</f>
        <v>0</v>
      </c>
      <c r="K4" s="3">
        <f>('Agency Net Sales CAD'!K4/$C$1)/1000</f>
        <v>0</v>
      </c>
      <c r="L4" s="3">
        <f>('Agency Net Sales CAD'!L4/$C$1)/1000</f>
        <v>0</v>
      </c>
      <c r="M4" s="3">
        <f>('Agency Net Sales CAD'!M4/$C$1)/1000</f>
        <v>0</v>
      </c>
      <c r="N4" s="3">
        <f>('Agency Net Sales CAD'!N4/$C$1)/1000</f>
        <v>0</v>
      </c>
      <c r="O4" s="3">
        <f>('Agency Net Sales CAD'!O4/$C$1)/1000</f>
        <v>0</v>
      </c>
      <c r="P4" s="3">
        <f>('Agency Net Sales CAD'!P4/$C$1)/1000</f>
        <v>0</v>
      </c>
      <c r="Q4" s="4">
        <f>('Agency Net Sales CAD'!Q4/$C$1)/1000</f>
        <v>0</v>
      </c>
    </row>
    <row r="5" spans="1:17" x14ac:dyDescent="0.25">
      <c r="A5" s="2" t="s">
        <v>158</v>
      </c>
      <c r="B5" t="s">
        <v>167</v>
      </c>
      <c r="C5" s="2" t="s">
        <v>161</v>
      </c>
      <c r="D5" s="2"/>
      <c r="E5" s="3">
        <f>('Agency Net Sales CAD'!E5/$C$1)/1000</f>
        <v>10.512152244050521</v>
      </c>
      <c r="F5" s="3">
        <f>('Agency Net Sales CAD'!F5/$C$1)/1000</f>
        <v>5.0742610958651442</v>
      </c>
      <c r="G5" s="3">
        <f>('Agency Net Sales CAD'!G5/$C$1)/1000</f>
        <v>2.0529820827808232</v>
      </c>
      <c r="H5" s="3">
        <f>('Agency Net Sales CAD'!H5/$C$1)/1000</f>
        <v>0</v>
      </c>
      <c r="I5" s="3">
        <f>('Agency Net Sales CAD'!I5/$C$1)/1000</f>
        <v>7.3012372870978819</v>
      </c>
      <c r="J5" s="3">
        <f>('Agency Net Sales CAD'!J5/$C$1)/1000</f>
        <v>-2.8324447894786067</v>
      </c>
      <c r="K5" s="3">
        <f>('Agency Net Sales CAD'!K5/$C$1)/1000</f>
        <v>-2.4970589743509852E-2</v>
      </c>
      <c r="L5" s="3">
        <f>('Agency Net Sales CAD'!L5/$C$1)/1000</f>
        <v>-7.6649172916499059E-2</v>
      </c>
      <c r="M5" s="3">
        <f>('Agency Net Sales CAD'!M5/$C$1)/1000</f>
        <v>0</v>
      </c>
      <c r="N5" s="3">
        <f>('Agency Net Sales CAD'!N5/$C$1)/1000</f>
        <v>0</v>
      </c>
      <c r="O5" s="3">
        <f>('Agency Net Sales CAD'!O5/$C$1)/1000</f>
        <v>0</v>
      </c>
      <c r="P5" s="3">
        <f>('Agency Net Sales CAD'!P5/$C$1)/1000</f>
        <v>0</v>
      </c>
      <c r="Q5" s="4">
        <f>('Agency Net Sales CAD'!Q5/$C$1)/1000</f>
        <v>22.006568157655749</v>
      </c>
    </row>
    <row r="6" spans="1:17" x14ac:dyDescent="0.25">
      <c r="A6" s="2" t="s">
        <v>158</v>
      </c>
      <c r="B6" t="s">
        <v>167</v>
      </c>
      <c r="C6" s="2" t="s">
        <v>162</v>
      </c>
      <c r="D6" s="2"/>
      <c r="E6" s="3">
        <f>('Agency Net Sales CAD'!E6/$C$1)/1000</f>
        <v>0</v>
      </c>
      <c r="F6" s="3">
        <f>('Agency Net Sales CAD'!F6/$C$1)/1000</f>
        <v>0</v>
      </c>
      <c r="G6" s="3">
        <f>('Agency Net Sales CAD'!G6/$C$1)/1000</f>
        <v>0</v>
      </c>
      <c r="H6" s="3">
        <f>('Agency Net Sales CAD'!H6/$C$1)/1000</f>
        <v>0</v>
      </c>
      <c r="I6" s="3">
        <f>('Agency Net Sales CAD'!I6/$C$1)/1000</f>
        <v>0</v>
      </c>
      <c r="J6" s="3">
        <f>('Agency Net Sales CAD'!J6/$C$1)/1000</f>
        <v>0</v>
      </c>
      <c r="K6" s="3">
        <f>('Agency Net Sales CAD'!K6/$C$1)/1000</f>
        <v>0</v>
      </c>
      <c r="L6" s="3">
        <f>('Agency Net Sales CAD'!L6/$C$1)/1000</f>
        <v>0</v>
      </c>
      <c r="M6" s="3">
        <f>('Agency Net Sales CAD'!M6/$C$1)/1000</f>
        <v>0</v>
      </c>
      <c r="N6" s="3">
        <f>('Agency Net Sales CAD'!N6/$C$1)/1000</f>
        <v>0</v>
      </c>
      <c r="O6" s="3">
        <f>('Agency Net Sales CAD'!O6/$C$1)/1000</f>
        <v>0</v>
      </c>
      <c r="P6" s="5">
        <f>('Agency Net Sales CAD'!P6/$C$1)/1000</f>
        <v>15.938644819940434</v>
      </c>
      <c r="Q6" s="4">
        <f>('Agency Net Sales CAD'!Q6/$C$1)/1000</f>
        <v>15.938644819940434</v>
      </c>
    </row>
    <row r="7" spans="1:17" x14ac:dyDescent="0.25">
      <c r="A7" s="2" t="s">
        <v>158</v>
      </c>
      <c r="B7" t="s">
        <v>167</v>
      </c>
      <c r="C7" s="2" t="s">
        <v>163</v>
      </c>
      <c r="D7" s="2"/>
      <c r="E7" s="3">
        <f>('Agency Net Sales CAD'!E7/$C$1)/1000</f>
        <v>24.29124352584585</v>
      </c>
      <c r="F7" s="3">
        <f>('Agency Net Sales CAD'!F7/$C$1)/1000</f>
        <v>72.346522227380277</v>
      </c>
      <c r="G7" s="3">
        <f>('Agency Net Sales CAD'!G7/$C$1)/1000</f>
        <v>35.290538260575069</v>
      </c>
      <c r="H7" s="3">
        <f>('Agency Net Sales CAD'!H7/$C$1)/1000</f>
        <v>26.929681482853514</v>
      </c>
      <c r="I7" s="3">
        <f>('Agency Net Sales CAD'!I7/$C$1)/1000</f>
        <v>47.01067050653208</v>
      </c>
      <c r="J7" s="3">
        <f>('Agency Net Sales CAD'!J7/$C$1)/1000</f>
        <v>48.70245553913675</v>
      </c>
      <c r="K7" s="3">
        <f>('Agency Net Sales CAD'!K7/$C$1)/1000</f>
        <v>81.590235126168324</v>
      </c>
      <c r="L7" s="3">
        <f>('Agency Net Sales CAD'!L7/$C$1)/1000</f>
        <v>58.202620648607073</v>
      </c>
      <c r="M7" s="3">
        <f>('Agency Net Sales CAD'!M7/$C$1)/1000</f>
        <v>38.074418576973642</v>
      </c>
      <c r="N7" s="3">
        <f>('Agency Net Sales CAD'!N7/$C$1)/1000</f>
        <v>43.350959410938195</v>
      </c>
      <c r="O7" s="3">
        <f>('Agency Net Sales CAD'!O7/$C$1)/1000</f>
        <v>54.602580129161446</v>
      </c>
      <c r="P7" s="3">
        <f>('Agency Net Sales CAD'!P7/$C$1)/1000</f>
        <v>19.880363288881927</v>
      </c>
      <c r="Q7" s="4">
        <f>('Agency Net Sales CAD'!Q7/$C$1)/1000</f>
        <v>550.27228872305409</v>
      </c>
    </row>
    <row r="8" spans="1:17" x14ac:dyDescent="0.25">
      <c r="A8" s="2" t="s">
        <v>158</v>
      </c>
      <c r="B8" t="s">
        <v>167</v>
      </c>
      <c r="C8" s="2" t="s">
        <v>164</v>
      </c>
      <c r="D8" s="2"/>
      <c r="E8" s="3">
        <f>('Agency Net Sales CAD'!E8/$C$1)/1000</f>
        <v>0</v>
      </c>
      <c r="F8" s="3">
        <f>('Agency Net Sales CAD'!F8/$C$1)/1000</f>
        <v>0</v>
      </c>
      <c r="G8" s="3">
        <f>('Agency Net Sales CAD'!G8/$C$1)/1000</f>
        <v>0</v>
      </c>
      <c r="H8" s="3">
        <f>('Agency Net Sales CAD'!H8/$C$1)/1000</f>
        <v>0</v>
      </c>
      <c r="I8" s="3">
        <f>('Agency Net Sales CAD'!I8/$C$1)/1000</f>
        <v>0</v>
      </c>
      <c r="J8" s="3">
        <f>('Agency Net Sales CAD'!J8/$C$1)/1000</f>
        <v>0</v>
      </c>
      <c r="K8" s="3">
        <f>('Agency Net Sales CAD'!K8/$C$1)/1000</f>
        <v>0</v>
      </c>
      <c r="L8" s="3">
        <f>('Agency Net Sales CAD'!L8/$C$1)/1000</f>
        <v>0</v>
      </c>
      <c r="M8" s="3">
        <f>('Agency Net Sales CAD'!M8/$C$1)/1000</f>
        <v>0</v>
      </c>
      <c r="N8" s="3">
        <f>('Agency Net Sales CAD'!N8/$C$1)/1000</f>
        <v>0</v>
      </c>
      <c r="O8" s="3">
        <f>('Agency Net Sales CAD'!O8/$C$1)/1000</f>
        <v>0</v>
      </c>
      <c r="P8" s="3">
        <f>('Agency Net Sales CAD'!P8/$C$1)/1000</f>
        <v>0</v>
      </c>
      <c r="Q8" s="4">
        <f>('Agency Net Sales CAD'!Q8/$C$1)/1000</f>
        <v>0</v>
      </c>
    </row>
    <row r="9" spans="1:17" x14ac:dyDescent="0.25">
      <c r="A9" s="2" t="s">
        <v>158</v>
      </c>
      <c r="B9" t="s">
        <v>167</v>
      </c>
      <c r="C9" s="2" t="s">
        <v>165</v>
      </c>
      <c r="D9" s="2"/>
      <c r="E9" s="3">
        <f>('Agency Net Sales CAD'!E9/$C$1)/1000</f>
        <v>0</v>
      </c>
      <c r="F9" s="3">
        <f>('Agency Net Sales CAD'!F9/$C$1)/1000</f>
        <v>0</v>
      </c>
      <c r="G9" s="3">
        <f>('Agency Net Sales CAD'!G9/$C$1)/1000</f>
        <v>0</v>
      </c>
      <c r="H9" s="3">
        <f>('Agency Net Sales CAD'!H9/$C$1)/1000</f>
        <v>0</v>
      </c>
      <c r="I9" s="3">
        <f>('Agency Net Sales CAD'!I9/$C$1)/1000</f>
        <v>0</v>
      </c>
      <c r="J9" s="3">
        <f>('Agency Net Sales CAD'!J9/$C$1)/1000</f>
        <v>0</v>
      </c>
      <c r="K9" s="3">
        <f>('Agency Net Sales CAD'!K9/$C$1)/1000</f>
        <v>0</v>
      </c>
      <c r="L9" s="3">
        <f>('Agency Net Sales CAD'!L9/$C$1)/1000</f>
        <v>0</v>
      </c>
      <c r="M9" s="3">
        <f>('Agency Net Sales CAD'!M9/$C$1)/1000</f>
        <v>12.419684261227614</v>
      </c>
      <c r="N9" s="3">
        <f>('Agency Net Sales CAD'!N9/$C$1)/1000</f>
        <v>12.244996020376293</v>
      </c>
      <c r="O9" s="3">
        <f>('Agency Net Sales CAD'!O9/$C$1)/1000</f>
        <v>0</v>
      </c>
      <c r="P9" s="3">
        <f>('Agency Net Sales CAD'!P9/$C$1)/1000</f>
        <v>0</v>
      </c>
      <c r="Q9" s="4">
        <f>('Agency Net Sales CAD'!Q9/$C$1)/1000</f>
        <v>24.664680281603911</v>
      </c>
    </row>
    <row r="10" spans="1:17" x14ac:dyDescent="0.25">
      <c r="A10" s="2" t="s">
        <v>158</v>
      </c>
      <c r="B10" t="s">
        <v>167</v>
      </c>
      <c r="C10" s="2" t="s">
        <v>166</v>
      </c>
      <c r="D10" s="2"/>
      <c r="E10" s="3">
        <f>('Agency Net Sales CAD'!E10/$C$1)/1000</f>
        <v>2.0232752574355413</v>
      </c>
      <c r="F10" s="3">
        <f>('Agency Net Sales CAD'!F10/$C$1)/1000</f>
        <v>2.6485481542218494</v>
      </c>
      <c r="G10" s="3">
        <f>('Agency Net Sales CAD'!G10/$C$1)/1000</f>
        <v>7.4607533152551726</v>
      </c>
      <c r="H10" s="3">
        <f>('Agency Net Sales CAD'!H10/$C$1)/1000</f>
        <v>0.34716373342178652</v>
      </c>
      <c r="I10" s="3">
        <f>('Agency Net Sales CAD'!I10/$C$1)/1000</f>
        <v>0.49654621362248047</v>
      </c>
      <c r="J10" s="3">
        <f>('Agency Net Sales CAD'!J10/$C$1)/1000</f>
        <v>2.8909390945841795</v>
      </c>
      <c r="K10" s="3">
        <f>('Agency Net Sales CAD'!K10/$C$1)/1000</f>
        <v>3.221599971477453</v>
      </c>
      <c r="L10" s="3">
        <f>('Agency Net Sales CAD'!L10/$C$1)/1000</f>
        <v>-0.34511160038447525</v>
      </c>
      <c r="M10" s="3">
        <f>('Agency Net Sales CAD'!M10/$C$1)/1000</f>
        <v>0.37484104822085113</v>
      </c>
      <c r="N10" s="3">
        <f>('Agency Net Sales CAD'!N10/$C$1)/1000</f>
        <v>4.5918735076411092</v>
      </c>
      <c r="O10" s="3">
        <f>('Agency Net Sales CAD'!O10/$C$1)/1000</f>
        <v>3.0612490050940733</v>
      </c>
      <c r="P10" s="3">
        <f>('Agency Net Sales CAD'!P10/$C$1)/1000</f>
        <v>4.5918735076411092</v>
      </c>
      <c r="Q10" s="4">
        <f>('Agency Net Sales CAD'!Q10/$C$1)/1000</f>
        <v>31.363551208231133</v>
      </c>
    </row>
    <row r="11" spans="1:17" x14ac:dyDescent="0.25">
      <c r="A11" s="2" t="s">
        <v>158</v>
      </c>
      <c r="B11" t="s">
        <v>167</v>
      </c>
      <c r="C11" s="2" t="s">
        <v>168</v>
      </c>
      <c r="D11" s="2"/>
      <c r="E11" s="3">
        <f>('Agency Net Sales CAD'!E11/$C$1)/1000</f>
        <v>-1.3464380624076295</v>
      </c>
      <c r="F11" s="3">
        <f>('Agency Net Sales CAD'!F11/$C$1)/1000</f>
        <v>0</v>
      </c>
      <c r="G11" s="3">
        <f>('Agency Net Sales CAD'!G11/$C$1)/1000</f>
        <v>-11.451256778341545</v>
      </c>
      <c r="H11" s="3">
        <f>('Agency Net Sales CAD'!H11/$C$1)/1000</f>
        <v>-5.3298360178032933</v>
      </c>
      <c r="I11" s="3">
        <f>('Agency Net Sales CAD'!I11/$C$1)/1000</f>
        <v>0</v>
      </c>
      <c r="J11" s="3">
        <f>('Agency Net Sales CAD'!J11/$C$1)/1000</f>
        <v>-9.8562452967202785E-2</v>
      </c>
      <c r="K11" s="3">
        <f>('Agency Net Sales CAD'!K11/$C$1)/1000</f>
        <v>0</v>
      </c>
      <c r="L11" s="3">
        <f>('Agency Net Sales CAD'!L11/$C$1)/1000</f>
        <v>0</v>
      </c>
      <c r="M11" s="3">
        <f>('Agency Net Sales CAD'!M11/$C$1)/1000</f>
        <v>0</v>
      </c>
      <c r="N11" s="3">
        <f>('Agency Net Sales CAD'!N11/$C$1)/1000</f>
        <v>14.540932774196847</v>
      </c>
      <c r="O11" s="3">
        <f>('Agency Net Sales CAD'!O11/$C$1)/1000</f>
        <v>5.8163731096787386</v>
      </c>
      <c r="P11" s="3">
        <f>('Agency Net Sales CAD'!P11/$C$1)/1000</f>
        <v>11.632746219357477</v>
      </c>
      <c r="Q11" s="4">
        <f>('Agency Net Sales CAD'!Q11/$C$1)/1000</f>
        <v>13.763958791713392</v>
      </c>
    </row>
    <row r="12" spans="1:17" x14ac:dyDescent="0.25">
      <c r="A12" s="2" t="s">
        <v>158</v>
      </c>
      <c r="B12" t="s">
        <v>167</v>
      </c>
      <c r="C12" s="2" t="s">
        <v>169</v>
      </c>
      <c r="D12" s="2"/>
      <c r="E12" s="6">
        <f>('Agency Net Sales CAD'!E12/$C$1)/1000</f>
        <v>24.76145786752619</v>
      </c>
      <c r="F12" s="3">
        <f>('Agency Net Sales CAD'!F12/$C$1)/1000</f>
        <v>6.3295205929058067</v>
      </c>
      <c r="G12" s="3">
        <f>('Agency Net Sales CAD'!G12/$C$1)/1000</f>
        <v>19.796246831219779</v>
      </c>
      <c r="H12" s="3">
        <f>('Agency Net Sales CAD'!H12/$C$1)/1000</f>
        <v>17.325751899795634</v>
      </c>
      <c r="I12" s="3">
        <f>('Agency Net Sales CAD'!I12/$C$1)/1000</f>
        <v>21.859648785614144</v>
      </c>
      <c r="J12" s="3">
        <f>('Agency Net Sales CAD'!J12/$C$1)/1000</f>
        <v>29.579177311016721</v>
      </c>
      <c r="K12" s="3">
        <f>('Agency Net Sales CAD'!K12/$C$1)/1000</f>
        <v>16.07102753938355</v>
      </c>
      <c r="L12" s="3">
        <f>('Agency Net Sales CAD'!L12/$C$1)/1000</f>
        <v>6.1569388107065306</v>
      </c>
      <c r="M12" s="3">
        <f>('Agency Net Sales CAD'!M12/$C$1)/1000</f>
        <v>-2.685113077150235</v>
      </c>
      <c r="N12" s="3">
        <f>('Agency Net Sales CAD'!N12/$C$1)/1000</f>
        <v>12.244996020376293</v>
      </c>
      <c r="O12" s="3">
        <f>('Agency Net Sales CAD'!O12/$C$1)/1000</f>
        <v>0</v>
      </c>
      <c r="P12" s="3">
        <f>('Agency Net Sales CAD'!P12/$C$1)/1000</f>
        <v>5.6326981693730938</v>
      </c>
      <c r="Q12" s="4">
        <f>('Agency Net Sales CAD'!Q12/$C$1)/1000</f>
        <v>157.07235075076747</v>
      </c>
    </row>
    <row r="13" spans="1:17" x14ac:dyDescent="0.25">
      <c r="A13" s="2" t="s">
        <v>158</v>
      </c>
      <c r="B13" t="s">
        <v>167</v>
      </c>
      <c r="C13" s="2" t="s">
        <v>170</v>
      </c>
      <c r="D13" s="2"/>
      <c r="E13" s="6">
        <f>('Agency Net Sales CAD'!E13/$C$1)/1000</f>
        <v>1.8023099642492619</v>
      </c>
      <c r="F13" s="3">
        <f>('Agency Net Sales CAD'!F13/$C$1)/1000</f>
        <v>4.0382584825659924</v>
      </c>
      <c r="G13" s="3">
        <f>('Agency Net Sales CAD'!G13/$C$1)/1000</f>
        <v>5.4378863276869422</v>
      </c>
      <c r="H13" s="3">
        <f>('Agency Net Sales CAD'!H13/$C$1)/1000</f>
        <v>5.7592863182319451</v>
      </c>
      <c r="I13" s="3">
        <f>('Agency Net Sales CAD'!I13/$C$1)/1000</f>
        <v>3.8709087569546536</v>
      </c>
      <c r="J13" s="3">
        <f>('Agency Net Sales CAD'!J13/$C$1)/1000</f>
        <v>-0.15040265111913836</v>
      </c>
      <c r="K13" s="3">
        <f>('Agency Net Sales CAD'!K13/$C$1)/1000</f>
        <v>0.6932969398359955</v>
      </c>
      <c r="L13" s="3">
        <f>('Agency Net Sales CAD'!L13/$C$1)/1000</f>
        <v>3.3230133075206751</v>
      </c>
      <c r="M13" s="3">
        <f>('Agency Net Sales CAD'!M13/$C$1)/1000</f>
        <v>-1.5846750548118593</v>
      </c>
      <c r="N13" s="3">
        <f>('Agency Net Sales CAD'!N13/$C$1)/1000</f>
        <v>0</v>
      </c>
      <c r="O13" s="3">
        <f>('Agency Net Sales CAD'!O13/$C$1)/1000</f>
        <v>0</v>
      </c>
      <c r="P13" s="3">
        <f>('Agency Net Sales CAD'!P13/$C$1)/1000</f>
        <v>0</v>
      </c>
      <c r="Q13" s="4">
        <f>('Agency Net Sales CAD'!Q13/$C$1)/1000</f>
        <v>23.189882391114477</v>
      </c>
    </row>
    <row r="14" spans="1:17" x14ac:dyDescent="0.25">
      <c r="A14" s="2" t="s">
        <v>158</v>
      </c>
      <c r="B14" t="s">
        <v>167</v>
      </c>
      <c r="C14" s="2" t="s">
        <v>171</v>
      </c>
      <c r="D14" s="2"/>
      <c r="E14" s="6">
        <f>('Agency Net Sales CAD'!E14/$C$1)/1000</f>
        <v>0</v>
      </c>
      <c r="F14" s="3">
        <f>('Agency Net Sales CAD'!F14/$C$1)/1000</f>
        <v>0</v>
      </c>
      <c r="G14" s="3">
        <f>('Agency Net Sales CAD'!G14/$C$1)/1000</f>
        <v>0</v>
      </c>
      <c r="H14" s="3">
        <f>('Agency Net Sales CAD'!H14/$C$1)/1000</f>
        <v>0</v>
      </c>
      <c r="I14" s="6">
        <f>('Agency Net Sales CAD'!I14/$C$1)/1000</f>
        <v>0</v>
      </c>
      <c r="J14" s="3">
        <f>('Agency Net Sales CAD'!J14/$C$1)/1000</f>
        <v>0</v>
      </c>
      <c r="K14" s="3">
        <f>('Agency Net Sales CAD'!K14/$C$1)/1000</f>
        <v>0</v>
      </c>
      <c r="L14" s="3">
        <f>('Agency Net Sales CAD'!L14/$C$1)/1000</f>
        <v>0</v>
      </c>
      <c r="M14" s="3">
        <f>('Agency Net Sales CAD'!M14/$C$1)/1000</f>
        <v>0</v>
      </c>
      <c r="N14" s="3">
        <f>('Agency Net Sales CAD'!N14/$C$1)/1000</f>
        <v>0</v>
      </c>
      <c r="O14" s="3">
        <f>('Agency Net Sales CAD'!O14/$C$1)/1000</f>
        <v>0</v>
      </c>
      <c r="P14" s="3">
        <f>('Agency Net Sales CAD'!P14/$C$1)/1000</f>
        <v>0</v>
      </c>
      <c r="Q14" s="4">
        <f>('Agency Net Sales CAD'!Q14/$C$1)/1000</f>
        <v>0</v>
      </c>
    </row>
    <row r="15" spans="1:17" x14ac:dyDescent="0.25">
      <c r="A15" s="2" t="s">
        <v>158</v>
      </c>
      <c r="B15" t="s">
        <v>167</v>
      </c>
      <c r="C15" s="2" t="s">
        <v>172</v>
      </c>
      <c r="D15" s="2"/>
      <c r="E15" s="6">
        <f>('Agency Net Sales CAD'!E15/$C$1)/1000</f>
        <v>-3.9137487280316626E-3</v>
      </c>
      <c r="F15" s="3">
        <f>('Agency Net Sales CAD'!F15/$C$1)/1000</f>
        <v>0</v>
      </c>
      <c r="G15" s="3">
        <f>('Agency Net Sales CAD'!G15/$C$1)/1000</f>
        <v>0.68927191098662877</v>
      </c>
      <c r="H15" s="3">
        <f>('Agency Net Sales CAD'!H15/$C$1)/1000</f>
        <v>2.056089676770855</v>
      </c>
      <c r="I15" s="3">
        <f>('Agency Net Sales CAD'!I15/$C$1)/1000</f>
        <v>1.3230791049992909</v>
      </c>
      <c r="J15" s="3">
        <f>('Agency Net Sales CAD'!J15/$C$1)/1000</f>
        <v>2.7025484820467436</v>
      </c>
      <c r="K15" s="3">
        <f>('Agency Net Sales CAD'!K15/$C$1)/1000</f>
        <v>1.4129463501714064</v>
      </c>
      <c r="L15" s="3">
        <f>('Agency Net Sales CAD'!L15/$C$1)/1000</f>
        <v>1.6712016932752811</v>
      </c>
      <c r="M15" s="3">
        <f>('Agency Net Sales CAD'!M15/$C$1)/1000</f>
        <v>1.118542729644437</v>
      </c>
      <c r="N15" s="3">
        <f>('Agency Net Sales CAD'!N15/$C$1)/1000</f>
        <v>1.9615197900060679</v>
      </c>
      <c r="O15" s="3">
        <f>('Agency Net Sales CAD'!O15/$C$1)/1000</f>
        <v>1.7084218447629005</v>
      </c>
      <c r="P15" s="3">
        <f>('Agency Net Sales CAD'!P15/$C$1)/1000</f>
        <v>2.5309947586767034</v>
      </c>
      <c r="Q15" s="4">
        <f>('Agency Net Sales CAD'!Q15/$C$1)/1000</f>
        <v>17.170702592612283</v>
      </c>
    </row>
    <row r="16" spans="1:17" x14ac:dyDescent="0.25">
      <c r="A16" s="2" t="s">
        <v>158</v>
      </c>
      <c r="B16" t="s">
        <v>167</v>
      </c>
      <c r="C16" s="2" t="s">
        <v>173</v>
      </c>
      <c r="D16" s="2"/>
      <c r="E16" s="6">
        <f>('Agency Net Sales CAD'!E16/$C$1)/1000</f>
        <v>0</v>
      </c>
      <c r="F16" s="3">
        <f>('Agency Net Sales CAD'!F16/$C$1)/1000</f>
        <v>0</v>
      </c>
      <c r="G16" s="3">
        <f>('Agency Net Sales CAD'!G16/$C$1)/1000</f>
        <v>0</v>
      </c>
      <c r="H16" s="3">
        <f>('Agency Net Sales CAD'!H16/$C$1)/1000</f>
        <v>0.97089534945901146</v>
      </c>
      <c r="I16" s="6">
        <f>('Agency Net Sales CAD'!I16/$C$1)/1000</f>
        <v>0.84289081106048636</v>
      </c>
      <c r="J16" s="3">
        <f>('Agency Net Sales CAD'!J16/$C$1)/1000</f>
        <v>0.97066205903483094</v>
      </c>
      <c r="K16" s="3">
        <f>('Agency Net Sales CAD'!K16/$C$1)/1000</f>
        <v>0.9960116497962137</v>
      </c>
      <c r="L16" s="3">
        <f>('Agency Net Sales CAD'!L16/$C$1)/1000</f>
        <v>0.64833331458676446</v>
      </c>
      <c r="M16" s="3">
        <f>('Agency Net Sales CAD'!M16/$C$1)/1000</f>
        <v>1.4298909160984645</v>
      </c>
      <c r="N16" s="3">
        <f>('Agency Net Sales CAD'!N16/$C$1)/1000</f>
        <v>0.92424005462198211</v>
      </c>
      <c r="O16" s="3">
        <f>('Agency Net Sales CAD'!O16/$C$1)/1000</f>
        <v>0.89442348931236582</v>
      </c>
      <c r="P16" s="3">
        <f>('Agency Net Sales CAD'!P16/$C$1)/1000</f>
        <v>0</v>
      </c>
      <c r="Q16" s="4">
        <f>('Agency Net Sales CAD'!Q16/$C$1)/1000</f>
        <v>7.6773476439701192</v>
      </c>
    </row>
    <row r="17" spans="1:17" x14ac:dyDescent="0.25">
      <c r="A17" s="2" t="s">
        <v>158</v>
      </c>
      <c r="B17" t="s">
        <v>167</v>
      </c>
      <c r="C17" s="2" t="s">
        <v>174</v>
      </c>
      <c r="D17" s="2"/>
      <c r="E17" s="6">
        <f>('Agency Net Sales CAD'!E17/$C$1)/1000</f>
        <v>-4.1346236562473118E-2</v>
      </c>
      <c r="F17" s="3">
        <f>('Agency Net Sales CAD'!F17/$C$1)/1000</f>
        <v>-5.655948161816847E-2</v>
      </c>
      <c r="G17" s="3">
        <f>('Agency Net Sales CAD'!G17/$C$1)/1000</f>
        <v>1.960749362756457E-2</v>
      </c>
      <c r="H17" s="3">
        <f>('Agency Net Sales CAD'!H17/$C$1)/1000</f>
        <v>0</v>
      </c>
      <c r="I17" s="6">
        <f>('Agency Net Sales CAD'!I17/$C$1)/1000</f>
        <v>6.880463263849439</v>
      </c>
      <c r="J17" s="3">
        <f>('Agency Net Sales CAD'!J17/$C$1)/1000</f>
        <v>0</v>
      </c>
      <c r="K17" s="3">
        <f>('Agency Net Sales CAD'!K17/$C$1)/1000</f>
        <v>9.3280561301317579</v>
      </c>
      <c r="L17" s="3">
        <f>('Agency Net Sales CAD'!L17/$C$1)/1000</f>
        <v>11.349947767429786</v>
      </c>
      <c r="M17" s="3">
        <f>('Agency Net Sales CAD'!M17/$C$1)/1000</f>
        <v>14.984448520343534</v>
      </c>
      <c r="N17" s="3">
        <f>('Agency Net Sales CAD'!N17/$C$1)/1000</f>
        <v>7.653122512735183</v>
      </c>
      <c r="O17" s="3">
        <f>('Agency Net Sales CAD'!O17/$C$1)/1000</f>
        <v>9.1837470152822185</v>
      </c>
      <c r="P17" s="3">
        <f>('Agency Net Sales CAD'!P17/$C$1)/1000</f>
        <v>9.1837470152822185</v>
      </c>
      <c r="Q17" s="4">
        <f>('Agency Net Sales CAD'!Q17/$C$1)/1000</f>
        <v>68.485234000501052</v>
      </c>
    </row>
    <row r="18" spans="1:17" x14ac:dyDescent="0.25">
      <c r="A18" s="2" t="s">
        <v>158</v>
      </c>
      <c r="B18" t="s">
        <v>167</v>
      </c>
      <c r="C18" s="2" t="s">
        <v>175</v>
      </c>
      <c r="D18" s="2"/>
      <c r="E18" s="6">
        <f>('Agency Net Sales CAD'!E18/$C$1)/1000</f>
        <v>0</v>
      </c>
      <c r="F18" s="3">
        <f>('Agency Net Sales CAD'!F18/$C$1)/1000</f>
        <v>0</v>
      </c>
      <c r="G18" s="3">
        <f>('Agency Net Sales CAD'!G18/$C$1)/1000</f>
        <v>6.0049830003805234</v>
      </c>
      <c r="H18" s="3">
        <f>('Agency Net Sales CAD'!H18/$C$1)/1000</f>
        <v>25.199840505051835</v>
      </c>
      <c r="I18" s="6">
        <f>('Agency Net Sales CAD'!I18/$C$1)/1000</f>
        <v>18.789164418521562</v>
      </c>
      <c r="J18" s="3">
        <f>('Agency Net Sales CAD'!J18/$C$1)/1000</f>
        <v>7.5959445038180355</v>
      </c>
      <c r="K18" s="3">
        <f>('Agency Net Sales CAD'!K18/$C$1)/1000</f>
        <v>4.5719946509402991</v>
      </c>
      <c r="L18" s="3">
        <f>('Agency Net Sales CAD'!L18/$C$1)/1000</f>
        <v>1.9130079068842585</v>
      </c>
      <c r="M18" s="3">
        <f>('Agency Net Sales CAD'!M18/$C$1)/1000</f>
        <v>60.378018282932118</v>
      </c>
      <c r="N18" s="3">
        <f>('Agency Net Sales CAD'!N18/$C$1)/1000</f>
        <v>0</v>
      </c>
      <c r="O18" s="3">
        <f>('Agency Net Sales CAD'!O18/$C$1)/1000</f>
        <v>0</v>
      </c>
      <c r="P18" s="3">
        <f>('Agency Net Sales CAD'!P18/$C$1)/1000</f>
        <v>0</v>
      </c>
      <c r="Q18" s="4">
        <f>('Agency Net Sales CAD'!Q18/$C$1)/1000</f>
        <v>124.45295326852865</v>
      </c>
    </row>
    <row r="19" spans="1:17" x14ac:dyDescent="0.25">
      <c r="A19" s="2" t="s">
        <v>158</v>
      </c>
      <c r="B19" t="s">
        <v>167</v>
      </c>
      <c r="C19" s="2" t="s">
        <v>176</v>
      </c>
      <c r="D19" s="2"/>
      <c r="E19" s="6">
        <f>('Agency Net Sales CAD'!E19/$C$1)/1000</f>
        <v>0</v>
      </c>
      <c r="F19" s="3">
        <f>('Agency Net Sales CAD'!F19/$C$1)/1000</f>
        <v>0</v>
      </c>
      <c r="G19" s="3">
        <f>('Agency Net Sales CAD'!G19/$C$1)/1000</f>
        <v>7.1035584113435153</v>
      </c>
      <c r="H19" s="3">
        <f>('Agency Net Sales CAD'!H19/$C$1)/1000</f>
        <v>8.9127859613445608</v>
      </c>
      <c r="I19" s="6">
        <f>('Agency Net Sales CAD'!I19/$C$1)/1000</f>
        <v>2.3511499058762801</v>
      </c>
      <c r="J19" s="3">
        <f>('Agency Net Sales CAD'!J19/$C$1)/1000</f>
        <v>0</v>
      </c>
      <c r="K19" s="3">
        <f>('Agency Net Sales CAD'!K19/$C$1)/1000</f>
        <v>-0.92391367122805768</v>
      </c>
      <c r="L19" s="3">
        <f>('Agency Net Sales CAD'!L19/$C$1)/1000</f>
        <v>2.6607988852403617</v>
      </c>
      <c r="M19" s="3">
        <f>('Agency Net Sales CAD'!M19/$C$1)/1000</f>
        <v>-1.8535467165973212</v>
      </c>
      <c r="N19" s="3">
        <f>('Agency Net Sales CAD'!N19/$C$1)/1000</f>
        <v>0</v>
      </c>
      <c r="O19" s="3">
        <f>('Agency Net Sales CAD'!O19/$C$1)/1000</f>
        <v>0</v>
      </c>
      <c r="P19" s="3">
        <f>('Agency Net Sales CAD'!P19/$C$1)/1000</f>
        <v>0</v>
      </c>
      <c r="Q19" s="4">
        <f>('Agency Net Sales CAD'!Q19/$C$1)/1000</f>
        <v>18.25083277597934</v>
      </c>
    </row>
    <row r="20" spans="1:17" x14ac:dyDescent="0.25">
      <c r="A20" s="2" t="s">
        <v>158</v>
      </c>
      <c r="B20" t="s">
        <v>167</v>
      </c>
      <c r="C20" s="2" t="s">
        <v>177</v>
      </c>
      <c r="D20" s="2"/>
      <c r="E20" s="6">
        <f>('Agency Net Sales CAD'!E20/$C$1)/1000</f>
        <v>0</v>
      </c>
      <c r="F20" s="3">
        <f>('Agency Net Sales CAD'!F20/$C$1)/1000</f>
        <v>0</v>
      </c>
      <c r="G20" s="3">
        <f>('Agency Net Sales CAD'!G20/$C$1)/1000</f>
        <v>0</v>
      </c>
      <c r="H20" s="3">
        <f>('Agency Net Sales CAD'!H20/$C$1)/1000</f>
        <v>0.70424235823123349</v>
      </c>
      <c r="I20" s="6">
        <f>('Agency Net Sales CAD'!I20/$C$1)/1000</f>
        <v>0</v>
      </c>
      <c r="J20" s="3">
        <f>('Agency Net Sales CAD'!J20/$C$1)/1000</f>
        <v>45.972234038763936</v>
      </c>
      <c r="K20" s="3">
        <f>('Agency Net Sales CAD'!K20/$C$1)/1000</f>
        <v>37.147396525056131</v>
      </c>
      <c r="L20" s="3">
        <f>('Agency Net Sales CAD'!L20/$C$1)/1000</f>
        <v>15.559211938649369</v>
      </c>
      <c r="M20" s="3">
        <f>('Agency Net Sales CAD'!M20/$C$1)/1000</f>
        <v>-15.839399836595577</v>
      </c>
      <c r="N20" s="3">
        <f>('Agency Net Sales CAD'!N20/$C$1)/1000</f>
        <v>12.143677862054695</v>
      </c>
      <c r="O20" s="3">
        <f>('Agency Net Sales CAD'!O20/$C$1)/1000</f>
        <v>10.479390044198235</v>
      </c>
      <c r="P20" s="3">
        <f>('Agency Net Sales CAD'!P20/$C$1)/1000</f>
        <v>0</v>
      </c>
      <c r="Q20" s="4">
        <f>('Agency Net Sales CAD'!Q20/$C$1)/1000</f>
        <v>106.16675293035803</v>
      </c>
    </row>
    <row r="21" spans="1:17" x14ac:dyDescent="0.25">
      <c r="A21" s="2" t="s">
        <v>158</v>
      </c>
      <c r="B21" t="s">
        <v>167</v>
      </c>
      <c r="C21" s="2" t="s">
        <v>178</v>
      </c>
      <c r="D21" s="2"/>
      <c r="E21" s="6">
        <f>('Agency Net Sales CAD'!E21/$C$1)/1000</f>
        <v>0</v>
      </c>
      <c r="F21" s="3">
        <f>('Agency Net Sales CAD'!F21/$C$1)/1000</f>
        <v>0</v>
      </c>
      <c r="G21" s="3">
        <f>('Agency Net Sales CAD'!G21/$C$1)/1000</f>
        <v>0</v>
      </c>
      <c r="H21" s="3">
        <f>('Agency Net Sales CAD'!H21/$C$1)/1000</f>
        <v>0</v>
      </c>
      <c r="I21" s="6">
        <f>('Agency Net Sales CAD'!I21/$C$1)/1000</f>
        <v>9.6622978897531855</v>
      </c>
      <c r="J21" s="3">
        <f>('Agency Net Sales CAD'!J21/$C$1)/1000</f>
        <v>7.3702845334075286</v>
      </c>
      <c r="K21" s="3">
        <f>('Agency Net Sales CAD'!K21/$C$1)/1000</f>
        <v>25.835010018809239</v>
      </c>
      <c r="L21" s="3">
        <f>('Agency Net Sales CAD'!L21/$C$1)/1000</f>
        <v>18.805945043896767</v>
      </c>
      <c r="M21" s="3">
        <f>('Agency Net Sales CAD'!M21/$C$1)/1000</f>
        <v>36.710500183612524</v>
      </c>
      <c r="N21" s="3">
        <f>('Agency Net Sales CAD'!N21/$C$1)/1000</f>
        <v>2.8533687689051499</v>
      </c>
      <c r="O21" s="3">
        <f>('Agency Net Sales CAD'!O21/$C$1)/1000</f>
        <v>2.8533687689051499</v>
      </c>
      <c r="P21" s="3">
        <f>('Agency Net Sales CAD'!P21/$C$1)/1000</f>
        <v>2.8533687689051499</v>
      </c>
      <c r="Q21" s="4">
        <f>('Agency Net Sales CAD'!Q21/$C$1)/1000</f>
        <v>106.94414397619468</v>
      </c>
    </row>
    <row r="22" spans="1:17" x14ac:dyDescent="0.25">
      <c r="A22" s="2" t="s">
        <v>158</v>
      </c>
      <c r="B22" t="s">
        <v>167</v>
      </c>
      <c r="C22" s="2" t="s">
        <v>179</v>
      </c>
      <c r="D22" s="2"/>
      <c r="E22" s="6">
        <f>('Agency Net Sales CAD'!E22/$C$1)/1000</f>
        <v>0</v>
      </c>
      <c r="F22" s="3">
        <f>('Agency Net Sales CAD'!F22/$C$1)/1000</f>
        <v>0</v>
      </c>
      <c r="G22" s="3">
        <f>('Agency Net Sales CAD'!G22/$C$1)/1000</f>
        <v>0</v>
      </c>
      <c r="H22" s="3">
        <f>('Agency Net Sales CAD'!H22/$C$1)/1000</f>
        <v>0</v>
      </c>
      <c r="I22" s="6">
        <f>('Agency Net Sales CAD'!I22/$C$1)/1000</f>
        <v>0</v>
      </c>
      <c r="J22" s="3">
        <f>('Agency Net Sales CAD'!J22/$C$1)/1000</f>
        <v>0</v>
      </c>
      <c r="K22" s="3">
        <f>('Agency Net Sales CAD'!K22/$C$1)/1000</f>
        <v>39.431203326608923</v>
      </c>
      <c r="L22" s="3">
        <f>('Agency Net Sales CAD'!L22/$C$1)/1000</f>
        <v>2.6076998764688071</v>
      </c>
      <c r="M22" s="3">
        <f>('Agency Net Sales CAD'!M22/$C$1)/1000</f>
        <v>-0.16843437661566632</v>
      </c>
      <c r="N22" s="3">
        <f>('Agency Net Sales CAD'!N22/$C$1)/1000</f>
        <v>0</v>
      </c>
      <c r="O22" s="3">
        <f>('Agency Net Sales CAD'!O22/$C$1)/1000</f>
        <v>0</v>
      </c>
      <c r="P22" s="3">
        <f>('Agency Net Sales CAD'!P22/$C$1)/1000</f>
        <v>0</v>
      </c>
      <c r="Q22" s="4">
        <f>('Agency Net Sales CAD'!Q22/$C$1)/1000</f>
        <v>41.870468826462059</v>
      </c>
    </row>
    <row r="23" spans="1:17" x14ac:dyDescent="0.25">
      <c r="A23" s="2" t="s">
        <v>158</v>
      </c>
      <c r="B23" t="s">
        <v>167</v>
      </c>
      <c r="C23" s="2" t="s">
        <v>180</v>
      </c>
      <c r="D23" s="2"/>
      <c r="E23" s="6">
        <f>('Agency Net Sales CAD'!E23/$C$1)/1000</f>
        <v>0</v>
      </c>
      <c r="F23" s="3">
        <f>('Agency Net Sales CAD'!F23/$C$1)/1000</f>
        <v>0</v>
      </c>
      <c r="G23" s="3">
        <f>('Agency Net Sales CAD'!G23/$C$1)/1000</f>
        <v>0</v>
      </c>
      <c r="H23" s="3">
        <f>('Agency Net Sales CAD'!H23/$C$1)/1000</f>
        <v>0</v>
      </c>
      <c r="I23" s="6">
        <f>('Agency Net Sales CAD'!I23/$C$1)/1000</f>
        <v>0</v>
      </c>
      <c r="J23" s="3">
        <f>('Agency Net Sales CAD'!J23/$C$1)/1000</f>
        <v>0</v>
      </c>
      <c r="K23" s="3">
        <f>('Agency Net Sales CAD'!K23/$C$1)/1000</f>
        <v>0</v>
      </c>
      <c r="L23" s="3">
        <f>('Agency Net Sales CAD'!L23/$C$1)/1000</f>
        <v>0</v>
      </c>
      <c r="M23" s="3">
        <f>('Agency Net Sales CAD'!M23/$C$1)/1000</f>
        <v>11.869901449478155</v>
      </c>
      <c r="N23" s="3">
        <f>('Agency Net Sales CAD'!N23/$C$1)/1000</f>
        <v>26.326741443809027</v>
      </c>
      <c r="O23" s="3">
        <f>('Agency Net Sales CAD'!O23/$C$1)/1000</f>
        <v>26.326741443809027</v>
      </c>
      <c r="P23" s="3">
        <f>('Agency Net Sales CAD'!P23/$C$1)/1000</f>
        <v>26.326741443809027</v>
      </c>
      <c r="Q23" s="4">
        <f>('Agency Net Sales CAD'!Q23/$C$1)/1000</f>
        <v>90.85012578090523</v>
      </c>
    </row>
    <row r="24" spans="1:17" x14ac:dyDescent="0.25">
      <c r="A24" s="2" t="s">
        <v>158</v>
      </c>
      <c r="B24" t="s">
        <v>167</v>
      </c>
      <c r="C24" s="2" t="s">
        <v>181</v>
      </c>
      <c r="D24" s="2"/>
      <c r="E24" s="6">
        <f>('Agency Net Sales CAD'!E24/$C$1)/1000</f>
        <v>0</v>
      </c>
      <c r="F24" s="3">
        <f>('Agency Net Sales CAD'!F24/$C$1)/1000</f>
        <v>0</v>
      </c>
      <c r="G24" s="3">
        <f>('Agency Net Sales CAD'!G24/$C$1)/1000</f>
        <v>0</v>
      </c>
      <c r="H24" s="3">
        <f>('Agency Net Sales CAD'!H24/$C$1)/1000</f>
        <v>0</v>
      </c>
      <c r="I24" s="6">
        <f>('Agency Net Sales CAD'!I24/$C$1)/1000</f>
        <v>0</v>
      </c>
      <c r="J24" s="3">
        <f>('Agency Net Sales CAD'!J24/$C$1)/1000</f>
        <v>0</v>
      </c>
      <c r="K24" s="3">
        <f>('Agency Net Sales CAD'!K24/$C$1)/1000</f>
        <v>0</v>
      </c>
      <c r="L24" s="3">
        <f>('Agency Net Sales CAD'!L24/$C$1)/1000</f>
        <v>0</v>
      </c>
      <c r="M24" s="3">
        <f>('Agency Net Sales CAD'!M24/$C$1)/1000</f>
        <v>3.172540865736718</v>
      </c>
      <c r="N24" s="3">
        <f>('Agency Net Sales CAD'!N24/$C$1)/1000</f>
        <v>3.0612490050940733</v>
      </c>
      <c r="O24" s="3">
        <f>('Agency Net Sales CAD'!O24/$C$1)/1000</f>
        <v>0</v>
      </c>
      <c r="P24" s="3">
        <f>('Agency Net Sales CAD'!P24/$C$1)/1000</f>
        <v>0</v>
      </c>
      <c r="Q24" s="4">
        <f>('Agency Net Sales CAD'!Q24/$C$1)/1000</f>
        <v>6.2337898708307913</v>
      </c>
    </row>
    <row r="25" spans="1:17" x14ac:dyDescent="0.25">
      <c r="A25" s="2" t="s">
        <v>158</v>
      </c>
      <c r="B25" t="s">
        <v>167</v>
      </c>
      <c r="C25" s="2" t="s">
        <v>182</v>
      </c>
      <c r="D25" s="2"/>
      <c r="E25" s="6">
        <f>('Agency Net Sales CAD'!E25/$C$1)/1000</f>
        <v>0</v>
      </c>
      <c r="F25" s="3">
        <f>('Agency Net Sales CAD'!F25/$C$1)/1000</f>
        <v>0</v>
      </c>
      <c r="G25" s="3">
        <f>('Agency Net Sales CAD'!G25/$C$1)/1000</f>
        <v>0</v>
      </c>
      <c r="H25" s="3">
        <f>('Agency Net Sales CAD'!H25/$C$1)/1000</f>
        <v>0</v>
      </c>
      <c r="I25" s="6">
        <f>('Agency Net Sales CAD'!I25/$C$1)/1000</f>
        <v>0</v>
      </c>
      <c r="J25" s="3">
        <f>('Agency Net Sales CAD'!J25/$C$1)/1000</f>
        <v>0</v>
      </c>
      <c r="K25" s="3">
        <f>('Agency Net Sales CAD'!K25/$C$1)/1000</f>
        <v>0</v>
      </c>
      <c r="L25" s="3">
        <f>('Agency Net Sales CAD'!L25/$C$1)/1000</f>
        <v>0</v>
      </c>
      <c r="M25" s="3">
        <f>('Agency Net Sales CAD'!M25/$C$1)/1000</f>
        <v>15.471911862378649</v>
      </c>
      <c r="N25" s="3">
        <f>('Agency Net Sales CAD'!N25/$C$1)/1000</f>
        <v>26.006840922776696</v>
      </c>
      <c r="O25" s="3">
        <f>('Agency Net Sales CAD'!O25/$C$1)/1000</f>
        <v>0</v>
      </c>
      <c r="P25" s="3">
        <f>('Agency Net Sales CAD'!P25/$C$1)/1000</f>
        <v>0</v>
      </c>
      <c r="Q25" s="4">
        <f>('Agency Net Sales CAD'!Q25/$C$1)/1000</f>
        <v>41.478752785155343</v>
      </c>
    </row>
    <row r="26" spans="1:17" s="9" customFormat="1" x14ac:dyDescent="0.25">
      <c r="A26" s="8" t="s">
        <v>158</v>
      </c>
      <c r="B26" s="9" t="s">
        <v>167</v>
      </c>
      <c r="C26" s="8" t="s">
        <v>183</v>
      </c>
      <c r="D26" s="8"/>
      <c r="E26" s="10">
        <f>('Agency Net Sales CAD'!E26/$C$1)/1000</f>
        <v>0</v>
      </c>
      <c r="F26" s="11">
        <f>('Agency Net Sales CAD'!F26/$C$1)/1000</f>
        <v>0</v>
      </c>
      <c r="G26" s="11">
        <f>('Agency Net Sales CAD'!G26/$C$1)/1000</f>
        <v>0</v>
      </c>
      <c r="H26" s="11">
        <f>('Agency Net Sales CAD'!H26/$C$1)/1000</f>
        <v>0</v>
      </c>
      <c r="I26" s="10">
        <f>('Agency Net Sales CAD'!I26/$C$1)/1000</f>
        <v>0</v>
      </c>
      <c r="J26" s="11">
        <f>('Agency Net Sales CAD'!J26/$C$1)/1000</f>
        <v>0</v>
      </c>
      <c r="K26" s="11">
        <f>('Agency Net Sales CAD'!K26/$C$1)/1000</f>
        <v>0</v>
      </c>
      <c r="L26" s="11">
        <f>('Agency Net Sales CAD'!L26/$C$1)/1000</f>
        <v>0</v>
      </c>
      <c r="M26" s="11">
        <f>('Agency Net Sales CAD'!M26/$C$1)/1000</f>
        <v>0</v>
      </c>
      <c r="N26" s="11">
        <f>('Agency Net Sales CAD'!N26/$C$1)/1000</f>
        <v>7.653122512735183</v>
      </c>
      <c r="O26" s="11">
        <f>('Agency Net Sales CAD'!O26/$C$1)/1000</f>
        <v>0</v>
      </c>
      <c r="P26" s="11">
        <f>('Agency Net Sales CAD'!P26/$C$1)/1000</f>
        <v>0</v>
      </c>
      <c r="Q26" s="12">
        <f>('Agency Net Sales CAD'!Q26/$C$1)/1000</f>
        <v>7.653122512735183</v>
      </c>
    </row>
    <row r="27" spans="1:17" x14ac:dyDescent="0.25">
      <c r="A27" s="2" t="s">
        <v>184</v>
      </c>
      <c r="B27" t="s">
        <v>167</v>
      </c>
      <c r="C27" s="2" t="s">
        <v>185</v>
      </c>
      <c r="D27" s="2"/>
      <c r="E27" s="3">
        <f>('Agency Net Sales CAD'!E27/$C$1)/1000</f>
        <v>0</v>
      </c>
      <c r="F27" s="3">
        <f>('Agency Net Sales CAD'!F27/$C$1)/1000</f>
        <v>0</v>
      </c>
      <c r="G27" s="3">
        <f>('Agency Net Sales CAD'!G27/$C$1)/1000</f>
        <v>0</v>
      </c>
      <c r="H27" s="3">
        <f>('Agency Net Sales CAD'!H27/$C$1)/1000</f>
        <v>0</v>
      </c>
      <c r="I27" s="3">
        <f>('Agency Net Sales CAD'!I27/$C$1)/1000</f>
        <v>0</v>
      </c>
      <c r="J27" s="3">
        <f>('Agency Net Sales CAD'!J27/$C$1)/1000</f>
        <v>0</v>
      </c>
      <c r="K27" s="3">
        <f>('Agency Net Sales CAD'!K27/$C$1)/1000</f>
        <v>0</v>
      </c>
      <c r="L27" s="3">
        <f>('Agency Net Sales CAD'!L27/$C$1)/1000</f>
        <v>0</v>
      </c>
      <c r="M27" s="3">
        <f>('Agency Net Sales CAD'!M27/$C$1)/1000</f>
        <v>0</v>
      </c>
      <c r="N27" s="3">
        <f>('Agency Net Sales CAD'!N27/$C$1)/1000</f>
        <v>0</v>
      </c>
      <c r="O27" s="5">
        <f>('Agency Net Sales CAD'!O27/$C$1)/1000</f>
        <v>0</v>
      </c>
      <c r="P27" s="5">
        <f>('Agency Net Sales CAD'!P27/$C$1)/1000</f>
        <v>77.357374858853163</v>
      </c>
      <c r="Q27" s="4">
        <f>('Agency Net Sales CAD'!Q27/$C$1)/1000</f>
        <v>77.357374858853163</v>
      </c>
    </row>
    <row r="28" spans="1:17" x14ac:dyDescent="0.25">
      <c r="A28" s="2" t="s">
        <v>184</v>
      </c>
      <c r="B28" t="s">
        <v>167</v>
      </c>
      <c r="C28" s="2" t="s">
        <v>186</v>
      </c>
      <c r="D28" s="2"/>
      <c r="E28" s="3">
        <f>('Agency Net Sales CAD'!E28/$C$1)/1000</f>
        <v>5.0302294851754175</v>
      </c>
      <c r="F28" s="3">
        <f>('Agency Net Sales CAD'!F28/$C$1)/1000</f>
        <v>5.8062539379674698</v>
      </c>
      <c r="G28" s="3">
        <f>('Agency Net Sales CAD'!G28/$C$1)/1000</f>
        <v>3.0028050340883636</v>
      </c>
      <c r="H28" s="3">
        <f>('Agency Net Sales CAD'!H28/$C$1)/1000</f>
        <v>-0.88177549342296457</v>
      </c>
      <c r="I28" s="3">
        <f>('Agency Net Sales CAD'!I28/$C$1)/1000</f>
        <v>22.915012597620901</v>
      </c>
      <c r="J28" s="3">
        <f>('Agency Net Sales CAD'!J28/$C$1)/1000</f>
        <v>12.605439199216296</v>
      </c>
      <c r="K28" s="3">
        <f>('Agency Net Sales CAD'!K28/$C$1)/1000</f>
        <v>39.26068806554062</v>
      </c>
      <c r="L28" s="3">
        <f>('Agency Net Sales CAD'!L28/$C$1)/1000</f>
        <v>7.2645717547366546</v>
      </c>
      <c r="M28" s="3">
        <f>('Agency Net Sales CAD'!M28/$C$1)/1000</f>
        <v>113.01620113492345</v>
      </c>
      <c r="N28" s="3">
        <f>('Agency Net Sales CAD'!N28/$C$1)/1000</f>
        <v>45.918735076411096</v>
      </c>
      <c r="O28" s="3">
        <f>('Agency Net Sales CAD'!O28/$C$1)/1000</f>
        <v>12.244996020376293</v>
      </c>
      <c r="P28" s="3">
        <f>('Agency Net Sales CAD'!P28/$C$1)/1000</f>
        <v>12.244996020376293</v>
      </c>
      <c r="Q28" s="4">
        <f>('Agency Net Sales CAD'!Q28/$C$1)/1000</f>
        <v>278.4281528330099</v>
      </c>
    </row>
    <row r="29" spans="1:17" x14ac:dyDescent="0.25">
      <c r="A29" s="2" t="s">
        <v>184</v>
      </c>
      <c r="B29" t="s">
        <v>167</v>
      </c>
      <c r="C29" s="2" t="s">
        <v>187</v>
      </c>
      <c r="D29" s="2"/>
      <c r="E29" s="6">
        <f>('Agency Net Sales CAD'!E29/$C$1)/1000</f>
        <v>4.4731071212401838</v>
      </c>
      <c r="F29" s="3">
        <f>('Agency Net Sales CAD'!F29/$C$1)/1000</f>
        <v>9.3593546732097295</v>
      </c>
      <c r="G29" s="3">
        <f>('Agency Net Sales CAD'!G29/$C$1)/1000</f>
        <v>16.154639109742288</v>
      </c>
      <c r="H29" s="3">
        <f>('Agency Net Sales CAD'!H29/$C$1)/1000</f>
        <v>27.483296352928686</v>
      </c>
      <c r="I29" s="3">
        <f>('Agency Net Sales CAD'!I29/$C$1)/1000</f>
        <v>19.512185088539844</v>
      </c>
      <c r="J29" s="3">
        <f>('Agency Net Sales CAD'!J29/$C$1)/1000</f>
        <v>87.936095405485048</v>
      </c>
      <c r="K29" s="3">
        <f>('Agency Net Sales CAD'!K29/$C$1)/1000</f>
        <v>14.970202000276606</v>
      </c>
      <c r="L29" s="3">
        <f>('Agency Net Sales CAD'!L29/$C$1)/1000</f>
        <v>249.78526586911573</v>
      </c>
      <c r="M29" s="3">
        <f>('Agency Net Sales CAD'!M29/$C$1)/1000</f>
        <v>162.87957565601644</v>
      </c>
      <c r="N29" s="3">
        <f>('Agency Net Sales CAD'!N29/$C$1)/1000</f>
        <v>45.918735076411096</v>
      </c>
      <c r="O29" s="3">
        <f>('Agency Net Sales CAD'!O29/$C$1)/1000</f>
        <v>61.224980101881464</v>
      </c>
      <c r="P29" s="3">
        <f>('Agency Net Sales CAD'!P29/$C$1)/1000</f>
        <v>48.979984081505172</v>
      </c>
      <c r="Q29" s="4">
        <f>('Agency Net Sales CAD'!Q29/$C$1)/1000</f>
        <v>748.6774205363522</v>
      </c>
    </row>
    <row r="30" spans="1:17" x14ac:dyDescent="0.25">
      <c r="A30" s="2" t="s">
        <v>184</v>
      </c>
      <c r="B30" t="s">
        <v>167</v>
      </c>
      <c r="C30" s="2" t="s">
        <v>188</v>
      </c>
      <c r="D30" s="2"/>
      <c r="E30" s="3">
        <f>('Agency Net Sales CAD'!E30/$C$1)/1000</f>
        <v>-8.0821856232896714</v>
      </c>
      <c r="F30" s="3">
        <f>('Agency Net Sales CAD'!F30/$C$1)/1000</f>
        <v>29.326867303768129</v>
      </c>
      <c r="G30" s="3">
        <f>('Agency Net Sales CAD'!G30/$C$1)/1000</f>
        <v>7.051191277610334</v>
      </c>
      <c r="H30" s="3">
        <f>('Agency Net Sales CAD'!H30/$C$1)/1000</f>
        <v>47.697069958452261</v>
      </c>
      <c r="I30" s="3">
        <f>('Agency Net Sales CAD'!I30/$C$1)/1000</f>
        <v>36.187937903920172</v>
      </c>
      <c r="J30" s="3">
        <f>('Agency Net Sales CAD'!J30/$C$1)/1000</f>
        <v>5.2914082806618188</v>
      </c>
      <c r="K30" s="3">
        <f>('Agency Net Sales CAD'!K30/$C$1)/1000</f>
        <v>32.522833201464572</v>
      </c>
      <c r="L30" s="3">
        <f>('Agency Net Sales CAD'!L30/$C$1)/1000</f>
        <v>28.449247145365092</v>
      </c>
      <c r="M30" s="3">
        <f>('Agency Net Sales CAD'!M30/$C$1)/1000</f>
        <v>8.3268606121882751</v>
      </c>
      <c r="N30" s="3">
        <f>('Agency Net Sales CAD'!N30/$C$1)/1000</f>
        <v>13.77562052292333</v>
      </c>
      <c r="O30" s="3">
        <f>('Agency Net Sales CAD'!O30/$C$1)/1000</f>
        <v>13.77562052292333</v>
      </c>
      <c r="P30" s="3">
        <f>('Agency Net Sales CAD'!P30/$C$1)/1000</f>
        <v>13.77562052292333</v>
      </c>
      <c r="Q30" s="4">
        <f>('Agency Net Sales CAD'!Q30/$C$1)/1000</f>
        <v>228.09809162891096</v>
      </c>
    </row>
    <row r="31" spans="1:17" x14ac:dyDescent="0.25">
      <c r="A31" s="2" t="s">
        <v>184</v>
      </c>
      <c r="B31" t="s">
        <v>167</v>
      </c>
      <c r="C31" s="2" t="s">
        <v>189</v>
      </c>
      <c r="D31" s="2"/>
      <c r="E31" s="3">
        <f>('Agency Net Sales CAD'!E31/$C$1)/1000</f>
        <v>0</v>
      </c>
      <c r="F31" s="3">
        <f>('Agency Net Sales CAD'!F31/$C$1)/1000</f>
        <v>0</v>
      </c>
      <c r="G31" s="3">
        <f>('Agency Net Sales CAD'!G31/$C$1)/1000</f>
        <v>0.98334810450561594</v>
      </c>
      <c r="H31" s="3">
        <f>('Agency Net Sales CAD'!H31/$C$1)/1000</f>
        <v>11.672822541332673</v>
      </c>
      <c r="I31" s="3">
        <f>('Agency Net Sales CAD'!I31/$C$1)/1000</f>
        <v>21.729704422846062</v>
      </c>
      <c r="J31" s="3">
        <f>('Agency Net Sales CAD'!J31/$C$1)/1000</f>
        <v>11.881835439537234</v>
      </c>
      <c r="K31" s="3">
        <f>('Agency Net Sales CAD'!K31/$C$1)/1000</f>
        <v>0.24983951983340838</v>
      </c>
      <c r="L31" s="3">
        <f>('Agency Net Sales CAD'!L31/$C$1)/1000</f>
        <v>2.4653869612492376</v>
      </c>
      <c r="M31" s="3">
        <f>('Agency Net Sales CAD'!M31/$C$1)/1000</f>
        <v>13.535418825983871</v>
      </c>
      <c r="N31" s="3">
        <f>('Agency Net Sales CAD'!N31/$C$1)/1000</f>
        <v>0</v>
      </c>
      <c r="O31" s="3">
        <f>('Agency Net Sales CAD'!O31/$C$1)/1000</f>
        <v>0</v>
      </c>
      <c r="P31" s="3">
        <f>('Agency Net Sales CAD'!P31/$C$1)/1000</f>
        <v>0</v>
      </c>
      <c r="Q31" s="4">
        <f>('Agency Net Sales CAD'!Q31/$C$1)/1000</f>
        <v>62.518355815288103</v>
      </c>
    </row>
    <row r="32" spans="1:17" x14ac:dyDescent="0.25">
      <c r="A32" s="2" t="s">
        <v>184</v>
      </c>
      <c r="B32" t="s">
        <v>167</v>
      </c>
      <c r="C32" s="2" t="s">
        <v>190</v>
      </c>
      <c r="D32" s="2"/>
      <c r="E32" s="3">
        <f>('Agency Net Sales CAD'!E32/$C$1)/1000</f>
        <v>-25.083936347720687</v>
      </c>
      <c r="F32" s="3">
        <f>('Agency Net Sales CAD'!F32/$C$1)/1000</f>
        <v>7.299433087684247</v>
      </c>
      <c r="G32" s="3">
        <f>('Agency Net Sales CAD'!G32/$C$1)/1000</f>
        <v>-2.1646012277546003</v>
      </c>
      <c r="H32" s="3">
        <f>('Agency Net Sales CAD'!H32/$C$1)/1000</f>
        <v>3.8261627514971055</v>
      </c>
      <c r="I32" s="3">
        <f>('Agency Net Sales CAD'!I32/$C$1)/1000</f>
        <v>-0.19308343724788288</v>
      </c>
      <c r="J32" s="3">
        <f>('Agency Net Sales CAD'!J32/$C$1)/1000</f>
        <v>31.670634372377595</v>
      </c>
      <c r="K32" s="3">
        <f>('Agency Net Sales CAD'!K32/$C$1)/1000</f>
        <v>30.126873625050745</v>
      </c>
      <c r="L32" s="3">
        <f>('Agency Net Sales CAD'!L32/$C$1)/1000</f>
        <v>25.266373044070964</v>
      </c>
      <c r="M32" s="3">
        <f>('Agency Net Sales CAD'!M32/$C$1)/1000</f>
        <v>13.657199412111567</v>
      </c>
      <c r="N32" s="3">
        <f>('Agency Net Sales CAD'!N32/$C$1)/1000</f>
        <v>14.387870323942144</v>
      </c>
      <c r="O32" s="3">
        <f>('Agency Net Sales CAD'!O32/$C$1)/1000</f>
        <v>14.387870323942144</v>
      </c>
      <c r="P32" s="3">
        <f>('Agency Net Sales CAD'!P32/$C$1)/1000</f>
        <v>14.387870323942144</v>
      </c>
      <c r="Q32" s="4">
        <f>('Agency Net Sales CAD'!Q32/$C$1)/1000</f>
        <v>127.56866625189549</v>
      </c>
    </row>
    <row r="33" spans="1:17" x14ac:dyDescent="0.25">
      <c r="A33" s="2" t="s">
        <v>184</v>
      </c>
      <c r="B33" t="s">
        <v>167</v>
      </c>
      <c r="C33" s="2" t="s">
        <v>191</v>
      </c>
      <c r="D33" s="2"/>
      <c r="E33" s="3">
        <f>('Agency Net Sales CAD'!E33/$C$1)/1000</f>
        <v>-0.56194720236715923</v>
      </c>
      <c r="F33" s="3">
        <f>('Agency Net Sales CAD'!F33/$C$1)/1000</f>
        <v>-0.13603570578839561</v>
      </c>
      <c r="G33" s="3">
        <f>('Agency Net Sales CAD'!G33/$C$1)/1000</f>
        <v>-0.24169142145028805</v>
      </c>
      <c r="H33" s="3">
        <f>('Agency Net Sales CAD'!H33/$C$1)/1000</f>
        <v>-9.2550469921097278E-2</v>
      </c>
      <c r="I33" s="3">
        <f>('Agency Net Sales CAD'!I33/$C$1)/1000</f>
        <v>1.6538417125014433</v>
      </c>
      <c r="J33" s="3">
        <f>('Agency Net Sales CAD'!J33/$C$1)/1000</f>
        <v>-1.3166707595954728</v>
      </c>
      <c r="K33" s="3">
        <f>('Agency Net Sales CAD'!K33/$C$1)/1000</f>
        <v>0</v>
      </c>
      <c r="L33" s="3">
        <f>('Agency Net Sales CAD'!L33/$C$1)/1000</f>
        <v>-2.6531399654855875E-2</v>
      </c>
      <c r="M33" s="3">
        <f>('Agency Net Sales CAD'!M33/$C$1)/1000</f>
        <v>0</v>
      </c>
      <c r="N33" s="3">
        <f>('Agency Net Sales CAD'!N33/$C$1)/1000</f>
        <v>13.77562052292333</v>
      </c>
      <c r="O33" s="3">
        <f>('Agency Net Sales CAD'!O33/$C$1)/1000</f>
        <v>13.77562052292333</v>
      </c>
      <c r="P33" s="3">
        <f>('Agency Net Sales CAD'!P33/$C$1)/1000</f>
        <v>13.77562052292333</v>
      </c>
      <c r="Q33" s="4">
        <f>('Agency Net Sales CAD'!Q33/$C$1)/1000</f>
        <v>40.605276322494156</v>
      </c>
    </row>
    <row r="34" spans="1:17" x14ac:dyDescent="0.25">
      <c r="A34" s="2" t="s">
        <v>184</v>
      </c>
      <c r="B34" t="s">
        <v>167</v>
      </c>
      <c r="C34" s="2" t="s">
        <v>192</v>
      </c>
      <c r="D34" s="2"/>
      <c r="E34" s="6">
        <f>('Agency Net Sales CAD'!E34/$C$1)/1000</f>
        <v>31.971952467870445</v>
      </c>
      <c r="F34" s="3">
        <f>('Agency Net Sales CAD'!F34/$C$1)/1000</f>
        <v>32.288225816326609</v>
      </c>
      <c r="G34" s="3">
        <f>('Agency Net Sales CAD'!G34/$C$1)/1000</f>
        <v>9.0939798407065524</v>
      </c>
      <c r="H34" s="3">
        <f>('Agency Net Sales CAD'!H34/$C$1)/1000</f>
        <v>-0.22897367558355541</v>
      </c>
      <c r="I34" s="3">
        <f>('Agency Net Sales CAD'!I34/$C$1)/1000</f>
        <v>4.5242702796121597</v>
      </c>
      <c r="J34" s="3">
        <f>('Agency Net Sales CAD'!J34/$C$1)/1000</f>
        <v>25.294071768747543</v>
      </c>
      <c r="K34" s="3">
        <f>('Agency Net Sales CAD'!K34/$C$1)/1000</f>
        <v>25.065615868760254</v>
      </c>
      <c r="L34" s="3">
        <f>('Agency Net Sales CAD'!L34/$C$1)/1000</f>
        <v>96.456521367460326</v>
      </c>
      <c r="M34" s="3">
        <f>('Agency Net Sales CAD'!M34/$C$1)/1000</f>
        <v>69.532340321325989</v>
      </c>
      <c r="N34" s="3">
        <f>('Agency Net Sales CAD'!N34/$C$1)/1000</f>
        <v>67.347478112069609</v>
      </c>
      <c r="O34" s="3">
        <f>('Agency Net Sales CAD'!O34/$C$1)/1000</f>
        <v>67.347478112069609</v>
      </c>
      <c r="P34" s="3">
        <f>('Agency Net Sales CAD'!P34/$C$1)/1000</f>
        <v>67.347478112069609</v>
      </c>
      <c r="Q34" s="4">
        <f>('Agency Net Sales CAD'!Q34/$C$1)/1000</f>
        <v>496.04043839143515</v>
      </c>
    </row>
    <row r="35" spans="1:17" x14ac:dyDescent="0.25">
      <c r="A35" s="2" t="s">
        <v>184</v>
      </c>
      <c r="B35" t="s">
        <v>167</v>
      </c>
      <c r="C35" s="2" t="s">
        <v>193</v>
      </c>
      <c r="D35" s="2"/>
      <c r="E35" s="3">
        <f>('Agency Net Sales CAD'!E35/$C$1)/1000</f>
        <v>0</v>
      </c>
      <c r="F35" s="3">
        <f>('Agency Net Sales CAD'!F35/$C$1)/1000</f>
        <v>7.7113232888199299</v>
      </c>
      <c r="G35" s="3">
        <f>('Agency Net Sales CAD'!G35/$C$1)/1000</f>
        <v>14.626282939698042</v>
      </c>
      <c r="H35" s="3">
        <f>('Agency Net Sales CAD'!H35/$C$1)/1000</f>
        <v>17.704700295972401</v>
      </c>
      <c r="I35" s="3">
        <f>('Agency Net Sales CAD'!I35/$C$1)/1000</f>
        <v>22.860566695315821</v>
      </c>
      <c r="J35" s="3">
        <f>('Agency Net Sales CAD'!J35/$C$1)/1000</f>
        <v>10.434434380228828</v>
      </c>
      <c r="K35" s="3">
        <f>('Agency Net Sales CAD'!K35/$C$1)/1000</f>
        <v>6.2261038617462372</v>
      </c>
      <c r="L35" s="3">
        <f>('Agency Net Sales CAD'!L35/$C$1)/1000</f>
        <v>13.76995242896546</v>
      </c>
      <c r="M35" s="3">
        <f>('Agency Net Sales CAD'!M35/$C$1)/1000</f>
        <v>-39.502312166139802</v>
      </c>
      <c r="N35" s="3">
        <f>('Agency Net Sales CAD'!N35/$C$1)/1000</f>
        <v>15.306245025470366</v>
      </c>
      <c r="O35" s="3">
        <f>('Agency Net Sales CAD'!O35/$C$1)/1000</f>
        <v>15.306245025470366</v>
      </c>
      <c r="P35" s="3">
        <f>('Agency Net Sales CAD'!P35/$C$1)/1000</f>
        <v>9.1837470152822185</v>
      </c>
      <c r="Q35" s="4">
        <f>('Agency Net Sales CAD'!Q35/$C$1)/1000</f>
        <v>93.627288790829866</v>
      </c>
    </row>
    <row r="36" spans="1:17" x14ac:dyDescent="0.25">
      <c r="A36" s="2" t="s">
        <v>184</v>
      </c>
      <c r="B36" t="s">
        <v>167</v>
      </c>
      <c r="C36" s="2" t="s">
        <v>194</v>
      </c>
      <c r="D36" s="2"/>
      <c r="E36" s="3">
        <f>('Agency Net Sales CAD'!E36/$C$1)/1000</f>
        <v>0</v>
      </c>
      <c r="F36" s="3">
        <f>('Agency Net Sales CAD'!F36/$C$1)/1000</f>
        <v>0</v>
      </c>
      <c r="G36" s="3">
        <f>('Agency Net Sales CAD'!G36/$C$1)/1000</f>
        <v>0</v>
      </c>
      <c r="H36" s="3">
        <f>('Agency Net Sales CAD'!H36/$C$1)/1000</f>
        <v>0</v>
      </c>
      <c r="I36" s="3">
        <f>('Agency Net Sales CAD'!I36/$C$1)/1000</f>
        <v>0</v>
      </c>
      <c r="J36" s="3">
        <f>('Agency Net Sales CAD'!J36/$C$1)/1000</f>
        <v>0</v>
      </c>
      <c r="K36" s="3">
        <f>('Agency Net Sales CAD'!K36/$C$1)/1000</f>
        <v>0</v>
      </c>
      <c r="L36" s="3">
        <f>('Agency Net Sales CAD'!L36/$C$1)/1000</f>
        <v>0</v>
      </c>
      <c r="M36" s="3">
        <f>('Agency Net Sales CAD'!M36/$C$1)/1000</f>
        <v>0</v>
      </c>
      <c r="N36" s="3">
        <f>('Agency Net Sales CAD'!N36/$C$1)/1000</f>
        <v>0</v>
      </c>
      <c r="O36" s="3">
        <f>('Agency Net Sales CAD'!O36/$C$1)/1000</f>
        <v>0</v>
      </c>
      <c r="P36" s="3">
        <f>('Agency Net Sales CAD'!P36/$C$1)/1000</f>
        <v>0</v>
      </c>
      <c r="Q36" s="4">
        <f>('Agency Net Sales CAD'!Q36/$C$1)/1000</f>
        <v>0</v>
      </c>
    </row>
    <row r="37" spans="1:17" x14ac:dyDescent="0.25">
      <c r="A37" s="2" t="s">
        <v>184</v>
      </c>
      <c r="B37" t="s">
        <v>167</v>
      </c>
      <c r="C37" s="2" t="s">
        <v>195</v>
      </c>
      <c r="D37" s="2"/>
      <c r="E37" s="3">
        <f>('Agency Net Sales CAD'!E37/$C$1)/1000</f>
        <v>0</v>
      </c>
      <c r="F37" s="3">
        <f>('Agency Net Sales CAD'!F37/$C$1)/1000</f>
        <v>0</v>
      </c>
      <c r="G37" s="3">
        <f>('Agency Net Sales CAD'!G37/$C$1)/1000</f>
        <v>0</v>
      </c>
      <c r="H37" s="3">
        <f>('Agency Net Sales CAD'!H37/$C$1)/1000</f>
        <v>0</v>
      </c>
      <c r="I37" s="3">
        <f>('Agency Net Sales CAD'!I37/$C$1)/1000</f>
        <v>0</v>
      </c>
      <c r="J37" s="3">
        <f>('Agency Net Sales CAD'!J37/$C$1)/1000</f>
        <v>0</v>
      </c>
      <c r="K37" s="3">
        <f>('Agency Net Sales CAD'!K37/$C$1)/1000</f>
        <v>0</v>
      </c>
      <c r="L37" s="3">
        <f>('Agency Net Sales CAD'!L37/$C$1)/1000</f>
        <v>0</v>
      </c>
      <c r="M37" s="3">
        <f>('Agency Net Sales CAD'!M37/$C$1)/1000</f>
        <v>0</v>
      </c>
      <c r="N37" s="3">
        <f>('Agency Net Sales CAD'!N37/$C$1)/1000</f>
        <v>0</v>
      </c>
      <c r="O37" s="3">
        <f>('Agency Net Sales CAD'!O37/$C$1)/1000</f>
        <v>0</v>
      </c>
      <c r="P37" s="3">
        <f>('Agency Net Sales CAD'!P37/$C$1)/1000</f>
        <v>0</v>
      </c>
      <c r="Q37" s="4">
        <f>('Agency Net Sales CAD'!Q37/$C$1)/1000</f>
        <v>0</v>
      </c>
    </row>
    <row r="38" spans="1:17" x14ac:dyDescent="0.25">
      <c r="A38" s="2" t="s">
        <v>184</v>
      </c>
      <c r="B38" t="s">
        <v>167</v>
      </c>
      <c r="C38" s="2" t="s">
        <v>196</v>
      </c>
      <c r="D38" s="2"/>
      <c r="E38" s="3">
        <f>('Agency Net Sales CAD'!E38/$C$1)/1000</f>
        <v>-0.50509833584304087</v>
      </c>
      <c r="F38" s="3">
        <f>('Agency Net Sales CAD'!F38/$C$1)/1000</f>
        <v>5.2371692979199782</v>
      </c>
      <c r="G38" s="3">
        <f>('Agency Net Sales CAD'!G38/$C$1)/1000</f>
        <v>-0.11206496357888682</v>
      </c>
      <c r="H38" s="3">
        <f>('Agency Net Sales CAD'!H38/$C$1)/1000</f>
        <v>0</v>
      </c>
      <c r="I38" s="3">
        <f>('Agency Net Sales CAD'!I38/$C$1)/1000</f>
        <v>-8.2824223082127488E-2</v>
      </c>
      <c r="J38" s="3">
        <f>('Agency Net Sales CAD'!J38/$C$1)/1000</f>
        <v>-1.0894319682802196</v>
      </c>
      <c r="K38" s="3">
        <f>('Agency Net Sales CAD'!K38/$C$1)/1000</f>
        <v>1.8605679721279094</v>
      </c>
      <c r="L38" s="3">
        <f>('Agency Net Sales CAD'!L38/$C$1)/1000</f>
        <v>7.5316787503058356</v>
      </c>
      <c r="M38" s="3">
        <f>('Agency Net Sales CAD'!M38/$C$1)/1000</f>
        <v>6.4419134825411088</v>
      </c>
      <c r="N38" s="3">
        <f>('Agency Net Sales CAD'!N38/$C$1)/1000</f>
        <v>4.8979984081505172</v>
      </c>
      <c r="O38" s="3">
        <f>('Agency Net Sales CAD'!O38/$C$1)/1000</f>
        <v>4.8979984081505172</v>
      </c>
      <c r="P38" s="3">
        <f>('Agency Net Sales CAD'!P38/$C$1)/1000</f>
        <v>4.8979984081505172</v>
      </c>
      <c r="Q38" s="4">
        <f>('Agency Net Sales CAD'!Q38/$C$1)/1000</f>
        <v>33.975905236562113</v>
      </c>
    </row>
    <row r="39" spans="1:17" x14ac:dyDescent="0.25">
      <c r="A39" s="2" t="s">
        <v>184</v>
      </c>
      <c r="B39" t="s">
        <v>167</v>
      </c>
      <c r="C39" s="2" t="s">
        <v>197</v>
      </c>
      <c r="D39" s="2"/>
      <c r="E39" s="3">
        <f>('Agency Net Sales CAD'!E39/$C$1)/1000</f>
        <v>0</v>
      </c>
      <c r="F39" s="3">
        <f>('Agency Net Sales CAD'!F39/$C$1)/1000</f>
        <v>0</v>
      </c>
      <c r="G39" s="3">
        <f>('Agency Net Sales CAD'!G39/$C$1)/1000</f>
        <v>0</v>
      </c>
      <c r="H39" s="3">
        <f>('Agency Net Sales CAD'!H39/$C$1)/1000</f>
        <v>0</v>
      </c>
      <c r="I39" s="3">
        <f>('Agency Net Sales CAD'!I39/$C$1)/1000</f>
        <v>0</v>
      </c>
      <c r="J39" s="3">
        <f>('Agency Net Sales CAD'!J39/$C$1)/1000</f>
        <v>0</v>
      </c>
      <c r="K39" s="3">
        <f>('Agency Net Sales CAD'!K39/$C$1)/1000</f>
        <v>0</v>
      </c>
      <c r="L39" s="3">
        <f>('Agency Net Sales CAD'!L39/$C$1)/1000</f>
        <v>0</v>
      </c>
      <c r="M39" s="3">
        <f>('Agency Net Sales CAD'!M39/$C$1)/1000</f>
        <v>0</v>
      </c>
      <c r="N39" s="3">
        <f>('Agency Net Sales CAD'!N39/$C$1)/1000</f>
        <v>0</v>
      </c>
      <c r="O39" s="3">
        <f>('Agency Net Sales CAD'!O39/$C$1)/1000</f>
        <v>0</v>
      </c>
      <c r="P39" s="3">
        <f>('Agency Net Sales CAD'!P39/$C$1)/1000</f>
        <v>0</v>
      </c>
      <c r="Q39" s="4">
        <f>('Agency Net Sales CAD'!Q39/$C$1)/1000</f>
        <v>0</v>
      </c>
    </row>
    <row r="40" spans="1:17" x14ac:dyDescent="0.25">
      <c r="A40" s="2" t="s">
        <v>184</v>
      </c>
      <c r="B40" t="s">
        <v>167</v>
      </c>
      <c r="C40" s="2" t="s">
        <v>198</v>
      </c>
      <c r="D40" s="2"/>
      <c r="E40" s="3">
        <f>('Agency Net Sales CAD'!E40/$C$1)/1000</f>
        <v>12.125555074194601</v>
      </c>
      <c r="F40" s="3">
        <f>('Agency Net Sales CAD'!F40/$C$1)/1000</f>
        <v>46.125155484324466</v>
      </c>
      <c r="G40" s="3">
        <f>('Agency Net Sales CAD'!G40/$C$1)/1000</f>
        <v>66.070533579499099</v>
      </c>
      <c r="H40" s="3">
        <f>('Agency Net Sales CAD'!H40/$C$1)/1000</f>
        <v>19.364529036528062</v>
      </c>
      <c r="I40" s="3">
        <f>('Agency Net Sales CAD'!I40/$C$1)/1000</f>
        <v>13.07540840549227</v>
      </c>
      <c r="J40" s="3">
        <f>('Agency Net Sales CAD'!J40/$C$1)/1000</f>
        <v>45.243358200799697</v>
      </c>
      <c r="K40" s="3">
        <f>('Agency Net Sales CAD'!K40/$C$1)/1000</f>
        <v>12.822245534649973</v>
      </c>
      <c r="L40" s="3">
        <f>('Agency Net Sales CAD'!L40/$C$1)/1000</f>
        <v>5.0410677412393925</v>
      </c>
      <c r="M40" s="3">
        <f>('Agency Net Sales CAD'!M40/$C$1)/1000</f>
        <v>-4.6214889344260008</v>
      </c>
      <c r="N40" s="3">
        <f>('Agency Net Sales CAD'!N40/$C$1)/1000</f>
        <v>0</v>
      </c>
      <c r="O40" s="3">
        <f>('Agency Net Sales CAD'!O40/$C$1)/1000</f>
        <v>0</v>
      </c>
      <c r="P40" s="3">
        <f>('Agency Net Sales CAD'!P40/$C$1)/1000</f>
        <v>0</v>
      </c>
      <c r="Q40" s="4">
        <f>('Agency Net Sales CAD'!Q40/$C$1)/1000</f>
        <v>215.24636412230151</v>
      </c>
    </row>
    <row r="41" spans="1:17" x14ac:dyDescent="0.25">
      <c r="A41" s="2" t="s">
        <v>184</v>
      </c>
      <c r="B41" t="s">
        <v>167</v>
      </c>
      <c r="C41" s="2" t="s">
        <v>199</v>
      </c>
      <c r="D41" s="2"/>
      <c r="E41" s="6">
        <f>('Agency Net Sales CAD'!E41/$C$1)/1000</f>
        <v>0</v>
      </c>
      <c r="F41" s="3">
        <f>('Agency Net Sales CAD'!F41/$C$1)/1000</f>
        <v>2.1121215385604994</v>
      </c>
      <c r="G41" s="3">
        <f>('Agency Net Sales CAD'!G41/$C$1)/1000</f>
        <v>6.6242153011300271</v>
      </c>
      <c r="H41" s="3">
        <f>('Agency Net Sales CAD'!H41/$C$1)/1000</f>
        <v>3.7467623223022448</v>
      </c>
      <c r="I41" s="3">
        <f>('Agency Net Sales CAD'!I41/$C$1)/1000</f>
        <v>0</v>
      </c>
      <c r="J41" s="3">
        <f>('Agency Net Sales CAD'!J41/$C$1)/1000</f>
        <v>-2.5544518492749385E-2</v>
      </c>
      <c r="K41" s="3">
        <f>('Agency Net Sales CAD'!K41/$C$1)/1000</f>
        <v>3.3812747221417188</v>
      </c>
      <c r="L41" s="3">
        <f>('Agency Net Sales CAD'!L41/$C$1)/1000</f>
        <v>-0.22934560083264924</v>
      </c>
      <c r="M41" s="3">
        <f>('Agency Net Sales CAD'!M41/$C$1)/1000</f>
        <v>4.3270919039910583</v>
      </c>
      <c r="N41" s="3">
        <f>('Agency Net Sales CAD'!N41/$C$1)/1000</f>
        <v>0</v>
      </c>
      <c r="O41" s="3">
        <f>('Agency Net Sales CAD'!O41/$C$1)/1000</f>
        <v>0</v>
      </c>
      <c r="P41" s="3">
        <f>('Agency Net Sales CAD'!P41/$C$1)/1000</f>
        <v>0</v>
      </c>
      <c r="Q41" s="4">
        <f>('Agency Net Sales CAD'!Q41/$C$1)/1000</f>
        <v>19.936575668800149</v>
      </c>
    </row>
    <row r="42" spans="1:17" x14ac:dyDescent="0.25">
      <c r="A42" s="2" t="s">
        <v>184</v>
      </c>
      <c r="B42" t="s">
        <v>167</v>
      </c>
      <c r="C42" s="2" t="s">
        <v>200</v>
      </c>
      <c r="D42" s="2"/>
      <c r="E42" s="6">
        <f>('Agency Net Sales CAD'!E42/$C$1)/1000</f>
        <v>0</v>
      </c>
      <c r="F42" s="3">
        <f>('Agency Net Sales CAD'!F42/$C$1)/1000</f>
        <v>0</v>
      </c>
      <c r="G42" s="3">
        <f>('Agency Net Sales CAD'!G42/$C$1)/1000</f>
        <v>-0.69749977331257362</v>
      </c>
      <c r="H42" s="3">
        <f>('Agency Net Sales CAD'!H42/$C$1)/1000</f>
        <v>0.64882234913273662</v>
      </c>
      <c r="I42" s="3">
        <f>('Agency Net Sales CAD'!I42/$C$1)/1000</f>
        <v>2.1306663525334346</v>
      </c>
      <c r="J42" s="3">
        <f>('Agency Net Sales CAD'!J42/$C$1)/1000</f>
        <v>2.0110372253304019</v>
      </c>
      <c r="K42" s="3">
        <f>('Agency Net Sales CAD'!K42/$C$1)/1000</f>
        <v>6.5755215070180091</v>
      </c>
      <c r="L42" s="3">
        <f>('Agency Net Sales CAD'!L42/$C$1)/1000</f>
        <v>1.6631848382149275</v>
      </c>
      <c r="M42" s="3">
        <f>('Agency Net Sales CAD'!M42/$C$1)/1000</f>
        <v>-0.36189533027776755</v>
      </c>
      <c r="N42" s="3">
        <f>('Agency Net Sales CAD'!N42/$C$1)/1000</f>
        <v>0</v>
      </c>
      <c r="O42" s="3">
        <f>('Agency Net Sales CAD'!O42/$C$1)/1000</f>
        <v>0</v>
      </c>
      <c r="P42" s="3">
        <f>('Agency Net Sales CAD'!P42/$C$1)/1000</f>
        <v>0</v>
      </c>
      <c r="Q42" s="4">
        <f>('Agency Net Sales CAD'!Q42/$C$1)/1000</f>
        <v>11.969837168639167</v>
      </c>
    </row>
    <row r="43" spans="1:17" x14ac:dyDescent="0.25">
      <c r="A43" s="2" t="s">
        <v>184</v>
      </c>
      <c r="B43" t="s">
        <v>167</v>
      </c>
      <c r="C43" s="2" t="s">
        <v>201</v>
      </c>
      <c r="D43" s="2"/>
      <c r="E43" s="6">
        <f>('Agency Net Sales CAD'!E43/$C$1)/1000</f>
        <v>95.315199682560092</v>
      </c>
      <c r="F43" s="3">
        <f>('Agency Net Sales CAD'!F43/$C$1)/1000</f>
        <v>-16.36286728206813</v>
      </c>
      <c r="G43" s="3">
        <f>('Agency Net Sales CAD'!G43/$C$1)/1000</f>
        <v>-9.6247218719653901E-2</v>
      </c>
      <c r="H43" s="3">
        <f>('Agency Net Sales CAD'!H43/$C$1)/1000</f>
        <v>1.0849996473751145E-4</v>
      </c>
      <c r="I43" s="3">
        <f>('Agency Net Sales CAD'!I43/$C$1)/1000</f>
        <v>4.2731471112271882</v>
      </c>
      <c r="J43" s="3">
        <f>('Agency Net Sales CAD'!J43/$C$1)/1000</f>
        <v>0.83665646041172037</v>
      </c>
      <c r="K43" s="3">
        <f>('Agency Net Sales CAD'!K43/$C$1)/1000</f>
        <v>-1.2340602352626061E-2</v>
      </c>
      <c r="L43" s="3">
        <f>('Agency Net Sales CAD'!L43/$C$1)/1000</f>
        <v>12.849021181297726</v>
      </c>
      <c r="M43" s="3">
        <f>('Agency Net Sales CAD'!M43/$C$1)/1000</f>
        <v>29.785163106000653</v>
      </c>
      <c r="N43" s="3">
        <f>('Agency Net Sales CAD'!N43/$C$1)/1000</f>
        <v>30.612490050940732</v>
      </c>
      <c r="O43" s="3">
        <f>('Agency Net Sales CAD'!O43/$C$1)/1000</f>
        <v>30.612490050940732</v>
      </c>
      <c r="P43" s="3">
        <f>('Agency Net Sales CAD'!P43/$C$1)/1000</f>
        <v>30.612490050940732</v>
      </c>
      <c r="Q43" s="4">
        <f>('Agency Net Sales CAD'!Q43/$C$1)/1000</f>
        <v>218.4253110911439</v>
      </c>
    </row>
    <row r="44" spans="1:17" x14ac:dyDescent="0.25">
      <c r="A44" s="2" t="s">
        <v>184</v>
      </c>
      <c r="B44" t="s">
        <v>167</v>
      </c>
      <c r="C44" s="2" t="s">
        <v>202</v>
      </c>
      <c r="D44" s="2"/>
      <c r="E44" s="6">
        <f>('Agency Net Sales CAD'!E44/$C$1)/1000</f>
        <v>0</v>
      </c>
      <c r="F44" s="3">
        <f>('Agency Net Sales CAD'!F44/$C$1)/1000</f>
        <v>0</v>
      </c>
      <c r="G44" s="3">
        <f>('Agency Net Sales CAD'!G44/$C$1)/1000</f>
        <v>0</v>
      </c>
      <c r="H44" s="3">
        <f>('Agency Net Sales CAD'!H44/$C$1)/1000</f>
        <v>0</v>
      </c>
      <c r="I44" s="3">
        <f>('Agency Net Sales CAD'!I44/$C$1)/1000</f>
        <v>0</v>
      </c>
      <c r="J44" s="3">
        <f>('Agency Net Sales CAD'!J44/$C$1)/1000</f>
        <v>0</v>
      </c>
      <c r="K44" s="3">
        <f>('Agency Net Sales CAD'!K44/$C$1)/1000</f>
        <v>0</v>
      </c>
      <c r="L44" s="3">
        <f>('Agency Net Sales CAD'!L44/$C$1)/1000</f>
        <v>0</v>
      </c>
      <c r="M44" s="3">
        <f>('Agency Net Sales CAD'!M44/$C$1)/1000</f>
        <v>0</v>
      </c>
      <c r="N44" s="3">
        <f>('Agency Net Sales CAD'!N44/$C$1)/1000</f>
        <v>0</v>
      </c>
      <c r="O44" s="3">
        <f>('Agency Net Sales CAD'!O44/$C$1)/1000</f>
        <v>0</v>
      </c>
      <c r="P44" s="3">
        <f>('Agency Net Sales CAD'!P44/$C$1)/1000</f>
        <v>0</v>
      </c>
      <c r="Q44" s="4">
        <f>('Agency Net Sales CAD'!Q44/$C$1)/1000</f>
        <v>0</v>
      </c>
    </row>
    <row r="45" spans="1:17" x14ac:dyDescent="0.25">
      <c r="A45" s="2" t="s">
        <v>184</v>
      </c>
      <c r="B45" t="s">
        <v>167</v>
      </c>
      <c r="C45" s="2" t="s">
        <v>203</v>
      </c>
      <c r="D45" s="2"/>
      <c r="E45" s="6">
        <f>('Agency Net Sales CAD'!E45/$C$1)/1000</f>
        <v>0</v>
      </c>
      <c r="F45" s="3">
        <f>('Agency Net Sales CAD'!F45/$C$1)/1000</f>
        <v>2.7695818798858891</v>
      </c>
      <c r="G45" s="3">
        <f>('Agency Net Sales CAD'!G45/$C$1)/1000</f>
        <v>12.67274098035918</v>
      </c>
      <c r="H45" s="3">
        <f>('Agency Net Sales CAD'!H45/$C$1)/1000</f>
        <v>0</v>
      </c>
      <c r="I45" s="3">
        <f>('Agency Net Sales CAD'!I45/$C$1)/1000</f>
        <v>0</v>
      </c>
      <c r="J45" s="3">
        <f>('Agency Net Sales CAD'!J45/$C$1)/1000</f>
        <v>-3.4202973284753681E-3</v>
      </c>
      <c r="K45" s="3">
        <f>('Agency Net Sales CAD'!K45/$C$1)/1000</f>
        <v>4.9633236210233331</v>
      </c>
      <c r="L45" s="3">
        <f>('Agency Net Sales CAD'!L45/$C$1)/1000</f>
        <v>-0.5543760856497747</v>
      </c>
      <c r="M45" s="3">
        <f>('Agency Net Sales CAD'!M45/$C$1)/1000</f>
        <v>-3.4267466886413883E-3</v>
      </c>
      <c r="N45" s="3">
        <f>('Agency Net Sales CAD'!N45/$C$1)/1000</f>
        <v>0</v>
      </c>
      <c r="O45" s="3">
        <f>('Agency Net Sales CAD'!O45/$C$1)/1000</f>
        <v>0</v>
      </c>
      <c r="P45" s="3">
        <f>('Agency Net Sales CAD'!P45/$C$1)/1000</f>
        <v>0</v>
      </c>
      <c r="Q45" s="4">
        <f>('Agency Net Sales CAD'!Q45/$C$1)/1000</f>
        <v>19.844423351601513</v>
      </c>
    </row>
    <row r="46" spans="1:17" x14ac:dyDescent="0.25">
      <c r="A46" s="2" t="s">
        <v>184</v>
      </c>
      <c r="B46" t="s">
        <v>167</v>
      </c>
      <c r="C46" s="2" t="s">
        <v>204</v>
      </c>
      <c r="D46" s="2"/>
      <c r="E46" s="6">
        <f>('Agency Net Sales CAD'!E46/$C$1)/1000</f>
        <v>0</v>
      </c>
      <c r="F46" s="3">
        <f>('Agency Net Sales CAD'!F46/$C$1)/1000</f>
        <v>0</v>
      </c>
      <c r="G46" s="3">
        <f>('Agency Net Sales CAD'!G46/$C$1)/1000</f>
        <v>14.473120296235901</v>
      </c>
      <c r="H46" s="3">
        <f>('Agency Net Sales CAD'!H46/$C$1)/1000</f>
        <v>6.9979488856666103</v>
      </c>
      <c r="I46" s="3">
        <f>('Agency Net Sales CAD'!I46/$C$1)/1000</f>
        <v>-5.6878936514345634E-2</v>
      </c>
      <c r="J46" s="3">
        <f>('Agency Net Sales CAD'!J46/$C$1)/1000</f>
        <v>0</v>
      </c>
      <c r="K46" s="3">
        <f>('Agency Net Sales CAD'!K46/$C$1)/1000</f>
        <v>2.5312560594914593</v>
      </c>
      <c r="L46" s="3">
        <f>('Agency Net Sales CAD'!L46/$C$1)/1000</f>
        <v>-0.19428235415096215</v>
      </c>
      <c r="M46" s="3">
        <f>('Agency Net Sales CAD'!M46/$C$1)/1000</f>
        <v>2.7506480231817991</v>
      </c>
      <c r="N46" s="3">
        <f>('Agency Net Sales CAD'!N46/$C$1)/1000</f>
        <v>0</v>
      </c>
      <c r="O46" s="3">
        <f>('Agency Net Sales CAD'!O46/$C$1)/1000</f>
        <v>0</v>
      </c>
      <c r="P46" s="3">
        <f>('Agency Net Sales CAD'!P46/$C$1)/1000</f>
        <v>0</v>
      </c>
      <c r="Q46" s="4">
        <f>('Agency Net Sales CAD'!Q46/$C$1)/1000</f>
        <v>26.501811973910467</v>
      </c>
    </row>
    <row r="47" spans="1:17" x14ac:dyDescent="0.25">
      <c r="A47" s="2" t="s">
        <v>184</v>
      </c>
      <c r="B47" t="s">
        <v>167</v>
      </c>
      <c r="C47" s="2" t="s">
        <v>205</v>
      </c>
      <c r="D47" s="2"/>
      <c r="E47" s="6">
        <f>('Agency Net Sales CAD'!E47/$C$1)/1000</f>
        <v>0</v>
      </c>
      <c r="F47" s="3">
        <f>('Agency Net Sales CAD'!F47/$C$1)/1000</f>
        <v>0</v>
      </c>
      <c r="G47" s="3">
        <f>('Agency Net Sales CAD'!G47/$C$1)/1000</f>
        <v>0</v>
      </c>
      <c r="H47" s="3">
        <f>('Agency Net Sales CAD'!H47/$C$1)/1000</f>
        <v>0</v>
      </c>
      <c r="I47" s="3">
        <f>('Agency Net Sales CAD'!I47/$C$1)/1000</f>
        <v>0</v>
      </c>
      <c r="J47" s="3">
        <f>('Agency Net Sales CAD'!J47/$C$1)/1000</f>
        <v>-9.5340469014347562E-2</v>
      </c>
      <c r="K47" s="3">
        <f>('Agency Net Sales CAD'!K47/$C$1)/1000</f>
        <v>0</v>
      </c>
      <c r="L47" s="3">
        <f>('Agency Net Sales CAD'!L47/$C$1)/1000</f>
        <v>0</v>
      </c>
      <c r="M47" s="3">
        <f>('Agency Net Sales CAD'!M47/$C$1)/1000</f>
        <v>0</v>
      </c>
      <c r="N47" s="3">
        <f>('Agency Net Sales CAD'!N47/$C$1)/1000</f>
        <v>0</v>
      </c>
      <c r="O47" s="3">
        <f>('Agency Net Sales CAD'!O47/$C$1)/1000</f>
        <v>0</v>
      </c>
      <c r="P47" s="3">
        <f>('Agency Net Sales CAD'!P47/$C$1)/1000</f>
        <v>0</v>
      </c>
      <c r="Q47" s="4">
        <f>('Agency Net Sales CAD'!Q47/$C$1)/1000</f>
        <v>-9.5340469014347562E-2</v>
      </c>
    </row>
    <row r="48" spans="1:17" x14ac:dyDescent="0.25">
      <c r="A48" s="2" t="s">
        <v>184</v>
      </c>
      <c r="B48" t="s">
        <v>167</v>
      </c>
      <c r="C48" s="2" t="s">
        <v>206</v>
      </c>
      <c r="D48" s="2"/>
      <c r="E48" s="6">
        <f>('Agency Net Sales CAD'!E48/$C$1)/1000</f>
        <v>0</v>
      </c>
      <c r="F48" s="3">
        <f>('Agency Net Sales CAD'!F48/$C$1)/1000</f>
        <v>0</v>
      </c>
      <c r="G48" s="3">
        <f>('Agency Net Sales CAD'!G48/$C$1)/1000</f>
        <v>0</v>
      </c>
      <c r="H48" s="3">
        <f>('Agency Net Sales CAD'!H48/$C$1)/1000</f>
        <v>0</v>
      </c>
      <c r="I48" s="3">
        <f>('Agency Net Sales CAD'!I48/$C$1)/1000</f>
        <v>0</v>
      </c>
      <c r="J48" s="3">
        <f>('Agency Net Sales CAD'!J48/$C$1)/1000</f>
        <v>3.2143579553336643</v>
      </c>
      <c r="K48" s="3">
        <f>('Agency Net Sales CAD'!K48/$C$1)/1000</f>
        <v>0</v>
      </c>
      <c r="L48" s="3">
        <f>('Agency Net Sales CAD'!L48/$C$1)/1000</f>
        <v>0</v>
      </c>
      <c r="M48" s="3">
        <f>('Agency Net Sales CAD'!M48/$C$1)/1000</f>
        <v>0</v>
      </c>
      <c r="N48" s="3">
        <f>('Agency Net Sales CAD'!N48/$C$1)/1000</f>
        <v>0</v>
      </c>
      <c r="O48" s="3">
        <f>('Agency Net Sales CAD'!O48/$C$1)/1000</f>
        <v>0</v>
      </c>
      <c r="P48" s="3">
        <f>('Agency Net Sales CAD'!P48/$C$1)/1000</f>
        <v>0</v>
      </c>
      <c r="Q48" s="4">
        <f>('Agency Net Sales CAD'!Q48/$C$1)/1000</f>
        <v>3.2143579553336643</v>
      </c>
    </row>
    <row r="49" spans="1:17" x14ac:dyDescent="0.25">
      <c r="A49" s="2" t="s">
        <v>184</v>
      </c>
      <c r="B49" t="s">
        <v>167</v>
      </c>
      <c r="C49" s="2" t="s">
        <v>207</v>
      </c>
      <c r="D49" s="2"/>
      <c r="E49" s="6">
        <f>('Agency Net Sales CAD'!E49/$C$1)/1000</f>
        <v>0</v>
      </c>
      <c r="F49" s="3">
        <f>('Agency Net Sales CAD'!F49/$C$1)/1000</f>
        <v>0</v>
      </c>
      <c r="G49" s="3">
        <f>('Agency Net Sales CAD'!G49/$C$1)/1000</f>
        <v>0</v>
      </c>
      <c r="H49" s="3">
        <f>('Agency Net Sales CAD'!H49/$C$1)/1000</f>
        <v>0</v>
      </c>
      <c r="I49" s="3">
        <f>('Agency Net Sales CAD'!I49/$C$1)/1000</f>
        <v>0</v>
      </c>
      <c r="J49" s="3">
        <f>('Agency Net Sales CAD'!J49/$C$1)/1000</f>
        <v>5.2070683077027997</v>
      </c>
      <c r="K49" s="3">
        <f>('Agency Net Sales CAD'!K49/$C$1)/1000</f>
        <v>0</v>
      </c>
      <c r="L49" s="3">
        <f>('Agency Net Sales CAD'!L49/$C$1)/1000</f>
        <v>0</v>
      </c>
      <c r="M49" s="3">
        <f>('Agency Net Sales CAD'!M49/$C$1)/1000</f>
        <v>0</v>
      </c>
      <c r="N49" s="3">
        <f>('Agency Net Sales CAD'!N49/$C$1)/1000</f>
        <v>0</v>
      </c>
      <c r="O49" s="3">
        <f>('Agency Net Sales CAD'!O49/$C$1)/1000</f>
        <v>0</v>
      </c>
      <c r="P49" s="3">
        <f>('Agency Net Sales CAD'!P49/$C$1)/1000</f>
        <v>0</v>
      </c>
      <c r="Q49" s="4">
        <f>('Agency Net Sales CAD'!Q49/$C$1)/1000</f>
        <v>5.2070683077027997</v>
      </c>
    </row>
    <row r="50" spans="1:17" s="9" customFormat="1" x14ac:dyDescent="0.25">
      <c r="A50" s="8" t="s">
        <v>184</v>
      </c>
      <c r="B50" s="9" t="s">
        <v>167</v>
      </c>
      <c r="C50" s="8" t="s">
        <v>208</v>
      </c>
      <c r="D50" s="8"/>
      <c r="E50" s="10">
        <f>('Agency Net Sales CAD'!E50/$C$1)/1000</f>
        <v>0</v>
      </c>
      <c r="F50" s="11">
        <f>('Agency Net Sales CAD'!F50/$C$1)/1000</f>
        <v>0</v>
      </c>
      <c r="G50" s="11">
        <f>('Agency Net Sales CAD'!G50/$C$1)/1000</f>
        <v>0</v>
      </c>
      <c r="H50" s="11">
        <f>('Agency Net Sales CAD'!H50/$C$1)/1000</f>
        <v>0</v>
      </c>
      <c r="I50" s="11">
        <f>('Agency Net Sales CAD'!I50/$C$1)/1000</f>
        <v>0</v>
      </c>
      <c r="J50" s="11">
        <f>('Agency Net Sales CAD'!J50/$C$1)/1000</f>
        <v>6.1123920134725944</v>
      </c>
      <c r="K50" s="11">
        <f>('Agency Net Sales CAD'!K50/$C$1)/1000</f>
        <v>0</v>
      </c>
      <c r="L50" s="11">
        <f>('Agency Net Sales CAD'!L50/$C$1)/1000</f>
        <v>0</v>
      </c>
      <c r="M50" s="11">
        <f>('Agency Net Sales CAD'!M50/$C$1)/1000</f>
        <v>0</v>
      </c>
      <c r="N50" s="11">
        <f>('Agency Net Sales CAD'!N50/$C$1)/1000</f>
        <v>0</v>
      </c>
      <c r="O50" s="11">
        <f>('Agency Net Sales CAD'!O50/$C$1)/1000</f>
        <v>0</v>
      </c>
      <c r="P50" s="11">
        <f>('Agency Net Sales CAD'!P50/$C$1)/1000</f>
        <v>0</v>
      </c>
      <c r="Q50" s="12">
        <f>('Agency Net Sales CAD'!Q50/$C$1)/1000</f>
        <v>6.1123920134725944</v>
      </c>
    </row>
    <row r="51" spans="1:17" s="14" customFormat="1" x14ac:dyDescent="0.25">
      <c r="A51" s="13" t="s">
        <v>209</v>
      </c>
      <c r="B51" s="14" t="s">
        <v>167</v>
      </c>
      <c r="C51" s="13" t="s">
        <v>210</v>
      </c>
      <c r="D51" s="13"/>
      <c r="E51" s="15">
        <f>('Agency Net Sales CAD'!E51/$C$1)/1000</f>
        <v>0</v>
      </c>
      <c r="F51" s="15">
        <f>('Agency Net Sales CAD'!F51/$C$1)/1000</f>
        <v>0</v>
      </c>
      <c r="G51" s="15">
        <f>('Agency Net Sales CAD'!G51/$C$1)/1000</f>
        <v>0</v>
      </c>
      <c r="H51" s="15">
        <f>('Agency Net Sales CAD'!H51/$C$1)/1000</f>
        <v>0</v>
      </c>
      <c r="I51" s="15">
        <f>('Agency Net Sales CAD'!I51/$C$1)/1000</f>
        <v>0</v>
      </c>
      <c r="J51" s="15">
        <f>('Agency Net Sales CAD'!J51/$C$1)/1000</f>
        <v>0</v>
      </c>
      <c r="K51" s="15">
        <f>('Agency Net Sales CAD'!K51/$C$1)/1000</f>
        <v>0</v>
      </c>
      <c r="L51" s="15">
        <f>('Agency Net Sales CAD'!L51/$C$1)/1000</f>
        <v>0</v>
      </c>
      <c r="M51" s="15">
        <f>('Agency Net Sales CAD'!M51/$C$1)/1000</f>
        <v>0</v>
      </c>
      <c r="N51" s="15">
        <f>('Agency Net Sales CAD'!N51/$C$1)/1000</f>
        <v>0</v>
      </c>
      <c r="O51" s="15">
        <f>('Agency Net Sales CAD'!O51/$C$1)/1000</f>
        <v>0</v>
      </c>
      <c r="P51" s="15">
        <f>('Agency Net Sales CAD'!P51/$C$1)/1000</f>
        <v>0</v>
      </c>
      <c r="Q51" s="16">
        <f>('Agency Net Sales CAD'!Q51/$C$1)/1000</f>
        <v>0</v>
      </c>
    </row>
    <row r="52" spans="1:17" s="18" customFormat="1" x14ac:dyDescent="0.25">
      <c r="A52" s="17" t="s">
        <v>209</v>
      </c>
      <c r="B52" s="18" t="s">
        <v>167</v>
      </c>
      <c r="C52" s="17" t="s">
        <v>211</v>
      </c>
      <c r="D52" s="17"/>
      <c r="E52" s="19">
        <f>('Agency Net Sales CAD'!E52/$C$1)/1000</f>
        <v>0</v>
      </c>
      <c r="F52" s="19">
        <f>('Agency Net Sales CAD'!F52/$C$1)/1000</f>
        <v>0</v>
      </c>
      <c r="G52" s="19">
        <f>('Agency Net Sales CAD'!G52/$C$1)/1000</f>
        <v>0</v>
      </c>
      <c r="H52" s="19">
        <f>('Agency Net Sales CAD'!H52/$C$1)/1000</f>
        <v>0</v>
      </c>
      <c r="I52" s="19">
        <f>('Agency Net Sales CAD'!I52/$C$1)/1000</f>
        <v>0</v>
      </c>
      <c r="J52" s="19">
        <f>('Agency Net Sales CAD'!J52/$C$1)/1000</f>
        <v>0</v>
      </c>
      <c r="K52" s="19">
        <f>('Agency Net Sales CAD'!K52/$C$1)/1000</f>
        <v>0</v>
      </c>
      <c r="L52" s="19">
        <f>('Agency Net Sales CAD'!L52/$C$1)/1000</f>
        <v>0</v>
      </c>
      <c r="M52" s="19">
        <f>('Agency Net Sales CAD'!M52/$C$1)/1000</f>
        <v>0</v>
      </c>
      <c r="N52" s="19">
        <f>('Agency Net Sales CAD'!N52/$C$1)/1000</f>
        <v>0</v>
      </c>
      <c r="O52" s="19">
        <f>('Agency Net Sales CAD'!O52/$C$1)/1000</f>
        <v>0</v>
      </c>
      <c r="P52" s="19">
        <f>('Agency Net Sales CAD'!P52/$C$1)/1000</f>
        <v>0</v>
      </c>
      <c r="Q52" s="20">
        <f>('Agency Net Sales CAD'!Q52/$C$1)/1000</f>
        <v>0</v>
      </c>
    </row>
    <row r="53" spans="1:17" s="9" customFormat="1" x14ac:dyDescent="0.25">
      <c r="A53" s="8" t="s">
        <v>209</v>
      </c>
      <c r="B53" s="9" t="s">
        <v>167</v>
      </c>
      <c r="C53" s="8" t="s">
        <v>212</v>
      </c>
      <c r="D53" s="8"/>
      <c r="E53" s="11">
        <f>('Agency Net Sales CAD'!E53/$C$1)/1000</f>
        <v>0</v>
      </c>
      <c r="F53" s="11">
        <f>('Agency Net Sales CAD'!F53/$C$1)/1000</f>
        <v>0</v>
      </c>
      <c r="G53" s="11">
        <f>('Agency Net Sales CAD'!G53/$C$1)/1000</f>
        <v>0</v>
      </c>
      <c r="H53" s="11">
        <f>('Agency Net Sales CAD'!H53/$C$1)/1000</f>
        <v>0</v>
      </c>
      <c r="I53" s="11">
        <f>('Agency Net Sales CAD'!I53/$C$1)/1000</f>
        <v>0</v>
      </c>
      <c r="J53" s="11">
        <f>('Agency Net Sales CAD'!J53/$C$1)/1000</f>
        <v>0</v>
      </c>
      <c r="K53" s="11">
        <f>('Agency Net Sales CAD'!K53/$C$1)/1000</f>
        <v>0</v>
      </c>
      <c r="L53" s="11">
        <f>('Agency Net Sales CAD'!L53/$C$1)/1000</f>
        <v>0</v>
      </c>
      <c r="M53" s="11">
        <f>('Agency Net Sales CAD'!M53/$C$1)/1000</f>
        <v>0</v>
      </c>
      <c r="N53" s="11">
        <f>('Agency Net Sales CAD'!N53/$C$1)/1000</f>
        <v>0</v>
      </c>
      <c r="O53" s="11">
        <f>('Agency Net Sales CAD'!O53/$C$1)/1000</f>
        <v>0</v>
      </c>
      <c r="P53" s="11">
        <f>('Agency Net Sales CAD'!P53/$C$1)/1000</f>
        <v>0</v>
      </c>
      <c r="Q53" s="12">
        <f>('Agency Net Sales CAD'!Q53/$C$1)/1000</f>
        <v>0</v>
      </c>
    </row>
    <row r="54" spans="1:17" x14ac:dyDescent="0.25">
      <c r="A54" s="2" t="s">
        <v>213</v>
      </c>
      <c r="B54" t="s">
        <v>167</v>
      </c>
      <c r="C54" s="2" t="s">
        <v>214</v>
      </c>
      <c r="D54" s="2"/>
      <c r="E54" s="3">
        <f>('Agency Net Sales CAD'!E54/$C$1)/1000</f>
        <v>0</v>
      </c>
      <c r="F54" s="3">
        <f>('Agency Net Sales CAD'!F54/$C$1)/1000</f>
        <v>0</v>
      </c>
      <c r="G54" s="3">
        <f>('Agency Net Sales CAD'!G54/$C$1)/1000</f>
        <v>0</v>
      </c>
      <c r="H54" s="3">
        <f>('Agency Net Sales CAD'!H54/$C$1)/1000</f>
        <v>0</v>
      </c>
      <c r="I54" s="3">
        <f>('Agency Net Sales CAD'!I54/$C$1)/1000</f>
        <v>0</v>
      </c>
      <c r="J54" s="3">
        <f>('Agency Net Sales CAD'!J54/$C$1)/1000</f>
        <v>19.564372641578892</v>
      </c>
      <c r="K54" s="3">
        <f>('Agency Net Sales CAD'!K54/$C$1)/1000</f>
        <v>0</v>
      </c>
      <c r="L54" s="3">
        <f>('Agency Net Sales CAD'!L54/$C$1)/1000</f>
        <v>0</v>
      </c>
      <c r="M54" s="3">
        <f>('Agency Net Sales CAD'!M54/$C$1)/1000</f>
        <v>0</v>
      </c>
      <c r="N54" s="3">
        <f>('Agency Net Sales CAD'!N54/$C$1)/1000</f>
        <v>0</v>
      </c>
      <c r="O54" s="5">
        <f>('Agency Net Sales CAD'!O54/$C$1)/1000</f>
        <v>0</v>
      </c>
      <c r="P54" s="5">
        <f>('Agency Net Sales CAD'!P54/$C$1)/1000</f>
        <v>102.65491663715208</v>
      </c>
      <c r="Q54" s="4">
        <f>('Agency Net Sales CAD'!Q54/$C$1)/1000</f>
        <v>122.21928927873097</v>
      </c>
    </row>
    <row r="55" spans="1:17" x14ac:dyDescent="0.25">
      <c r="A55" s="2" t="s">
        <v>213</v>
      </c>
      <c r="B55" t="s">
        <v>167</v>
      </c>
      <c r="C55" s="2" t="s">
        <v>215</v>
      </c>
      <c r="D55" s="2"/>
      <c r="E55" s="3">
        <f>('Agency Net Sales CAD'!E55/$C$1)/1000</f>
        <v>-54.608402237269267</v>
      </c>
      <c r="F55" s="3">
        <f>('Agency Net Sales CAD'!F55/$C$1)/1000</f>
        <v>28.842919176051264</v>
      </c>
      <c r="G55" s="3">
        <f>('Agency Net Sales CAD'!G55/$C$1)/1000</f>
        <v>-0.79923399024895314</v>
      </c>
      <c r="H55" s="3">
        <f>('Agency Net Sales CAD'!H55/$C$1)/1000</f>
        <v>0</v>
      </c>
      <c r="I55" s="3">
        <f>('Agency Net Sales CAD'!I55/$C$1)/1000</f>
        <v>-8.2952728890363101</v>
      </c>
      <c r="J55" s="3">
        <f>('Agency Net Sales CAD'!J55/$C$1)/1000</f>
        <v>50.803760573222235</v>
      </c>
      <c r="K55" s="3">
        <f>('Agency Net Sales CAD'!K55/$C$1)/1000</f>
        <v>0</v>
      </c>
      <c r="L55" s="3">
        <f>('Agency Net Sales CAD'!L55/$C$1)/1000</f>
        <v>0.67682073961325762</v>
      </c>
      <c r="M55" s="3">
        <f>('Agency Net Sales CAD'!M55/$C$1)/1000</f>
        <v>-6.46922854236498E-5</v>
      </c>
      <c r="N55" s="3">
        <f>('Agency Net Sales CAD'!N55/$C$1)/1000</f>
        <v>0</v>
      </c>
      <c r="O55" s="3">
        <f>('Agency Net Sales CAD'!O55/$C$1)/1000</f>
        <v>0</v>
      </c>
      <c r="P55" s="3">
        <f>('Agency Net Sales CAD'!P55/$C$1)/1000</f>
        <v>0</v>
      </c>
      <c r="Q55" s="4">
        <f>('Agency Net Sales CAD'!Q55/$C$1)/1000</f>
        <v>16.620526680046805</v>
      </c>
    </row>
    <row r="56" spans="1:17" x14ac:dyDescent="0.25">
      <c r="A56" s="2" t="s">
        <v>213</v>
      </c>
      <c r="B56" t="s">
        <v>167</v>
      </c>
      <c r="C56" s="2" t="s">
        <v>216</v>
      </c>
      <c r="D56" s="2"/>
      <c r="E56" s="3">
        <f>('Agency Net Sales CAD'!E56/$C$1)/1000</f>
        <v>36.589769142455019</v>
      </c>
      <c r="F56" s="3">
        <f>('Agency Net Sales CAD'!F56/$C$1)/1000</f>
        <v>42.055143557078338</v>
      </c>
      <c r="G56" s="3">
        <f>('Agency Net Sales CAD'!G56/$C$1)/1000</f>
        <v>39.547796213971225</v>
      </c>
      <c r="H56" s="3">
        <f>('Agency Net Sales CAD'!H56/$C$1)/1000</f>
        <v>39.118071831626651</v>
      </c>
      <c r="I56" s="3">
        <f>('Agency Net Sales CAD'!I56/$C$1)/1000</f>
        <v>39.429979005256818</v>
      </c>
      <c r="J56" s="3">
        <f>('Agency Net Sales CAD'!J56/$C$1)/1000</f>
        <v>31.735558951475298</v>
      </c>
      <c r="K56" s="3">
        <f>('Agency Net Sales CAD'!K56/$C$1)/1000</f>
        <v>46.052117063706874</v>
      </c>
      <c r="L56" s="3">
        <f>('Agency Net Sales CAD'!L56/$C$1)/1000</f>
        <v>36.686503947028477</v>
      </c>
      <c r="M56" s="3">
        <f>('Agency Net Sales CAD'!M56/$C$1)/1000</f>
        <v>44.596650208368153</v>
      </c>
      <c r="N56" s="3">
        <f>('Agency Net Sales CAD'!N56/$C$1)/1000</f>
        <v>38.65071768851675</v>
      </c>
      <c r="O56" s="3">
        <f>('Agency Net Sales CAD'!O56/$C$1)/1000</f>
        <v>39.763055003553376</v>
      </c>
      <c r="P56" s="3">
        <f>('Agency Net Sales CAD'!P56/$C$1)/1000</f>
        <v>21.664804640388507</v>
      </c>
      <c r="Q56" s="4">
        <f>('Agency Net Sales CAD'!Q56/$C$1)/1000</f>
        <v>455.89016725342537</v>
      </c>
    </row>
    <row r="57" spans="1:17" x14ac:dyDescent="0.25">
      <c r="A57" s="2" t="s">
        <v>213</v>
      </c>
      <c r="B57" t="s">
        <v>167</v>
      </c>
      <c r="C57" s="2" t="s">
        <v>217</v>
      </c>
      <c r="D57" s="2"/>
      <c r="E57" s="3">
        <f>('Agency Net Sales CAD'!E57/$C$1)/1000</f>
        <v>0.78737649410263943</v>
      </c>
      <c r="F57" s="3">
        <f>('Agency Net Sales CAD'!F57/$C$1)/1000</f>
        <v>-2.0258493415989638E-2</v>
      </c>
      <c r="G57" s="3">
        <f>('Agency Net Sales CAD'!G57/$C$1)/1000</f>
        <v>-2.6807241287646583E-2</v>
      </c>
      <c r="H57" s="3">
        <f>('Agency Net Sales CAD'!H57/$C$1)/1000</f>
        <v>0</v>
      </c>
      <c r="I57" s="3">
        <f>('Agency Net Sales CAD'!I57/$C$1)/1000</f>
        <v>-2.7357491108815385E-2</v>
      </c>
      <c r="J57" s="3">
        <f>('Agency Net Sales CAD'!J57/$C$1)/1000</f>
        <v>0.42727773634555566</v>
      </c>
      <c r="K57" s="3">
        <f>('Agency Net Sales CAD'!K57/$C$1)/1000</f>
        <v>0</v>
      </c>
      <c r="L57" s="3">
        <f>('Agency Net Sales CAD'!L57/$C$1)/1000</f>
        <v>0</v>
      </c>
      <c r="M57" s="3">
        <f>('Agency Net Sales CAD'!M57/$C$1)/1000</f>
        <v>0</v>
      </c>
      <c r="N57" s="3">
        <f>('Agency Net Sales CAD'!N57/$C$1)/1000</f>
        <v>19.348318211796581</v>
      </c>
      <c r="O57" s="3">
        <f>('Agency Net Sales CAD'!O57/$C$1)/1000</f>
        <v>19.348318211796581</v>
      </c>
      <c r="P57" s="3">
        <f>('Agency Net Sales CAD'!P57/$C$1)/1000</f>
        <v>19.348318211796581</v>
      </c>
      <c r="Q57" s="4">
        <f>('Agency Net Sales CAD'!Q57/$C$1)/1000</f>
        <v>59.18518564002548</v>
      </c>
    </row>
    <row r="58" spans="1:17" x14ac:dyDescent="0.25">
      <c r="A58" s="2" t="s">
        <v>213</v>
      </c>
      <c r="B58" t="s">
        <v>167</v>
      </c>
      <c r="C58" s="2" t="s">
        <v>218</v>
      </c>
      <c r="D58" s="2"/>
      <c r="E58" s="3">
        <f>('Agency Net Sales CAD'!E58/$C$1)/1000</f>
        <v>0</v>
      </c>
      <c r="F58" s="3">
        <f>('Agency Net Sales CAD'!F58/$C$1)/1000</f>
        <v>0</v>
      </c>
      <c r="G58" s="3">
        <f>('Agency Net Sales CAD'!G58/$C$1)/1000</f>
        <v>0</v>
      </c>
      <c r="H58" s="3">
        <f>('Agency Net Sales CAD'!H58/$C$1)/1000</f>
        <v>0</v>
      </c>
      <c r="I58" s="3">
        <f>('Agency Net Sales CAD'!I58/$C$1)/1000</f>
        <v>0</v>
      </c>
      <c r="J58" s="3">
        <f>('Agency Net Sales CAD'!J58/$C$1)/1000</f>
        <v>1.8998033825639007</v>
      </c>
      <c r="K58" s="3">
        <f>('Agency Net Sales CAD'!K58/$C$1)/1000</f>
        <v>0</v>
      </c>
      <c r="L58" s="3">
        <f>('Agency Net Sales CAD'!L58/$C$1)/1000</f>
        <v>0</v>
      </c>
      <c r="M58" s="3">
        <f>('Agency Net Sales CAD'!M58/$C$1)/1000</f>
        <v>0</v>
      </c>
      <c r="N58" s="3">
        <f>('Agency Net Sales CAD'!N58/$C$1)/1000</f>
        <v>0</v>
      </c>
      <c r="O58" s="3">
        <f>('Agency Net Sales CAD'!O58/$C$1)/1000</f>
        <v>0</v>
      </c>
      <c r="P58" s="3">
        <f>('Agency Net Sales CAD'!P58/$C$1)/1000</f>
        <v>0</v>
      </c>
      <c r="Q58" s="4">
        <f>('Agency Net Sales CAD'!Q58/$C$1)/1000</f>
        <v>1.8998033825639007</v>
      </c>
    </row>
    <row r="59" spans="1:17" x14ac:dyDescent="0.25">
      <c r="A59" s="2" t="s">
        <v>213</v>
      </c>
      <c r="B59" t="s">
        <v>167</v>
      </c>
      <c r="C59" s="2" t="s">
        <v>219</v>
      </c>
      <c r="D59" s="2"/>
      <c r="E59" s="3">
        <f>('Agency Net Sales CAD'!E59/$C$1)/1000</f>
        <v>0</v>
      </c>
      <c r="F59" s="3">
        <f>('Agency Net Sales CAD'!F59/$C$1)/1000</f>
        <v>0</v>
      </c>
      <c r="G59" s="3">
        <f>('Agency Net Sales CAD'!G59/$C$1)/1000</f>
        <v>0</v>
      </c>
      <c r="H59" s="3">
        <f>('Agency Net Sales CAD'!H59/$C$1)/1000</f>
        <v>0</v>
      </c>
      <c r="I59" s="3">
        <f>('Agency Net Sales CAD'!I59/$C$1)/1000</f>
        <v>0</v>
      </c>
      <c r="J59" s="3">
        <f>('Agency Net Sales CAD'!J59/$C$1)/1000</f>
        <v>0</v>
      </c>
      <c r="K59" s="3">
        <f>('Agency Net Sales CAD'!K59/$C$1)/1000</f>
        <v>0</v>
      </c>
      <c r="L59" s="3">
        <f>('Agency Net Sales CAD'!L59/$C$1)/1000</f>
        <v>0</v>
      </c>
      <c r="M59" s="3">
        <f>('Agency Net Sales CAD'!M59/$C$1)/1000</f>
        <v>0</v>
      </c>
      <c r="N59" s="3">
        <f>('Agency Net Sales CAD'!N59/$C$1)/1000</f>
        <v>0</v>
      </c>
      <c r="O59" s="3">
        <f>('Agency Net Sales CAD'!O59/$C$1)/1000</f>
        <v>0</v>
      </c>
      <c r="P59" s="3">
        <f>('Agency Net Sales CAD'!P59/$C$1)/1000</f>
        <v>0</v>
      </c>
      <c r="Q59" s="4">
        <f>('Agency Net Sales CAD'!Q59/$C$1)/1000</f>
        <v>0</v>
      </c>
    </row>
    <row r="60" spans="1:17" x14ac:dyDescent="0.25">
      <c r="A60" s="2" t="s">
        <v>213</v>
      </c>
      <c r="B60" t="s">
        <v>167</v>
      </c>
      <c r="C60" s="2" t="s">
        <v>169</v>
      </c>
      <c r="D60" s="2"/>
      <c r="E60" s="3">
        <f>('Agency Net Sales CAD'!E60/$C$1)/1000</f>
        <v>0</v>
      </c>
      <c r="F60" s="3">
        <f>('Agency Net Sales CAD'!F60/$C$1)/1000</f>
        <v>0</v>
      </c>
      <c r="G60" s="3">
        <f>('Agency Net Sales CAD'!G60/$C$1)/1000</f>
        <v>0</v>
      </c>
      <c r="H60" s="3">
        <f>('Agency Net Sales CAD'!H60/$C$1)/1000</f>
        <v>0</v>
      </c>
      <c r="I60" s="3">
        <f>('Agency Net Sales CAD'!I60/$C$1)/1000</f>
        <v>0</v>
      </c>
      <c r="J60" s="3">
        <f>('Agency Net Sales CAD'!J60/$C$1)/1000</f>
        <v>0.68280577808812204</v>
      </c>
      <c r="K60" s="3">
        <f>('Agency Net Sales CAD'!K60/$C$1)/1000</f>
        <v>0</v>
      </c>
      <c r="L60" s="3">
        <f>('Agency Net Sales CAD'!L60/$C$1)/1000</f>
        <v>0</v>
      </c>
      <c r="M60" s="3">
        <f>('Agency Net Sales CAD'!M60/$C$1)/1000</f>
        <v>0</v>
      </c>
      <c r="N60" s="3">
        <f>('Agency Net Sales CAD'!N60/$C$1)/1000</f>
        <v>1.3010308271649811</v>
      </c>
      <c r="O60" s="3">
        <f>('Agency Net Sales CAD'!O60/$C$1)/1000</f>
        <v>1.3010308271649811</v>
      </c>
      <c r="P60" s="3">
        <f>('Agency Net Sales CAD'!P60/$C$1)/1000</f>
        <v>1.040824661731985</v>
      </c>
      <c r="Q60" s="4">
        <f>('Agency Net Sales CAD'!Q60/$C$1)/1000</f>
        <v>4.3256920941500692</v>
      </c>
    </row>
    <row r="61" spans="1:17" x14ac:dyDescent="0.25">
      <c r="A61" s="2" t="s">
        <v>213</v>
      </c>
      <c r="B61" t="s">
        <v>167</v>
      </c>
      <c r="C61" s="2" t="s">
        <v>220</v>
      </c>
      <c r="D61" s="2"/>
      <c r="E61" s="3">
        <f>('Agency Net Sales CAD'!E61/$C$1)/1000</f>
        <v>70.627672061956574</v>
      </c>
      <c r="F61" s="3">
        <f>('Agency Net Sales CAD'!F61/$C$1)/1000</f>
        <v>123.91757412678841</v>
      </c>
      <c r="G61" s="3">
        <f>('Agency Net Sales CAD'!G61/$C$1)/1000</f>
        <v>32.302432491709446</v>
      </c>
      <c r="H61" s="3">
        <f>('Agency Net Sales CAD'!H61/$C$1)/1000</f>
        <v>151.24620145498449</v>
      </c>
      <c r="I61" s="6">
        <f>('Agency Net Sales CAD'!I61/$C$1)/1000</f>
        <v>151.47096068193775</v>
      </c>
      <c r="J61" s="3">
        <f>('Agency Net Sales CAD'!J61/$C$1)/1000</f>
        <v>35.340430006040364</v>
      </c>
      <c r="K61" s="3">
        <f>('Agency Net Sales CAD'!K61/$C$1)/1000</f>
        <v>39.742258585591003</v>
      </c>
      <c r="L61" s="3">
        <f>('Agency Net Sales CAD'!L61/$C$1)/1000</f>
        <v>100.98307612757256</v>
      </c>
      <c r="M61" s="3">
        <f>('Agency Net Sales CAD'!M61/$C$1)/1000</f>
        <v>45.359341957913415</v>
      </c>
      <c r="N61" s="3">
        <f>('Agency Net Sales CAD'!N61/$C$1)/1000</f>
        <v>139.74601708254443</v>
      </c>
      <c r="O61" s="3">
        <f>('Agency Net Sales CAD'!O61/$C$1)/1000</f>
        <v>121.3944482962483</v>
      </c>
      <c r="P61" s="3">
        <f>('Agency Net Sales CAD'!P61/$C$1)/1000</f>
        <v>165.01691012672515</v>
      </c>
      <c r="Q61" s="4">
        <f>('Agency Net Sales CAD'!Q61/$C$1)/1000</f>
        <v>1177.1473230000117</v>
      </c>
    </row>
    <row r="62" spans="1:17" x14ac:dyDescent="0.25">
      <c r="A62" s="2" t="s">
        <v>213</v>
      </c>
      <c r="B62" t="s">
        <v>167</v>
      </c>
      <c r="C62" s="2" t="s">
        <v>221</v>
      </c>
      <c r="D62" s="2"/>
      <c r="E62" s="3">
        <f>('Agency Net Sales CAD'!E62/$C$1)/1000</f>
        <v>17.080927861163442</v>
      </c>
      <c r="F62" s="3">
        <f>('Agency Net Sales CAD'!F62/$C$1)/1000</f>
        <v>15.87047615209525</v>
      </c>
      <c r="G62" s="3">
        <f>('Agency Net Sales CAD'!G62/$C$1)/1000</f>
        <v>0.70304428333060742</v>
      </c>
      <c r="H62" s="3">
        <f>('Agency Net Sales CAD'!H62/$C$1)/1000</f>
        <v>3.3836636253093215</v>
      </c>
      <c r="I62" s="3">
        <f>('Agency Net Sales CAD'!I62/$C$1)/1000</f>
        <v>10.42288698256173</v>
      </c>
      <c r="J62" s="3">
        <f>('Agency Net Sales CAD'!J62/$C$1)/1000</f>
        <v>4.6087232340538797</v>
      </c>
      <c r="K62" s="3">
        <f>('Agency Net Sales CAD'!K62/$C$1)/1000</f>
        <v>12.510715250466847</v>
      </c>
      <c r="L62" s="3">
        <f>('Agency Net Sales CAD'!L62/$C$1)/1000</f>
        <v>14.3886633228355</v>
      </c>
      <c r="M62" s="3">
        <f>('Agency Net Sales CAD'!M62/$C$1)/1000</f>
        <v>28.018686347185973</v>
      </c>
      <c r="N62" s="3">
        <f>('Agency Net Sales CAD'!N62/$C$1)/1000</f>
        <v>39.030924814949429</v>
      </c>
      <c r="O62" s="3">
        <f>('Agency Net Sales CAD'!O62/$C$1)/1000</f>
        <v>53.334533800839004</v>
      </c>
      <c r="P62" s="3">
        <f>('Agency Net Sales CAD'!P62/$C$1)/1000</f>
        <v>58.200909552685651</v>
      </c>
      <c r="Q62" s="4">
        <f>('Agency Net Sales CAD'!Q62/$C$1)/1000</f>
        <v>257.55415522747666</v>
      </c>
    </row>
    <row r="63" spans="1:17" x14ac:dyDescent="0.25">
      <c r="A63" s="2" t="s">
        <v>213</v>
      </c>
      <c r="B63" t="s">
        <v>167</v>
      </c>
      <c r="C63" s="2" t="s">
        <v>222</v>
      </c>
      <c r="D63" s="2"/>
      <c r="E63" s="3">
        <f>('Agency Net Sales CAD'!E63/$C$1)/1000</f>
        <v>0</v>
      </c>
      <c r="F63" s="3">
        <f>('Agency Net Sales CAD'!F63/$C$1)/1000</f>
        <v>0</v>
      </c>
      <c r="G63" s="3">
        <f>('Agency Net Sales CAD'!G63/$C$1)/1000</f>
        <v>0</v>
      </c>
      <c r="H63" s="3">
        <f>('Agency Net Sales CAD'!H63/$C$1)/1000</f>
        <v>0</v>
      </c>
      <c r="I63" s="3">
        <f>('Agency Net Sales CAD'!I63/$C$1)/1000</f>
        <v>0</v>
      </c>
      <c r="J63" s="3">
        <f>('Agency Net Sales CAD'!J63/$C$1)/1000</f>
        <v>0.49362833957078966</v>
      </c>
      <c r="K63" s="3">
        <f>('Agency Net Sales CAD'!K63/$C$1)/1000</f>
        <v>0</v>
      </c>
      <c r="L63" s="3">
        <f>('Agency Net Sales CAD'!L63/$C$1)/1000</f>
        <v>0</v>
      </c>
      <c r="M63" s="3">
        <f>('Agency Net Sales CAD'!M63/$C$1)/1000</f>
        <v>0</v>
      </c>
      <c r="N63" s="3">
        <f>('Agency Net Sales CAD'!N63/$C$1)/1000</f>
        <v>0</v>
      </c>
      <c r="O63" s="3">
        <f>('Agency Net Sales CAD'!O63/$C$1)/1000</f>
        <v>0</v>
      </c>
      <c r="P63" s="3">
        <f>('Agency Net Sales CAD'!P63/$C$1)/1000</f>
        <v>0</v>
      </c>
      <c r="Q63" s="4">
        <f>('Agency Net Sales CAD'!Q63/$C$1)/1000</f>
        <v>0.49362833957078966</v>
      </c>
    </row>
    <row r="64" spans="1:17" x14ac:dyDescent="0.25">
      <c r="A64" s="2" t="s">
        <v>213</v>
      </c>
      <c r="B64" t="s">
        <v>167</v>
      </c>
      <c r="C64" s="2" t="s">
        <v>223</v>
      </c>
      <c r="D64" s="2"/>
      <c r="E64" s="3">
        <f>('Agency Net Sales CAD'!E64/$C$1)/1000</f>
        <v>0</v>
      </c>
      <c r="F64" s="3">
        <f>('Agency Net Sales CAD'!F64/$C$1)/1000</f>
        <v>0.88491486240266992</v>
      </c>
      <c r="G64" s="3">
        <f>('Agency Net Sales CAD'!G64/$C$1)/1000</f>
        <v>1.1204137243155394</v>
      </c>
      <c r="H64" s="3">
        <f>('Agency Net Sales CAD'!H64/$C$1)/1000</f>
        <v>1.5570986489429388</v>
      </c>
      <c r="I64" s="6">
        <f>('Agency Net Sales CAD'!I64/$C$1)/1000</f>
        <v>7.1176923917499719</v>
      </c>
      <c r="J64" s="3">
        <f>('Agency Net Sales CAD'!J64/$C$1)/1000</f>
        <v>12.286686109524512</v>
      </c>
      <c r="K64" s="3">
        <f>('Agency Net Sales CAD'!K64/$C$1)/1000</f>
        <v>9.204837163889831</v>
      </c>
      <c r="L64" s="3">
        <f>('Agency Net Sales CAD'!L64/$C$1)/1000</f>
        <v>0.57933113132344483</v>
      </c>
      <c r="M64" s="3">
        <f>('Agency Net Sales CAD'!M64/$C$1)/1000</f>
        <v>1.8003052496197984</v>
      </c>
      <c r="N64" s="3">
        <f>('Agency Net Sales CAD'!N64/$C$1)/1000</f>
        <v>1.195723861389745</v>
      </c>
      <c r="O64" s="3">
        <f>('Agency Net Sales CAD'!O64/$C$1)/1000</f>
        <v>0.9088389476123423</v>
      </c>
      <c r="P64" s="3">
        <f>('Agency Net Sales CAD'!P64/$C$1)/1000</f>
        <v>1.6359975270145499</v>
      </c>
      <c r="Q64" s="4">
        <f>('Agency Net Sales CAD'!Q64/$C$1)/1000</f>
        <v>38.29183961778535</v>
      </c>
    </row>
    <row r="65" spans="1:17" x14ac:dyDescent="0.25">
      <c r="A65" s="2" t="s">
        <v>213</v>
      </c>
      <c r="B65" t="s">
        <v>167</v>
      </c>
      <c r="C65" s="2" t="s">
        <v>224</v>
      </c>
      <c r="D65" s="2"/>
      <c r="E65" s="3">
        <f>('Agency Net Sales CAD'!E65/$C$1)/1000</f>
        <v>-8.5389472248421514E-2</v>
      </c>
      <c r="F65" s="3">
        <f>('Agency Net Sales CAD'!F65/$C$1)/1000</f>
        <v>3.7952047665584505</v>
      </c>
      <c r="G65" s="3">
        <f>('Agency Net Sales CAD'!G65/$C$1)/1000</f>
        <v>-0.51673108206239826</v>
      </c>
      <c r="H65" s="3">
        <f>('Agency Net Sales CAD'!H65/$C$1)/1000</f>
        <v>1.3637314067872925</v>
      </c>
      <c r="I65" s="3">
        <f>('Agency Net Sales CAD'!I65/$C$1)/1000</f>
        <v>2.5444596430506157</v>
      </c>
      <c r="J65" s="3">
        <f>('Agency Net Sales CAD'!J65/$C$1)/1000</f>
        <v>19.299889719279587</v>
      </c>
      <c r="K65" s="3">
        <f>('Agency Net Sales CAD'!K65/$C$1)/1000</f>
        <v>-7.7499974810675551E-6</v>
      </c>
      <c r="L65" s="3">
        <f>('Agency Net Sales CAD'!L65/$C$1)/1000</f>
        <v>-0.11222686140001163</v>
      </c>
      <c r="M65" s="3">
        <f>('Agency Net Sales CAD'!M65/$C$1)/1000</f>
        <v>0.94115543812040703</v>
      </c>
      <c r="N65" s="3">
        <f>('Agency Net Sales CAD'!N65/$C$1)/1000</f>
        <v>2.1428743035658511</v>
      </c>
      <c r="O65" s="3">
        <f>('Agency Net Sales CAD'!O65/$C$1)/1000</f>
        <v>4.2857486071317021</v>
      </c>
      <c r="P65" s="3">
        <f>('Agency Net Sales CAD'!P65/$C$1)/1000</f>
        <v>4.2856500502199841</v>
      </c>
      <c r="Q65" s="4">
        <f>('Agency Net Sales CAD'!Q65/$C$1)/1000</f>
        <v>37.944358769005582</v>
      </c>
    </row>
    <row r="66" spans="1:17" x14ac:dyDescent="0.25">
      <c r="A66" s="2" t="s">
        <v>213</v>
      </c>
      <c r="B66" t="s">
        <v>167</v>
      </c>
      <c r="C66" s="2" t="s">
        <v>225</v>
      </c>
      <c r="D66" s="2"/>
      <c r="E66" s="3">
        <f>('Agency Net Sales CAD'!E66/$C$1)/1000</f>
        <v>27.109557994393654</v>
      </c>
      <c r="F66" s="3">
        <f>('Agency Net Sales CAD'!F66/$C$1)/1000</f>
        <v>30.03427591386032</v>
      </c>
      <c r="G66" s="3">
        <f>('Agency Net Sales CAD'!G66/$C$1)/1000</f>
        <v>38.97591223282852</v>
      </c>
      <c r="H66" s="3">
        <f>('Agency Net Sales CAD'!H66/$C$1)/1000</f>
        <v>28.531381677300949</v>
      </c>
      <c r="I66" s="3">
        <f>('Agency Net Sales CAD'!I66/$C$1)/1000</f>
        <v>34.482279863259045</v>
      </c>
      <c r="J66" s="3">
        <f>('Agency Net Sales CAD'!J66/$C$1)/1000</f>
        <v>38.387424031234154</v>
      </c>
      <c r="K66" s="3">
        <f>('Agency Net Sales CAD'!K66/$C$1)/1000</f>
        <v>71.95276360709822</v>
      </c>
      <c r="L66" s="3">
        <f>('Agency Net Sales CAD'!L66/$C$1)/1000</f>
        <v>64.648473440329852</v>
      </c>
      <c r="M66" s="3">
        <f>('Agency Net Sales CAD'!M66/$C$1)/1000</f>
        <v>28.126545956224199</v>
      </c>
      <c r="N66" s="3">
        <f>('Agency Net Sales CAD'!N66/$C$1)/1000</f>
        <v>39.030924814949429</v>
      </c>
      <c r="O66" s="3">
        <f>('Agency Net Sales CAD'!O66/$C$1)/1000</f>
        <v>57.750738070041372</v>
      </c>
      <c r="P66" s="3">
        <f>('Agency Net Sales CAD'!P66/$C$1)/1000</f>
        <v>49.083002962630289</v>
      </c>
      <c r="Q66" s="4">
        <f>('Agency Net Sales CAD'!Q66/$C$1)/1000</f>
        <v>508.11328056414993</v>
      </c>
    </row>
    <row r="67" spans="1:17" x14ac:dyDescent="0.25">
      <c r="A67" s="2" t="s">
        <v>213</v>
      </c>
      <c r="B67" t="s">
        <v>167</v>
      </c>
      <c r="C67" s="2" t="s">
        <v>226</v>
      </c>
      <c r="D67" s="2"/>
      <c r="E67" s="3">
        <f>('Agency Net Sales CAD'!E67/$C$1)/1000</f>
        <v>2.8402310119249212</v>
      </c>
      <c r="F67" s="3">
        <f>('Agency Net Sales CAD'!F67/$C$1)/1000</f>
        <v>-5.695154624074747</v>
      </c>
      <c r="G67" s="3">
        <f>('Agency Net Sales CAD'!G67/$C$1)/1000</f>
        <v>0.16509044634560494</v>
      </c>
      <c r="H67" s="3">
        <f>('Agency Net Sales CAD'!H67/$C$1)/1000</f>
        <v>0</v>
      </c>
      <c r="I67" s="3">
        <f>('Agency Net Sales CAD'!I67/$C$1)/1000</f>
        <v>0</v>
      </c>
      <c r="J67" s="3">
        <f>('Agency Net Sales CAD'!J67/$C$1)/1000</f>
        <v>5.1152519233580369</v>
      </c>
      <c r="K67" s="3">
        <f>('Agency Net Sales CAD'!K67/$C$1)/1000</f>
        <v>11.500517193705406</v>
      </c>
      <c r="L67" s="3">
        <f>('Agency Net Sales CAD'!L67/$C$1)/1000</f>
        <v>-1.1969054514340797E-2</v>
      </c>
      <c r="M67" s="3">
        <f>('Agency Net Sales CAD'!M67/$C$1)/1000</f>
        <v>0</v>
      </c>
      <c r="N67" s="3">
        <f>('Agency Net Sales CAD'!N67/$C$1)/1000</f>
        <v>9.7577312037373574</v>
      </c>
      <c r="O67" s="3">
        <f>('Agency Net Sales CAD'!O67/$C$1)/1000</f>
        <v>9.7577312037373574</v>
      </c>
      <c r="P67" s="3">
        <f>('Agency Net Sales CAD'!P67/$C$1)/1000</f>
        <v>0</v>
      </c>
      <c r="Q67" s="4">
        <f>('Agency Net Sales CAD'!Q67/$C$1)/1000</f>
        <v>33.429429304219596</v>
      </c>
    </row>
    <row r="68" spans="1:17" x14ac:dyDescent="0.25">
      <c r="A68" s="2" t="s">
        <v>213</v>
      </c>
      <c r="B68" t="s">
        <v>167</v>
      </c>
      <c r="C68" s="2" t="s">
        <v>227</v>
      </c>
      <c r="D68" s="2"/>
      <c r="E68" s="3">
        <f>('Agency Net Sales CAD'!E68/$C$1)/1000</f>
        <v>21.991031031764912</v>
      </c>
      <c r="F68" s="3">
        <f>('Agency Net Sales CAD'!F68/$C$1)/1000</f>
        <v>-14.367435130583583</v>
      </c>
      <c r="G68" s="3">
        <f>('Agency Net Sales CAD'!G68/$C$1)/1000</f>
        <v>-1.6073494776114194E-2</v>
      </c>
      <c r="H68" s="3">
        <f>('Agency Net Sales CAD'!H68/$C$1)/1000</f>
        <v>23.971719019191319</v>
      </c>
      <c r="I68" s="3">
        <f>('Agency Net Sales CAD'!I68/$C$1)/1000</f>
        <v>60.558630668445034</v>
      </c>
      <c r="J68" s="3">
        <f>('Agency Net Sales CAD'!J68/$C$1)/1000</f>
        <v>-5.927731954278574</v>
      </c>
      <c r="K68" s="3">
        <f>('Agency Net Sales CAD'!K68/$C$1)/1000</f>
        <v>3.4041972436358887</v>
      </c>
      <c r="L68" s="3">
        <f>('Agency Net Sales CAD'!L68/$C$1)/1000</f>
        <v>2.0761938050559561</v>
      </c>
      <c r="M68" s="3">
        <f>('Agency Net Sales CAD'!M68/$C$1)/1000</f>
        <v>43.422523909170899</v>
      </c>
      <c r="N68" s="3">
        <f>('Agency Net Sales CAD'!N68/$C$1)/1000</f>
        <v>45.918735076411096</v>
      </c>
      <c r="O68" s="3">
        <f>('Agency Net Sales CAD'!O68/$C$1)/1000</f>
        <v>28.055351862696391</v>
      </c>
      <c r="P68" s="3">
        <f>('Agency Net Sales CAD'!P68/$C$1)/1000</f>
        <v>94.628260434867826</v>
      </c>
      <c r="Q68" s="4">
        <f>('Agency Net Sales CAD'!Q68/$C$1)/1000</f>
        <v>303.71540247160107</v>
      </c>
    </row>
    <row r="69" spans="1:17" x14ac:dyDescent="0.25">
      <c r="A69" s="2" t="s">
        <v>213</v>
      </c>
      <c r="B69" t="s">
        <v>167</v>
      </c>
      <c r="C69" s="2" t="s">
        <v>228</v>
      </c>
      <c r="D69" s="2"/>
      <c r="E69" s="6">
        <f>('Agency Net Sales CAD'!E69/$C$1)/1000</f>
        <v>28.727251290568326</v>
      </c>
      <c r="F69" s="3">
        <f>('Agency Net Sales CAD'!F69/$C$1)/1000</f>
        <v>51.433346689162327</v>
      </c>
      <c r="G69" s="3">
        <f>('Agency Net Sales CAD'!G69/$C$1)/1000</f>
        <v>42.634726963713732</v>
      </c>
      <c r="H69" s="3">
        <f>('Agency Net Sales CAD'!H69/$C$1)/1000</f>
        <v>10.961541722498939</v>
      </c>
      <c r="I69" s="3">
        <f>('Agency Net Sales CAD'!I69/$C$1)/1000</f>
        <v>48.102844946575388</v>
      </c>
      <c r="J69" s="3">
        <f>('Agency Net Sales CAD'!J69/$C$1)/1000</f>
        <v>16.01693676538493</v>
      </c>
      <c r="K69" s="3">
        <f>('Agency Net Sales CAD'!K69/$C$1)/1000</f>
        <v>2.6326135037685212</v>
      </c>
      <c r="L69" s="3">
        <f>('Agency Net Sales CAD'!L69/$C$1)/1000</f>
        <v>0.16869904049939635</v>
      </c>
      <c r="M69" s="3">
        <f>('Agency Net Sales CAD'!M69/$C$1)/1000</f>
        <v>-1.3669756247358971</v>
      </c>
      <c r="N69" s="3">
        <f>('Agency Net Sales CAD'!N69/$C$1)/1000</f>
        <v>7.5612850425823606</v>
      </c>
      <c r="O69" s="3">
        <f>('Agency Net Sales CAD'!O69/$C$1)/1000</f>
        <v>-2.1028454115752409</v>
      </c>
      <c r="P69" s="3">
        <f>('Agency Net Sales CAD'!P69/$C$1)/1000</f>
        <v>0.20203018934021269</v>
      </c>
      <c r="Q69" s="4">
        <f>('Agency Net Sales CAD'!Q69/$C$1)/1000</f>
        <v>204.97145511778297</v>
      </c>
    </row>
    <row r="70" spans="1:17" x14ac:dyDescent="0.25">
      <c r="A70" s="2" t="s">
        <v>213</v>
      </c>
      <c r="B70" t="s">
        <v>167</v>
      </c>
      <c r="C70" s="2" t="s">
        <v>229</v>
      </c>
      <c r="D70" s="2"/>
      <c r="E70" s="3">
        <f>('Agency Net Sales CAD'!E70/$C$1)/1000</f>
        <v>1.6445401918744373</v>
      </c>
      <c r="F70" s="3">
        <f>('Agency Net Sales CAD'!F70/$C$1)/1000</f>
        <v>0.36551313120823231</v>
      </c>
      <c r="G70" s="3">
        <f>('Agency Net Sales CAD'!G70/$C$1)/1000</f>
        <v>0.52340382989375533</v>
      </c>
      <c r="H70" s="3">
        <f>('Agency Net Sales CAD'!H70/$C$1)/1000</f>
        <v>15.596615886099837</v>
      </c>
      <c r="I70" s="3">
        <f>('Agency Net Sales CAD'!I70/$C$1)/1000</f>
        <v>30.354307099850189</v>
      </c>
      <c r="J70" s="3">
        <f>('Agency Net Sales CAD'!J70/$C$1)/1000</f>
        <v>44.064456088842306</v>
      </c>
      <c r="K70" s="3">
        <f>('Agency Net Sales CAD'!K70/$C$1)/1000</f>
        <v>0.77566624790846417</v>
      </c>
      <c r="L70" s="3">
        <f>('Agency Net Sales CAD'!L70/$C$1)/1000</f>
        <v>2.6046812284468386</v>
      </c>
      <c r="M70" s="3">
        <f>('Agency Net Sales CAD'!M70/$C$1)/1000</f>
        <v>-26.708755787480285</v>
      </c>
      <c r="N70" s="3">
        <f>('Agency Net Sales CAD'!N70/$C$1)/1000</f>
        <v>15.612369925979772</v>
      </c>
      <c r="O70" s="3">
        <f>('Agency Net Sales CAD'!O70/$C$1)/1000</f>
        <v>13.01030827164981</v>
      </c>
      <c r="P70" s="3">
        <f>('Agency Net Sales CAD'!P70/$C$1)/1000</f>
        <v>6.5051541358249052</v>
      </c>
      <c r="Q70" s="4">
        <f>('Agency Net Sales CAD'!Q70/$C$1)/1000</f>
        <v>104.34826025009825</v>
      </c>
    </row>
    <row r="71" spans="1:17" x14ac:dyDescent="0.25">
      <c r="A71" s="2" t="s">
        <v>213</v>
      </c>
      <c r="B71" t="s">
        <v>167</v>
      </c>
      <c r="C71" s="2" t="s">
        <v>230</v>
      </c>
      <c r="D71" s="2"/>
      <c r="E71" s="3">
        <f>('Agency Net Sales CAD'!E71/$C$1)/1000</f>
        <v>0</v>
      </c>
      <c r="F71" s="3">
        <f>('Agency Net Sales CAD'!F71/$C$1)/1000</f>
        <v>0</v>
      </c>
      <c r="G71" s="3">
        <f>('Agency Net Sales CAD'!G71/$C$1)/1000</f>
        <v>0</v>
      </c>
      <c r="H71" s="3">
        <f>('Agency Net Sales CAD'!H71/$C$1)/1000</f>
        <v>0</v>
      </c>
      <c r="I71" s="3">
        <f>('Agency Net Sales CAD'!I71/$C$1)/1000</f>
        <v>0</v>
      </c>
      <c r="J71" s="3">
        <f>('Agency Net Sales CAD'!J71/$C$1)/1000</f>
        <v>0.34525463779224269</v>
      </c>
      <c r="K71" s="3">
        <f>('Agency Net Sales CAD'!K71/$C$1)/1000</f>
        <v>0</v>
      </c>
      <c r="L71" s="3">
        <f>('Agency Net Sales CAD'!L71/$C$1)/1000</f>
        <v>0</v>
      </c>
      <c r="M71" s="3">
        <f>('Agency Net Sales CAD'!M71/$C$1)/1000</f>
        <v>0</v>
      </c>
      <c r="N71" s="3">
        <f>('Agency Net Sales CAD'!N71/$C$1)/1000</f>
        <v>0</v>
      </c>
      <c r="O71" s="3">
        <f>('Agency Net Sales CAD'!O71/$C$1)/1000</f>
        <v>0</v>
      </c>
      <c r="P71" s="3">
        <f>('Agency Net Sales CAD'!P71/$C$1)/1000</f>
        <v>0</v>
      </c>
      <c r="Q71" s="4">
        <f>('Agency Net Sales CAD'!Q71/$C$1)/1000</f>
        <v>0.34525463779224269</v>
      </c>
    </row>
    <row r="72" spans="1:17" x14ac:dyDescent="0.25">
      <c r="A72" s="2" t="s">
        <v>213</v>
      </c>
      <c r="B72" t="s">
        <v>167</v>
      </c>
      <c r="C72" s="2" t="s">
        <v>231</v>
      </c>
      <c r="D72" s="2"/>
      <c r="E72" s="6">
        <f>('Agency Net Sales CAD'!E72/$C$1)/1000</f>
        <v>0</v>
      </c>
      <c r="F72" s="3">
        <f>('Agency Net Sales CAD'!F72/$C$1)/1000</f>
        <v>0</v>
      </c>
      <c r="G72" s="3">
        <f>('Agency Net Sales CAD'!G72/$C$1)/1000</f>
        <v>0</v>
      </c>
      <c r="H72" s="3">
        <f>('Agency Net Sales CAD'!H72/$C$1)/1000</f>
        <v>0</v>
      </c>
      <c r="I72" s="3">
        <f>('Agency Net Sales CAD'!I72/$C$1)/1000</f>
        <v>0</v>
      </c>
      <c r="J72" s="3">
        <f>('Agency Net Sales CAD'!J72/$C$1)/1000</f>
        <v>-5.8295481053968652E-2</v>
      </c>
      <c r="K72" s="3">
        <f>('Agency Net Sales CAD'!K72/$C$1)/1000</f>
        <v>0</v>
      </c>
      <c r="L72" s="3">
        <f>('Agency Net Sales CAD'!L72/$C$1)/1000</f>
        <v>0</v>
      </c>
      <c r="M72" s="3">
        <f>('Agency Net Sales CAD'!M72/$C$1)/1000</f>
        <v>0</v>
      </c>
      <c r="N72" s="3">
        <f>('Agency Net Sales CAD'!N72/$C$1)/1000</f>
        <v>0</v>
      </c>
      <c r="O72" s="3">
        <f>('Agency Net Sales CAD'!O72/$C$1)/1000</f>
        <v>0</v>
      </c>
      <c r="P72" s="3">
        <f>('Agency Net Sales CAD'!P72/$C$1)/1000</f>
        <v>0</v>
      </c>
      <c r="Q72" s="4">
        <f>('Agency Net Sales CAD'!Q72/$C$1)/1000</f>
        <v>-5.8295481053968652E-2</v>
      </c>
    </row>
    <row r="73" spans="1:17" x14ac:dyDescent="0.25">
      <c r="A73" s="2" t="s">
        <v>213</v>
      </c>
      <c r="B73" t="s">
        <v>167</v>
      </c>
      <c r="C73" s="2" t="s">
        <v>232</v>
      </c>
      <c r="D73" s="2"/>
      <c r="E73" s="6">
        <f>('Agency Net Sales CAD'!E73/$C$1)/1000</f>
        <v>9.4954204489883534</v>
      </c>
      <c r="F73" s="3">
        <f>('Agency Net Sales CAD'!F73/$C$1)/1000</f>
        <v>2.470520017080994</v>
      </c>
      <c r="G73" s="3">
        <f>('Agency Net Sales CAD'!G73/$C$1)/1000</f>
        <v>-0.649589288883481</v>
      </c>
      <c r="H73" s="3">
        <f>('Agency Net Sales CAD'!H73/$C$1)/1000</f>
        <v>0</v>
      </c>
      <c r="I73" s="6">
        <f>('Agency Net Sales CAD'!I73/$C$1)/1000</f>
        <v>0</v>
      </c>
      <c r="J73" s="3">
        <f>('Agency Net Sales CAD'!J73/$C$1)/1000</f>
        <v>5.7176751110899167</v>
      </c>
      <c r="K73" s="3">
        <f>('Agency Net Sales CAD'!K73/$C$1)/1000</f>
        <v>9.8995367826505447</v>
      </c>
      <c r="L73" s="3">
        <f>('Agency Net Sales CAD'!L73/$C$1)/1000</f>
        <v>0</v>
      </c>
      <c r="M73" s="3">
        <f>('Agency Net Sales CAD'!M73/$C$1)/1000</f>
        <v>0</v>
      </c>
      <c r="N73" s="3">
        <f>('Agency Net Sales CAD'!N73/$C$1)/1000</f>
        <v>0</v>
      </c>
      <c r="O73" s="3">
        <f>('Agency Net Sales CAD'!O73/$C$1)/1000</f>
        <v>0</v>
      </c>
      <c r="P73" s="3">
        <f>('Agency Net Sales CAD'!P73/$C$1)/1000</f>
        <v>0</v>
      </c>
      <c r="Q73" s="4">
        <f>('Agency Net Sales CAD'!Q73/$C$1)/1000</f>
        <v>26.933563070926333</v>
      </c>
    </row>
    <row r="74" spans="1:17" x14ac:dyDescent="0.25">
      <c r="A74" s="2" t="s">
        <v>213</v>
      </c>
      <c r="B74" t="s">
        <v>167</v>
      </c>
      <c r="C74" s="2" t="s">
        <v>233</v>
      </c>
      <c r="D74" s="2"/>
      <c r="E74" s="3">
        <f>('Agency Net Sales CAD'!E74/$C$1)/1000</f>
        <v>12.11345704587146</v>
      </c>
      <c r="F74" s="3">
        <f>('Agency Net Sales CAD'!F74/$C$1)/1000</f>
        <v>47.888271696311698</v>
      </c>
      <c r="G74" s="3">
        <f>('Agency Net Sales CAD'!G74/$C$1)/1000</f>
        <v>35.28227676326005</v>
      </c>
      <c r="H74" s="3">
        <f>('Agency Net Sales CAD'!H74/$C$1)/1000</f>
        <v>48.043678365804531</v>
      </c>
      <c r="I74" s="3">
        <f>('Agency Net Sales CAD'!I74/$C$1)/1000</f>
        <v>140.88669829182305</v>
      </c>
      <c r="J74" s="3">
        <f>('Agency Net Sales CAD'!J74/$C$1)/1000</f>
        <v>148.01347432423472</v>
      </c>
      <c r="K74" s="3">
        <f>('Agency Net Sales CAD'!K74/$C$1)/1000</f>
        <v>39.445882171354249</v>
      </c>
      <c r="L74" s="3">
        <f>('Agency Net Sales CAD'!L74/$C$1)/1000</f>
        <v>74.32408798294432</v>
      </c>
      <c r="M74" s="3">
        <f>('Agency Net Sales CAD'!M74/$C$1)/1000</f>
        <v>-55.349051613403105</v>
      </c>
      <c r="N74" s="3">
        <f>('Agency Net Sales CAD'!N74/$C$1)/1000</f>
        <v>46.714659817735559</v>
      </c>
      <c r="O74" s="3">
        <f>('Agency Net Sales CAD'!O74/$C$1)/1000</f>
        <v>77.611479533725273</v>
      </c>
      <c r="P74" s="3">
        <f>('Agency Net Sales CAD'!P74/$C$1)/1000</f>
        <v>45.568222065327831</v>
      </c>
      <c r="Q74" s="4">
        <f>('Agency Net Sales CAD'!Q74/$C$1)/1000</f>
        <v>660.54313644498961</v>
      </c>
    </row>
    <row r="75" spans="1:17" x14ac:dyDescent="0.25">
      <c r="A75" s="2" t="s">
        <v>213</v>
      </c>
      <c r="B75" t="s">
        <v>167</v>
      </c>
      <c r="C75" s="2" t="s">
        <v>234</v>
      </c>
      <c r="D75" s="2"/>
      <c r="E75" s="3">
        <f>('Agency Net Sales CAD'!E75/$C$1)/1000</f>
        <v>0</v>
      </c>
      <c r="F75" s="3">
        <f>('Agency Net Sales CAD'!F75/$C$1)/1000</f>
        <v>0</v>
      </c>
      <c r="G75" s="3">
        <f>('Agency Net Sales CAD'!G75/$C$1)/1000</f>
        <v>0</v>
      </c>
      <c r="H75" s="3">
        <f>('Agency Net Sales CAD'!H75/$C$1)/1000</f>
        <v>0</v>
      </c>
      <c r="I75" s="3">
        <f>('Agency Net Sales CAD'!I75/$C$1)/1000</f>
        <v>0</v>
      </c>
      <c r="J75" s="3">
        <f>('Agency Net Sales CAD'!J75/$C$1)/1000</f>
        <v>0</v>
      </c>
      <c r="K75" s="3">
        <f>('Agency Net Sales CAD'!K75/$C$1)/1000</f>
        <v>0</v>
      </c>
      <c r="L75" s="3">
        <f>('Agency Net Sales CAD'!L75/$C$1)/1000</f>
        <v>0</v>
      </c>
      <c r="M75" s="3">
        <f>('Agency Net Sales CAD'!M75/$C$1)/1000</f>
        <v>0</v>
      </c>
      <c r="N75" s="3">
        <f>('Agency Net Sales CAD'!N75/$C$1)/1000</f>
        <v>0</v>
      </c>
      <c r="O75" s="3">
        <f>('Agency Net Sales CAD'!O75/$C$1)/1000</f>
        <v>0</v>
      </c>
      <c r="P75" s="3">
        <f>('Agency Net Sales CAD'!P75/$C$1)/1000</f>
        <v>0</v>
      </c>
      <c r="Q75" s="4">
        <f>('Agency Net Sales CAD'!Q75/$C$1)/1000</f>
        <v>0</v>
      </c>
    </row>
    <row r="76" spans="1:17" x14ac:dyDescent="0.25">
      <c r="A76" s="2" t="s">
        <v>213</v>
      </c>
      <c r="B76" t="s">
        <v>167</v>
      </c>
      <c r="C76" s="2" t="s">
        <v>235</v>
      </c>
      <c r="D76" s="2"/>
      <c r="E76" s="3">
        <f>('Agency Net Sales CAD'!E76/$C$1)/1000</f>
        <v>0</v>
      </c>
      <c r="F76" s="3">
        <f>('Agency Net Sales CAD'!F76/$C$1)/1000</f>
        <v>0</v>
      </c>
      <c r="G76" s="3">
        <f>('Agency Net Sales CAD'!G76/$C$1)/1000</f>
        <v>0</v>
      </c>
      <c r="H76" s="3">
        <f>('Agency Net Sales CAD'!H76/$C$1)/1000</f>
        <v>0</v>
      </c>
      <c r="I76" s="3">
        <f>('Agency Net Sales CAD'!I76/$C$1)/1000</f>
        <v>0</v>
      </c>
      <c r="J76" s="3">
        <f>('Agency Net Sales CAD'!J76/$C$1)/1000</f>
        <v>0</v>
      </c>
      <c r="K76" s="3">
        <f>('Agency Net Sales CAD'!K76/$C$1)/1000</f>
        <v>0</v>
      </c>
      <c r="L76" s="3">
        <f>('Agency Net Sales CAD'!L76/$C$1)/1000</f>
        <v>0</v>
      </c>
      <c r="M76" s="3">
        <f>('Agency Net Sales CAD'!M76/$C$1)/1000</f>
        <v>0</v>
      </c>
      <c r="N76" s="3">
        <f>('Agency Net Sales CAD'!N76/$C$1)/1000</f>
        <v>0</v>
      </c>
      <c r="O76" s="3">
        <f>('Agency Net Sales CAD'!O76/$C$1)/1000</f>
        <v>0</v>
      </c>
      <c r="P76" s="3">
        <f>('Agency Net Sales CAD'!P76/$C$1)/1000</f>
        <v>0</v>
      </c>
      <c r="Q76" s="4">
        <f>('Agency Net Sales CAD'!Q76/$C$1)/1000</f>
        <v>0</v>
      </c>
    </row>
    <row r="77" spans="1:17" x14ac:dyDescent="0.25">
      <c r="A77" s="2" t="s">
        <v>213</v>
      </c>
      <c r="B77" t="s">
        <v>167</v>
      </c>
      <c r="C77" s="2" t="s">
        <v>170</v>
      </c>
      <c r="D77" s="2"/>
      <c r="E77" s="3">
        <f>('Agency Net Sales CAD'!E77/$C$1)/1000</f>
        <v>0</v>
      </c>
      <c r="F77" s="3">
        <f>('Agency Net Sales CAD'!F77/$C$1)/1000</f>
        <v>0</v>
      </c>
      <c r="G77" s="3">
        <f>('Agency Net Sales CAD'!G77/$C$1)/1000</f>
        <v>0</v>
      </c>
      <c r="H77" s="3">
        <f>('Agency Net Sales CAD'!H77/$C$1)/1000</f>
        <v>0</v>
      </c>
      <c r="I77" s="3">
        <f>('Agency Net Sales CAD'!I77/$C$1)/1000</f>
        <v>0</v>
      </c>
      <c r="J77" s="3">
        <f>('Agency Net Sales CAD'!J77/$C$1)/1000</f>
        <v>0</v>
      </c>
      <c r="K77" s="3">
        <f>('Agency Net Sales CAD'!K77/$C$1)/1000</f>
        <v>0.33230439200107237</v>
      </c>
      <c r="L77" s="3">
        <f>('Agency Net Sales CAD'!L77/$C$1)/1000</f>
        <v>0</v>
      </c>
      <c r="M77" s="3">
        <f>('Agency Net Sales CAD'!M77/$C$1)/1000</f>
        <v>0</v>
      </c>
      <c r="N77" s="3">
        <f>('Agency Net Sales CAD'!N77/$C$1)/1000</f>
        <v>0</v>
      </c>
      <c r="O77" s="3">
        <f>('Agency Net Sales CAD'!O77/$C$1)/1000</f>
        <v>0</v>
      </c>
      <c r="P77" s="3">
        <f>('Agency Net Sales CAD'!P77/$C$1)/1000</f>
        <v>0</v>
      </c>
      <c r="Q77" s="4">
        <f>('Agency Net Sales CAD'!Q77/$C$1)/1000</f>
        <v>0.33230439200107237</v>
      </c>
    </row>
    <row r="78" spans="1:17" x14ac:dyDescent="0.25">
      <c r="A78" s="2" t="s">
        <v>213</v>
      </c>
      <c r="B78" t="s">
        <v>167</v>
      </c>
      <c r="C78" s="2" t="s">
        <v>236</v>
      </c>
      <c r="D78" s="2"/>
      <c r="E78" s="6">
        <f>('Agency Net Sales CAD'!E78/$C$1)/1000</f>
        <v>11.618581828890905</v>
      </c>
      <c r="F78" s="3">
        <f>('Agency Net Sales CAD'!F78/$C$1)/1000</f>
        <v>44.418050674133525</v>
      </c>
      <c r="G78" s="3">
        <f>('Agency Net Sales CAD'!G78/$C$1)/1000</f>
        <v>29.204769943339773</v>
      </c>
      <c r="H78" s="3">
        <f>('Agency Net Sales CAD'!H78/$C$1)/1000</f>
        <v>33.842715971117315</v>
      </c>
      <c r="I78" s="3">
        <f>('Agency Net Sales CAD'!I78/$C$1)/1000</f>
        <v>12.548121671860455</v>
      </c>
      <c r="J78" s="3">
        <f>('Agency Net Sales CAD'!J78/$C$1)/1000</f>
        <v>33.54905407850999</v>
      </c>
      <c r="K78" s="3">
        <f>('Agency Net Sales CAD'!K78/$C$1)/1000</f>
        <v>50.974082510344992</v>
      </c>
      <c r="L78" s="3">
        <f>('Agency Net Sales CAD'!L78/$C$1)/1000</f>
        <v>-11.905111701728627</v>
      </c>
      <c r="M78" s="3">
        <f>('Agency Net Sales CAD'!M78/$C$1)/1000</f>
        <v>-5.631765808954948</v>
      </c>
      <c r="N78" s="3">
        <f>('Agency Net Sales CAD'!N78/$C$1)/1000</f>
        <v>78.061849629898859</v>
      </c>
      <c r="O78" s="3">
        <f>('Agency Net Sales CAD'!O78/$C$1)/1000</f>
        <v>55.423913237228199</v>
      </c>
      <c r="P78" s="3">
        <f>('Agency Net Sales CAD'!P78/$C$1)/1000</f>
        <v>116.15180838383097</v>
      </c>
      <c r="Q78" s="4">
        <f>('Agency Net Sales CAD'!Q78/$C$1)/1000</f>
        <v>448.25607041847144</v>
      </c>
    </row>
    <row r="79" spans="1:17" x14ac:dyDescent="0.25">
      <c r="A79" s="2" t="s">
        <v>213</v>
      </c>
      <c r="B79" t="s">
        <v>167</v>
      </c>
      <c r="C79" s="2" t="s">
        <v>237</v>
      </c>
      <c r="D79" s="2"/>
      <c r="E79" s="3">
        <f>('Agency Net Sales CAD'!E79/$C$1)/1000</f>
        <v>-30.349788386318771</v>
      </c>
      <c r="F79" s="3">
        <f>('Agency Net Sales CAD'!F79/$C$1)/1000</f>
        <v>1.4159245398245243E-2</v>
      </c>
      <c r="G79" s="3">
        <f>('Agency Net Sales CAD'!G79/$C$1)/1000</f>
        <v>-0.19761718577441462</v>
      </c>
      <c r="H79" s="3">
        <f>('Agency Net Sales CAD'!H79/$C$1)/1000</f>
        <v>8.7496986413479405</v>
      </c>
      <c r="I79" s="3">
        <f>('Agency Net Sales CAD'!I79/$C$1)/1000</f>
        <v>9.5394971646634197</v>
      </c>
      <c r="J79" s="3">
        <f>('Agency Net Sales CAD'!J79/$C$1)/1000</f>
        <v>3.8553897892233193</v>
      </c>
      <c r="K79" s="3">
        <f>('Agency Net Sales CAD'!K79/$C$1)/1000</f>
        <v>4.4410172383193975</v>
      </c>
      <c r="L79" s="3">
        <f>('Agency Net Sales CAD'!L79/$C$1)/1000</f>
        <v>7.595917626462465</v>
      </c>
      <c r="M79" s="3">
        <f>('Agency Net Sales CAD'!M79/$C$1)/1000</f>
        <v>17.935105702522058</v>
      </c>
      <c r="N79" s="3">
        <f>('Agency Net Sales CAD'!N79/$C$1)/1000</f>
        <v>0.91837470152822198</v>
      </c>
      <c r="O79" s="3">
        <f>('Agency Net Sales CAD'!O79/$C$1)/1000</f>
        <v>-3.3102786575531864</v>
      </c>
      <c r="P79" s="3">
        <f>('Agency Net Sales CAD'!P79/$C$1)/1000</f>
        <v>-7.3270480647093805</v>
      </c>
      <c r="Q79" s="4">
        <f>('Agency Net Sales CAD'!Q79/$C$1)/1000</f>
        <v>11.864427815109316</v>
      </c>
    </row>
    <row r="80" spans="1:17" x14ac:dyDescent="0.25">
      <c r="A80" s="2" t="s">
        <v>213</v>
      </c>
      <c r="B80" t="s">
        <v>167</v>
      </c>
      <c r="C80" s="2" t="s">
        <v>238</v>
      </c>
      <c r="D80" s="2"/>
      <c r="E80" s="3">
        <f>('Agency Net Sales CAD'!E80/$C$1)/1000</f>
        <v>0</v>
      </c>
      <c r="F80" s="3">
        <f>('Agency Net Sales CAD'!F80/$C$1)/1000</f>
        <v>1.4059690480600593</v>
      </c>
      <c r="G80" s="3">
        <f>('Agency Net Sales CAD'!G80/$C$1)/1000</f>
        <v>4.2760775828997861</v>
      </c>
      <c r="H80" s="3">
        <f>('Agency Net Sales CAD'!H80/$C$1)/1000</f>
        <v>2.4087678821504381</v>
      </c>
      <c r="I80" s="3">
        <f>('Agency Net Sales CAD'!I80/$C$1)/1000</f>
        <v>0</v>
      </c>
      <c r="J80" s="3">
        <f>('Agency Net Sales CAD'!J80/$C$1)/1000</f>
        <v>-3.3258207264743778E-3</v>
      </c>
      <c r="K80" s="3">
        <f>('Agency Net Sales CAD'!K80/$C$1)/1000</f>
        <v>1.6162092647759119</v>
      </c>
      <c r="L80" s="3">
        <f>('Agency Net Sales CAD'!L80/$C$1)/1000</f>
        <v>-0.17253309036697001</v>
      </c>
      <c r="M80" s="3">
        <f>('Agency Net Sales CAD'!M80/$C$1)/1000</f>
        <v>1.2139553145614852</v>
      </c>
      <c r="N80" s="3">
        <f>('Agency Net Sales CAD'!N80/$C$1)/1000</f>
        <v>0</v>
      </c>
      <c r="O80" s="3">
        <f>('Agency Net Sales CAD'!O80/$C$1)/1000</f>
        <v>0</v>
      </c>
      <c r="P80" s="3">
        <f>('Agency Net Sales CAD'!P80/$C$1)/1000</f>
        <v>0</v>
      </c>
      <c r="Q80" s="4">
        <f>('Agency Net Sales CAD'!Q80/$C$1)/1000</f>
        <v>10.745120181354237</v>
      </c>
    </row>
    <row r="81" spans="1:17" x14ac:dyDescent="0.25">
      <c r="A81" s="2" t="s">
        <v>213</v>
      </c>
      <c r="B81" t="s">
        <v>167</v>
      </c>
      <c r="C81" s="2" t="s">
        <v>239</v>
      </c>
      <c r="D81" s="2"/>
      <c r="E81" s="3">
        <f>('Agency Net Sales CAD'!E81/$C$1)/1000</f>
        <v>2.862074069825927</v>
      </c>
      <c r="F81" s="3">
        <f>('Agency Net Sales CAD'!F81/$C$1)/1000</f>
        <v>2.1345198062810629</v>
      </c>
      <c r="G81" s="3">
        <f>('Agency Net Sales CAD'!G81/$C$1)/1000</f>
        <v>2.9225423401737376</v>
      </c>
      <c r="H81" s="3">
        <f>('Agency Net Sales CAD'!H81/$C$1)/1000</f>
        <v>5.9924059324680723</v>
      </c>
      <c r="I81" s="3">
        <f>('Agency Net Sales CAD'!I81/$C$1)/1000</f>
        <v>10.450861838469903</v>
      </c>
      <c r="J81" s="3">
        <f>('Agency Net Sales CAD'!J81/$C$1)/1000</f>
        <v>8.1123582312335714</v>
      </c>
      <c r="K81" s="3">
        <f>('Agency Net Sales CAD'!K81/$C$1)/1000</f>
        <v>10.028330026160312</v>
      </c>
      <c r="L81" s="3">
        <f>('Agency Net Sales CAD'!L81/$C$1)/1000</f>
        <v>7.3994925731312282</v>
      </c>
      <c r="M81" s="3">
        <f>('Agency Net Sales CAD'!M81/$C$1)/1000</f>
        <v>3.483885909320759</v>
      </c>
      <c r="N81" s="3">
        <f>('Agency Net Sales CAD'!N81/$C$1)/1000</f>
        <v>9.1072157901548678</v>
      </c>
      <c r="O81" s="3">
        <f>('Agency Net Sales CAD'!O81/$C$1)/1000</f>
        <v>9.6096848854899104</v>
      </c>
      <c r="P81" s="3">
        <f>('Agency Net Sales CAD'!P81/$C$1)/1000</f>
        <v>7.6769302595164142</v>
      </c>
      <c r="Q81" s="4">
        <f>('Agency Net Sales CAD'!Q81/$C$1)/1000</f>
        <v>79.780301662225767</v>
      </c>
    </row>
    <row r="82" spans="1:17" x14ac:dyDescent="0.25">
      <c r="A82" s="2" t="s">
        <v>213</v>
      </c>
      <c r="B82" t="s">
        <v>167</v>
      </c>
      <c r="C82" s="2" t="s">
        <v>240</v>
      </c>
      <c r="D82" s="2"/>
      <c r="E82" s="3">
        <f>('Agency Net Sales CAD'!E82/$C$1)/1000</f>
        <v>-6.7541228049100885E-2</v>
      </c>
      <c r="F82" s="3">
        <f>('Agency Net Sales CAD'!F82/$C$1)/1000</f>
        <v>2.8752490655440536E-3</v>
      </c>
      <c r="G82" s="3">
        <f>('Agency Net Sales CAD'!G82/$C$1)/1000</f>
        <v>-0.61525680004153993</v>
      </c>
      <c r="H82" s="3">
        <f>('Agency Net Sales CAD'!H82/$C$1)/1000</f>
        <v>8.9587638134017595</v>
      </c>
      <c r="I82" s="3">
        <f>('Agency Net Sales CAD'!I82/$C$1)/1000</f>
        <v>4.6758992903327297</v>
      </c>
      <c r="J82" s="3">
        <f>('Agency Net Sales CAD'!J82/$C$1)/1000</f>
        <v>4.636576620737598</v>
      </c>
      <c r="K82" s="3">
        <f>('Agency Net Sales CAD'!K82/$C$1)/1000</f>
        <v>3.5773459986375502</v>
      </c>
      <c r="L82" s="3">
        <f>('Agency Net Sales CAD'!L82/$C$1)/1000</f>
        <v>4.2657319749233586</v>
      </c>
      <c r="M82" s="3">
        <f>('Agency Net Sales CAD'!M82/$C$1)/1000</f>
        <v>11.44900784776282</v>
      </c>
      <c r="N82" s="3">
        <f>('Agency Net Sales CAD'!N82/$C$1)/1000</f>
        <v>4.7449359578958132</v>
      </c>
      <c r="O82" s="3">
        <f>('Agency Net Sales CAD'!O82/$C$1)/1000</f>
        <v>5.1413677040560747E-4</v>
      </c>
      <c r="P82" s="3">
        <f>('Agency Net Sales CAD'!P82/$C$1)/1000</f>
        <v>0.33122714235117873</v>
      </c>
      <c r="Q82" s="4">
        <f>('Agency Net Sales CAD'!Q82/$C$1)/1000</f>
        <v>41.960080003788121</v>
      </c>
    </row>
    <row r="83" spans="1:17" x14ac:dyDescent="0.25">
      <c r="A83" s="2" t="s">
        <v>213</v>
      </c>
      <c r="B83" t="s">
        <v>167</v>
      </c>
      <c r="C83" s="2" t="s">
        <v>241</v>
      </c>
      <c r="D83" s="2"/>
      <c r="E83" s="3">
        <f>('Agency Net Sales CAD'!E83/$C$1)/1000</f>
        <v>-3.4254988867128619E-2</v>
      </c>
      <c r="F83" s="3">
        <f>('Agency Net Sales CAD'!F83/$C$1)/1000</f>
        <v>0</v>
      </c>
      <c r="G83" s="3">
        <f>('Agency Net Sales CAD'!G83/$C$1)/1000</f>
        <v>-6.6332228442025756E-2</v>
      </c>
      <c r="H83" s="3">
        <f>('Agency Net Sales CAD'!H83/$C$1)/1000</f>
        <v>4.6246621969847856</v>
      </c>
      <c r="I83" s="3">
        <f>('Agency Net Sales CAD'!I83/$C$1)/1000</f>
        <v>4.4191896137633746</v>
      </c>
      <c r="J83" s="3">
        <f>('Agency Net Sales CAD'!J83/$C$1)/1000</f>
        <v>10.953839313102222</v>
      </c>
      <c r="K83" s="3">
        <f>('Agency Net Sales CAD'!K83/$C$1)/1000</f>
        <v>6.1665904959455879</v>
      </c>
      <c r="L83" s="3">
        <f>('Agency Net Sales CAD'!L83/$C$1)/1000</f>
        <v>4.5390563888210416</v>
      </c>
      <c r="M83" s="3">
        <f>('Agency Net Sales CAD'!M83/$C$1)/1000</f>
        <v>8.7810808932727351</v>
      </c>
      <c r="N83" s="3">
        <f>('Agency Net Sales CAD'!N83/$C$1)/1000</f>
        <v>4.6252411217966358</v>
      </c>
      <c r="O83" s="3">
        <f>('Agency Net Sales CAD'!O83/$C$1)/1000</f>
        <v>-0.18887872687691334</v>
      </c>
      <c r="P83" s="3">
        <f>('Agency Net Sales CAD'!P83/$C$1)/1000</f>
        <v>1.3348524643442015</v>
      </c>
      <c r="Q83" s="4">
        <f>('Agency Net Sales CAD'!Q83/$C$1)/1000</f>
        <v>45.15504654384452</v>
      </c>
    </row>
    <row r="84" spans="1:17" x14ac:dyDescent="0.25">
      <c r="A84" s="2" t="s">
        <v>213</v>
      </c>
      <c r="B84" t="s">
        <v>167</v>
      </c>
      <c r="C84" s="2" t="s">
        <v>242</v>
      </c>
      <c r="D84" s="2"/>
      <c r="E84" s="3">
        <f>('Agency Net Sales CAD'!E84/$C$1)/1000</f>
        <v>-6.230997974925657E-3</v>
      </c>
      <c r="F84" s="3">
        <f>('Agency Net Sales CAD'!F84/$C$1)/1000</f>
        <v>9.795996816301035E-3</v>
      </c>
      <c r="G84" s="3">
        <f>('Agency Net Sales CAD'!G84/$C$1)/1000</f>
        <v>-2.965924036074688E-2</v>
      </c>
      <c r="H84" s="3">
        <f>('Agency Net Sales CAD'!H84/$C$1)/1000</f>
        <v>0</v>
      </c>
      <c r="I84" s="3">
        <f>('Agency Net Sales CAD'!I84/$C$1)/1000</f>
        <v>0</v>
      </c>
      <c r="J84" s="3">
        <f>('Agency Net Sales CAD'!J84/$C$1)/1000</f>
        <v>0</v>
      </c>
      <c r="K84" s="3">
        <f>('Agency Net Sales CAD'!K84/$C$1)/1000</f>
        <v>0</v>
      </c>
      <c r="L84" s="3">
        <f>('Agency Net Sales CAD'!L84/$C$1)/1000</f>
        <v>0</v>
      </c>
      <c r="M84" s="3">
        <f>('Agency Net Sales CAD'!M84/$C$1)/1000</f>
        <v>0</v>
      </c>
      <c r="N84" s="3">
        <f>('Agency Net Sales CAD'!N84/$C$1)/1000</f>
        <v>0</v>
      </c>
      <c r="O84" s="3">
        <f>('Agency Net Sales CAD'!O84/$C$1)/1000</f>
        <v>0</v>
      </c>
      <c r="P84" s="3">
        <f>('Agency Net Sales CAD'!P84/$C$1)/1000</f>
        <v>0</v>
      </c>
      <c r="Q84" s="4">
        <f>('Agency Net Sales CAD'!Q84/$C$1)/1000</f>
        <v>-2.6094241519371505E-2</v>
      </c>
    </row>
    <row r="85" spans="1:17" x14ac:dyDescent="0.25">
      <c r="A85" s="2" t="s">
        <v>213</v>
      </c>
      <c r="B85" t="s">
        <v>167</v>
      </c>
      <c r="C85" s="2" t="s">
        <v>243</v>
      </c>
      <c r="D85" s="2"/>
      <c r="E85" s="3">
        <f>('Agency Net Sales CAD'!E85/$C$1)/1000</f>
        <v>0</v>
      </c>
      <c r="F85" s="3">
        <f>('Agency Net Sales CAD'!F85/$C$1)/1000</f>
        <v>0</v>
      </c>
      <c r="G85" s="3">
        <f>('Agency Net Sales CAD'!G85/$C$1)/1000</f>
        <v>0</v>
      </c>
      <c r="H85" s="3">
        <f>('Agency Net Sales CAD'!H85/$C$1)/1000</f>
        <v>0</v>
      </c>
      <c r="I85" s="3">
        <f>('Agency Net Sales CAD'!I85/$C$1)/1000</f>
        <v>0</v>
      </c>
      <c r="J85" s="3">
        <f>('Agency Net Sales CAD'!J85/$C$1)/1000</f>
        <v>0</v>
      </c>
      <c r="K85" s="3">
        <f>('Agency Net Sales CAD'!K85/$C$1)/1000</f>
        <v>1.5479612469125947</v>
      </c>
      <c r="L85" s="3">
        <f>('Agency Net Sales CAD'!L85/$C$1)/1000</f>
        <v>0</v>
      </c>
      <c r="M85" s="3">
        <f>('Agency Net Sales CAD'!M85/$C$1)/1000</f>
        <v>0</v>
      </c>
      <c r="N85" s="3">
        <f>('Agency Net Sales CAD'!N85/$C$1)/1000</f>
        <v>0</v>
      </c>
      <c r="O85" s="3">
        <f>('Agency Net Sales CAD'!O85/$C$1)/1000</f>
        <v>0</v>
      </c>
      <c r="P85" s="3">
        <f>('Agency Net Sales CAD'!P85/$C$1)/1000</f>
        <v>0</v>
      </c>
      <c r="Q85" s="4">
        <f>('Agency Net Sales CAD'!Q85/$C$1)/1000</f>
        <v>1.5479612469125947</v>
      </c>
    </row>
    <row r="86" spans="1:17" x14ac:dyDescent="0.25">
      <c r="A86" s="2" t="s">
        <v>213</v>
      </c>
      <c r="B86" t="s">
        <v>167</v>
      </c>
      <c r="C86" s="2" t="s">
        <v>244</v>
      </c>
      <c r="D86" s="2"/>
      <c r="E86" s="3">
        <f>('Agency Net Sales CAD'!E86/$C$1)/1000</f>
        <v>-0.96950918490951488</v>
      </c>
      <c r="F86" s="3">
        <f>('Agency Net Sales CAD'!F86/$C$1)/1000</f>
        <v>-8.0367473880570972E-3</v>
      </c>
      <c r="G86" s="3">
        <f>('Agency Net Sales CAD'!G86/$C$1)/1000</f>
        <v>-5.6233981723955932E-2</v>
      </c>
      <c r="H86" s="3">
        <f>('Agency Net Sales CAD'!H86/$C$1)/1000</f>
        <v>0</v>
      </c>
      <c r="I86" s="3">
        <f>('Agency Net Sales CAD'!I86/$C$1)/1000</f>
        <v>-3.0139740204584431E-2</v>
      </c>
      <c r="J86" s="3">
        <f>('Agency Net Sales CAD'!J86/$C$1)/1000</f>
        <v>-1.9785465096125197E-2</v>
      </c>
      <c r="K86" s="3">
        <f>('Agency Net Sales CAD'!K86/$C$1)/1000</f>
        <v>-0.97228329650792866</v>
      </c>
      <c r="L86" s="3">
        <f>('Agency Net Sales CAD'!L86/$C$1)/1000</f>
        <v>0</v>
      </c>
      <c r="M86" s="3">
        <f>('Agency Net Sales CAD'!M86/$C$1)/1000</f>
        <v>0</v>
      </c>
      <c r="N86" s="3">
        <f>('Agency Net Sales CAD'!N86/$C$1)/1000</f>
        <v>0</v>
      </c>
      <c r="O86" s="3">
        <f>('Agency Net Sales CAD'!O86/$C$1)/1000</f>
        <v>0</v>
      </c>
      <c r="P86" s="3">
        <f>('Agency Net Sales CAD'!P86/$C$1)/1000</f>
        <v>0</v>
      </c>
      <c r="Q86" s="4">
        <f>('Agency Net Sales CAD'!Q86/$C$1)/1000</f>
        <v>-2.0559884158301656</v>
      </c>
    </row>
    <row r="87" spans="1:17" x14ac:dyDescent="0.25">
      <c r="A87" s="2" t="s">
        <v>213</v>
      </c>
      <c r="B87" t="s">
        <v>167</v>
      </c>
      <c r="C87" s="2" t="s">
        <v>245</v>
      </c>
      <c r="D87" s="2"/>
      <c r="E87" s="3">
        <f>('Agency Net Sales CAD'!E87/$C$1)/1000</f>
        <v>-1.5723427389886095</v>
      </c>
      <c r="F87" s="3">
        <f>('Agency Net Sales CAD'!F87/$C$1)/1000</f>
        <v>0</v>
      </c>
      <c r="G87" s="3">
        <f>('Agency Net Sales CAD'!G87/$C$1)/1000</f>
        <v>-0.5427916885927011</v>
      </c>
      <c r="H87" s="3">
        <f>('Agency Net Sales CAD'!H87/$C$1)/1000</f>
        <v>0</v>
      </c>
      <c r="I87" s="3">
        <f>('Agency Net Sales CAD'!I87/$C$1)/1000</f>
        <v>0</v>
      </c>
      <c r="J87" s="3">
        <f>('Agency Net Sales CAD'!J87/$C$1)/1000</f>
        <v>-2.2683312627923389</v>
      </c>
      <c r="K87" s="3">
        <f>('Agency Net Sales CAD'!K87/$C$1)/1000</f>
        <v>0</v>
      </c>
      <c r="L87" s="3">
        <f>('Agency Net Sales CAD'!L87/$C$1)/1000</f>
        <v>0</v>
      </c>
      <c r="M87" s="3">
        <f>('Agency Net Sales CAD'!M87/$C$1)/1000</f>
        <v>0</v>
      </c>
      <c r="N87" s="3">
        <f>('Agency Net Sales CAD'!N87/$C$1)/1000</f>
        <v>0</v>
      </c>
      <c r="O87" s="3">
        <f>('Agency Net Sales CAD'!O87/$C$1)/1000</f>
        <v>0</v>
      </c>
      <c r="P87" s="3">
        <f>('Agency Net Sales CAD'!P87/$C$1)/1000</f>
        <v>0</v>
      </c>
      <c r="Q87" s="4">
        <f>('Agency Net Sales CAD'!Q87/$C$1)/1000</f>
        <v>-4.3834656903736491</v>
      </c>
    </row>
    <row r="88" spans="1:17" x14ac:dyDescent="0.25">
      <c r="A88" s="2" t="s">
        <v>213</v>
      </c>
      <c r="B88" t="s">
        <v>167</v>
      </c>
      <c r="C88" s="2" t="s">
        <v>246</v>
      </c>
      <c r="D88" s="2"/>
      <c r="E88" s="3">
        <f>('Agency Net Sales CAD'!E88/$C$1)/1000</f>
        <v>-1.0477996594651106E-2</v>
      </c>
      <c r="F88" s="3">
        <f>('Agency Net Sales CAD'!F88/$C$1)/1000</f>
        <v>-1.6150994750926705E-2</v>
      </c>
      <c r="G88" s="3">
        <f>('Agency Net Sales CAD'!G88/$C$1)/1000</f>
        <v>-3.3906238980472334E-2</v>
      </c>
      <c r="H88" s="3">
        <f>('Agency Net Sales CAD'!H88/$C$1)/1000</f>
        <v>0</v>
      </c>
      <c r="I88" s="3">
        <f>('Agency Net Sales CAD'!I88/$C$1)/1000</f>
        <v>0</v>
      </c>
      <c r="J88" s="3">
        <f>('Agency Net Sales CAD'!J88/$C$1)/1000</f>
        <v>0</v>
      </c>
      <c r="K88" s="3">
        <f>('Agency Net Sales CAD'!K88/$C$1)/1000</f>
        <v>0</v>
      </c>
      <c r="L88" s="3">
        <f>('Agency Net Sales CAD'!L88/$C$1)/1000</f>
        <v>0</v>
      </c>
      <c r="M88" s="3">
        <f>('Agency Net Sales CAD'!M88/$C$1)/1000</f>
        <v>-5.8507706276636473E-4</v>
      </c>
      <c r="N88" s="3">
        <f>('Agency Net Sales CAD'!N88/$C$1)/1000</f>
        <v>0</v>
      </c>
      <c r="O88" s="3">
        <f>('Agency Net Sales CAD'!O88/$C$1)/1000</f>
        <v>0</v>
      </c>
      <c r="P88" s="3">
        <f>('Agency Net Sales CAD'!P88/$C$1)/1000</f>
        <v>0</v>
      </c>
      <c r="Q88" s="4">
        <f>('Agency Net Sales CAD'!Q88/$C$1)/1000</f>
        <v>-6.1120307388816505E-2</v>
      </c>
    </row>
    <row r="89" spans="1:17" x14ac:dyDescent="0.25">
      <c r="A89" s="2" t="s">
        <v>213</v>
      </c>
      <c r="B89" t="s">
        <v>167</v>
      </c>
      <c r="C89" s="2" t="s">
        <v>247</v>
      </c>
      <c r="D89" s="2"/>
      <c r="E89" s="3">
        <f>('Agency Net Sales CAD'!E89/$C$1)/1000</f>
        <v>0</v>
      </c>
      <c r="F89" s="3">
        <f>('Agency Net Sales CAD'!F89/$C$1)/1000</f>
        <v>0</v>
      </c>
      <c r="G89" s="3">
        <f>('Agency Net Sales CAD'!G89/$C$1)/1000</f>
        <v>0</v>
      </c>
      <c r="H89" s="3">
        <f>('Agency Net Sales CAD'!H89/$C$1)/1000</f>
        <v>3.0555984819304935</v>
      </c>
      <c r="I89" s="3">
        <f>('Agency Net Sales CAD'!I89/$C$1)/1000</f>
        <v>1.3323956869714015</v>
      </c>
      <c r="J89" s="3">
        <f>('Agency Net Sales CAD'!J89/$C$1)/1000</f>
        <v>2.3472651750763185</v>
      </c>
      <c r="K89" s="3">
        <f>('Agency Net Sales CAD'!K89/$C$1)/1000</f>
        <v>3.8649118185911591</v>
      </c>
      <c r="L89" s="3">
        <f>('Agency Net Sales CAD'!L89/$C$1)/1000</f>
        <v>-1.6452000642622091</v>
      </c>
      <c r="M89" s="3">
        <f>('Agency Net Sales CAD'!M89/$C$1)/1000</f>
        <v>3.4318411538009359</v>
      </c>
      <c r="N89" s="3">
        <f>('Agency Net Sales CAD'!N89/$C$1)/1000</f>
        <v>0</v>
      </c>
      <c r="O89" s="3">
        <f>('Agency Net Sales CAD'!O89/$C$1)/1000</f>
        <v>0</v>
      </c>
      <c r="P89" s="3">
        <f>('Agency Net Sales CAD'!P89/$C$1)/1000</f>
        <v>0</v>
      </c>
      <c r="Q89" s="4">
        <f>('Agency Net Sales CAD'!Q89/$C$1)/1000</f>
        <v>12.386812252108099</v>
      </c>
    </row>
    <row r="90" spans="1:17" x14ac:dyDescent="0.25">
      <c r="A90" s="2" t="s">
        <v>213</v>
      </c>
      <c r="B90" t="s">
        <v>167</v>
      </c>
      <c r="C90" s="2" t="s">
        <v>248</v>
      </c>
      <c r="D90" s="2"/>
      <c r="E90" s="3">
        <f>('Agency Net Sales CAD'!E90/$C$1)/1000</f>
        <v>0</v>
      </c>
      <c r="F90" s="3">
        <f>('Agency Net Sales CAD'!F90/$C$1)/1000</f>
        <v>0</v>
      </c>
      <c r="G90" s="3">
        <f>('Agency Net Sales CAD'!G90/$C$1)/1000</f>
        <v>0</v>
      </c>
      <c r="H90" s="3">
        <f>('Agency Net Sales CAD'!H90/$C$1)/1000</f>
        <v>0</v>
      </c>
      <c r="I90" s="3">
        <f>('Agency Net Sales CAD'!I90/$C$1)/1000</f>
        <v>0</v>
      </c>
      <c r="J90" s="3">
        <f>('Agency Net Sales CAD'!J90/$C$1)/1000</f>
        <v>2.4963167768845476</v>
      </c>
      <c r="K90" s="3">
        <f>('Agency Net Sales CAD'!K90/$C$1)/1000</f>
        <v>3.6234068845552634</v>
      </c>
      <c r="L90" s="3">
        <f>('Agency Net Sales CAD'!L90/$C$1)/1000</f>
        <v>3.4741643338731651</v>
      </c>
      <c r="M90" s="3">
        <f>('Agency Net Sales CAD'!M90/$C$1)/1000</f>
        <v>3.1595845838506706</v>
      </c>
      <c r="N90" s="3">
        <f>('Agency Net Sales CAD'!N90/$C$1)/1000</f>
        <v>1.9591993632602069</v>
      </c>
      <c r="O90" s="3">
        <f>('Agency Net Sales CAD'!O90/$C$1)/1000</f>
        <v>0.62723185977464568</v>
      </c>
      <c r="P90" s="3">
        <f>('Agency Net Sales CAD'!P90/$C$1)/1000</f>
        <v>0.27551241045846658</v>
      </c>
      <c r="Q90" s="4">
        <f>('Agency Net Sales CAD'!Q90/$C$1)/1000</f>
        <v>15.615416212656967</v>
      </c>
    </row>
    <row r="91" spans="1:17" x14ac:dyDescent="0.25">
      <c r="A91" s="2" t="s">
        <v>213</v>
      </c>
      <c r="B91" t="s">
        <v>167</v>
      </c>
      <c r="C91" s="2" t="s">
        <v>249</v>
      </c>
      <c r="D91" s="2"/>
      <c r="E91" s="3">
        <f>('Agency Net Sales CAD'!E91/$C$1)/1000</f>
        <v>0</v>
      </c>
      <c r="F91" s="3">
        <f>('Agency Net Sales CAD'!F91/$C$1)/1000</f>
        <v>0</v>
      </c>
      <c r="G91" s="3">
        <f>('Agency Net Sales CAD'!G91/$C$1)/1000</f>
        <v>0</v>
      </c>
      <c r="H91" s="3">
        <f>('Agency Net Sales CAD'!H91/$C$1)/1000</f>
        <v>0</v>
      </c>
      <c r="I91" s="3">
        <f>('Agency Net Sales CAD'!I91/$C$1)/1000</f>
        <v>0</v>
      </c>
      <c r="J91" s="3">
        <f>('Agency Net Sales CAD'!J91/$C$1)/1000</f>
        <v>0</v>
      </c>
      <c r="K91" s="3">
        <f>('Agency Net Sales CAD'!K91/$C$1)/1000</f>
        <v>0</v>
      </c>
      <c r="L91" s="3">
        <f>('Agency Net Sales CAD'!L91/$C$1)/1000</f>
        <v>0</v>
      </c>
      <c r="M91" s="3">
        <f>('Agency Net Sales CAD'!M91/$C$1)/1000</f>
        <v>0</v>
      </c>
      <c r="N91" s="3">
        <f>('Agency Net Sales CAD'!N91/$C$1)/1000</f>
        <v>71.920065750978623</v>
      </c>
      <c r="O91" s="3">
        <f>('Agency Net Sales CAD'!O91/$C$1)/1000</f>
        <v>143.84013150195725</v>
      </c>
      <c r="P91" s="3">
        <f>('Agency Net Sales CAD'!P91/$C$1)/1000</f>
        <v>71.920065750978623</v>
      </c>
      <c r="Q91" s="4">
        <f>('Agency Net Sales CAD'!Q91/$C$1)/1000</f>
        <v>287.68026300391449</v>
      </c>
    </row>
    <row r="92" spans="1:17" x14ac:dyDescent="0.25">
      <c r="A92" s="2" t="s">
        <v>213</v>
      </c>
      <c r="B92" t="s">
        <v>167</v>
      </c>
      <c r="C92" s="2" t="s">
        <v>250</v>
      </c>
      <c r="D92" s="2"/>
      <c r="E92" s="3">
        <f>('Agency Net Sales CAD'!E92/$C$1)/1000</f>
        <v>0</v>
      </c>
      <c r="F92" s="3">
        <f>('Agency Net Sales CAD'!F92/$C$1)/1000</f>
        <v>0</v>
      </c>
      <c r="G92" s="3">
        <f>('Agency Net Sales CAD'!G92/$C$1)/1000</f>
        <v>0</v>
      </c>
      <c r="H92" s="3">
        <f>('Agency Net Sales CAD'!H92/$C$1)/1000</f>
        <v>0</v>
      </c>
      <c r="I92" s="3">
        <f>('Agency Net Sales CAD'!I92/$C$1)/1000</f>
        <v>0</v>
      </c>
      <c r="J92" s="3">
        <f>('Agency Net Sales CAD'!J92/$C$1)/1000</f>
        <v>0</v>
      </c>
      <c r="K92" s="3">
        <f>('Agency Net Sales CAD'!K92/$C$1)/1000</f>
        <v>0</v>
      </c>
      <c r="L92" s="3">
        <f>('Agency Net Sales CAD'!L92/$C$1)/1000</f>
        <v>0</v>
      </c>
      <c r="M92" s="3">
        <f>('Agency Net Sales CAD'!M92/$C$1)/1000</f>
        <v>0</v>
      </c>
      <c r="N92" s="3">
        <f>('Agency Net Sales CAD'!N92/$C$1)/1000</f>
        <v>8.5182314815747695</v>
      </c>
      <c r="O92" s="3">
        <f>('Agency Net Sales CAD'!O92/$C$1)/1000</f>
        <v>8.5182314815747695</v>
      </c>
      <c r="P92" s="3">
        <f>('Agency Net Sales CAD'!P92/$C$1)/1000</f>
        <v>8.5182314815747695</v>
      </c>
      <c r="Q92" s="4">
        <f>('Agency Net Sales CAD'!Q92/$C$1)/1000</f>
        <v>25.554694444724301</v>
      </c>
    </row>
    <row r="93" spans="1:17" s="9" customFormat="1" x14ac:dyDescent="0.25">
      <c r="A93" s="8" t="s">
        <v>213</v>
      </c>
      <c r="B93" s="9" t="s">
        <v>167</v>
      </c>
      <c r="C93" s="8" t="s">
        <v>251</v>
      </c>
      <c r="D93" s="8"/>
      <c r="E93" s="11">
        <f>('Agency Net Sales CAD'!E93/$C$1)/1000</f>
        <v>0</v>
      </c>
      <c r="F93" s="11">
        <f>('Agency Net Sales CAD'!F93/$C$1)/1000</f>
        <v>0</v>
      </c>
      <c r="G93" s="11">
        <f>('Agency Net Sales CAD'!G93/$C$1)/1000</f>
        <v>0</v>
      </c>
      <c r="H93" s="11">
        <f>('Agency Net Sales CAD'!H93/$C$1)/1000</f>
        <v>0</v>
      </c>
      <c r="I93" s="11">
        <f>('Agency Net Sales CAD'!I93/$C$1)/1000</f>
        <v>0</v>
      </c>
      <c r="J93" s="11">
        <f>('Agency Net Sales CAD'!J93/$C$1)/1000</f>
        <v>0</v>
      </c>
      <c r="K93" s="11">
        <f>('Agency Net Sales CAD'!K93/$C$1)/1000</f>
        <v>0</v>
      </c>
      <c r="L93" s="11">
        <f>('Agency Net Sales CAD'!L93/$C$1)/1000</f>
        <v>0</v>
      </c>
      <c r="M93" s="11">
        <f>('Agency Net Sales CAD'!M93/$C$1)/1000</f>
        <v>0</v>
      </c>
      <c r="N93" s="11">
        <f>('Agency Net Sales CAD'!N93/$C$1)/1000</f>
        <v>2.7710425994111549</v>
      </c>
      <c r="O93" s="11">
        <f>('Agency Net Sales CAD'!O93/$C$1)/1000</f>
        <v>5.7443480430868865</v>
      </c>
      <c r="P93" s="11">
        <f>('Agency Net Sales CAD'!P93/$C$1)/1000</f>
        <v>2.9773707823544955</v>
      </c>
      <c r="Q93" s="12">
        <f>('Agency Net Sales CAD'!Q93/$C$1)/1000</f>
        <v>11.492761424852537</v>
      </c>
    </row>
    <row r="94" spans="1:17" x14ac:dyDescent="0.25">
      <c r="A94" s="2" t="s">
        <v>252</v>
      </c>
      <c r="B94" t="s">
        <v>167</v>
      </c>
      <c r="C94" s="2" t="s">
        <v>253</v>
      </c>
      <c r="D94" s="2"/>
      <c r="E94" s="3">
        <f>('Agency Net Sales CAD'!E94/$C$1)/1000</f>
        <v>0</v>
      </c>
      <c r="F94" s="3">
        <f>('Agency Net Sales CAD'!F94/$C$1)/1000</f>
        <v>0</v>
      </c>
      <c r="G94" s="3">
        <f>('Agency Net Sales CAD'!G94/$C$1)/1000</f>
        <v>0</v>
      </c>
      <c r="H94" s="3">
        <f>('Agency Net Sales CAD'!H94/$C$1)/1000</f>
        <v>0</v>
      </c>
      <c r="I94" s="3">
        <f>('Agency Net Sales CAD'!I94/$C$1)/1000</f>
        <v>0</v>
      </c>
      <c r="J94" s="3">
        <f>('Agency Net Sales CAD'!J94/$C$1)/1000</f>
        <v>0</v>
      </c>
      <c r="K94" s="3">
        <f>('Agency Net Sales CAD'!K94/$C$1)/1000</f>
        <v>0</v>
      </c>
      <c r="L94" s="3">
        <f>('Agency Net Sales CAD'!L94/$C$1)/1000</f>
        <v>0</v>
      </c>
      <c r="M94" s="3">
        <f>('Agency Net Sales CAD'!M94/$C$1)/1000</f>
        <v>0</v>
      </c>
      <c r="N94" s="3">
        <f>('Agency Net Sales CAD'!N94/$C$1)/1000</f>
        <v>0</v>
      </c>
      <c r="O94" s="3">
        <f>('Agency Net Sales CAD'!O94/$C$1)/1000</f>
        <v>0</v>
      </c>
      <c r="P94" s="3">
        <f>('Agency Net Sales CAD'!P94/$C$1)/1000</f>
        <v>0</v>
      </c>
      <c r="Q94" s="4">
        <f>('Agency Net Sales CAD'!Q94/$C$1)/1000</f>
        <v>0</v>
      </c>
    </row>
    <row r="95" spans="1:17" x14ac:dyDescent="0.25">
      <c r="A95" s="2" t="s">
        <v>252</v>
      </c>
      <c r="B95" t="s">
        <v>167</v>
      </c>
      <c r="C95" s="2" t="s">
        <v>254</v>
      </c>
      <c r="D95" s="2"/>
      <c r="E95" s="6">
        <f>('Agency Net Sales CAD'!E95/$C$1)/1000</f>
        <v>104.21606001908049</v>
      </c>
      <c r="F95" s="3">
        <f>('Agency Net Sales CAD'!F95/$C$1)/1000</f>
        <v>89.314112512913411</v>
      </c>
      <c r="G95" s="3">
        <f>('Agency Net Sales CAD'!G95/$C$1)/1000</f>
        <v>124.22278328759539</v>
      </c>
      <c r="H95" s="3">
        <f>('Agency Net Sales CAD'!H95/$C$1)/1000</f>
        <v>102.56312706198369</v>
      </c>
      <c r="I95" s="3">
        <f>('Agency Net Sales CAD'!I95/$C$1)/1000</f>
        <v>70.239121677285468</v>
      </c>
      <c r="J95" s="3">
        <f>('Agency Net Sales CAD'!J95/$C$1)/1000</f>
        <v>86.859576310886141</v>
      </c>
      <c r="K95" s="3">
        <f>('Agency Net Sales CAD'!K95/$C$1)/1000</f>
        <v>80.255944972315348</v>
      </c>
      <c r="L95" s="3">
        <f>('Agency Net Sales CAD'!L95/$C$1)/1000</f>
        <v>16.336292746962485</v>
      </c>
      <c r="M95" s="3">
        <f>('Agency Net Sales CAD'!M95/$C$1)/1000</f>
        <v>156.50825142278478</v>
      </c>
      <c r="N95" s="3">
        <f>('Agency Net Sales CAD'!N95/$C$1)/1000</f>
        <v>122.44996020376293</v>
      </c>
      <c r="O95" s="3">
        <f>('Agency Net Sales CAD'!O95/$C$1)/1000</f>
        <v>148.47057674706255</v>
      </c>
      <c r="P95" s="3">
        <f>('Agency Net Sales CAD'!P95/$C$1)/1000</f>
        <v>122.44996020376293</v>
      </c>
      <c r="Q95" s="4">
        <f>('Agency Net Sales CAD'!Q95/$C$1)/1000</f>
        <v>1223.8857671663957</v>
      </c>
    </row>
    <row r="96" spans="1:17" x14ac:dyDescent="0.25">
      <c r="A96" s="2" t="s">
        <v>252</v>
      </c>
      <c r="B96" t="s">
        <v>167</v>
      </c>
      <c r="C96" s="2" t="s">
        <v>255</v>
      </c>
      <c r="D96" s="2"/>
      <c r="E96" s="3">
        <f>('Agency Net Sales CAD'!E96/$C$1)/1000</f>
        <v>0</v>
      </c>
      <c r="F96" s="3">
        <f>('Agency Net Sales CAD'!F96/$C$1)/1000</f>
        <v>0</v>
      </c>
      <c r="G96" s="3">
        <f>('Agency Net Sales CAD'!G96/$C$1)/1000</f>
        <v>0</v>
      </c>
      <c r="H96" s="3">
        <f>('Agency Net Sales CAD'!H96/$C$1)/1000</f>
        <v>0</v>
      </c>
      <c r="I96" s="3">
        <f>('Agency Net Sales CAD'!I96/$C$1)/1000</f>
        <v>0</v>
      </c>
      <c r="J96" s="3">
        <f>('Agency Net Sales CAD'!J96/$C$1)/1000</f>
        <v>12.696456623651596</v>
      </c>
      <c r="K96" s="3">
        <f>('Agency Net Sales CAD'!K96/$C$1)/1000</f>
        <v>0</v>
      </c>
      <c r="L96" s="3">
        <f>('Agency Net Sales CAD'!L96/$C$1)/1000</f>
        <v>0</v>
      </c>
      <c r="M96" s="3">
        <f>('Agency Net Sales CAD'!M96/$C$1)/1000</f>
        <v>0</v>
      </c>
      <c r="N96" s="3">
        <f>('Agency Net Sales CAD'!N96/$C$1)/1000</f>
        <v>0</v>
      </c>
      <c r="O96" s="3">
        <f>('Agency Net Sales CAD'!O96/$C$1)/1000</f>
        <v>0</v>
      </c>
      <c r="P96" s="3">
        <f>('Agency Net Sales CAD'!P96/$C$1)/1000</f>
        <v>0</v>
      </c>
      <c r="Q96" s="4">
        <f>('Agency Net Sales CAD'!Q96/$C$1)/1000</f>
        <v>12.696456623651596</v>
      </c>
    </row>
    <row r="97" spans="1:17" x14ac:dyDescent="0.25">
      <c r="A97" s="2" t="s">
        <v>252</v>
      </c>
      <c r="B97" t="s">
        <v>167</v>
      </c>
      <c r="C97" s="2" t="s">
        <v>256</v>
      </c>
      <c r="D97" s="2"/>
      <c r="E97" s="6">
        <f>('Agency Net Sales CAD'!E97/$C$1)/1000</f>
        <v>19.522156651939085</v>
      </c>
      <c r="F97" s="3">
        <f>('Agency Net Sales CAD'!F97/$C$1)/1000</f>
        <v>12.503611731326188</v>
      </c>
      <c r="G97" s="3">
        <f>('Agency Net Sales CAD'!G97/$C$1)/1000</f>
        <v>2.2690830125480206</v>
      </c>
      <c r="H97" s="3">
        <f>('Agency Net Sales CAD'!H97/$C$1)/1000</f>
        <v>0</v>
      </c>
      <c r="I97" s="3">
        <f>('Agency Net Sales CAD'!I97/$C$1)/1000</f>
        <v>1.3839635502118461</v>
      </c>
      <c r="J97" s="3">
        <f>('Agency Net Sales CAD'!J97/$C$1)/1000</f>
        <v>-0.19774928517026022</v>
      </c>
      <c r="K97" s="3">
        <f>('Agency Net Sales CAD'!K97/$C$1)/1000</f>
        <v>4.8687692702764407</v>
      </c>
      <c r="L97" s="3">
        <f>('Agency Net Sales CAD'!L97/$C$1)/1000</f>
        <v>4.3817873826525444</v>
      </c>
      <c r="M97" s="3">
        <f>('Agency Net Sales CAD'!M97/$C$1)/1000</f>
        <v>29.600566925658029</v>
      </c>
      <c r="N97" s="3">
        <f>('Agency Net Sales CAD'!N97/$C$1)/1000</f>
        <v>31.316577322112366</v>
      </c>
      <c r="O97" s="3">
        <f>('Agency Net Sales CAD'!O97/$C$1)/1000</f>
        <v>31.316577322112366</v>
      </c>
      <c r="P97" s="3">
        <f>('Agency Net Sales CAD'!P97/$C$1)/1000</f>
        <v>31.316577322112366</v>
      </c>
      <c r="Q97" s="4">
        <f>('Agency Net Sales CAD'!Q97/$C$1)/1000</f>
        <v>168.28192120577899</v>
      </c>
    </row>
    <row r="98" spans="1:17" x14ac:dyDescent="0.25">
      <c r="A98" s="2" t="s">
        <v>252</v>
      </c>
      <c r="B98" t="s">
        <v>167</v>
      </c>
      <c r="C98" s="2" t="s">
        <v>257</v>
      </c>
      <c r="D98" s="2"/>
      <c r="E98" s="3">
        <f>('Agency Net Sales CAD'!E98/$C$1)/1000</f>
        <v>0</v>
      </c>
      <c r="F98" s="3">
        <f>('Agency Net Sales CAD'!F98/$C$1)/1000</f>
        <v>0</v>
      </c>
      <c r="G98" s="3">
        <f>('Agency Net Sales CAD'!G98/$C$1)/1000</f>
        <v>0</v>
      </c>
      <c r="H98" s="3">
        <f>('Agency Net Sales CAD'!H98/$C$1)/1000</f>
        <v>0</v>
      </c>
      <c r="I98" s="3">
        <f>('Agency Net Sales CAD'!I98/$C$1)/1000</f>
        <v>0</v>
      </c>
      <c r="J98" s="3">
        <f>('Agency Net Sales CAD'!J98/$C$1)/1000</f>
        <v>0</v>
      </c>
      <c r="K98" s="3">
        <f>('Agency Net Sales CAD'!K98/$C$1)/1000</f>
        <v>0</v>
      </c>
      <c r="L98" s="3">
        <f>('Agency Net Sales CAD'!L98/$C$1)/1000</f>
        <v>0</v>
      </c>
      <c r="M98" s="3">
        <f>('Agency Net Sales CAD'!M98/$C$1)/1000</f>
        <v>0</v>
      </c>
      <c r="N98" s="3">
        <f>('Agency Net Sales CAD'!N98/$C$1)/1000</f>
        <v>0</v>
      </c>
      <c r="O98" s="3">
        <f>('Agency Net Sales CAD'!O98/$C$1)/1000</f>
        <v>0</v>
      </c>
      <c r="P98" s="3">
        <f>('Agency Net Sales CAD'!P98/$C$1)/1000</f>
        <v>0</v>
      </c>
      <c r="Q98" s="4">
        <f>('Agency Net Sales CAD'!Q98/$C$1)/1000</f>
        <v>0</v>
      </c>
    </row>
    <row r="99" spans="1:17" x14ac:dyDescent="0.25">
      <c r="A99" s="2" t="s">
        <v>252</v>
      </c>
      <c r="B99" t="s">
        <v>167</v>
      </c>
      <c r="C99" s="2" t="s">
        <v>258</v>
      </c>
      <c r="D99" s="2"/>
      <c r="E99" s="3">
        <f>('Agency Net Sales CAD'!E99/$C$1)/1000</f>
        <v>95.160222346652731</v>
      </c>
      <c r="F99" s="3">
        <f>('Agency Net Sales CAD'!F99/$C$1)/1000</f>
        <v>245.02693372124654</v>
      </c>
      <c r="G99" s="3">
        <f>('Agency Net Sales CAD'!G99/$C$1)/1000</f>
        <v>396.68483829242751</v>
      </c>
      <c r="H99" s="3">
        <f>('Agency Net Sales CAD'!H99/$C$1)/1000</f>
        <v>291.90437278107879</v>
      </c>
      <c r="I99" s="3">
        <f>('Agency Net Sales CAD'!I99/$C$1)/1000</f>
        <v>338.70975251933044</v>
      </c>
      <c r="J99" s="3">
        <f>('Agency Net Sales CAD'!J99/$C$1)/1000</f>
        <v>291.68110035035647</v>
      </c>
      <c r="K99" s="3">
        <f>('Agency Net Sales CAD'!K99/$C$1)/1000</f>
        <v>450.61530717512721</v>
      </c>
      <c r="L99" s="3">
        <f>('Agency Net Sales CAD'!L99/$C$1)/1000</f>
        <v>332.2715200190961</v>
      </c>
      <c r="M99" s="3">
        <f>('Agency Net Sales CAD'!M99/$C$1)/1000</f>
        <v>530.58101381241067</v>
      </c>
      <c r="N99" s="3">
        <f>('Agency Net Sales CAD'!N99/$C$1)/1000</f>
        <v>247.13463218124451</v>
      </c>
      <c r="O99" s="3">
        <f>('Agency Net Sales CAD'!O99/$C$1)/1000</f>
        <v>333.00266677413327</v>
      </c>
      <c r="P99" s="3">
        <f>('Agency Net Sales CAD'!P99/$C$1)/1000</f>
        <v>331.80877966214661</v>
      </c>
      <c r="Q99" s="4">
        <f>('Agency Net Sales CAD'!Q99/$C$1)/1000</f>
        <v>3884.581139635251</v>
      </c>
    </row>
    <row r="100" spans="1:17" x14ac:dyDescent="0.25">
      <c r="A100" s="2" t="s">
        <v>252</v>
      </c>
      <c r="B100" t="s">
        <v>167</v>
      </c>
      <c r="C100" s="2" t="s">
        <v>259</v>
      </c>
      <c r="D100" s="2"/>
      <c r="E100" s="3">
        <f>('Agency Net Sales CAD'!E100/$C$1)/1000</f>
        <v>-7.6117876182940245</v>
      </c>
      <c r="F100" s="3">
        <f>('Agency Net Sales CAD'!F100/$C$1)/1000</f>
        <v>27.971333534316592</v>
      </c>
      <c r="G100" s="3">
        <f>('Agency Net Sales CAD'!G100/$C$1)/1000</f>
        <v>-16.152333020491767</v>
      </c>
      <c r="H100" s="3">
        <f>('Agency Net Sales CAD'!H100/$C$1)/1000</f>
        <v>4.2279409109192025</v>
      </c>
      <c r="I100" s="3">
        <f>('Agency Net Sales CAD'!I100/$C$1)/1000</f>
        <v>5.759825098056842</v>
      </c>
      <c r="J100" s="3">
        <f>('Agency Net Sales CAD'!J100/$C$1)/1000</f>
        <v>49.221022590171906</v>
      </c>
      <c r="K100" s="3">
        <f>('Agency Net Sales CAD'!K100/$C$1)/1000</f>
        <v>-9.7160094073268617</v>
      </c>
      <c r="L100" s="3">
        <f>('Agency Net Sales CAD'!L100/$C$1)/1000</f>
        <v>-1.7583826010222938</v>
      </c>
      <c r="M100" s="3">
        <f>('Agency Net Sales CAD'!M100/$C$1)/1000</f>
        <v>3.0002859793990115</v>
      </c>
      <c r="N100" s="3">
        <f>('Agency Net Sales CAD'!N100/$C$1)/1000</f>
        <v>29.69411534941251</v>
      </c>
      <c r="O100" s="3">
        <f>('Agency Net Sales CAD'!O100/$C$1)/1000</f>
        <v>25.714491642790215</v>
      </c>
      <c r="P100" s="3">
        <f>('Agency Net Sales CAD'!P100/$C$1)/1000</f>
        <v>0</v>
      </c>
      <c r="Q100" s="4">
        <f>('Agency Net Sales CAD'!Q100/$C$1)/1000</f>
        <v>110.35050245793134</v>
      </c>
    </row>
    <row r="101" spans="1:17" x14ac:dyDescent="0.25">
      <c r="A101" s="2" t="s">
        <v>252</v>
      </c>
      <c r="B101" t="s">
        <v>167</v>
      </c>
      <c r="C101" s="2" t="s">
        <v>260</v>
      </c>
      <c r="D101" s="2"/>
      <c r="E101" s="3">
        <f>('Agency Net Sales CAD'!E101/$C$1)/1000</f>
        <v>28.438363688781795</v>
      </c>
      <c r="F101" s="3">
        <f>('Agency Net Sales CAD'!F101/$C$1)/1000</f>
        <v>24.20005688498151</v>
      </c>
      <c r="G101" s="3">
        <f>('Agency Net Sales CAD'!G101/$C$1)/1000</f>
        <v>30.848257684316252</v>
      </c>
      <c r="H101" s="3">
        <f>('Agency Net Sales CAD'!H101/$C$1)/1000</f>
        <v>3.0879375164203071</v>
      </c>
      <c r="I101" s="3">
        <f>('Agency Net Sales CAD'!I101/$C$1)/1000</f>
        <v>3.7747066432203407</v>
      </c>
      <c r="J101" s="3">
        <f>('Agency Net Sales CAD'!J101/$C$1)/1000</f>
        <v>7.6693225442438715</v>
      </c>
      <c r="K101" s="3">
        <f>('Agency Net Sales CAD'!K101/$C$1)/1000</f>
        <v>12.77390416389551</v>
      </c>
      <c r="L101" s="3">
        <f>('Agency Net Sales CAD'!L101/$C$1)/1000</f>
        <v>11.414882394164417</v>
      </c>
      <c r="M101" s="3">
        <f>('Agency Net Sales CAD'!M101/$C$1)/1000</f>
        <v>17.339175771430419</v>
      </c>
      <c r="N101" s="3">
        <f>('Agency Net Sales CAD'!N101/$C$1)/1000</f>
        <v>5.1428983285580427</v>
      </c>
      <c r="O101" s="3">
        <f>('Agency Net Sales CAD'!O101/$C$1)/1000</f>
        <v>3.2755364354506584</v>
      </c>
      <c r="P101" s="3">
        <f>('Agency Net Sales CAD'!P101/$C$1)/1000</f>
        <v>5.3571857589146274</v>
      </c>
      <c r="Q101" s="4">
        <f>('Agency Net Sales CAD'!Q101/$C$1)/1000</f>
        <v>153.32222781437775</v>
      </c>
    </row>
    <row r="102" spans="1:17" x14ac:dyDescent="0.25">
      <c r="A102" s="2" t="s">
        <v>252</v>
      </c>
      <c r="B102" t="s">
        <v>167</v>
      </c>
      <c r="C102" s="2" t="s">
        <v>261</v>
      </c>
      <c r="D102" s="2"/>
      <c r="E102" s="3">
        <f>('Agency Net Sales CAD'!E102/$C$1)/1000</f>
        <v>3.1241662916959512</v>
      </c>
      <c r="F102" s="3">
        <f>('Agency Net Sales CAD'!F102/$C$1)/1000</f>
        <v>123.70279457159174</v>
      </c>
      <c r="G102" s="3">
        <f>('Agency Net Sales CAD'!G102/$C$1)/1000</f>
        <v>111.77918505676483</v>
      </c>
      <c r="H102" s="3">
        <f>('Agency Net Sales CAD'!H102/$C$1)/1000</f>
        <v>157.43864613744</v>
      </c>
      <c r="I102" s="3">
        <f>('Agency Net Sales CAD'!I102/$C$1)/1000</f>
        <v>299.90553109570237</v>
      </c>
      <c r="J102" s="3">
        <f>('Agency Net Sales CAD'!J102/$C$1)/1000</f>
        <v>307.87797461134875</v>
      </c>
      <c r="K102" s="3">
        <f>('Agency Net Sales CAD'!K102/$C$1)/1000</f>
        <v>270.58970864604004</v>
      </c>
      <c r="L102" s="3">
        <f>('Agency Net Sales CAD'!L102/$C$1)/1000</f>
        <v>280.35238502234756</v>
      </c>
      <c r="M102" s="3">
        <f>('Agency Net Sales CAD'!M102/$C$1)/1000</f>
        <v>369.03467188508409</v>
      </c>
      <c r="N102" s="3">
        <f>('Agency Net Sales CAD'!N102/$C$1)/1000</f>
        <v>288.51659623210622</v>
      </c>
      <c r="O102" s="3">
        <f>('Agency Net Sales CAD'!O102/$C$1)/1000</f>
        <v>341.85732952136783</v>
      </c>
      <c r="P102" s="3">
        <f>('Agency Net Sales CAD'!P102/$C$1)/1000</f>
        <v>358.09266361988426</v>
      </c>
      <c r="Q102" s="4">
        <f>('Agency Net Sales CAD'!Q102/$C$1)/1000</f>
        <v>2912.2716526913741</v>
      </c>
    </row>
    <row r="103" spans="1:17" x14ac:dyDescent="0.25">
      <c r="A103" s="2" t="s">
        <v>252</v>
      </c>
      <c r="B103" t="s">
        <v>167</v>
      </c>
      <c r="C103" s="2" t="s">
        <v>262</v>
      </c>
      <c r="D103" s="2"/>
      <c r="E103" s="3">
        <f>('Agency Net Sales CAD'!E103/$C$1)/1000</f>
        <v>65.884255337617006</v>
      </c>
      <c r="F103" s="3">
        <f>('Agency Net Sales CAD'!F103/$C$1)/1000</f>
        <v>0</v>
      </c>
      <c r="G103" s="3">
        <f>('Agency Net Sales CAD'!G103/$C$1)/1000</f>
        <v>7.2937025845466597</v>
      </c>
      <c r="H103" s="3">
        <f>('Agency Net Sales CAD'!H103/$C$1)/1000</f>
        <v>12.145951672565705</v>
      </c>
      <c r="I103" s="3">
        <f>('Agency Net Sales CAD'!I103/$C$1)/1000</f>
        <v>22.061824054907181</v>
      </c>
      <c r="J103" s="3">
        <f>('Agency Net Sales CAD'!J103/$C$1)/1000</f>
        <v>18.8274341608264</v>
      </c>
      <c r="K103" s="3">
        <f>('Agency Net Sales CAD'!K103/$C$1)/1000</f>
        <v>27.699844206086016</v>
      </c>
      <c r="L103" s="3">
        <f>('Agency Net Sales CAD'!L103/$C$1)/1000</f>
        <v>23.288763646931812</v>
      </c>
      <c r="M103" s="3">
        <f>('Agency Net Sales CAD'!M103/$C$1)/1000</f>
        <v>7.3072388065669465</v>
      </c>
      <c r="N103" s="3">
        <f>('Agency Net Sales CAD'!N103/$C$1)/1000</f>
        <v>0</v>
      </c>
      <c r="O103" s="5">
        <f>('Agency Net Sales CAD'!O103/$C$1)/1000</f>
        <v>0</v>
      </c>
      <c r="P103" s="3">
        <f>('Agency Net Sales CAD'!P103/$C$1)/1000</f>
        <v>0</v>
      </c>
      <c r="Q103" s="4">
        <f>('Agency Net Sales CAD'!Q103/$C$1)/1000</f>
        <v>184.50901447004776</v>
      </c>
    </row>
    <row r="104" spans="1:17" x14ac:dyDescent="0.25">
      <c r="A104" s="2" t="s">
        <v>252</v>
      </c>
      <c r="B104" t="s">
        <v>167</v>
      </c>
      <c r="C104" s="2" t="s">
        <v>263</v>
      </c>
      <c r="D104" s="2"/>
      <c r="E104" s="3">
        <f>('Agency Net Sales CAD'!E104/$C$1)/1000</f>
        <v>0</v>
      </c>
      <c r="F104" s="3">
        <f>('Agency Net Sales CAD'!F104/$C$1)/1000</f>
        <v>0</v>
      </c>
      <c r="G104" s="3">
        <f>('Agency Net Sales CAD'!G104/$C$1)/1000</f>
        <v>0</v>
      </c>
      <c r="H104" s="3">
        <f>('Agency Net Sales CAD'!H104/$C$1)/1000</f>
        <v>0</v>
      </c>
      <c r="I104" s="3">
        <f>('Agency Net Sales CAD'!I104/$C$1)/1000</f>
        <v>0</v>
      </c>
      <c r="J104" s="3">
        <f>('Agency Net Sales CAD'!J104/$C$1)/1000</f>
        <v>62.240501021837169</v>
      </c>
      <c r="K104" s="3">
        <f>('Agency Net Sales CAD'!K104/$C$1)/1000</f>
        <v>0</v>
      </c>
      <c r="L104" s="3">
        <f>('Agency Net Sales CAD'!L104/$C$1)/1000</f>
        <v>0</v>
      </c>
      <c r="M104" s="3">
        <f>('Agency Net Sales CAD'!M104/$C$1)/1000</f>
        <v>0</v>
      </c>
      <c r="N104" s="3">
        <f>('Agency Net Sales CAD'!N104/$C$1)/1000</f>
        <v>0</v>
      </c>
      <c r="O104" s="3">
        <f>('Agency Net Sales CAD'!O104/$C$1)/1000</f>
        <v>0</v>
      </c>
      <c r="P104" s="3">
        <f>('Agency Net Sales CAD'!P104/$C$1)/1000</f>
        <v>0</v>
      </c>
      <c r="Q104" s="4">
        <f>('Agency Net Sales CAD'!Q104/$C$1)/1000</f>
        <v>62.240501021837169</v>
      </c>
    </row>
    <row r="105" spans="1:17" x14ac:dyDescent="0.25">
      <c r="A105" s="2" t="s">
        <v>252</v>
      </c>
      <c r="B105" t="s">
        <v>167</v>
      </c>
      <c r="C105" s="2" t="s">
        <v>264</v>
      </c>
      <c r="D105" s="2"/>
      <c r="E105" s="3">
        <f>('Agency Net Sales CAD'!E105/$C$1)/1000</f>
        <v>5.096462203649784</v>
      </c>
      <c r="F105" s="3">
        <f>('Agency Net Sales CAD'!F105/$C$1)/1000</f>
        <v>12.439071767301673</v>
      </c>
      <c r="G105" s="3">
        <f>('Agency Net Sales CAD'!G105/$C$1)/1000</f>
        <v>1.923433124884234</v>
      </c>
      <c r="H105" s="3">
        <f>('Agency Net Sales CAD'!H105/$C$1)/1000</f>
        <v>0</v>
      </c>
      <c r="I105" s="3">
        <f>('Agency Net Sales CAD'!I105/$C$1)/1000</f>
        <v>-8.757497153813425E-3</v>
      </c>
      <c r="J105" s="3">
        <f>('Agency Net Sales CAD'!J105/$C$1)/1000</f>
        <v>0</v>
      </c>
      <c r="K105" s="3">
        <f>('Agency Net Sales CAD'!K105/$C$1)/1000</f>
        <v>0</v>
      </c>
      <c r="L105" s="3">
        <f>('Agency Net Sales CAD'!L105/$C$1)/1000</f>
        <v>0</v>
      </c>
      <c r="M105" s="3">
        <f>('Agency Net Sales CAD'!M105/$C$1)/1000</f>
        <v>0</v>
      </c>
      <c r="N105" s="3">
        <f>('Agency Net Sales CAD'!N105/$C$1)/1000</f>
        <v>0</v>
      </c>
      <c r="O105" s="3">
        <f>('Agency Net Sales CAD'!O105/$C$1)/1000</f>
        <v>0</v>
      </c>
      <c r="P105" s="3">
        <f>('Agency Net Sales CAD'!P105/$C$1)/1000</f>
        <v>0</v>
      </c>
      <c r="Q105" s="4">
        <f>('Agency Net Sales CAD'!Q105/$C$1)/1000</f>
        <v>19.45020959868188</v>
      </c>
    </row>
    <row r="106" spans="1:17" x14ac:dyDescent="0.25">
      <c r="A106" s="2" t="s">
        <v>252</v>
      </c>
      <c r="B106" t="s">
        <v>167</v>
      </c>
      <c r="C106" s="2" t="s">
        <v>265</v>
      </c>
      <c r="D106" s="2"/>
      <c r="E106" s="3">
        <f>('Agency Net Sales CAD'!E106/$C$1)/1000</f>
        <v>59.093365421371239</v>
      </c>
      <c r="F106" s="3">
        <f>('Agency Net Sales CAD'!F106/$C$1)/1000</f>
        <v>106.12178315042046</v>
      </c>
      <c r="G106" s="3">
        <f>('Agency Net Sales CAD'!G106/$C$1)/1000</f>
        <v>127.24297032603462</v>
      </c>
      <c r="H106" s="3">
        <f>('Agency Net Sales CAD'!H106/$C$1)/1000</f>
        <v>116.7091818095159</v>
      </c>
      <c r="I106" s="3">
        <f>('Agency Net Sales CAD'!I106/$C$1)/1000</f>
        <v>128.46556203369232</v>
      </c>
      <c r="J106" s="3">
        <f>('Agency Net Sales CAD'!J106/$C$1)/1000</f>
        <v>78.034072093017315</v>
      </c>
      <c r="K106" s="3">
        <f>('Agency Net Sales CAD'!K106/$C$1)/1000</f>
        <v>112.48435384200512</v>
      </c>
      <c r="L106" s="3">
        <f>('Agency Net Sales CAD'!L106/$C$1)/1000</f>
        <v>157.59903512774801</v>
      </c>
      <c r="M106" s="3">
        <f>('Agency Net Sales CAD'!M106/$C$1)/1000</f>
        <v>53.697808665537643</v>
      </c>
      <c r="N106" s="3">
        <f>('Agency Net Sales CAD'!N106/$C$1)/1000</f>
        <v>108.64372719078867</v>
      </c>
      <c r="O106" s="3">
        <f>('Agency Net Sales CAD'!O106/$C$1)/1000</f>
        <v>123.19996621001097</v>
      </c>
      <c r="P106" s="3">
        <f>('Agency Net Sales CAD'!P106/$C$1)/1000</f>
        <v>77.281231133599888</v>
      </c>
      <c r="Q106" s="4">
        <f>('Agency Net Sales CAD'!Q106/$C$1)/1000</f>
        <v>1248.5730570037424</v>
      </c>
    </row>
    <row r="107" spans="1:17" x14ac:dyDescent="0.25">
      <c r="A107" s="2" t="s">
        <v>252</v>
      </c>
      <c r="B107" t="s">
        <v>167</v>
      </c>
      <c r="C107" s="2" t="s">
        <v>266</v>
      </c>
      <c r="D107" s="2"/>
      <c r="E107" s="3">
        <f>('Agency Net Sales CAD'!E107/$C$1)/1000</f>
        <v>0</v>
      </c>
      <c r="F107" s="3">
        <f>('Agency Net Sales CAD'!F107/$C$1)/1000</f>
        <v>0</v>
      </c>
      <c r="G107" s="3">
        <f>('Agency Net Sales CAD'!G107/$C$1)/1000</f>
        <v>0</v>
      </c>
      <c r="H107" s="3">
        <f>('Agency Net Sales CAD'!H107/$C$1)/1000</f>
        <v>0</v>
      </c>
      <c r="I107" s="3">
        <f>('Agency Net Sales CAD'!I107/$C$1)/1000</f>
        <v>0</v>
      </c>
      <c r="J107" s="3">
        <f>('Agency Net Sales CAD'!J107/$C$1)/1000</f>
        <v>0</v>
      </c>
      <c r="K107" s="3">
        <f>('Agency Net Sales CAD'!K107/$C$1)/1000</f>
        <v>0</v>
      </c>
      <c r="L107" s="3">
        <f>('Agency Net Sales CAD'!L107/$C$1)/1000</f>
        <v>0</v>
      </c>
      <c r="M107" s="3">
        <f>('Agency Net Sales CAD'!M107/$C$1)/1000</f>
        <v>0</v>
      </c>
      <c r="N107" s="3">
        <f>('Agency Net Sales CAD'!N107/$C$1)/1000</f>
        <v>0</v>
      </c>
      <c r="O107" s="3">
        <f>('Agency Net Sales CAD'!O107/$C$1)/1000</f>
        <v>0</v>
      </c>
      <c r="P107" s="3">
        <f>('Agency Net Sales CAD'!P107/$C$1)/1000</f>
        <v>0</v>
      </c>
      <c r="Q107" s="4">
        <f>('Agency Net Sales CAD'!Q107/$C$1)/1000</f>
        <v>0</v>
      </c>
    </row>
    <row r="108" spans="1:17" x14ac:dyDescent="0.25">
      <c r="A108" s="2" t="s">
        <v>252</v>
      </c>
      <c r="B108" t="s">
        <v>167</v>
      </c>
      <c r="C108" s="2" t="s">
        <v>267</v>
      </c>
      <c r="D108" s="2"/>
      <c r="E108" s="3">
        <f>('Agency Net Sales CAD'!E108/$C$1)/1000</f>
        <v>0.43847160749672753</v>
      </c>
      <c r="F108" s="3">
        <f>('Agency Net Sales CAD'!F108/$C$1)/1000</f>
        <v>0</v>
      </c>
      <c r="G108" s="3">
        <f>('Agency Net Sales CAD'!G108/$C$1)/1000</f>
        <v>-1.2167186045664535E-2</v>
      </c>
      <c r="H108" s="3">
        <f>('Agency Net Sales CAD'!H108/$C$1)/1000</f>
        <v>0</v>
      </c>
      <c r="I108" s="3">
        <f>('Agency Net Sales CAD'!I108/$C$1)/1000</f>
        <v>0</v>
      </c>
      <c r="J108" s="3">
        <f>('Agency Net Sales CAD'!J108/$C$1)/1000</f>
        <v>0</v>
      </c>
      <c r="K108" s="3">
        <f>('Agency Net Sales CAD'!K108/$C$1)/1000</f>
        <v>0</v>
      </c>
      <c r="L108" s="3">
        <f>('Agency Net Sales CAD'!L108/$C$1)/1000</f>
        <v>0</v>
      </c>
      <c r="M108" s="3">
        <f>('Agency Net Sales CAD'!M108/$C$1)/1000</f>
        <v>0</v>
      </c>
      <c r="N108" s="3">
        <f>('Agency Net Sales CAD'!N108/$C$1)/1000</f>
        <v>1.5306245025470366</v>
      </c>
      <c r="O108" s="3">
        <f>('Agency Net Sales CAD'!O108/$C$1)/1000</f>
        <v>1.5306245025470366</v>
      </c>
      <c r="P108" s="3">
        <f>('Agency Net Sales CAD'!P108/$C$1)/1000</f>
        <v>1.5306245025470366</v>
      </c>
      <c r="Q108" s="4">
        <f>('Agency Net Sales CAD'!Q108/$C$1)/1000</f>
        <v>5.0181779290921735</v>
      </c>
    </row>
    <row r="109" spans="1:17" x14ac:dyDescent="0.25">
      <c r="A109" s="2" t="s">
        <v>252</v>
      </c>
      <c r="B109" t="s">
        <v>167</v>
      </c>
      <c r="C109" s="2" t="s">
        <v>268</v>
      </c>
      <c r="D109" s="2"/>
      <c r="E109" s="3">
        <f>('Agency Net Sales CAD'!E109/$C$1)/1000</f>
        <v>0</v>
      </c>
      <c r="F109" s="3">
        <f>('Agency Net Sales CAD'!F109/$C$1)/1000</f>
        <v>0</v>
      </c>
      <c r="G109" s="3">
        <f>('Agency Net Sales CAD'!G109/$C$1)/1000</f>
        <v>0</v>
      </c>
      <c r="H109" s="3">
        <f>('Agency Net Sales CAD'!H109/$C$1)/1000</f>
        <v>0</v>
      </c>
      <c r="I109" s="3">
        <f>('Agency Net Sales CAD'!I109/$C$1)/1000</f>
        <v>0</v>
      </c>
      <c r="J109" s="3">
        <f>('Agency Net Sales CAD'!J109/$C$1)/1000</f>
        <v>0</v>
      </c>
      <c r="K109" s="3">
        <f>('Agency Net Sales CAD'!K109/$C$1)/1000</f>
        <v>0</v>
      </c>
      <c r="L109" s="3">
        <f>('Agency Net Sales CAD'!L109/$C$1)/1000</f>
        <v>0</v>
      </c>
      <c r="M109" s="3">
        <f>('Agency Net Sales CAD'!M109/$C$1)/1000</f>
        <v>0</v>
      </c>
      <c r="N109" s="3">
        <f>('Agency Net Sales CAD'!N109/$C$1)/1000</f>
        <v>0</v>
      </c>
      <c r="O109" s="3">
        <f>('Agency Net Sales CAD'!O109/$C$1)/1000</f>
        <v>0</v>
      </c>
      <c r="P109" s="3">
        <f>('Agency Net Sales CAD'!P109/$C$1)/1000</f>
        <v>0</v>
      </c>
      <c r="Q109" s="4">
        <f>('Agency Net Sales CAD'!Q109/$C$1)/1000</f>
        <v>0</v>
      </c>
    </row>
    <row r="110" spans="1:17" x14ac:dyDescent="0.25">
      <c r="A110" s="2" t="s">
        <v>252</v>
      </c>
      <c r="B110" t="s">
        <v>167</v>
      </c>
      <c r="C110" s="2" t="s">
        <v>269</v>
      </c>
      <c r="D110" s="2"/>
      <c r="E110" s="3">
        <f>('Agency Net Sales CAD'!E110/$C$1)/1000</f>
        <v>0</v>
      </c>
      <c r="F110" s="3">
        <f>('Agency Net Sales CAD'!F110/$C$1)/1000</f>
        <v>0</v>
      </c>
      <c r="G110" s="3">
        <f>('Agency Net Sales CAD'!G110/$C$1)/1000</f>
        <v>0</v>
      </c>
      <c r="H110" s="3">
        <f>('Agency Net Sales CAD'!H110/$C$1)/1000</f>
        <v>0</v>
      </c>
      <c r="I110" s="3">
        <f>('Agency Net Sales CAD'!I110/$C$1)/1000</f>
        <v>0</v>
      </c>
      <c r="J110" s="3">
        <f>('Agency Net Sales CAD'!J110/$C$1)/1000</f>
        <v>0</v>
      </c>
      <c r="K110" s="3">
        <f>('Agency Net Sales CAD'!K110/$C$1)/1000</f>
        <v>0</v>
      </c>
      <c r="L110" s="3">
        <f>('Agency Net Sales CAD'!L110/$C$1)/1000</f>
        <v>0</v>
      </c>
      <c r="M110" s="3">
        <f>('Agency Net Sales CAD'!M110/$C$1)/1000</f>
        <v>0</v>
      </c>
      <c r="N110" s="3">
        <f>('Agency Net Sales CAD'!N110/$C$1)/1000</f>
        <v>0</v>
      </c>
      <c r="O110" s="3">
        <f>('Agency Net Sales CAD'!O110/$C$1)/1000</f>
        <v>0</v>
      </c>
      <c r="P110" s="3">
        <f>('Agency Net Sales CAD'!P110/$C$1)/1000</f>
        <v>0</v>
      </c>
      <c r="Q110" s="4">
        <f>('Agency Net Sales CAD'!Q110/$C$1)/1000</f>
        <v>0</v>
      </c>
    </row>
    <row r="111" spans="1:17" x14ac:dyDescent="0.25">
      <c r="A111" s="2" t="s">
        <v>252</v>
      </c>
      <c r="B111" t="s">
        <v>167</v>
      </c>
      <c r="C111" s="2" t="s">
        <v>270</v>
      </c>
      <c r="D111" s="2"/>
      <c r="E111" s="3">
        <f>('Agency Net Sales CAD'!E111/$C$1)/1000</f>
        <v>14.973536238600721</v>
      </c>
      <c r="F111" s="3">
        <f>('Agency Net Sales CAD'!F111/$C$1)/1000</f>
        <v>-8.6753471805121649E-2</v>
      </c>
      <c r="G111" s="3">
        <f>('Agency Net Sales CAD'!G111/$C$1)/1000</f>
        <v>17.671667636708015</v>
      </c>
      <c r="H111" s="3">
        <f>('Agency Net Sales CAD'!H111/$C$1)/1000</f>
        <v>22.50059341730714</v>
      </c>
      <c r="I111" s="3">
        <f>('Agency Net Sales CAD'!I111/$C$1)/1000</f>
        <v>25.213455235627048</v>
      </c>
      <c r="J111" s="3">
        <f>('Agency Net Sales CAD'!J111/$C$1)/1000</f>
        <v>2.8863406070601294</v>
      </c>
      <c r="K111" s="3">
        <f>('Agency Net Sales CAD'!K111/$C$1)/1000</f>
        <v>16.069936891427105</v>
      </c>
      <c r="L111" s="3">
        <f>('Agency Net Sales CAD'!L111/$C$1)/1000</f>
        <v>15.173385081645563</v>
      </c>
      <c r="M111" s="3">
        <f>('Agency Net Sales CAD'!M111/$C$1)/1000</f>
        <v>40.999782287100594</v>
      </c>
      <c r="N111" s="3">
        <f>('Agency Net Sales CAD'!N111/$C$1)/1000</f>
        <v>26.020616543299621</v>
      </c>
      <c r="O111" s="3">
        <f>('Agency Net Sales CAD'!O111/$C$1)/1000</f>
        <v>26.020616543299621</v>
      </c>
      <c r="P111" s="3">
        <f>('Agency Net Sales CAD'!P111/$C$1)/1000</f>
        <v>0</v>
      </c>
      <c r="Q111" s="4">
        <f>('Agency Net Sales CAD'!Q111/$C$1)/1000</f>
        <v>207.44317701027046</v>
      </c>
    </row>
    <row r="112" spans="1:17" x14ac:dyDescent="0.25">
      <c r="A112" s="2" t="s">
        <v>252</v>
      </c>
      <c r="B112" t="s">
        <v>167</v>
      </c>
      <c r="C112" s="2" t="s">
        <v>271</v>
      </c>
      <c r="D112" s="2"/>
      <c r="E112" s="3">
        <f>('Agency Net Sales CAD'!E112/$C$1)/1000</f>
        <v>17.786782735795608</v>
      </c>
      <c r="F112" s="3">
        <f>('Agency Net Sales CAD'!F112/$C$1)/1000</f>
        <v>16.148015031895113</v>
      </c>
      <c r="G112" s="3">
        <f>('Agency Net Sales CAD'!G112/$C$1)/1000</f>
        <v>3.5011078621399445</v>
      </c>
      <c r="H112" s="3">
        <f>('Agency Net Sales CAD'!H112/$C$1)/1000</f>
        <v>14.590398993120328</v>
      </c>
      <c r="I112" s="3">
        <f>('Agency Net Sales CAD'!I112/$C$1)/1000</f>
        <v>45.974519713281076</v>
      </c>
      <c r="J112" s="3">
        <f>('Agency Net Sales CAD'!J112/$C$1)/1000</f>
        <v>14.997316284938339</v>
      </c>
      <c r="K112" s="3">
        <f>('Agency Net Sales CAD'!K112/$C$1)/1000</f>
        <v>-3.301684323494571</v>
      </c>
      <c r="L112" s="3">
        <f>('Agency Net Sales CAD'!L112/$C$1)/1000</f>
        <v>10.754749656932585</v>
      </c>
      <c r="M112" s="3">
        <f>('Agency Net Sales CAD'!M112/$C$1)/1000</f>
        <v>64.67590670071246</v>
      </c>
      <c r="N112" s="3">
        <f>('Agency Net Sales CAD'!N112/$C$1)/1000</f>
        <v>14.785832694604373</v>
      </c>
      <c r="O112" s="3">
        <f>('Agency Net Sales CAD'!O112/$C$1)/1000</f>
        <v>34.683951227715852</v>
      </c>
      <c r="P112" s="3">
        <f>('Agency Net Sales CAD'!P112/$C$1)/1000</f>
        <v>32.14311455348777</v>
      </c>
      <c r="Q112" s="4">
        <f>('Agency Net Sales CAD'!Q112/$C$1)/1000</f>
        <v>266.74001113112888</v>
      </c>
    </row>
    <row r="113" spans="1:17" x14ac:dyDescent="0.25">
      <c r="A113" s="2" t="s">
        <v>252</v>
      </c>
      <c r="B113" t="s">
        <v>167</v>
      </c>
      <c r="C113" s="2" t="s">
        <v>272</v>
      </c>
      <c r="D113" s="2"/>
      <c r="E113" s="3">
        <f>('Agency Net Sales CAD'!E113/$C$1)/1000</f>
        <v>0.42709461119425135</v>
      </c>
      <c r="F113" s="3">
        <f>('Agency Net Sales CAD'!F113/$C$1)/1000</f>
        <v>0.89968945760092633</v>
      </c>
      <c r="G113" s="3">
        <f>('Agency Net Sales CAD'!G113/$C$1)/1000</f>
        <v>-6.6556978368982014E-2</v>
      </c>
      <c r="H113" s="3">
        <f>('Agency Net Sales CAD'!H113/$C$1)/1000</f>
        <v>10.561800975414682</v>
      </c>
      <c r="I113" s="3">
        <f>('Agency Net Sales CAD'!I113/$C$1)/1000</f>
        <v>17.193973601958579</v>
      </c>
      <c r="J113" s="3">
        <f>('Agency Net Sales CAD'!J113/$C$1)/1000</f>
        <v>20.378272418857751</v>
      </c>
      <c r="K113" s="3">
        <f>('Agency Net Sales CAD'!K113/$C$1)/1000</f>
        <v>8.2234807321816987</v>
      </c>
      <c r="L113" s="3">
        <f>('Agency Net Sales CAD'!L113/$C$1)/1000</f>
        <v>15.651568881020191</v>
      </c>
      <c r="M113" s="3">
        <f>('Agency Net Sales CAD'!M113/$C$1)/1000</f>
        <v>16.954679301889342</v>
      </c>
      <c r="N113" s="3">
        <f>('Agency Net Sales CAD'!N113/$C$1)/1000</f>
        <v>10.316409147167027</v>
      </c>
      <c r="O113" s="3">
        <f>('Agency Net Sales CAD'!O113/$C$1)/1000</f>
        <v>0</v>
      </c>
      <c r="P113" s="3">
        <f>('Agency Net Sales CAD'!P113/$C$1)/1000</f>
        <v>0</v>
      </c>
      <c r="Q113" s="4">
        <f>('Agency Net Sales CAD'!Q113/$C$1)/1000</f>
        <v>100.54041214891548</v>
      </c>
    </row>
    <row r="114" spans="1:17" x14ac:dyDescent="0.25">
      <c r="A114" s="2" t="s">
        <v>252</v>
      </c>
      <c r="B114" t="s">
        <v>167</v>
      </c>
      <c r="C114" s="2" t="s">
        <v>273</v>
      </c>
      <c r="D114" s="2"/>
      <c r="E114" s="3">
        <f>('Agency Net Sales CAD'!E114/$C$1)/1000</f>
        <v>-2.0349865886293586</v>
      </c>
      <c r="F114" s="3">
        <f>('Agency Net Sales CAD'!F114/$C$1)/1000</f>
        <v>0</v>
      </c>
      <c r="G114" s="3">
        <f>('Agency Net Sales CAD'!G114/$C$1)/1000</f>
        <v>0</v>
      </c>
      <c r="H114" s="3">
        <f>('Agency Net Sales CAD'!H114/$C$1)/1000</f>
        <v>25.618132204107035</v>
      </c>
      <c r="I114" s="3">
        <f>('Agency Net Sales CAD'!I114/$C$1)/1000</f>
        <v>23.75271525036754</v>
      </c>
      <c r="J114" s="3">
        <f>('Agency Net Sales CAD'!J114/$C$1)/1000</f>
        <v>0</v>
      </c>
      <c r="K114" s="3">
        <f>('Agency Net Sales CAD'!K114/$C$1)/1000</f>
        <v>1.8150726601013845</v>
      </c>
      <c r="L114" s="3">
        <f>('Agency Net Sales CAD'!L114/$C$1)/1000</f>
        <v>0</v>
      </c>
      <c r="M114" s="3">
        <f>('Agency Net Sales CAD'!M114/$C$1)/1000</f>
        <v>-1.9983754191779972</v>
      </c>
      <c r="N114" s="3">
        <f>('Agency Net Sales CAD'!N114/$C$1)/1000</f>
        <v>0</v>
      </c>
      <c r="O114" s="3">
        <f>('Agency Net Sales CAD'!O114/$C$1)/1000</f>
        <v>0</v>
      </c>
      <c r="P114" s="3">
        <f>('Agency Net Sales CAD'!P114/$C$1)/1000</f>
        <v>0</v>
      </c>
      <c r="Q114" s="4">
        <f>('Agency Net Sales CAD'!Q114/$C$1)/1000</f>
        <v>47.152558106768609</v>
      </c>
    </row>
    <row r="115" spans="1:17" x14ac:dyDescent="0.25">
      <c r="A115" s="2" t="s">
        <v>252</v>
      </c>
      <c r="B115" t="s">
        <v>167</v>
      </c>
      <c r="C115" s="2" t="s">
        <v>274</v>
      </c>
      <c r="D115" s="2"/>
      <c r="E115" s="3">
        <f>('Agency Net Sales CAD'!E115/$C$1)/1000</f>
        <v>0</v>
      </c>
      <c r="F115" s="3">
        <f>('Agency Net Sales CAD'!F115/$C$1)/1000</f>
        <v>1.1245849295098977</v>
      </c>
      <c r="G115" s="3">
        <f>('Agency Net Sales CAD'!G115/$C$1)/1000</f>
        <v>0.89007171072669389</v>
      </c>
      <c r="H115" s="3">
        <f>('Agency Net Sales CAD'!H115/$C$1)/1000</f>
        <v>6.9996369901179776</v>
      </c>
      <c r="I115" s="3">
        <f>('Agency Net Sales CAD'!I115/$C$1)/1000</f>
        <v>13.163370721904514</v>
      </c>
      <c r="J115" s="3">
        <f>('Agency Net Sales CAD'!J115/$C$1)/1000</f>
        <v>-4.0168844919729763E-3</v>
      </c>
      <c r="K115" s="3">
        <f>('Agency Net Sales CAD'!K115/$C$1)/1000</f>
        <v>-20.968902457094003</v>
      </c>
      <c r="L115" s="3">
        <f>('Agency Net Sales CAD'!L115/$C$1)/1000</f>
        <v>5.4148806271137664</v>
      </c>
      <c r="M115" s="3">
        <f>('Agency Net Sales CAD'!M115/$C$1)/1000</f>
        <v>28.13625562171379</v>
      </c>
      <c r="N115" s="3">
        <f>('Agency Net Sales CAD'!N115/$C$1)/1000</f>
        <v>16.836869528017402</v>
      </c>
      <c r="O115" s="3">
        <f>('Agency Net Sales CAD'!O115/$C$1)/1000</f>
        <v>13.77562052292333</v>
      </c>
      <c r="P115" s="3">
        <f>('Agency Net Sales CAD'!P115/$C$1)/1000</f>
        <v>13.77562052292333</v>
      </c>
      <c r="Q115" s="4">
        <f>('Agency Net Sales CAD'!Q115/$C$1)/1000</f>
        <v>79.143991833364723</v>
      </c>
    </row>
    <row r="116" spans="1:17" s="9" customFormat="1" x14ac:dyDescent="0.25">
      <c r="A116" s="8" t="s">
        <v>252</v>
      </c>
      <c r="B116" s="9" t="s">
        <v>167</v>
      </c>
      <c r="C116" s="8" t="s">
        <v>275</v>
      </c>
      <c r="D116" s="8"/>
      <c r="E116" s="11">
        <f>('Agency Net Sales CAD'!E116/$C$1)/1000</f>
        <v>0</v>
      </c>
      <c r="F116" s="11">
        <f>('Agency Net Sales CAD'!F116/$C$1)/1000</f>
        <v>0</v>
      </c>
      <c r="G116" s="11">
        <f>('Agency Net Sales CAD'!G116/$C$1)/1000</f>
        <v>0</v>
      </c>
      <c r="H116" s="11">
        <f>('Agency Net Sales CAD'!H116/$C$1)/1000</f>
        <v>0</v>
      </c>
      <c r="I116" s="11">
        <f>('Agency Net Sales CAD'!I116/$C$1)/1000</f>
        <v>0</v>
      </c>
      <c r="J116" s="11">
        <f>('Agency Net Sales CAD'!J116/$C$1)/1000</f>
        <v>0</v>
      </c>
      <c r="K116" s="11">
        <f>('Agency Net Sales CAD'!K116/$C$1)/1000</f>
        <v>0</v>
      </c>
      <c r="L116" s="11">
        <f>('Agency Net Sales CAD'!L116/$C$1)/1000</f>
        <v>25.31050228202551</v>
      </c>
      <c r="M116" s="11">
        <f>('Agency Net Sales CAD'!M116/$C$1)/1000</f>
        <v>12.301729714077577</v>
      </c>
      <c r="N116" s="11">
        <f>('Agency Net Sales CAD'!N116/$C$1)/1000</f>
        <v>0</v>
      </c>
      <c r="O116" s="11">
        <f>('Agency Net Sales CAD'!O116/$C$1)/1000</f>
        <v>0</v>
      </c>
      <c r="P116" s="11">
        <f>('Agency Net Sales CAD'!P116/$C$1)/1000</f>
        <v>0</v>
      </c>
      <c r="Q116" s="12">
        <f>('Agency Net Sales CAD'!Q116/$C$1)/1000</f>
        <v>37.612231996103091</v>
      </c>
    </row>
    <row r="117" spans="1:17" x14ac:dyDescent="0.25">
      <c r="A117" s="2" t="s">
        <v>276</v>
      </c>
      <c r="B117" t="s">
        <v>167</v>
      </c>
      <c r="C117" s="2" t="s">
        <v>289</v>
      </c>
      <c r="D117" s="2"/>
      <c r="E117" s="3">
        <f>('Agency Net Sales CAD'!E117/$C$1)/1000</f>
        <v>0</v>
      </c>
      <c r="F117" s="3">
        <f>('Agency Net Sales CAD'!F117/$C$1)/1000</f>
        <v>0</v>
      </c>
      <c r="G117" s="3">
        <f>('Agency Net Sales CAD'!G117/$C$1)/1000</f>
        <v>0</v>
      </c>
      <c r="H117" s="3">
        <f>('Agency Net Sales CAD'!H117/$C$1)/1000</f>
        <v>0</v>
      </c>
      <c r="I117" s="3">
        <f>('Agency Net Sales CAD'!I117/$C$1)/1000</f>
        <v>0</v>
      </c>
      <c r="J117" s="3">
        <f>('Agency Net Sales CAD'!J117/$C$1)/1000</f>
        <v>19.374125703409145</v>
      </c>
      <c r="K117" s="3">
        <f>('Agency Net Sales CAD'!K117/$C$1)/1000</f>
        <v>0</v>
      </c>
      <c r="L117" s="3">
        <f>('Agency Net Sales CAD'!L117/$C$1)/1000</f>
        <v>0</v>
      </c>
      <c r="M117" s="3">
        <f>('Agency Net Sales CAD'!M117/$C$1)/1000</f>
        <v>0</v>
      </c>
      <c r="N117" s="3">
        <f>('Agency Net Sales CAD'!N117/$C$1)/1000</f>
        <v>0</v>
      </c>
      <c r="O117" s="3">
        <f>('Agency Net Sales CAD'!O117/$C$1)/1000</f>
        <v>0</v>
      </c>
      <c r="P117" s="3">
        <f>('Agency Net Sales CAD'!P117/$C$1)/1000</f>
        <v>0</v>
      </c>
      <c r="Q117" s="4">
        <f>('Agency Net Sales CAD'!Q117/$C$1)/1000</f>
        <v>19.374125703409145</v>
      </c>
    </row>
    <row r="118" spans="1:17" x14ac:dyDescent="0.25">
      <c r="A118" s="2" t="s">
        <v>276</v>
      </c>
      <c r="B118" t="s">
        <v>167</v>
      </c>
      <c r="C118" s="2" t="s">
        <v>290</v>
      </c>
      <c r="D118" s="2"/>
      <c r="E118" s="3">
        <f>('Agency Net Sales CAD'!E118/$C$1)/1000</f>
        <v>0</v>
      </c>
      <c r="F118" s="3">
        <f>('Agency Net Sales CAD'!F118/$C$1)/1000</f>
        <v>0</v>
      </c>
      <c r="G118" s="3">
        <f>('Agency Net Sales CAD'!G118/$C$1)/1000</f>
        <v>0</v>
      </c>
      <c r="H118" s="3">
        <f>('Agency Net Sales CAD'!H118/$C$1)/1000</f>
        <v>0</v>
      </c>
      <c r="I118" s="3">
        <f>('Agency Net Sales CAD'!I118/$C$1)/1000</f>
        <v>0</v>
      </c>
      <c r="J118" s="3">
        <f>('Agency Net Sales CAD'!J118/$C$1)/1000</f>
        <v>6.2151879800639058</v>
      </c>
      <c r="K118" s="3">
        <f>('Agency Net Sales CAD'!K118/$C$1)/1000</f>
        <v>0</v>
      </c>
      <c r="L118" s="3">
        <f>('Agency Net Sales CAD'!L118/$C$1)/1000</f>
        <v>0</v>
      </c>
      <c r="M118" s="3">
        <f>('Agency Net Sales CAD'!M118/$C$1)/1000</f>
        <v>0</v>
      </c>
      <c r="N118" s="3">
        <f>('Agency Net Sales CAD'!N118/$C$1)/1000</f>
        <v>0</v>
      </c>
      <c r="O118" s="3">
        <f>('Agency Net Sales CAD'!O118/$C$1)/1000</f>
        <v>0</v>
      </c>
      <c r="P118" s="3">
        <f>('Agency Net Sales CAD'!P118/$C$1)/1000</f>
        <v>0</v>
      </c>
      <c r="Q118" s="4">
        <f>('Agency Net Sales CAD'!Q118/$C$1)/1000</f>
        <v>6.2151879800639058</v>
      </c>
    </row>
    <row r="119" spans="1:17" x14ac:dyDescent="0.25">
      <c r="A119" s="2" t="s">
        <v>276</v>
      </c>
      <c r="B119" t="s">
        <v>167</v>
      </c>
      <c r="C119" s="2" t="s">
        <v>279</v>
      </c>
      <c r="D119" s="2"/>
      <c r="E119" s="3">
        <f>('Agency Net Sales CAD'!E119/$C$1)/1000</f>
        <v>0</v>
      </c>
      <c r="F119" s="3">
        <f>('Agency Net Sales CAD'!F119/$C$1)/1000</f>
        <v>0</v>
      </c>
      <c r="G119" s="3">
        <f>('Agency Net Sales CAD'!G119/$C$1)/1000</f>
        <v>0</v>
      </c>
      <c r="H119" s="3">
        <f>('Agency Net Sales CAD'!H119/$C$1)/1000</f>
        <v>0</v>
      </c>
      <c r="I119" s="3">
        <f>('Agency Net Sales CAD'!I119/$C$1)/1000</f>
        <v>0</v>
      </c>
      <c r="J119" s="3">
        <f>('Agency Net Sales CAD'!J119/$C$1)/1000</f>
        <v>0</v>
      </c>
      <c r="K119" s="3">
        <f>('Agency Net Sales CAD'!K119/$C$1)/1000</f>
        <v>0</v>
      </c>
      <c r="L119" s="3">
        <f>('Agency Net Sales CAD'!L119/$C$1)/1000</f>
        <v>0</v>
      </c>
      <c r="M119" s="3">
        <f>('Agency Net Sales CAD'!M119/$C$1)/1000</f>
        <v>0</v>
      </c>
      <c r="N119" s="3">
        <f>('Agency Net Sales CAD'!N119/$C$1)/1000</f>
        <v>0</v>
      </c>
      <c r="O119" s="3">
        <f>('Agency Net Sales CAD'!O119/$C$1)/1000</f>
        <v>0</v>
      </c>
      <c r="P119" s="3">
        <f>('Agency Net Sales CAD'!P119/$C$1)/1000</f>
        <v>0</v>
      </c>
      <c r="Q119" s="4">
        <f>('Agency Net Sales CAD'!Q119/$C$1)/1000</f>
        <v>0</v>
      </c>
    </row>
    <row r="120" spans="1:17" x14ac:dyDescent="0.25">
      <c r="A120" s="2" t="s">
        <v>276</v>
      </c>
      <c r="B120" t="s">
        <v>167</v>
      </c>
      <c r="C120" s="2" t="s">
        <v>280</v>
      </c>
      <c r="D120" s="2"/>
      <c r="E120" s="3">
        <f>('Agency Net Sales CAD'!E120/$C$1)/1000</f>
        <v>0</v>
      </c>
      <c r="F120" s="3">
        <f>('Agency Net Sales CAD'!F120/$C$1)/1000</f>
        <v>0</v>
      </c>
      <c r="G120" s="3">
        <f>('Agency Net Sales CAD'!G120/$C$1)/1000</f>
        <v>0</v>
      </c>
      <c r="H120" s="3">
        <f>('Agency Net Sales CAD'!H120/$C$1)/1000</f>
        <v>0</v>
      </c>
      <c r="I120" s="3">
        <f>('Agency Net Sales CAD'!I120/$C$1)/1000</f>
        <v>0</v>
      </c>
      <c r="J120" s="3">
        <f>('Agency Net Sales CAD'!J120/$C$1)/1000</f>
        <v>0</v>
      </c>
      <c r="K120" s="3">
        <f>('Agency Net Sales CAD'!K120/$C$1)/1000</f>
        <v>0</v>
      </c>
      <c r="L120" s="3">
        <f>('Agency Net Sales CAD'!L120/$C$1)/1000</f>
        <v>0</v>
      </c>
      <c r="M120" s="3">
        <f>('Agency Net Sales CAD'!M120/$C$1)/1000</f>
        <v>0</v>
      </c>
      <c r="N120" s="3">
        <f>('Agency Net Sales CAD'!N120/$C$1)/1000</f>
        <v>0</v>
      </c>
      <c r="O120" s="3">
        <f>('Agency Net Sales CAD'!O120/$C$1)/1000</f>
        <v>0</v>
      </c>
      <c r="P120" s="3">
        <f>('Agency Net Sales CAD'!P120/$C$1)/1000</f>
        <v>0</v>
      </c>
      <c r="Q120" s="4">
        <f>('Agency Net Sales CAD'!Q120/$C$1)/1000</f>
        <v>0</v>
      </c>
    </row>
    <row r="121" spans="1:17" x14ac:dyDescent="0.25">
      <c r="A121" s="2" t="s">
        <v>276</v>
      </c>
      <c r="B121" t="s">
        <v>167</v>
      </c>
      <c r="C121" s="2" t="s">
        <v>281</v>
      </c>
      <c r="D121" s="2"/>
      <c r="E121" s="3">
        <f>('Agency Net Sales CAD'!E121/$C$1)/1000</f>
        <v>0</v>
      </c>
      <c r="F121" s="3">
        <f>('Agency Net Sales CAD'!F121/$C$1)/1000</f>
        <v>0</v>
      </c>
      <c r="G121" s="3">
        <f>('Agency Net Sales CAD'!G121/$C$1)/1000</f>
        <v>0</v>
      </c>
      <c r="H121" s="3">
        <f>('Agency Net Sales CAD'!H121/$C$1)/1000</f>
        <v>0</v>
      </c>
      <c r="I121" s="3">
        <f>('Agency Net Sales CAD'!I121/$C$1)/1000</f>
        <v>0</v>
      </c>
      <c r="J121" s="3">
        <f>('Agency Net Sales CAD'!J121/$C$1)/1000</f>
        <v>0</v>
      </c>
      <c r="K121" s="3">
        <f>('Agency Net Sales CAD'!K121/$C$1)/1000</f>
        <v>0</v>
      </c>
      <c r="L121" s="3">
        <f>('Agency Net Sales CAD'!L121/$C$1)/1000</f>
        <v>0</v>
      </c>
      <c r="M121" s="3">
        <f>('Agency Net Sales CAD'!M121/$C$1)/1000</f>
        <v>0</v>
      </c>
      <c r="N121" s="3">
        <f>('Agency Net Sales CAD'!N121/$C$1)/1000</f>
        <v>0</v>
      </c>
      <c r="O121" s="3">
        <f>('Agency Net Sales CAD'!O121/$C$1)/1000</f>
        <v>0</v>
      </c>
      <c r="P121" s="3">
        <f>('Agency Net Sales CAD'!P121/$C$1)/1000</f>
        <v>0</v>
      </c>
      <c r="Q121" s="4">
        <f>('Agency Net Sales CAD'!Q121/$C$1)/1000</f>
        <v>0</v>
      </c>
    </row>
    <row r="122" spans="1:17" x14ac:dyDescent="0.25">
      <c r="A122" s="2" t="s">
        <v>276</v>
      </c>
      <c r="B122" t="s">
        <v>167</v>
      </c>
      <c r="C122" s="2" t="s">
        <v>282</v>
      </c>
      <c r="D122" s="2"/>
      <c r="E122" s="3">
        <f>('Agency Net Sales CAD'!E122/$C$1)/1000</f>
        <v>0</v>
      </c>
      <c r="F122" s="3">
        <f>('Agency Net Sales CAD'!F122/$C$1)/1000</f>
        <v>0</v>
      </c>
      <c r="G122" s="3">
        <f>('Agency Net Sales CAD'!G122/$C$1)/1000</f>
        <v>0</v>
      </c>
      <c r="H122" s="3">
        <f>('Agency Net Sales CAD'!H122/$C$1)/1000</f>
        <v>0</v>
      </c>
      <c r="I122" s="3">
        <f>('Agency Net Sales CAD'!I122/$C$1)/1000</f>
        <v>0</v>
      </c>
      <c r="J122" s="3">
        <f>('Agency Net Sales CAD'!J122/$C$1)/1000</f>
        <v>-8.3978972706833854E-2</v>
      </c>
      <c r="K122" s="3">
        <f>('Agency Net Sales CAD'!K122/$C$1)/1000</f>
        <v>0</v>
      </c>
      <c r="L122" s="3">
        <f>('Agency Net Sales CAD'!L122/$C$1)/1000</f>
        <v>-1.0273551661095712E-2</v>
      </c>
      <c r="M122" s="3">
        <f>('Agency Net Sales CAD'!M122/$C$1)/1000</f>
        <v>0</v>
      </c>
      <c r="N122" s="3">
        <f>('Agency Net Sales CAD'!N122/$C$1)/1000</f>
        <v>0</v>
      </c>
      <c r="O122" s="3">
        <f>('Agency Net Sales CAD'!O122/$C$1)/1000</f>
        <v>0</v>
      </c>
      <c r="P122" s="3">
        <f>('Agency Net Sales CAD'!P122/$C$1)/1000</f>
        <v>0</v>
      </c>
      <c r="Q122" s="4">
        <f>('Agency Net Sales CAD'!Q122/$C$1)/1000</f>
        <v>-9.4252524367929566E-2</v>
      </c>
    </row>
    <row r="123" spans="1:17" x14ac:dyDescent="0.25">
      <c r="A123" s="2" t="s">
        <v>276</v>
      </c>
      <c r="B123" t="s">
        <v>167</v>
      </c>
      <c r="C123" s="2" t="s">
        <v>283</v>
      </c>
      <c r="D123" s="2"/>
      <c r="E123" s="3">
        <f>('Agency Net Sales CAD'!E123/$C$1)/1000</f>
        <v>0</v>
      </c>
      <c r="F123" s="3">
        <f>('Agency Net Sales CAD'!F123/$C$1)/1000</f>
        <v>0</v>
      </c>
      <c r="G123" s="3">
        <f>('Agency Net Sales CAD'!G123/$C$1)/1000</f>
        <v>4.5507129610182862</v>
      </c>
      <c r="H123" s="3">
        <f>('Agency Net Sales CAD'!H123/$C$1)/1000</f>
        <v>4.7356195309236515</v>
      </c>
      <c r="I123" s="3">
        <f>('Agency Net Sales CAD'!I123/$C$1)/1000</f>
        <v>4.8490033890738982</v>
      </c>
      <c r="J123" s="3">
        <f>('Agency Net Sales CAD'!J123/$C$1)/1000</f>
        <v>0</v>
      </c>
      <c r="K123" s="3">
        <f>('Agency Net Sales CAD'!K123/$C$1)/1000</f>
        <v>6.7382928150548338</v>
      </c>
      <c r="L123" s="3">
        <f>('Agency Net Sales CAD'!L123/$C$1)/1000</f>
        <v>10.593207868816705</v>
      </c>
      <c r="M123" s="3">
        <f>('Agency Net Sales CAD'!M123/$C$1)/1000</f>
        <v>3.0064061607812165</v>
      </c>
      <c r="N123" s="3">
        <f>('Agency Net Sales CAD'!N123/$C$1)/1000</f>
        <v>0</v>
      </c>
      <c r="O123" s="3">
        <f>('Agency Net Sales CAD'!O123/$C$1)/1000</f>
        <v>0</v>
      </c>
      <c r="P123" s="3">
        <f>('Agency Net Sales CAD'!P123/$C$1)/1000</f>
        <v>0</v>
      </c>
      <c r="Q123" s="4">
        <f>('Agency Net Sales CAD'!Q123/$C$1)/1000</f>
        <v>34.473242725668598</v>
      </c>
    </row>
    <row r="124" spans="1:17" x14ac:dyDescent="0.25">
      <c r="A124" s="2" t="s">
        <v>276</v>
      </c>
      <c r="B124" t="s">
        <v>167</v>
      </c>
      <c r="C124" s="2" t="s">
        <v>284</v>
      </c>
      <c r="D124" s="2"/>
      <c r="E124" s="3">
        <f>('Agency Net Sales CAD'!E124/$C$1)/1000</f>
        <v>1.1766666175833491</v>
      </c>
      <c r="F124" s="3">
        <f>('Agency Net Sales CAD'!F124/$C$1)/1000</f>
        <v>-2.9372490453940599E-3</v>
      </c>
      <c r="G124" s="3">
        <f>('Agency Net Sales CAD'!G124/$C$1)/1000</f>
        <v>-2.2133992806452334E-2</v>
      </c>
      <c r="H124" s="3">
        <f>('Agency Net Sales CAD'!H124/$C$1)/1000</f>
        <v>0</v>
      </c>
      <c r="I124" s="3">
        <f>('Agency Net Sales CAD'!I124/$C$1)/1000</f>
        <v>-5.6404481668543456E-2</v>
      </c>
      <c r="J124" s="3">
        <f>('Agency Net Sales CAD'!J124/$C$1)/1000</f>
        <v>-8.7960741430760325E-2</v>
      </c>
      <c r="K124" s="3">
        <f>('Agency Net Sales CAD'!K124/$C$1)/1000</f>
        <v>0</v>
      </c>
      <c r="L124" s="3">
        <f>('Agency Net Sales CAD'!L124/$C$1)/1000</f>
        <v>-1.6114999226953142E-3</v>
      </c>
      <c r="M124" s="3">
        <f>('Agency Net Sales CAD'!M124/$C$1)/1000</f>
        <v>0</v>
      </c>
      <c r="N124" s="3">
        <f>('Agency Net Sales CAD'!N124/$C$1)/1000</f>
        <v>0</v>
      </c>
      <c r="O124" s="3">
        <f>('Agency Net Sales CAD'!O124/$C$1)/1000</f>
        <v>0</v>
      </c>
      <c r="P124" s="3">
        <f>('Agency Net Sales CAD'!P124/$C$1)/1000</f>
        <v>0</v>
      </c>
      <c r="Q124" s="4">
        <f>('Agency Net Sales CAD'!Q124/$C$1)/1000</f>
        <v>1.0056186527095037</v>
      </c>
    </row>
    <row r="125" spans="1:17" x14ac:dyDescent="0.25">
      <c r="A125" s="2" t="s">
        <v>276</v>
      </c>
      <c r="B125" t="s">
        <v>167</v>
      </c>
      <c r="C125" s="2" t="s">
        <v>285</v>
      </c>
      <c r="D125" s="2"/>
      <c r="E125" s="3">
        <f>('Agency Net Sales CAD'!E125/$C$1)/1000</f>
        <v>0</v>
      </c>
      <c r="F125" s="3">
        <f>('Agency Net Sales CAD'!F125/$C$1)/1000</f>
        <v>0</v>
      </c>
      <c r="G125" s="3">
        <f>('Agency Net Sales CAD'!G125/$C$1)/1000</f>
        <v>0</v>
      </c>
      <c r="H125" s="3">
        <f>('Agency Net Sales CAD'!H125/$C$1)/1000</f>
        <v>0</v>
      </c>
      <c r="I125" s="3">
        <f>('Agency Net Sales CAD'!I125/$C$1)/1000</f>
        <v>0</v>
      </c>
      <c r="J125" s="3">
        <f>('Agency Net Sales CAD'!J125/$C$1)/1000</f>
        <v>0</v>
      </c>
      <c r="K125" s="3">
        <f>('Agency Net Sales CAD'!K125/$C$1)/1000</f>
        <v>0</v>
      </c>
      <c r="L125" s="3">
        <f>('Agency Net Sales CAD'!L125/$C$1)/1000</f>
        <v>0</v>
      </c>
      <c r="M125" s="3">
        <f>('Agency Net Sales CAD'!M125/$C$1)/1000</f>
        <v>0</v>
      </c>
      <c r="N125" s="3">
        <f>('Agency Net Sales CAD'!N125/$C$1)/1000</f>
        <v>15.102161758464096</v>
      </c>
      <c r="O125" s="3">
        <f>('Agency Net Sales CAD'!O125/$C$1)/1000</f>
        <v>15.102161758464096</v>
      </c>
      <c r="P125" s="3">
        <f>('Agency Net Sales CAD'!P125/$C$1)/1000</f>
        <v>15.102161758464096</v>
      </c>
      <c r="Q125" s="4">
        <f>('Agency Net Sales CAD'!Q125/$C$1)/1000</f>
        <v>45.306485275392284</v>
      </c>
    </row>
    <row r="126" spans="1:17" x14ac:dyDescent="0.25">
      <c r="A126" s="2" t="s">
        <v>276</v>
      </c>
      <c r="B126" t="s">
        <v>167</v>
      </c>
      <c r="C126" s="2" t="s">
        <v>286</v>
      </c>
      <c r="D126" s="2"/>
      <c r="E126" s="3">
        <f>('Agency Net Sales CAD'!E126/$C$1)/1000</f>
        <v>0</v>
      </c>
      <c r="F126" s="3">
        <f>('Agency Net Sales CAD'!F126/$C$1)/1000</f>
        <v>0</v>
      </c>
      <c r="G126" s="3">
        <f>('Agency Net Sales CAD'!G126/$C$1)/1000</f>
        <v>0</v>
      </c>
      <c r="H126" s="3">
        <f>('Agency Net Sales CAD'!H126/$C$1)/1000</f>
        <v>0</v>
      </c>
      <c r="I126" s="3">
        <f>('Agency Net Sales CAD'!I126/$C$1)/1000</f>
        <v>0</v>
      </c>
      <c r="J126" s="3">
        <f>('Agency Net Sales CAD'!J126/$C$1)/1000</f>
        <v>0</v>
      </c>
      <c r="K126" s="3">
        <f>('Agency Net Sales CAD'!K126/$C$1)/1000</f>
        <v>0</v>
      </c>
      <c r="L126" s="3">
        <f>('Agency Net Sales CAD'!L126/$C$1)/1000</f>
        <v>0</v>
      </c>
      <c r="M126" s="3">
        <f>('Agency Net Sales CAD'!M126/$C$1)/1000</f>
        <v>0</v>
      </c>
      <c r="N126" s="3">
        <f>('Agency Net Sales CAD'!N126/$C$1)/1000</f>
        <v>0</v>
      </c>
      <c r="O126" s="3">
        <f>('Agency Net Sales CAD'!O126/$C$1)/1000</f>
        <v>0</v>
      </c>
      <c r="P126" s="3">
        <f>('Agency Net Sales CAD'!P126/$C$1)/1000</f>
        <v>0</v>
      </c>
      <c r="Q126" s="4">
        <f>('Agency Net Sales CAD'!Q126/$C$1)/1000</f>
        <v>0</v>
      </c>
    </row>
    <row r="127" spans="1:17" s="9" customFormat="1" x14ac:dyDescent="0.25">
      <c r="A127" s="8" t="s">
        <v>276</v>
      </c>
      <c r="B127" s="9" t="s">
        <v>167</v>
      </c>
      <c r="C127" s="8" t="s">
        <v>288</v>
      </c>
      <c r="D127" s="8"/>
      <c r="E127" s="11">
        <f>('Agency Net Sales CAD'!E127/$C$1)/1000</f>
        <v>0</v>
      </c>
      <c r="F127" s="11">
        <f>('Agency Net Sales CAD'!F127/$C$1)/1000</f>
        <v>0</v>
      </c>
      <c r="G127" s="11">
        <f>('Agency Net Sales CAD'!G127/$C$1)/1000</f>
        <v>0</v>
      </c>
      <c r="H127" s="11">
        <f>('Agency Net Sales CAD'!H127/$C$1)/1000</f>
        <v>0</v>
      </c>
      <c r="I127" s="11">
        <f>('Agency Net Sales CAD'!I127/$C$1)/1000</f>
        <v>-42.467785197969803</v>
      </c>
      <c r="J127" s="11">
        <f>('Agency Net Sales CAD'!J127/$C$1)/1000</f>
        <v>-10.599501055162154</v>
      </c>
      <c r="K127" s="11">
        <f>('Agency Net Sales CAD'!K127/$C$1)/1000</f>
        <v>0</v>
      </c>
      <c r="L127" s="11">
        <f>('Agency Net Sales CAD'!L127/$C$1)/1000</f>
        <v>0</v>
      </c>
      <c r="M127" s="11">
        <f>('Agency Net Sales CAD'!M127/$C$1)/1000</f>
        <v>0</v>
      </c>
      <c r="N127" s="11">
        <f>('Agency Net Sales CAD'!N127/$C$1)/1000</f>
        <v>0</v>
      </c>
      <c r="O127" s="11">
        <f>('Agency Net Sales CAD'!O127/$C$1)/1000</f>
        <v>0</v>
      </c>
      <c r="P127" s="11">
        <f>('Agency Net Sales CAD'!P127/$C$1)/1000</f>
        <v>0</v>
      </c>
      <c r="Q127" s="12">
        <f>('Agency Net Sales CAD'!Q127/$C$1)/1000</f>
        <v>-53.067286253131961</v>
      </c>
    </row>
    <row r="128" spans="1:17" s="24" customFormat="1" ht="15.75" thickBot="1" x14ac:dyDescent="0.3">
      <c r="A128" s="21" t="s">
        <v>12</v>
      </c>
      <c r="B128" s="22"/>
      <c r="C128" s="21"/>
      <c r="D128" s="21"/>
      <c r="E128" s="23">
        <f t="shared" ref="E128:P128" si="0">SUM(E3:E127)</f>
        <v>738.15639994032483</v>
      </c>
      <c r="F128" s="23">
        <f t="shared" si="0"/>
        <v>1256.7159250823242</v>
      </c>
      <c r="G128" s="23">
        <f t="shared" si="0"/>
        <v>1256.5781994308786</v>
      </c>
      <c r="H128" s="23">
        <f t="shared" si="0"/>
        <v>1385.3044811810682</v>
      </c>
      <c r="I128" s="23">
        <f t="shared" si="0"/>
        <v>1786.8163230446949</v>
      </c>
      <c r="J128" s="23">
        <f t="shared" si="0"/>
        <v>1852.9128661557349</v>
      </c>
      <c r="K128" s="23">
        <f t="shared" si="0"/>
        <v>1690.3628917542892</v>
      </c>
      <c r="L128" s="23">
        <f t="shared" si="0"/>
        <v>1789.3512400371374</v>
      </c>
      <c r="M128" s="23">
        <f t="shared" si="0"/>
        <v>2037.4446884393485</v>
      </c>
      <c r="N128" s="23">
        <f t="shared" si="0"/>
        <v>1933.6269237754157</v>
      </c>
      <c r="O128" s="23">
        <f t="shared" si="0"/>
        <v>2091.1333481328334</v>
      </c>
      <c r="P128" s="23">
        <f t="shared" si="0"/>
        <v>2151.686228753083</v>
      </c>
      <c r="Q128" s="23">
        <f t="shared" ref="Q128" si="1">SUM(E128:P128)</f>
        <v>19970.08951572713</v>
      </c>
    </row>
    <row r="129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33"/>
  <sheetViews>
    <sheetView workbookViewId="0">
      <pane xSplit="3" ySplit="2" topLeftCell="D110" activePane="bottomRight" state="frozen"/>
      <selection pane="topRight" activeCell="D1" sqref="D1"/>
      <selection pane="bottomLeft" activeCell="A3" sqref="A3"/>
      <selection pane="bottomRight" activeCell="C134" sqref="C134"/>
    </sheetView>
  </sheetViews>
  <sheetFormatPr defaultRowHeight="15" x14ac:dyDescent="0.25"/>
  <cols>
    <col min="1" max="1" width="8.85546875" bestFit="1" customWidth="1"/>
    <col min="3" max="3" width="66.140625" bestFit="1" customWidth="1"/>
    <col min="4" max="4" width="16.140625" bestFit="1" customWidth="1"/>
    <col min="5" max="5" width="16.5703125" bestFit="1" customWidth="1"/>
    <col min="6" max="6" width="16.7109375" bestFit="1" customWidth="1"/>
    <col min="7" max="7" width="16.42578125" bestFit="1" customWidth="1"/>
    <col min="8" max="8" width="17" bestFit="1" customWidth="1"/>
    <col min="9" max="9" width="17.5703125" bestFit="1" customWidth="1"/>
    <col min="10" max="11" width="16.7109375" bestFit="1" customWidth="1"/>
    <col min="12" max="12" width="16.5703125" bestFit="1" customWidth="1"/>
    <col min="13" max="13" width="18.5703125" bestFit="1" customWidth="1"/>
    <col min="14" max="14" width="19.140625" bestFit="1" customWidth="1"/>
    <col min="15" max="15" width="18.85546875" bestFit="1" customWidth="1"/>
    <col min="16" max="16" width="10" style="1" bestFit="1" customWidth="1"/>
  </cols>
  <sheetData>
    <row r="2" spans="1:16" x14ac:dyDescent="0.25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s="1" t="s">
        <v>12</v>
      </c>
    </row>
    <row r="4" spans="1:16" x14ac:dyDescent="0.25">
      <c r="A4" t="s">
        <v>13</v>
      </c>
      <c r="C4" t="s">
        <v>14</v>
      </c>
    </row>
    <row r="6" spans="1:16" x14ac:dyDescent="0.25">
      <c r="A6">
        <v>10001</v>
      </c>
      <c r="C6" t="s">
        <v>15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s="1">
        <v>0</v>
      </c>
    </row>
    <row r="7" spans="1:16" x14ac:dyDescent="0.25">
      <c r="A7">
        <v>10006</v>
      </c>
      <c r="C7" t="s">
        <v>16</v>
      </c>
    </row>
    <row r="8" spans="1:16" x14ac:dyDescent="0.25">
      <c r="A8">
        <v>10008</v>
      </c>
      <c r="C8" t="s">
        <v>17</v>
      </c>
    </row>
    <row r="9" spans="1:16" x14ac:dyDescent="0.25">
      <c r="A9">
        <v>10010</v>
      </c>
      <c r="C9" t="s">
        <v>18</v>
      </c>
    </row>
    <row r="10" spans="1:16" x14ac:dyDescent="0.25">
      <c r="A10">
        <v>10015</v>
      </c>
      <c r="C10" t="s">
        <v>19</v>
      </c>
    </row>
    <row r="11" spans="1:16" x14ac:dyDescent="0.25">
      <c r="A11" t="s">
        <v>20</v>
      </c>
      <c r="C11" t="s">
        <v>21</v>
      </c>
    </row>
    <row r="12" spans="1:16" x14ac:dyDescent="0.25">
      <c r="A12" t="s">
        <v>22</v>
      </c>
      <c r="C12" t="s">
        <v>23</v>
      </c>
    </row>
    <row r="13" spans="1:16" x14ac:dyDescent="0.25">
      <c r="A13" t="s">
        <v>24</v>
      </c>
      <c r="C13" t="s">
        <v>25</v>
      </c>
    </row>
    <row r="14" spans="1:16" x14ac:dyDescent="0.25">
      <c r="A14" t="s">
        <v>26</v>
      </c>
      <c r="C14" t="s">
        <v>27</v>
      </c>
    </row>
    <row r="15" spans="1:16" x14ac:dyDescent="0.25">
      <c r="A15">
        <v>10020</v>
      </c>
      <c r="C15" t="s">
        <v>28</v>
      </c>
    </row>
    <row r="16" spans="1:16" x14ac:dyDescent="0.25">
      <c r="A16">
        <v>10016</v>
      </c>
      <c r="C16" t="s">
        <v>29</v>
      </c>
    </row>
    <row r="17" spans="1:16" x14ac:dyDescent="0.25">
      <c r="A17">
        <v>10017</v>
      </c>
      <c r="C17" t="s">
        <v>30</v>
      </c>
    </row>
    <row r="18" spans="1:16" x14ac:dyDescent="0.25">
      <c r="A18" t="s">
        <v>31</v>
      </c>
      <c r="C18" t="s">
        <v>32</v>
      </c>
    </row>
    <row r="19" spans="1:16" x14ac:dyDescent="0.25">
      <c r="A19" t="s">
        <v>33</v>
      </c>
      <c r="C19" t="s">
        <v>34</v>
      </c>
    </row>
    <row r="20" spans="1:16" x14ac:dyDescent="0.25">
      <c r="A20">
        <v>10018</v>
      </c>
      <c r="C20" t="s">
        <v>35</v>
      </c>
    </row>
    <row r="21" spans="1:16" x14ac:dyDescent="0.25">
      <c r="A21">
        <v>10019</v>
      </c>
      <c r="C21" t="s">
        <v>36</v>
      </c>
    </row>
    <row r="22" spans="1:16" x14ac:dyDescent="0.25">
      <c r="A22" t="s">
        <v>37</v>
      </c>
      <c r="C22" t="s">
        <v>38</v>
      </c>
    </row>
    <row r="23" spans="1:16" x14ac:dyDescent="0.25">
      <c r="A23" t="s">
        <v>39</v>
      </c>
      <c r="C23" t="s">
        <v>40</v>
      </c>
    </row>
    <row r="24" spans="1:16" x14ac:dyDescent="0.25">
      <c r="A24" t="s">
        <v>41</v>
      </c>
      <c r="C24" t="s">
        <v>42</v>
      </c>
    </row>
    <row r="25" spans="1:16" x14ac:dyDescent="0.25">
      <c r="A25" t="s">
        <v>43</v>
      </c>
      <c r="C25" t="s">
        <v>44</v>
      </c>
    </row>
    <row r="26" spans="1:16" x14ac:dyDescent="0.25">
      <c r="A26" t="s">
        <v>45</v>
      </c>
      <c r="C26" t="s">
        <v>46</v>
      </c>
    </row>
    <row r="27" spans="1:16" x14ac:dyDescent="0.25">
      <c r="A27">
        <v>10021</v>
      </c>
      <c r="C27" t="s">
        <v>47</v>
      </c>
    </row>
    <row r="28" spans="1:16" x14ac:dyDescent="0.25">
      <c r="A28">
        <v>10024</v>
      </c>
      <c r="C28" t="s">
        <v>48</v>
      </c>
    </row>
    <row r="29" spans="1:16" x14ac:dyDescent="0.25">
      <c r="A29">
        <v>10025</v>
      </c>
      <c r="C29" t="s">
        <v>49</v>
      </c>
    </row>
    <row r="30" spans="1:16" x14ac:dyDescent="0.25">
      <c r="A30">
        <v>10026</v>
      </c>
      <c r="C30" t="s">
        <v>50</v>
      </c>
    </row>
    <row r="31" spans="1:16" x14ac:dyDescent="0.25">
      <c r="A31">
        <v>10027</v>
      </c>
      <c r="C31" t="s">
        <v>51</v>
      </c>
      <c r="D31">
        <v>3040.491</v>
      </c>
      <c r="E31">
        <v>3659.9740000000002</v>
      </c>
      <c r="F31">
        <v>3709.2840000000001</v>
      </c>
      <c r="G31">
        <v>4499.7520000000004</v>
      </c>
      <c r="H31">
        <v>5996.2780000000002</v>
      </c>
      <c r="I31">
        <v>4590.3639999999996</v>
      </c>
      <c r="J31">
        <v>4687.83</v>
      </c>
      <c r="K31">
        <v>5838.7079999999996</v>
      </c>
      <c r="L31">
        <v>6578.4359999999997</v>
      </c>
      <c r="M31">
        <v>6316.4639999999999</v>
      </c>
      <c r="N31">
        <v>6830.9809999999998</v>
      </c>
      <c r="O31">
        <v>6641.5240000000003</v>
      </c>
      <c r="P31" s="1">
        <v>62390.086000000003</v>
      </c>
    </row>
    <row r="32" spans="1:16" x14ac:dyDescent="0.25">
      <c r="A32">
        <v>10028</v>
      </c>
      <c r="C32" t="s">
        <v>52</v>
      </c>
    </row>
    <row r="33" spans="1:16" x14ac:dyDescent="0.25">
      <c r="A33">
        <v>10023</v>
      </c>
      <c r="C33" t="s">
        <v>53</v>
      </c>
    </row>
    <row r="34" spans="1:16" x14ac:dyDescent="0.25">
      <c r="A34">
        <v>10029</v>
      </c>
      <c r="C34" t="s">
        <v>54</v>
      </c>
    </row>
    <row r="35" spans="1:16" x14ac:dyDescent="0.25">
      <c r="A35">
        <v>10030</v>
      </c>
      <c r="C35" t="s">
        <v>55</v>
      </c>
    </row>
    <row r="36" spans="1:16" x14ac:dyDescent="0.25">
      <c r="A36">
        <v>10040</v>
      </c>
      <c r="C36" t="s">
        <v>56</v>
      </c>
    </row>
    <row r="37" spans="1:16" x14ac:dyDescent="0.25">
      <c r="A37" t="s">
        <v>57</v>
      </c>
      <c r="C37" t="s">
        <v>58</v>
      </c>
    </row>
    <row r="38" spans="1:16" x14ac:dyDescent="0.25">
      <c r="A38" t="s">
        <v>59</v>
      </c>
      <c r="C38" t="s">
        <v>60</v>
      </c>
    </row>
    <row r="39" spans="1:16" x14ac:dyDescent="0.25">
      <c r="A39">
        <v>10045</v>
      </c>
      <c r="C39" t="s">
        <v>61</v>
      </c>
    </row>
    <row r="40" spans="1:16" x14ac:dyDescent="0.25">
      <c r="A40">
        <v>10055</v>
      </c>
      <c r="C40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P40" s="1">
        <v>0</v>
      </c>
    </row>
    <row r="41" spans="1:16" x14ac:dyDescent="0.25">
      <c r="A41">
        <v>10058</v>
      </c>
      <c r="C41" t="s">
        <v>63</v>
      </c>
    </row>
    <row r="42" spans="1:16" x14ac:dyDescent="0.25">
      <c r="A42">
        <v>10060</v>
      </c>
      <c r="C42" t="s">
        <v>64</v>
      </c>
    </row>
    <row r="43" spans="1:16" x14ac:dyDescent="0.25">
      <c r="A43">
        <v>10062</v>
      </c>
      <c r="C43" t="s">
        <v>65</v>
      </c>
    </row>
    <row r="44" spans="1:16" x14ac:dyDescent="0.25">
      <c r="A44">
        <v>10065</v>
      </c>
      <c r="C44" t="s">
        <v>66</v>
      </c>
    </row>
    <row r="45" spans="1:16" x14ac:dyDescent="0.25">
      <c r="A45">
        <v>10069</v>
      </c>
      <c r="C45" t="s">
        <v>67</v>
      </c>
    </row>
    <row r="46" spans="1:16" x14ac:dyDescent="0.25">
      <c r="A46">
        <v>10000</v>
      </c>
      <c r="C46" t="s">
        <v>68</v>
      </c>
      <c r="D46">
        <v>3040.491</v>
      </c>
      <c r="E46">
        <v>3659.9740000000002</v>
      </c>
      <c r="F46">
        <v>3709.2840000000001</v>
      </c>
      <c r="G46">
        <v>4499.7520000000004</v>
      </c>
      <c r="H46">
        <v>5996.2780000000002</v>
      </c>
      <c r="I46">
        <v>4590.3639999999996</v>
      </c>
      <c r="J46">
        <v>4687.83</v>
      </c>
      <c r="K46">
        <v>5838.7079999999996</v>
      </c>
      <c r="L46">
        <v>6578.4359999999997</v>
      </c>
      <c r="M46">
        <v>6316.4639999999999</v>
      </c>
      <c r="N46">
        <v>6830.9809999999998</v>
      </c>
      <c r="O46">
        <v>6641.5240000000003</v>
      </c>
      <c r="P46" s="1">
        <v>62390.086000000003</v>
      </c>
    </row>
    <row r="48" spans="1:16" x14ac:dyDescent="0.25">
      <c r="A48">
        <v>10306</v>
      </c>
      <c r="C48" t="s">
        <v>69</v>
      </c>
    </row>
    <row r="49" spans="1:3" x14ac:dyDescent="0.25">
      <c r="A49">
        <v>10308</v>
      </c>
      <c r="C49" t="s">
        <v>70</v>
      </c>
    </row>
    <row r="50" spans="1:3" x14ac:dyDescent="0.25">
      <c r="A50">
        <v>10310</v>
      </c>
      <c r="C50" t="s">
        <v>71</v>
      </c>
    </row>
    <row r="51" spans="1:3" x14ac:dyDescent="0.25">
      <c r="A51">
        <v>10315</v>
      </c>
      <c r="C51" t="s">
        <v>72</v>
      </c>
    </row>
    <row r="52" spans="1:3" x14ac:dyDescent="0.25">
      <c r="A52" t="s">
        <v>20</v>
      </c>
      <c r="C52" t="s">
        <v>73</v>
      </c>
    </row>
    <row r="53" spans="1:3" x14ac:dyDescent="0.25">
      <c r="A53" t="s">
        <v>22</v>
      </c>
      <c r="C53" t="s">
        <v>74</v>
      </c>
    </row>
    <row r="54" spans="1:3" x14ac:dyDescent="0.25">
      <c r="A54" t="s">
        <v>24</v>
      </c>
      <c r="C54" t="s">
        <v>75</v>
      </c>
    </row>
    <row r="55" spans="1:3" x14ac:dyDescent="0.25">
      <c r="A55" t="s">
        <v>26</v>
      </c>
      <c r="C55" t="s">
        <v>76</v>
      </c>
    </row>
    <row r="56" spans="1:3" x14ac:dyDescent="0.25">
      <c r="A56">
        <v>10320</v>
      </c>
      <c r="C56" t="s">
        <v>77</v>
      </c>
    </row>
    <row r="57" spans="1:3" x14ac:dyDescent="0.25">
      <c r="A57">
        <v>10316</v>
      </c>
      <c r="C57" t="s">
        <v>78</v>
      </c>
    </row>
    <row r="58" spans="1:3" x14ac:dyDescent="0.25">
      <c r="A58">
        <v>10317</v>
      </c>
      <c r="C58" t="s">
        <v>79</v>
      </c>
    </row>
    <row r="59" spans="1:3" x14ac:dyDescent="0.25">
      <c r="A59" t="s">
        <v>80</v>
      </c>
      <c r="C59" t="s">
        <v>81</v>
      </c>
    </row>
    <row r="60" spans="1:3" x14ac:dyDescent="0.25">
      <c r="A60" t="s">
        <v>82</v>
      </c>
      <c r="C60" t="s">
        <v>83</v>
      </c>
    </row>
    <row r="61" spans="1:3" x14ac:dyDescent="0.25">
      <c r="A61">
        <v>10318</v>
      </c>
      <c r="C61" t="s">
        <v>84</v>
      </c>
    </row>
    <row r="62" spans="1:3" x14ac:dyDescent="0.25">
      <c r="A62">
        <v>10319</v>
      </c>
      <c r="C62" t="s">
        <v>85</v>
      </c>
    </row>
    <row r="63" spans="1:3" x14ac:dyDescent="0.25">
      <c r="A63" t="s">
        <v>86</v>
      </c>
      <c r="C63" t="s">
        <v>87</v>
      </c>
    </row>
    <row r="64" spans="1:3" x14ac:dyDescent="0.25">
      <c r="A64" t="s">
        <v>39</v>
      </c>
      <c r="C64" t="s">
        <v>88</v>
      </c>
    </row>
    <row r="65" spans="1:3" x14ac:dyDescent="0.25">
      <c r="A65" t="s">
        <v>41</v>
      </c>
      <c r="C65" t="s">
        <v>89</v>
      </c>
    </row>
    <row r="66" spans="1:3" x14ac:dyDescent="0.25">
      <c r="A66" t="s">
        <v>43</v>
      </c>
      <c r="C66" t="s">
        <v>90</v>
      </c>
    </row>
    <row r="67" spans="1:3" x14ac:dyDescent="0.25">
      <c r="A67" t="s">
        <v>45</v>
      </c>
      <c r="C67" t="s">
        <v>91</v>
      </c>
    </row>
    <row r="68" spans="1:3" x14ac:dyDescent="0.25">
      <c r="A68">
        <v>10321</v>
      </c>
      <c r="C68" t="s">
        <v>92</v>
      </c>
    </row>
    <row r="69" spans="1:3" x14ac:dyDescent="0.25">
      <c r="A69">
        <v>10324</v>
      </c>
      <c r="C69" t="s">
        <v>93</v>
      </c>
    </row>
    <row r="70" spans="1:3" x14ac:dyDescent="0.25">
      <c r="A70">
        <v>10325</v>
      </c>
      <c r="C70" t="s">
        <v>94</v>
      </c>
    </row>
    <row r="71" spans="1:3" x14ac:dyDescent="0.25">
      <c r="A71">
        <v>10326</v>
      </c>
      <c r="C71" t="s">
        <v>95</v>
      </c>
    </row>
    <row r="72" spans="1:3" x14ac:dyDescent="0.25">
      <c r="A72">
        <v>10327</v>
      </c>
      <c r="C72" t="s">
        <v>96</v>
      </c>
    </row>
    <row r="73" spans="1:3" x14ac:dyDescent="0.25">
      <c r="A73">
        <v>10323</v>
      </c>
      <c r="C73" t="s">
        <v>97</v>
      </c>
    </row>
    <row r="74" spans="1:3" x14ac:dyDescent="0.25">
      <c r="A74">
        <v>10329</v>
      </c>
      <c r="C74" t="s">
        <v>98</v>
      </c>
    </row>
    <row r="75" spans="1:3" x14ac:dyDescent="0.25">
      <c r="A75">
        <v>10330</v>
      </c>
      <c r="C75" t="s">
        <v>99</v>
      </c>
    </row>
    <row r="76" spans="1:3" x14ac:dyDescent="0.25">
      <c r="A76">
        <v>10335</v>
      </c>
      <c r="C76" t="s">
        <v>100</v>
      </c>
    </row>
    <row r="77" spans="1:3" x14ac:dyDescent="0.25">
      <c r="A77" t="s">
        <v>57</v>
      </c>
      <c r="C77" t="s">
        <v>101</v>
      </c>
    </row>
    <row r="78" spans="1:3" x14ac:dyDescent="0.25">
      <c r="A78" t="s">
        <v>59</v>
      </c>
      <c r="C78" t="s">
        <v>102</v>
      </c>
    </row>
    <row r="79" spans="1:3" x14ac:dyDescent="0.25">
      <c r="A79">
        <v>10345</v>
      </c>
      <c r="C79" t="s">
        <v>103</v>
      </c>
    </row>
    <row r="80" spans="1:3" x14ac:dyDescent="0.25">
      <c r="A80">
        <v>10350</v>
      </c>
      <c r="C80" t="s">
        <v>104</v>
      </c>
    </row>
    <row r="81" spans="1:16" x14ac:dyDescent="0.25">
      <c r="A81">
        <v>10355</v>
      </c>
      <c r="C81" t="s">
        <v>105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P81" s="1">
        <v>0</v>
      </c>
    </row>
    <row r="82" spans="1:16" x14ac:dyDescent="0.25">
      <c r="A82">
        <v>10358</v>
      </c>
      <c r="C82" t="s">
        <v>106</v>
      </c>
    </row>
    <row r="83" spans="1:16" x14ac:dyDescent="0.25">
      <c r="A83">
        <v>10360</v>
      </c>
      <c r="C83" t="s">
        <v>107</v>
      </c>
    </row>
    <row r="84" spans="1:16" x14ac:dyDescent="0.25">
      <c r="A84">
        <v>10362</v>
      </c>
      <c r="C84" t="s">
        <v>108</v>
      </c>
    </row>
    <row r="85" spans="1:16" x14ac:dyDescent="0.25">
      <c r="A85">
        <v>10300</v>
      </c>
      <c r="C85" t="s">
        <v>109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P85" s="1">
        <v>0</v>
      </c>
    </row>
    <row r="87" spans="1:16" x14ac:dyDescent="0.25">
      <c r="A87">
        <v>10906</v>
      </c>
      <c r="C87" t="s">
        <v>110</v>
      </c>
    </row>
    <row r="88" spans="1:16" x14ac:dyDescent="0.25">
      <c r="A88">
        <v>10908</v>
      </c>
      <c r="C88" t="s">
        <v>111</v>
      </c>
    </row>
    <row r="89" spans="1:16" x14ac:dyDescent="0.25">
      <c r="A89">
        <v>10910</v>
      </c>
      <c r="C89" t="s">
        <v>112</v>
      </c>
    </row>
    <row r="90" spans="1:16" x14ac:dyDescent="0.25">
      <c r="A90">
        <v>10915</v>
      </c>
      <c r="C90" t="s">
        <v>113</v>
      </c>
    </row>
    <row r="91" spans="1:16" x14ac:dyDescent="0.25">
      <c r="A91" t="s">
        <v>20</v>
      </c>
      <c r="C91" t="s">
        <v>114</v>
      </c>
    </row>
    <row r="92" spans="1:16" x14ac:dyDescent="0.25">
      <c r="A92" t="s">
        <v>22</v>
      </c>
      <c r="C92" t="s">
        <v>115</v>
      </c>
    </row>
    <row r="93" spans="1:16" x14ac:dyDescent="0.25">
      <c r="A93" t="s">
        <v>24</v>
      </c>
      <c r="C93" t="s">
        <v>116</v>
      </c>
    </row>
    <row r="94" spans="1:16" x14ac:dyDescent="0.25">
      <c r="A94" t="s">
        <v>26</v>
      </c>
      <c r="C94" t="s">
        <v>117</v>
      </c>
    </row>
    <row r="95" spans="1:16" x14ac:dyDescent="0.25">
      <c r="A95">
        <v>10920</v>
      </c>
      <c r="C95" t="s">
        <v>118</v>
      </c>
    </row>
    <row r="96" spans="1:16" x14ac:dyDescent="0.25">
      <c r="A96">
        <v>10916</v>
      </c>
      <c r="C96" t="s">
        <v>119</v>
      </c>
    </row>
    <row r="97" spans="1:16" x14ac:dyDescent="0.25">
      <c r="A97">
        <v>10917</v>
      </c>
      <c r="C97" t="s">
        <v>120</v>
      </c>
    </row>
    <row r="98" spans="1:16" x14ac:dyDescent="0.25">
      <c r="A98" t="s">
        <v>121</v>
      </c>
      <c r="C98" t="s">
        <v>122</v>
      </c>
    </row>
    <row r="99" spans="1:16" x14ac:dyDescent="0.25">
      <c r="A99" t="s">
        <v>123</v>
      </c>
      <c r="C99" t="s">
        <v>124</v>
      </c>
    </row>
    <row r="100" spans="1:16" x14ac:dyDescent="0.25">
      <c r="A100">
        <v>10918</v>
      </c>
      <c r="C100" t="s">
        <v>125</v>
      </c>
    </row>
    <row r="101" spans="1:16" x14ac:dyDescent="0.25">
      <c r="A101">
        <v>10919</v>
      </c>
      <c r="C101" t="s">
        <v>126</v>
      </c>
    </row>
    <row r="102" spans="1:16" x14ac:dyDescent="0.25">
      <c r="A102" t="s">
        <v>127</v>
      </c>
      <c r="C102" t="s">
        <v>128</v>
      </c>
    </row>
    <row r="103" spans="1:16" x14ac:dyDescent="0.25">
      <c r="A103" t="s">
        <v>39</v>
      </c>
      <c r="C103" t="s">
        <v>129</v>
      </c>
    </row>
    <row r="104" spans="1:16" x14ac:dyDescent="0.25">
      <c r="A104" t="s">
        <v>41</v>
      </c>
      <c r="C104" t="s">
        <v>130</v>
      </c>
    </row>
    <row r="105" spans="1:16" x14ac:dyDescent="0.25">
      <c r="A105" t="s">
        <v>43</v>
      </c>
      <c r="C105" t="s">
        <v>131</v>
      </c>
    </row>
    <row r="106" spans="1:16" x14ac:dyDescent="0.25">
      <c r="A106" t="s">
        <v>45</v>
      </c>
      <c r="C106" t="s">
        <v>132</v>
      </c>
    </row>
    <row r="107" spans="1:16" x14ac:dyDescent="0.25">
      <c r="A107">
        <v>10921</v>
      </c>
      <c r="C107" t="s">
        <v>133</v>
      </c>
    </row>
    <row r="108" spans="1:16" x14ac:dyDescent="0.25">
      <c r="A108">
        <v>10922</v>
      </c>
      <c r="C108" t="s">
        <v>134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 s="1">
        <v>0</v>
      </c>
    </row>
    <row r="109" spans="1:16" x14ac:dyDescent="0.25">
      <c r="A109">
        <v>10924</v>
      </c>
      <c r="C109" t="s">
        <v>135</v>
      </c>
    </row>
    <row r="110" spans="1:16" x14ac:dyDescent="0.25">
      <c r="A110">
        <v>10925</v>
      </c>
      <c r="C110" t="s">
        <v>136</v>
      </c>
    </row>
    <row r="111" spans="1:16" x14ac:dyDescent="0.25">
      <c r="A111">
        <v>10926</v>
      </c>
      <c r="C111" t="s">
        <v>137</v>
      </c>
    </row>
    <row r="112" spans="1:16" x14ac:dyDescent="0.25">
      <c r="A112">
        <v>10927</v>
      </c>
      <c r="C112" t="s">
        <v>138</v>
      </c>
      <c r="D112">
        <v>3040.491</v>
      </c>
      <c r="E112">
        <v>3659.9740000000002</v>
      </c>
      <c r="F112">
        <v>3709.2840000000001</v>
      </c>
      <c r="G112">
        <v>4499.7520000000004</v>
      </c>
      <c r="H112">
        <v>5996.2780000000002</v>
      </c>
      <c r="I112">
        <v>4590.3639999999996</v>
      </c>
      <c r="J112">
        <v>4687.83</v>
      </c>
      <c r="K112">
        <v>5838.7079999999996</v>
      </c>
      <c r="L112">
        <v>6578.4359999999997</v>
      </c>
      <c r="M112">
        <v>6316.4639999999999</v>
      </c>
      <c r="N112">
        <v>6830.9809999999998</v>
      </c>
      <c r="O112">
        <v>6641.5240000000003</v>
      </c>
      <c r="P112" s="1">
        <v>62390.086000000003</v>
      </c>
    </row>
    <row r="113" spans="1:16" x14ac:dyDescent="0.25">
      <c r="A113">
        <v>10928</v>
      </c>
      <c r="C113" t="s">
        <v>139</v>
      </c>
    </row>
    <row r="114" spans="1:16" x14ac:dyDescent="0.25">
      <c r="A114">
        <v>10923</v>
      </c>
      <c r="C114" t="s">
        <v>140</v>
      </c>
    </row>
    <row r="115" spans="1:16" x14ac:dyDescent="0.25">
      <c r="A115">
        <v>10929</v>
      </c>
      <c r="C115" t="s">
        <v>141</v>
      </c>
    </row>
    <row r="116" spans="1:16" x14ac:dyDescent="0.25">
      <c r="A116">
        <v>10930</v>
      </c>
      <c r="C116" t="s">
        <v>142</v>
      </c>
    </row>
    <row r="117" spans="1:16" x14ac:dyDescent="0.25">
      <c r="A117">
        <v>10935</v>
      </c>
      <c r="C117" t="s">
        <v>143</v>
      </c>
    </row>
    <row r="118" spans="1:16" x14ac:dyDescent="0.25">
      <c r="A118">
        <v>10940</v>
      </c>
      <c r="C118" t="s">
        <v>144</v>
      </c>
    </row>
    <row r="119" spans="1:16" x14ac:dyDescent="0.25">
      <c r="A119" t="s">
        <v>57</v>
      </c>
      <c r="C119" t="s">
        <v>145</v>
      </c>
    </row>
    <row r="120" spans="1:16" x14ac:dyDescent="0.25">
      <c r="A120" t="s">
        <v>59</v>
      </c>
      <c r="C120" t="s">
        <v>146</v>
      </c>
    </row>
    <row r="121" spans="1:16" x14ac:dyDescent="0.25">
      <c r="A121">
        <v>10945</v>
      </c>
      <c r="C121" t="s">
        <v>147</v>
      </c>
    </row>
    <row r="122" spans="1:16" x14ac:dyDescent="0.25">
      <c r="A122">
        <v>10950</v>
      </c>
      <c r="C122" t="s">
        <v>148</v>
      </c>
    </row>
    <row r="123" spans="1:16" x14ac:dyDescent="0.25">
      <c r="A123">
        <v>10955</v>
      </c>
      <c r="C123" t="s">
        <v>149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P123" s="1">
        <v>0</v>
      </c>
    </row>
    <row r="124" spans="1:16" x14ac:dyDescent="0.25">
      <c r="A124">
        <v>10958</v>
      </c>
      <c r="C124" t="s">
        <v>150</v>
      </c>
    </row>
    <row r="125" spans="1:16" x14ac:dyDescent="0.25">
      <c r="A125">
        <v>10960</v>
      </c>
      <c r="C125" t="s">
        <v>151</v>
      </c>
    </row>
    <row r="126" spans="1:16" x14ac:dyDescent="0.25">
      <c r="A126">
        <v>10962</v>
      </c>
      <c r="C126" t="s">
        <v>152</v>
      </c>
    </row>
    <row r="127" spans="1:16" x14ac:dyDescent="0.25">
      <c r="A127">
        <v>10965</v>
      </c>
      <c r="C127" t="s">
        <v>153</v>
      </c>
    </row>
    <row r="128" spans="1:16" x14ac:dyDescent="0.25">
      <c r="A128">
        <v>10969</v>
      </c>
      <c r="C128" t="s">
        <v>154</v>
      </c>
    </row>
    <row r="129" spans="1:16" x14ac:dyDescent="0.25">
      <c r="A129">
        <v>10900</v>
      </c>
      <c r="C129" t="s">
        <v>155</v>
      </c>
      <c r="D129">
        <v>3040.491</v>
      </c>
      <c r="E129">
        <v>3659.9740000000002</v>
      </c>
      <c r="F129">
        <v>3709.2840000000001</v>
      </c>
      <c r="G129">
        <v>4499.7520000000004</v>
      </c>
      <c r="H129">
        <v>5996.2780000000002</v>
      </c>
      <c r="I129">
        <v>4590.3639999999996</v>
      </c>
      <c r="J129">
        <v>4687.83</v>
      </c>
      <c r="K129">
        <v>5838.7079999999996</v>
      </c>
      <c r="L129">
        <v>6578.4359999999997</v>
      </c>
      <c r="M129">
        <v>6316.4639999999999</v>
      </c>
      <c r="N129">
        <v>6830.9809999999998</v>
      </c>
      <c r="O129">
        <v>6641.5240000000003</v>
      </c>
      <c r="P129" s="1">
        <v>62390.086000000003</v>
      </c>
    </row>
    <row r="131" spans="1:16" x14ac:dyDescent="0.25">
      <c r="A131">
        <v>12900</v>
      </c>
      <c r="C131" t="s">
        <v>156</v>
      </c>
      <c r="D131">
        <v>2088.0309999999999</v>
      </c>
      <c r="E131">
        <v>2038.405</v>
      </c>
      <c r="F131">
        <v>2087.8919999999998</v>
      </c>
      <c r="G131">
        <v>2712.261</v>
      </c>
      <c r="H131">
        <v>3690.7080000000001</v>
      </c>
      <c r="I131">
        <v>2199.5070000000001</v>
      </c>
      <c r="J131">
        <v>2506.7159999999999</v>
      </c>
      <c r="K131">
        <v>3529.8670000000002</v>
      </c>
      <c r="L131">
        <v>3949.4949999999999</v>
      </c>
      <c r="M131">
        <v>3821.46</v>
      </c>
      <c r="N131">
        <v>4132.7439999999997</v>
      </c>
      <c r="O131">
        <v>3865.154</v>
      </c>
      <c r="P131" s="1">
        <v>36622.239999999998</v>
      </c>
    </row>
    <row r="133" spans="1:16" x14ac:dyDescent="0.25">
      <c r="A133">
        <v>13900</v>
      </c>
      <c r="C133" t="s">
        <v>157</v>
      </c>
      <c r="D133">
        <v>952.46</v>
      </c>
      <c r="E133">
        <v>1621.569</v>
      </c>
      <c r="F133">
        <v>1621.3920000000001</v>
      </c>
      <c r="G133">
        <v>1787.491</v>
      </c>
      <c r="H133">
        <v>2305.5700000000002</v>
      </c>
      <c r="I133">
        <v>2390.857</v>
      </c>
      <c r="J133">
        <v>2181.114</v>
      </c>
      <c r="K133">
        <v>2308.8409999999999</v>
      </c>
      <c r="L133">
        <v>2628.9409999999998</v>
      </c>
      <c r="M133">
        <v>2495.0039999999999</v>
      </c>
      <c r="N133">
        <v>2698.2370000000001</v>
      </c>
      <c r="O133">
        <v>2776.37</v>
      </c>
      <c r="P133" s="1">
        <v>25767.846000000001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9"/>
  <sheetViews>
    <sheetView workbookViewId="0">
      <selection activeCell="F44" sqref="F44"/>
    </sheetView>
  </sheetViews>
  <sheetFormatPr defaultRowHeight="15" x14ac:dyDescent="0.25"/>
  <cols>
    <col min="1" max="1" width="13.5703125" bestFit="1" customWidth="1"/>
    <col min="2" max="2" width="12.85546875" bestFit="1" customWidth="1"/>
    <col min="3" max="3" width="44.7109375" bestFit="1" customWidth="1"/>
    <col min="5" max="16" width="13.28515625" bestFit="1" customWidth="1"/>
    <col min="17" max="17" width="14.28515625" style="1" bestFit="1" customWidth="1"/>
  </cols>
  <sheetData>
    <row r="1" spans="1:17" x14ac:dyDescent="0.25">
      <c r="A1" t="s">
        <v>287</v>
      </c>
      <c r="E1" s="7">
        <v>42370</v>
      </c>
      <c r="F1" s="7">
        <v>42401</v>
      </c>
      <c r="G1" s="7">
        <v>42430</v>
      </c>
      <c r="H1" s="7">
        <v>42461</v>
      </c>
      <c r="I1" s="7">
        <v>42491</v>
      </c>
      <c r="J1" s="7">
        <v>42522</v>
      </c>
      <c r="K1" s="7">
        <v>42552</v>
      </c>
      <c r="L1" s="7">
        <v>42583</v>
      </c>
      <c r="M1" s="7">
        <v>42614</v>
      </c>
      <c r="N1" s="7">
        <v>42644</v>
      </c>
      <c r="O1" s="7">
        <v>42675</v>
      </c>
      <c r="P1" s="7">
        <v>42705</v>
      </c>
      <c r="Q1" s="1" t="s">
        <v>12</v>
      </c>
    </row>
    <row r="3" spans="1:17" x14ac:dyDescent="0.25">
      <c r="A3" s="2" t="s">
        <v>158</v>
      </c>
      <c r="B3" t="s">
        <v>167</v>
      </c>
      <c r="C3" s="2" t="s">
        <v>159</v>
      </c>
      <c r="D3" s="2"/>
      <c r="E3" s="3"/>
      <c r="F3" s="3"/>
      <c r="G3" s="3"/>
      <c r="H3" s="3"/>
      <c r="I3" s="3"/>
      <c r="J3" s="3">
        <v>0</v>
      </c>
      <c r="K3" s="3">
        <v>0</v>
      </c>
      <c r="L3" s="3">
        <v>0</v>
      </c>
      <c r="M3" s="3">
        <v>0</v>
      </c>
      <c r="N3" s="3"/>
      <c r="O3" s="3"/>
      <c r="P3" s="3"/>
      <c r="Q3" s="4">
        <f t="shared" ref="Q3:Q70" si="0">SUM(E3:P3)</f>
        <v>0</v>
      </c>
    </row>
    <row r="4" spans="1:17" x14ac:dyDescent="0.25">
      <c r="A4" s="2" t="s">
        <v>158</v>
      </c>
      <c r="B4" t="s">
        <v>167</v>
      </c>
      <c r="C4" s="2" t="s">
        <v>160</v>
      </c>
      <c r="D4" s="2"/>
      <c r="E4" s="3"/>
      <c r="F4" s="3"/>
      <c r="G4" s="3"/>
      <c r="H4" s="3"/>
      <c r="I4" s="3"/>
      <c r="J4" s="3">
        <v>0</v>
      </c>
      <c r="K4" s="3">
        <v>0</v>
      </c>
      <c r="L4" s="3">
        <v>0</v>
      </c>
      <c r="M4" s="3">
        <v>0</v>
      </c>
      <c r="N4" s="3"/>
      <c r="O4" s="3"/>
      <c r="P4" s="3"/>
      <c r="Q4" s="4">
        <f t="shared" si="0"/>
        <v>0</v>
      </c>
    </row>
    <row r="5" spans="1:17" x14ac:dyDescent="0.25">
      <c r="A5" s="2" t="s">
        <v>158</v>
      </c>
      <c r="B5" t="s">
        <v>167</v>
      </c>
      <c r="C5" s="2" t="s">
        <v>161</v>
      </c>
      <c r="D5" s="2"/>
      <c r="E5" s="3">
        <v>42446.909000000007</v>
      </c>
      <c r="F5" s="3">
        <f>13397.21</f>
        <v>13397.21</v>
      </c>
      <c r="G5" s="3"/>
      <c r="H5" s="3"/>
      <c r="I5" s="3">
        <f>10252.28</f>
        <v>10252.280000000001</v>
      </c>
      <c r="J5" s="3">
        <v>0</v>
      </c>
      <c r="K5" s="3">
        <v>0</v>
      </c>
      <c r="L5" s="3">
        <v>0</v>
      </c>
      <c r="M5" s="3">
        <v>0</v>
      </c>
      <c r="N5" s="3"/>
      <c r="O5" s="3"/>
      <c r="P5" s="3"/>
      <c r="Q5" s="4">
        <f t="shared" si="0"/>
        <v>66096.399000000005</v>
      </c>
    </row>
    <row r="6" spans="1:17" x14ac:dyDescent="0.25">
      <c r="A6" s="2" t="s">
        <v>158</v>
      </c>
      <c r="B6" t="s">
        <v>167</v>
      </c>
      <c r="C6" s="2" t="s">
        <v>162</v>
      </c>
      <c r="D6" s="2"/>
      <c r="E6" s="3"/>
      <c r="F6" s="3"/>
      <c r="G6" s="3"/>
      <c r="H6" s="3"/>
      <c r="I6" s="3"/>
      <c r="J6" s="3">
        <v>0</v>
      </c>
      <c r="K6" s="3">
        <v>0</v>
      </c>
      <c r="L6" s="3">
        <v>0</v>
      </c>
      <c r="M6" s="3">
        <v>0</v>
      </c>
      <c r="N6" s="3"/>
      <c r="O6" s="5"/>
      <c r="P6" s="5">
        <v>20566</v>
      </c>
      <c r="Q6" s="4">
        <f t="shared" si="0"/>
        <v>20566</v>
      </c>
    </row>
    <row r="7" spans="1:17" x14ac:dyDescent="0.25">
      <c r="A7" s="2" t="s">
        <v>158</v>
      </c>
      <c r="B7" t="s">
        <v>167</v>
      </c>
      <c r="C7" s="2" t="s">
        <v>163</v>
      </c>
      <c r="D7" s="2"/>
      <c r="E7" s="3">
        <v>134671.989</v>
      </c>
      <c r="F7" s="3">
        <f>172727.42</f>
        <v>172727.42</v>
      </c>
      <c r="G7" s="3">
        <v>88202.34</v>
      </c>
      <c r="H7" s="3">
        <f>111854.63</f>
        <v>111854.63</v>
      </c>
      <c r="I7" s="3">
        <f>156213.53</f>
        <v>156213.53</v>
      </c>
      <c r="J7" s="3">
        <v>95860.255000000005</v>
      </c>
      <c r="K7" s="3">
        <v>227090.34743000002</v>
      </c>
      <c r="L7" s="3">
        <v>154362.07103999998</v>
      </c>
      <c r="M7" s="3">
        <v>119113.63844999998</v>
      </c>
      <c r="N7" s="3">
        <v>141612</v>
      </c>
      <c r="O7" s="3">
        <v>178367</v>
      </c>
      <c r="P7" s="3">
        <v>64941.999999999993</v>
      </c>
      <c r="Q7" s="4">
        <f t="shared" si="0"/>
        <v>1645017.22092</v>
      </c>
    </row>
    <row r="8" spans="1:17" x14ac:dyDescent="0.25">
      <c r="A8" s="2" t="s">
        <v>158</v>
      </c>
      <c r="B8" t="s">
        <v>167</v>
      </c>
      <c r="C8" s="2" t="s">
        <v>164</v>
      </c>
      <c r="D8" s="2"/>
      <c r="E8" s="3"/>
      <c r="F8" s="3"/>
      <c r="G8" s="3"/>
      <c r="H8" s="3"/>
      <c r="I8" s="3"/>
      <c r="J8" s="3">
        <v>0</v>
      </c>
      <c r="K8" s="3">
        <v>0</v>
      </c>
      <c r="L8" s="3">
        <v>0</v>
      </c>
      <c r="M8" s="3">
        <v>0</v>
      </c>
      <c r="N8" s="3"/>
      <c r="O8" s="3"/>
      <c r="P8" s="3"/>
      <c r="Q8" s="4">
        <f t="shared" si="0"/>
        <v>0</v>
      </c>
    </row>
    <row r="9" spans="1:17" x14ac:dyDescent="0.25">
      <c r="A9" s="2" t="s">
        <v>158</v>
      </c>
      <c r="B9" t="s">
        <v>167</v>
      </c>
      <c r="C9" s="2" t="s">
        <v>165</v>
      </c>
      <c r="D9" s="2"/>
      <c r="E9" s="3"/>
      <c r="F9" s="3"/>
      <c r="G9" s="3"/>
      <c r="H9" s="3"/>
      <c r="I9" s="3"/>
      <c r="J9" s="3">
        <v>0</v>
      </c>
      <c r="K9" s="3">
        <v>0</v>
      </c>
      <c r="L9" s="3">
        <v>0</v>
      </c>
      <c r="M9" s="3">
        <v>40994.668999999994</v>
      </c>
      <c r="N9" s="3">
        <v>40000</v>
      </c>
      <c r="O9" s="3"/>
      <c r="P9" s="3"/>
      <c r="Q9" s="4">
        <f t="shared" si="0"/>
        <v>80994.668999999994</v>
      </c>
    </row>
    <row r="10" spans="1:17" x14ac:dyDescent="0.25">
      <c r="A10" s="2" t="s">
        <v>158</v>
      </c>
      <c r="B10" t="s">
        <v>167</v>
      </c>
      <c r="C10" s="2" t="s">
        <v>166</v>
      </c>
      <c r="D10" s="2"/>
      <c r="E10" s="3">
        <v>5001.57</v>
      </c>
      <c r="F10" s="3">
        <f>9407.87</f>
        <v>9407.8700000000008</v>
      </c>
      <c r="G10" s="3">
        <f>-337.27+22251.19</f>
        <v>21913.919999999998</v>
      </c>
      <c r="H10" s="3">
        <f>2859.1525-695.32</f>
        <v>2163.8325</v>
      </c>
      <c r="I10" s="3">
        <f>1899.75</f>
        <v>1899.75</v>
      </c>
      <c r="J10" s="3">
        <v>10000.1235</v>
      </c>
      <c r="K10" s="3">
        <v>0</v>
      </c>
      <c r="L10" s="3">
        <v>0</v>
      </c>
      <c r="M10" s="3">
        <v>0</v>
      </c>
      <c r="N10" s="3">
        <v>15000</v>
      </c>
      <c r="O10" s="3">
        <v>10000</v>
      </c>
      <c r="P10" s="3">
        <v>15000</v>
      </c>
      <c r="Q10" s="4">
        <f t="shared" si="0"/>
        <v>90387.065999999992</v>
      </c>
    </row>
    <row r="11" spans="1:17" x14ac:dyDescent="0.25">
      <c r="A11" s="2" t="s">
        <v>158</v>
      </c>
      <c r="B11" t="s">
        <v>167</v>
      </c>
      <c r="C11" s="2" t="s">
        <v>168</v>
      </c>
      <c r="D11" s="2"/>
      <c r="E11" s="3"/>
      <c r="F11" s="3"/>
      <c r="G11" s="3"/>
      <c r="H11" s="3"/>
      <c r="I11" s="3"/>
      <c r="J11" s="3">
        <v>-60.12</v>
      </c>
      <c r="K11" s="3">
        <v>0</v>
      </c>
      <c r="L11" s="3">
        <v>0</v>
      </c>
      <c r="M11" s="3">
        <v>0</v>
      </c>
      <c r="N11" s="3">
        <v>47500</v>
      </c>
      <c r="O11" s="3">
        <v>19000</v>
      </c>
      <c r="P11" s="3">
        <v>38000</v>
      </c>
      <c r="Q11" s="4">
        <f t="shared" si="0"/>
        <v>104439.88</v>
      </c>
    </row>
    <row r="12" spans="1:17" x14ac:dyDescent="0.25">
      <c r="A12" s="2" t="s">
        <v>158</v>
      </c>
      <c r="B12" t="s">
        <v>167</v>
      </c>
      <c r="C12" s="2" t="s">
        <v>169</v>
      </c>
      <c r="D12" s="2"/>
      <c r="E12" s="6">
        <v>31884.57</v>
      </c>
      <c r="F12" s="3">
        <f>7205.7</f>
        <v>7205.7</v>
      </c>
      <c r="G12" s="3">
        <v>49136.37</v>
      </c>
      <c r="H12" s="3">
        <f>19903.05157+31857.14</f>
        <v>51760.191569999995</v>
      </c>
      <c r="I12" s="3">
        <f>71407.62</f>
        <v>71407.62</v>
      </c>
      <c r="J12" s="3">
        <v>49435.324009999989</v>
      </c>
      <c r="K12" s="3">
        <v>47840.623760000002</v>
      </c>
      <c r="L12" s="3">
        <v>2035.8530000000001</v>
      </c>
      <c r="M12" s="3">
        <v>17278.228499999997</v>
      </c>
      <c r="N12" s="3">
        <v>40000</v>
      </c>
      <c r="O12" s="3">
        <v>0</v>
      </c>
      <c r="P12" s="3">
        <v>18400</v>
      </c>
      <c r="Q12" s="4">
        <f t="shared" si="0"/>
        <v>386384.48083999997</v>
      </c>
    </row>
    <row r="13" spans="1:17" x14ac:dyDescent="0.25">
      <c r="A13" s="2" t="s">
        <v>158</v>
      </c>
      <c r="B13" t="s">
        <v>167</v>
      </c>
      <c r="C13" s="2" t="s">
        <v>170</v>
      </c>
      <c r="D13" s="2"/>
      <c r="E13" s="6">
        <v>3157.9</v>
      </c>
      <c r="F13" s="3">
        <f>13340.11</f>
        <v>13340.11</v>
      </c>
      <c r="G13" s="3">
        <v>18436.009999999998</v>
      </c>
      <c r="H13" s="3">
        <f>18813.52</f>
        <v>18813.52</v>
      </c>
      <c r="I13" s="3">
        <f>12644.87</f>
        <v>12644.87</v>
      </c>
      <c r="J13" s="3">
        <v>-342.4</v>
      </c>
      <c r="K13" s="3">
        <v>0</v>
      </c>
      <c r="L13" s="3">
        <v>0</v>
      </c>
      <c r="M13" s="3">
        <v>0</v>
      </c>
      <c r="N13" s="3"/>
      <c r="O13" s="3"/>
      <c r="P13" s="3"/>
      <c r="Q13" s="4">
        <f t="shared" si="0"/>
        <v>66050.010000000009</v>
      </c>
    </row>
    <row r="14" spans="1:17" x14ac:dyDescent="0.25">
      <c r="A14" s="2" t="s">
        <v>158</v>
      </c>
      <c r="B14" t="s">
        <v>167</v>
      </c>
      <c r="C14" s="2" t="s">
        <v>171</v>
      </c>
      <c r="D14" s="2"/>
      <c r="E14" s="6"/>
      <c r="F14" s="3"/>
      <c r="G14" s="3"/>
      <c r="H14" s="3"/>
      <c r="I14" s="6"/>
      <c r="J14" s="3">
        <v>0</v>
      </c>
      <c r="K14" s="3">
        <v>0</v>
      </c>
      <c r="L14" s="3">
        <v>0</v>
      </c>
      <c r="M14" s="3">
        <v>0</v>
      </c>
      <c r="N14" s="3"/>
      <c r="O14" s="3"/>
      <c r="P14" s="3"/>
      <c r="Q14" s="4">
        <f t="shared" si="0"/>
        <v>0</v>
      </c>
    </row>
    <row r="15" spans="1:17" x14ac:dyDescent="0.25">
      <c r="A15" s="2" t="s">
        <v>158</v>
      </c>
      <c r="B15" t="s">
        <v>167</v>
      </c>
      <c r="C15" s="2" t="s">
        <v>172</v>
      </c>
      <c r="D15" s="2"/>
      <c r="E15" s="6"/>
      <c r="F15" s="3"/>
      <c r="G15" s="3">
        <v>2518.83</v>
      </c>
      <c r="H15" s="3">
        <f>6716.51</f>
        <v>6716.51</v>
      </c>
      <c r="I15" s="3">
        <v>4322.03</v>
      </c>
      <c r="J15" s="3">
        <v>6477.2669999999998</v>
      </c>
      <c r="K15" s="3">
        <v>3956.4014999999999</v>
      </c>
      <c r="L15" s="3">
        <v>6097.3050000000003</v>
      </c>
      <c r="M15" s="3">
        <v>3323.6399999999994</v>
      </c>
      <c r="N15" s="3">
        <v>6407.58</v>
      </c>
      <c r="O15" s="3">
        <v>5580.8</v>
      </c>
      <c r="P15" s="3">
        <v>8267.85</v>
      </c>
      <c r="Q15" s="4">
        <f t="shared" si="0"/>
        <v>53668.213500000005</v>
      </c>
    </row>
    <row r="16" spans="1:17" x14ac:dyDescent="0.25">
      <c r="A16" s="2" t="s">
        <v>158</v>
      </c>
      <c r="B16" t="s">
        <v>167</v>
      </c>
      <c r="C16" s="2" t="s">
        <v>173</v>
      </c>
      <c r="D16" s="2"/>
      <c r="E16" s="6"/>
      <c r="F16" s="3"/>
      <c r="G16" s="3"/>
      <c r="H16" s="3">
        <f>3171.57</f>
        <v>3171.57</v>
      </c>
      <c r="I16" s="6">
        <f>2753.43</f>
        <v>2753.43</v>
      </c>
      <c r="J16" s="3">
        <v>3170.8040000000001</v>
      </c>
      <c r="K16" s="3">
        <v>3253.6120000000001</v>
      </c>
      <c r="L16" s="3">
        <v>2788.5880000000002</v>
      </c>
      <c r="M16" s="3">
        <v>2453.2600000000002</v>
      </c>
      <c r="N16" s="3">
        <v>3019.16</v>
      </c>
      <c r="O16" s="3">
        <v>2921.7599999999998</v>
      </c>
      <c r="P16" s="3">
        <v>0</v>
      </c>
      <c r="Q16" s="4">
        <f t="shared" si="0"/>
        <v>23532.184000000001</v>
      </c>
    </row>
    <row r="17" spans="1:17" x14ac:dyDescent="0.25">
      <c r="A17" s="2" t="s">
        <v>158</v>
      </c>
      <c r="B17" t="s">
        <v>167</v>
      </c>
      <c r="C17" s="2" t="s">
        <v>174</v>
      </c>
      <c r="D17" s="2"/>
      <c r="E17" s="6"/>
      <c r="F17" s="3"/>
      <c r="G17" s="3"/>
      <c r="H17" s="3"/>
      <c r="I17" s="6">
        <f>22476</f>
        <v>22476</v>
      </c>
      <c r="J17" s="3">
        <v>0</v>
      </c>
      <c r="K17" s="3">
        <v>30471.405999999995</v>
      </c>
      <c r="L17" s="3">
        <v>38770.112999999998</v>
      </c>
      <c r="M17" s="3">
        <v>28960.595999999998</v>
      </c>
      <c r="N17" s="3">
        <v>25000</v>
      </c>
      <c r="O17" s="3">
        <v>30000</v>
      </c>
      <c r="P17" s="3">
        <v>30000</v>
      </c>
      <c r="Q17" s="4">
        <f t="shared" si="0"/>
        <v>205678.11499999999</v>
      </c>
    </row>
    <row r="18" spans="1:17" x14ac:dyDescent="0.25">
      <c r="A18" s="2" t="s">
        <v>158</v>
      </c>
      <c r="B18" t="s">
        <v>167</v>
      </c>
      <c r="C18" s="2" t="s">
        <v>175</v>
      </c>
      <c r="D18" s="2"/>
      <c r="E18" s="6"/>
      <c r="F18" s="3"/>
      <c r="G18" s="3">
        <v>19616.115999999998</v>
      </c>
      <c r="H18" s="3">
        <f>82318.81</f>
        <v>82318.81</v>
      </c>
      <c r="I18" s="6">
        <f>61377.45</f>
        <v>61377.45</v>
      </c>
      <c r="J18" s="3">
        <v>24813.22</v>
      </c>
      <c r="K18" s="3">
        <v>5000</v>
      </c>
      <c r="L18" s="3">
        <v>7322.1419999999998</v>
      </c>
      <c r="M18" s="3">
        <v>98393.070999999996</v>
      </c>
      <c r="N18" s="3"/>
      <c r="O18" s="3"/>
      <c r="P18" s="3"/>
      <c r="Q18" s="4">
        <f t="shared" si="0"/>
        <v>298840.80900000001</v>
      </c>
    </row>
    <row r="19" spans="1:17" x14ac:dyDescent="0.25">
      <c r="A19" s="2" t="s">
        <v>158</v>
      </c>
      <c r="B19" t="s">
        <v>167</v>
      </c>
      <c r="C19" s="2" t="s">
        <v>176</v>
      </c>
      <c r="D19" s="2"/>
      <c r="E19" s="6"/>
      <c r="F19" s="3"/>
      <c r="G19" s="3">
        <v>23204.76</v>
      </c>
      <c r="H19" s="3">
        <f>29114.864</f>
        <v>29114.864000000001</v>
      </c>
      <c r="I19" s="6">
        <f>7680.36</f>
        <v>7680.36</v>
      </c>
      <c r="J19" s="3">
        <v>0</v>
      </c>
      <c r="K19" s="3">
        <v>0</v>
      </c>
      <c r="L19" s="3">
        <v>0</v>
      </c>
      <c r="M19" s="3">
        <v>0</v>
      </c>
      <c r="N19" s="3"/>
      <c r="O19" s="3"/>
      <c r="P19" s="3"/>
      <c r="Q19" s="4">
        <f t="shared" si="0"/>
        <v>59999.983999999997</v>
      </c>
    </row>
    <row r="20" spans="1:17" x14ac:dyDescent="0.25">
      <c r="A20" s="2" t="s">
        <v>158</v>
      </c>
      <c r="B20" t="s">
        <v>167</v>
      </c>
      <c r="C20" s="2" t="s">
        <v>177</v>
      </c>
      <c r="D20" s="2"/>
      <c r="E20" s="6"/>
      <c r="F20" s="3"/>
      <c r="G20" s="3"/>
      <c r="H20" s="3">
        <f>2300.49438</f>
        <v>2300.4943800000001</v>
      </c>
      <c r="I20" s="6"/>
      <c r="J20" s="3">
        <v>150332.45808000001</v>
      </c>
      <c r="K20" s="3">
        <v>119138.00031999999</v>
      </c>
      <c r="L20" s="3">
        <v>56224.827319999997</v>
      </c>
      <c r="M20" s="3">
        <v>41675.927370000005</v>
      </c>
      <c r="N20" s="3">
        <v>39669.03</v>
      </c>
      <c r="O20" s="3">
        <v>34232.400000000001</v>
      </c>
      <c r="P20" s="3">
        <v>0</v>
      </c>
      <c r="Q20" s="4">
        <f t="shared" si="0"/>
        <v>443573.13746999996</v>
      </c>
    </row>
    <row r="21" spans="1:17" x14ac:dyDescent="0.25">
      <c r="A21" s="2" t="s">
        <v>158</v>
      </c>
      <c r="B21" t="s">
        <v>167</v>
      </c>
      <c r="C21" s="2" t="s">
        <v>178</v>
      </c>
      <c r="D21" s="2"/>
      <c r="E21" s="6"/>
      <c r="F21" s="3"/>
      <c r="G21" s="3"/>
      <c r="H21" s="3"/>
      <c r="I21" s="6">
        <f>31563.24</f>
        <v>31563.24</v>
      </c>
      <c r="J21" s="3">
        <v>24076.07</v>
      </c>
      <c r="K21" s="3">
        <v>83926.753499999992</v>
      </c>
      <c r="L21" s="3">
        <v>62252.934199999996</v>
      </c>
      <c r="M21" s="3">
        <v>129422.95999999999</v>
      </c>
      <c r="N21" s="3">
        <v>9320.93</v>
      </c>
      <c r="O21" s="3">
        <v>9320.93</v>
      </c>
      <c r="P21" s="3">
        <v>9320.93</v>
      </c>
      <c r="Q21" s="4">
        <f t="shared" si="0"/>
        <v>359204.74769999995</v>
      </c>
    </row>
    <row r="22" spans="1:17" x14ac:dyDescent="0.25">
      <c r="A22" s="2" t="s">
        <v>158</v>
      </c>
      <c r="B22" t="s">
        <v>167</v>
      </c>
      <c r="C22" s="2" t="s">
        <v>179</v>
      </c>
      <c r="D22" s="2"/>
      <c r="E22" s="6"/>
      <c r="F22" s="3"/>
      <c r="G22" s="3"/>
      <c r="H22" s="3"/>
      <c r="I22" s="6"/>
      <c r="J22" s="3">
        <v>0</v>
      </c>
      <c r="K22" s="3">
        <v>128807.56599999999</v>
      </c>
      <c r="L22" s="3">
        <v>9707.3610000000008</v>
      </c>
      <c r="M22" s="3">
        <v>0</v>
      </c>
      <c r="N22" s="3"/>
      <c r="O22" s="3"/>
      <c r="P22" s="3"/>
      <c r="Q22" s="4">
        <f t="shared" si="0"/>
        <v>138514.927</v>
      </c>
    </row>
    <row r="23" spans="1:17" x14ac:dyDescent="0.25">
      <c r="A23" s="2" t="s">
        <v>158</v>
      </c>
      <c r="B23" t="s">
        <v>167</v>
      </c>
      <c r="C23" s="2" t="s">
        <v>180</v>
      </c>
      <c r="D23" s="2"/>
      <c r="E23" s="6"/>
      <c r="F23" s="3"/>
      <c r="G23" s="3"/>
      <c r="H23" s="3"/>
      <c r="I23" s="6"/>
      <c r="J23" s="3"/>
      <c r="K23" s="3"/>
      <c r="L23" s="3"/>
      <c r="M23" s="3">
        <v>38774.700880999997</v>
      </c>
      <c r="N23" s="3">
        <v>86000</v>
      </c>
      <c r="O23" s="3">
        <v>86000</v>
      </c>
      <c r="P23" s="3">
        <v>86000</v>
      </c>
      <c r="Q23" s="4">
        <f t="shared" si="0"/>
        <v>296774.70088100003</v>
      </c>
    </row>
    <row r="24" spans="1:17" x14ac:dyDescent="0.25">
      <c r="A24" s="2" t="s">
        <v>158</v>
      </c>
      <c r="B24" t="s">
        <v>167</v>
      </c>
      <c r="C24" s="2" t="s">
        <v>181</v>
      </c>
      <c r="D24" s="2"/>
      <c r="E24" s="6"/>
      <c r="F24" s="3"/>
      <c r="G24" s="3"/>
      <c r="H24" s="3"/>
      <c r="I24" s="6"/>
      <c r="J24" s="3"/>
      <c r="K24" s="3"/>
      <c r="L24" s="3"/>
      <c r="M24" s="3">
        <v>10363.550499999999</v>
      </c>
      <c r="N24" s="3">
        <v>10000</v>
      </c>
      <c r="O24" s="3"/>
      <c r="P24" s="3"/>
      <c r="Q24" s="4">
        <f t="shared" si="0"/>
        <v>20363.550499999998</v>
      </c>
    </row>
    <row r="25" spans="1:17" x14ac:dyDescent="0.25">
      <c r="A25" s="2" t="s">
        <v>158</v>
      </c>
      <c r="B25" t="s">
        <v>167</v>
      </c>
      <c r="C25" s="2" t="s">
        <v>182</v>
      </c>
      <c r="D25" s="2"/>
      <c r="E25" s="6"/>
      <c r="F25" s="3"/>
      <c r="G25" s="3"/>
      <c r="H25" s="3"/>
      <c r="I25" s="6"/>
      <c r="J25" s="3"/>
      <c r="K25" s="3"/>
      <c r="L25" s="3"/>
      <c r="M25" s="3">
        <v>50541.173999999999</v>
      </c>
      <c r="N25" s="3">
        <v>84955</v>
      </c>
      <c r="O25" s="3"/>
      <c r="P25" s="3"/>
      <c r="Q25" s="4">
        <f t="shared" si="0"/>
        <v>135496.174</v>
      </c>
    </row>
    <row r="26" spans="1:17" s="9" customFormat="1" x14ac:dyDescent="0.25">
      <c r="A26" s="8" t="s">
        <v>158</v>
      </c>
      <c r="B26" s="9" t="s">
        <v>167</v>
      </c>
      <c r="C26" s="8" t="s">
        <v>183</v>
      </c>
      <c r="D26" s="8"/>
      <c r="E26" s="10"/>
      <c r="F26" s="11"/>
      <c r="G26" s="11"/>
      <c r="H26" s="11"/>
      <c r="I26" s="10"/>
      <c r="J26" s="11"/>
      <c r="K26" s="11"/>
      <c r="L26" s="11"/>
      <c r="M26" s="11"/>
      <c r="N26" s="11">
        <v>25000</v>
      </c>
      <c r="O26" s="11"/>
      <c r="P26" s="11"/>
      <c r="Q26" s="12">
        <f t="shared" si="0"/>
        <v>25000</v>
      </c>
    </row>
    <row r="27" spans="1:17" x14ac:dyDescent="0.25">
      <c r="A27" s="2" t="s">
        <v>184</v>
      </c>
      <c r="B27" t="s">
        <v>167</v>
      </c>
      <c r="C27" s="2" t="s">
        <v>185</v>
      </c>
      <c r="D27" s="2"/>
      <c r="E27" s="3"/>
      <c r="F27" s="3"/>
      <c r="G27" s="3"/>
      <c r="H27" s="3"/>
      <c r="I27" s="3"/>
      <c r="J27" s="3">
        <v>0</v>
      </c>
      <c r="K27" s="3">
        <v>0</v>
      </c>
      <c r="L27" s="3">
        <v>0</v>
      </c>
      <c r="M27" s="3">
        <v>0</v>
      </c>
      <c r="N27" s="3"/>
      <c r="O27" s="5"/>
      <c r="P27" s="5">
        <v>99816</v>
      </c>
      <c r="Q27" s="4">
        <f t="shared" si="0"/>
        <v>99816</v>
      </c>
    </row>
    <row r="28" spans="1:17" x14ac:dyDescent="0.25">
      <c r="A28" s="2" t="s">
        <v>184</v>
      </c>
      <c r="B28" t="s">
        <v>167</v>
      </c>
      <c r="C28" s="2" t="s">
        <v>186</v>
      </c>
      <c r="D28" s="2"/>
      <c r="E28" s="3">
        <v>16431.96</v>
      </c>
      <c r="F28" s="3">
        <v>15438.85</v>
      </c>
      <c r="G28" s="3">
        <f>9809.08</f>
        <v>9809.08</v>
      </c>
      <c r="H28" s="3">
        <v>56888.76</v>
      </c>
      <c r="I28" s="3">
        <f>74855.11</f>
        <v>74855.11</v>
      </c>
      <c r="J28" s="3">
        <v>43509.532899999998</v>
      </c>
      <c r="K28" s="3">
        <v>124397.3797</v>
      </c>
      <c r="L28" s="3">
        <v>29115.772750000004</v>
      </c>
      <c r="M28" s="3">
        <v>396759.79097000009</v>
      </c>
      <c r="N28" s="3">
        <v>150000</v>
      </c>
      <c r="O28" s="3">
        <v>40000</v>
      </c>
      <c r="P28" s="3">
        <v>40000</v>
      </c>
      <c r="Q28" s="4">
        <f t="shared" si="0"/>
        <v>997206.23632000014</v>
      </c>
    </row>
    <row r="29" spans="1:17" x14ac:dyDescent="0.25">
      <c r="A29" s="2" t="s">
        <v>184</v>
      </c>
      <c r="B29" t="s">
        <v>167</v>
      </c>
      <c r="C29" s="2" t="s">
        <v>187</v>
      </c>
      <c r="D29" s="2"/>
      <c r="E29" s="6">
        <v>33602.350000000006</v>
      </c>
      <c r="F29" s="3">
        <v>24491.97</v>
      </c>
      <c r="G29" s="3">
        <f>1713.67+28241.71</f>
        <v>29955.379999999997</v>
      </c>
      <c r="H29" s="3">
        <v>28222.53</v>
      </c>
      <c r="I29" s="3">
        <f>46509.94</f>
        <v>46509.94</v>
      </c>
      <c r="J29" s="3">
        <v>44653.333259999999</v>
      </c>
      <c r="K29" s="3">
        <v>79617.306400000001</v>
      </c>
      <c r="L29" s="3">
        <v>783070.32319090632</v>
      </c>
      <c r="M29" s="3">
        <v>571712.24582598894</v>
      </c>
      <c r="N29" s="3">
        <v>150000</v>
      </c>
      <c r="O29" s="3">
        <v>200000</v>
      </c>
      <c r="P29" s="3">
        <v>160000</v>
      </c>
      <c r="Q29" s="4">
        <f t="shared" si="0"/>
        <v>2151835.3786768951</v>
      </c>
    </row>
    <row r="30" spans="1:17" x14ac:dyDescent="0.25">
      <c r="A30" s="2" t="s">
        <v>184</v>
      </c>
      <c r="B30" t="s">
        <v>167</v>
      </c>
      <c r="C30" s="2" t="s">
        <v>188</v>
      </c>
      <c r="D30" s="2"/>
      <c r="E30" s="3"/>
      <c r="F30" s="3">
        <f>88033.43</f>
        <v>88033.43</v>
      </c>
      <c r="G30" s="3">
        <f>26402.75</f>
        <v>26402.75</v>
      </c>
      <c r="H30" s="3">
        <f>155809.18</f>
        <v>155809.18</v>
      </c>
      <c r="I30" s="3">
        <f>-463.93+119364</f>
        <v>118900.07</v>
      </c>
      <c r="J30" s="3">
        <v>39566.742700000003</v>
      </c>
      <c r="K30" s="3">
        <v>77540.625999999989</v>
      </c>
      <c r="L30" s="3">
        <v>51754.259999999995</v>
      </c>
      <c r="M30" s="3">
        <v>34884.979700000004</v>
      </c>
      <c r="N30" s="3">
        <v>45000</v>
      </c>
      <c r="O30" s="3">
        <v>45000</v>
      </c>
      <c r="P30" s="3">
        <v>45000</v>
      </c>
      <c r="Q30" s="4">
        <f t="shared" si="0"/>
        <v>727892.03839999996</v>
      </c>
    </row>
    <row r="31" spans="1:17" x14ac:dyDescent="0.25">
      <c r="A31" s="2" t="s">
        <v>184</v>
      </c>
      <c r="B31" t="s">
        <v>167</v>
      </c>
      <c r="C31" s="2" t="s">
        <v>189</v>
      </c>
      <c r="D31" s="2"/>
      <c r="E31" s="3"/>
      <c r="F31" s="3"/>
      <c r="G31" s="3">
        <v>3212.2447499999998</v>
      </c>
      <c r="H31" s="3">
        <f>38130.93</f>
        <v>38130.93</v>
      </c>
      <c r="I31" s="3">
        <f>70983.13</f>
        <v>70983.13</v>
      </c>
      <c r="J31" s="3">
        <v>39192.444429999996</v>
      </c>
      <c r="K31" s="3">
        <v>0</v>
      </c>
      <c r="L31" s="3">
        <v>0</v>
      </c>
      <c r="M31" s="3">
        <v>45700.380000000005</v>
      </c>
      <c r="N31" s="3"/>
      <c r="O31" s="3">
        <v>0</v>
      </c>
      <c r="P31" s="3"/>
      <c r="Q31" s="4">
        <f t="shared" si="0"/>
        <v>197219.12918000002</v>
      </c>
    </row>
    <row r="32" spans="1:17" x14ac:dyDescent="0.25">
      <c r="A32" s="2" t="s">
        <v>184</v>
      </c>
      <c r="B32" t="s">
        <v>167</v>
      </c>
      <c r="C32" s="2" t="s">
        <v>190</v>
      </c>
      <c r="D32" s="2"/>
      <c r="E32" s="3"/>
      <c r="F32" s="3">
        <f>22824.18</f>
        <v>22824.18</v>
      </c>
      <c r="G32" s="3">
        <v>14701.737499999999</v>
      </c>
      <c r="H32" s="3">
        <f>12498.71</f>
        <v>12498.71</v>
      </c>
      <c r="I32" s="3"/>
      <c r="J32" s="3">
        <v>74192.605920000002</v>
      </c>
      <c r="K32" s="3">
        <v>85022.517800000001</v>
      </c>
      <c r="L32" s="3">
        <v>86233.978499999997</v>
      </c>
      <c r="M32" s="3">
        <v>63370.3</v>
      </c>
      <c r="N32" s="3">
        <v>47000</v>
      </c>
      <c r="O32" s="3">
        <v>47000</v>
      </c>
      <c r="P32" s="3">
        <v>47000</v>
      </c>
      <c r="Q32" s="4">
        <f t="shared" si="0"/>
        <v>499844.02971999999</v>
      </c>
    </row>
    <row r="33" spans="1:17" x14ac:dyDescent="0.25">
      <c r="A33" s="2" t="s">
        <v>184</v>
      </c>
      <c r="B33" t="s">
        <v>167</v>
      </c>
      <c r="C33" s="2" t="s">
        <v>191</v>
      </c>
      <c r="D33" s="2"/>
      <c r="E33" s="3">
        <f>578.17</f>
        <v>578.16999999999996</v>
      </c>
      <c r="F33" s="3"/>
      <c r="G33" s="3"/>
      <c r="H33" s="3"/>
      <c r="I33" s="3"/>
      <c r="J33" s="3">
        <v>0</v>
      </c>
      <c r="K33" s="3">
        <v>0</v>
      </c>
      <c r="L33" s="3">
        <v>0</v>
      </c>
      <c r="M33" s="3">
        <v>0</v>
      </c>
      <c r="N33" s="3">
        <v>45000</v>
      </c>
      <c r="O33" s="3">
        <v>45000</v>
      </c>
      <c r="P33" s="3">
        <v>45000</v>
      </c>
      <c r="Q33" s="4">
        <f t="shared" si="0"/>
        <v>135578.16999999998</v>
      </c>
    </row>
    <row r="34" spans="1:17" x14ac:dyDescent="0.25">
      <c r="A34" s="2" t="s">
        <v>184</v>
      </c>
      <c r="B34" t="s">
        <v>167</v>
      </c>
      <c r="C34" s="2" t="s">
        <v>192</v>
      </c>
      <c r="D34" s="2"/>
      <c r="E34" s="6">
        <v>107528.71879</v>
      </c>
      <c r="F34" s="3">
        <f>95432.98</f>
        <v>95432.98</v>
      </c>
      <c r="G34" s="3">
        <v>10782.13</v>
      </c>
      <c r="H34" s="3"/>
      <c r="I34" s="3"/>
      <c r="J34" s="3">
        <v>18144.514920000001</v>
      </c>
      <c r="K34" s="3">
        <v>31657.05848</v>
      </c>
      <c r="L34" s="3">
        <v>315794.98321999999</v>
      </c>
      <c r="M34" s="3">
        <v>229537.96302000002</v>
      </c>
      <c r="N34" s="3">
        <v>220000</v>
      </c>
      <c r="O34" s="3">
        <v>220000</v>
      </c>
      <c r="P34" s="3">
        <v>220000</v>
      </c>
      <c r="Q34" s="4">
        <f t="shared" si="0"/>
        <v>1468878.34843</v>
      </c>
    </row>
    <row r="35" spans="1:17" x14ac:dyDescent="0.25">
      <c r="A35" s="2" t="s">
        <v>184</v>
      </c>
      <c r="B35" t="s">
        <v>167</v>
      </c>
      <c r="C35" s="2" t="s">
        <v>193</v>
      </c>
      <c r="D35" s="2"/>
      <c r="E35" s="3"/>
      <c r="F35" s="3">
        <f>25190.11</f>
        <v>25190.11</v>
      </c>
      <c r="G35" s="3">
        <v>51924.035920000002</v>
      </c>
      <c r="H35" s="3">
        <f>57834.9</f>
        <v>57834.9</v>
      </c>
      <c r="I35" s="3">
        <f>74677.25</f>
        <v>74677.25</v>
      </c>
      <c r="J35" s="3">
        <v>35111.596640000003</v>
      </c>
      <c r="K35" s="3">
        <v>12789.4</v>
      </c>
      <c r="L35" s="3">
        <v>26392.946400000001</v>
      </c>
      <c r="M35" s="3">
        <v>81247.05</v>
      </c>
      <c r="N35" s="3">
        <v>50000</v>
      </c>
      <c r="O35" s="3">
        <v>50000</v>
      </c>
      <c r="P35" s="3">
        <v>30000</v>
      </c>
      <c r="Q35" s="4">
        <f t="shared" si="0"/>
        <v>495167.28895999998</v>
      </c>
    </row>
    <row r="36" spans="1:17" x14ac:dyDescent="0.25">
      <c r="A36" s="2" t="s">
        <v>184</v>
      </c>
      <c r="B36" t="s">
        <v>167</v>
      </c>
      <c r="C36" s="2" t="s">
        <v>194</v>
      </c>
      <c r="D36" s="2"/>
      <c r="E36" s="3"/>
      <c r="F36" s="3"/>
      <c r="G36" s="3"/>
      <c r="H36" s="3"/>
      <c r="I36" s="3"/>
      <c r="J36" s="3">
        <v>0</v>
      </c>
      <c r="K36" s="3">
        <v>0</v>
      </c>
      <c r="L36" s="3">
        <v>0</v>
      </c>
      <c r="M36" s="3">
        <v>0</v>
      </c>
      <c r="N36" s="3"/>
      <c r="O36" s="3"/>
      <c r="P36" s="3"/>
      <c r="Q36" s="4">
        <f t="shared" si="0"/>
        <v>0</v>
      </c>
    </row>
    <row r="37" spans="1:17" x14ac:dyDescent="0.25">
      <c r="A37" s="2" t="s">
        <v>184</v>
      </c>
      <c r="B37" t="s">
        <v>167</v>
      </c>
      <c r="C37" s="2" t="s">
        <v>195</v>
      </c>
      <c r="D37" s="2"/>
      <c r="E37" s="3"/>
      <c r="F37" s="3"/>
      <c r="G37" s="3"/>
      <c r="H37" s="3"/>
      <c r="I37" s="3"/>
      <c r="J37" s="3">
        <v>0</v>
      </c>
      <c r="K37" s="3">
        <v>0</v>
      </c>
      <c r="L37" s="3">
        <v>0</v>
      </c>
      <c r="M37" s="3">
        <v>0</v>
      </c>
      <c r="N37" s="3"/>
      <c r="O37" s="3"/>
      <c r="P37" s="3"/>
      <c r="Q37" s="4">
        <f t="shared" si="0"/>
        <v>0</v>
      </c>
    </row>
    <row r="38" spans="1:17" x14ac:dyDescent="0.25">
      <c r="A38" s="2" t="s">
        <v>184</v>
      </c>
      <c r="B38" t="s">
        <v>167</v>
      </c>
      <c r="C38" s="2" t="s">
        <v>196</v>
      </c>
      <c r="D38" s="2"/>
      <c r="E38" s="3"/>
      <c r="F38" s="3"/>
      <c r="G38" s="3"/>
      <c r="H38" s="3"/>
      <c r="I38" s="3"/>
      <c r="J38" s="3">
        <v>7859.0805</v>
      </c>
      <c r="K38" s="3">
        <v>23450.110499999999</v>
      </c>
      <c r="L38" s="3">
        <v>23798.435000000001</v>
      </c>
      <c r="M38" s="3">
        <v>21742.167000000001</v>
      </c>
      <c r="N38" s="3">
        <v>16000</v>
      </c>
      <c r="O38" s="3">
        <v>16000</v>
      </c>
      <c r="P38" s="3">
        <v>16000</v>
      </c>
      <c r="Q38" s="4">
        <f t="shared" si="0"/>
        <v>124849.79300000001</v>
      </c>
    </row>
    <row r="39" spans="1:17" x14ac:dyDescent="0.25">
      <c r="A39" s="2" t="s">
        <v>184</v>
      </c>
      <c r="B39" t="s">
        <v>167</v>
      </c>
      <c r="C39" s="2" t="s">
        <v>197</v>
      </c>
      <c r="D39" s="2"/>
      <c r="E39" s="3"/>
      <c r="F39" s="3"/>
      <c r="G39" s="3"/>
      <c r="H39" s="3"/>
      <c r="I39" s="3"/>
      <c r="J39" s="3">
        <v>0</v>
      </c>
      <c r="K39" s="3">
        <v>0</v>
      </c>
      <c r="L39" s="3">
        <v>0</v>
      </c>
      <c r="M39" s="3">
        <v>0</v>
      </c>
      <c r="N39" s="3"/>
      <c r="O39" s="3"/>
      <c r="P39" s="3"/>
      <c r="Q39" s="4">
        <f t="shared" si="0"/>
        <v>0</v>
      </c>
    </row>
    <row r="40" spans="1:17" x14ac:dyDescent="0.25">
      <c r="A40" s="2" t="s">
        <v>184</v>
      </c>
      <c r="B40" t="s">
        <v>167</v>
      </c>
      <c r="C40" s="2" t="s">
        <v>198</v>
      </c>
      <c r="D40" s="2"/>
      <c r="E40" s="3">
        <v>60866.869999999995</v>
      </c>
      <c r="F40" s="3">
        <f>147920.05</f>
        <v>147920.04999999999</v>
      </c>
      <c r="G40" s="3">
        <f>164441.37</f>
        <v>164441.37</v>
      </c>
      <c r="H40" s="3">
        <f>76149.64</f>
        <v>76149.64</v>
      </c>
      <c r="I40" s="3">
        <f>47489.49</f>
        <v>47489.49</v>
      </c>
      <c r="J40" s="3">
        <v>8750.7626999999993</v>
      </c>
      <c r="K40" s="3">
        <v>0</v>
      </c>
      <c r="L40" s="3">
        <v>20000</v>
      </c>
      <c r="M40" s="3">
        <v>-7266.5299999999988</v>
      </c>
      <c r="N40" s="3"/>
      <c r="O40" s="3"/>
      <c r="P40" s="3"/>
      <c r="Q40" s="4">
        <f t="shared" si="0"/>
        <v>518351.65269999998</v>
      </c>
    </row>
    <row r="41" spans="1:17" x14ac:dyDescent="0.25">
      <c r="A41" s="2" t="s">
        <v>184</v>
      </c>
      <c r="B41" t="s">
        <v>167</v>
      </c>
      <c r="C41" s="2" t="s">
        <v>199</v>
      </c>
      <c r="D41" s="2"/>
      <c r="E41" s="6"/>
      <c r="F41" s="3">
        <f>6899.55</f>
        <v>6899.55</v>
      </c>
      <c r="G41" s="3">
        <v>15861.132</v>
      </c>
      <c r="H41" s="3">
        <f>12239.32</f>
        <v>12239.32</v>
      </c>
      <c r="I41" s="3"/>
      <c r="J41" s="3">
        <v>0</v>
      </c>
      <c r="K41" s="3">
        <v>0</v>
      </c>
      <c r="L41" s="3">
        <v>0</v>
      </c>
      <c r="M41" s="3">
        <v>0</v>
      </c>
      <c r="N41" s="3"/>
      <c r="O41" s="3"/>
      <c r="P41" s="3"/>
      <c r="Q41" s="4">
        <f t="shared" si="0"/>
        <v>35000.002</v>
      </c>
    </row>
    <row r="42" spans="1:17" x14ac:dyDescent="0.25">
      <c r="A42" s="2" t="s">
        <v>184</v>
      </c>
      <c r="B42" t="s">
        <v>167</v>
      </c>
      <c r="C42" s="2" t="s">
        <v>200</v>
      </c>
      <c r="D42" s="2"/>
      <c r="E42" s="6"/>
      <c r="F42" s="3"/>
      <c r="G42" s="3">
        <v>45000</v>
      </c>
      <c r="H42" s="3">
        <f>2119.48</f>
        <v>2119.48</v>
      </c>
      <c r="I42" s="3">
        <f>6960.11</f>
        <v>6960.11</v>
      </c>
      <c r="J42" s="3">
        <v>6569.3356600000006</v>
      </c>
      <c r="K42" s="3">
        <v>21430.4725</v>
      </c>
      <c r="L42" s="3">
        <v>4705.67</v>
      </c>
      <c r="M42" s="3">
        <v>362.6</v>
      </c>
      <c r="N42" s="3"/>
      <c r="O42" s="3"/>
      <c r="P42" s="3"/>
      <c r="Q42" s="4">
        <f t="shared" si="0"/>
        <v>87147.668160000016</v>
      </c>
    </row>
    <row r="43" spans="1:17" x14ac:dyDescent="0.25">
      <c r="A43" s="2" t="s">
        <v>184</v>
      </c>
      <c r="B43" t="s">
        <v>167</v>
      </c>
      <c r="C43" s="2" t="s">
        <v>201</v>
      </c>
      <c r="D43" s="2"/>
      <c r="E43" s="6">
        <f>5631.78+127220.97</f>
        <v>132852.75</v>
      </c>
      <c r="F43" s="3">
        <f>2943.7-23965.5</f>
        <v>-21021.8</v>
      </c>
      <c r="G43" s="3"/>
      <c r="H43" s="3"/>
      <c r="I43" s="3"/>
      <c r="J43" s="3">
        <v>0</v>
      </c>
      <c r="K43" s="3">
        <v>0</v>
      </c>
      <c r="L43" s="3">
        <v>45802.879999999997</v>
      </c>
      <c r="M43" s="3">
        <v>100339.476</v>
      </c>
      <c r="N43" s="3">
        <v>100000</v>
      </c>
      <c r="O43" s="3">
        <v>100000</v>
      </c>
      <c r="P43" s="3">
        <v>100000</v>
      </c>
      <c r="Q43" s="4">
        <f t="shared" si="0"/>
        <v>557973.30599999998</v>
      </c>
    </row>
    <row r="44" spans="1:17" x14ac:dyDescent="0.25">
      <c r="A44" s="2" t="s">
        <v>184</v>
      </c>
      <c r="B44" t="s">
        <v>167</v>
      </c>
      <c r="C44" s="2" t="s">
        <v>202</v>
      </c>
      <c r="D44" s="2"/>
      <c r="E44" s="6"/>
      <c r="F44" s="3"/>
      <c r="G44" s="3"/>
      <c r="H44" s="3"/>
      <c r="I44" s="3"/>
      <c r="J44" s="3">
        <v>0</v>
      </c>
      <c r="K44" s="3">
        <v>0</v>
      </c>
      <c r="L44" s="3">
        <v>0</v>
      </c>
      <c r="M44" s="3">
        <v>0</v>
      </c>
      <c r="N44" s="3"/>
      <c r="O44" s="3"/>
      <c r="P44" s="3"/>
      <c r="Q44" s="4">
        <f t="shared" si="0"/>
        <v>0</v>
      </c>
    </row>
    <row r="45" spans="1:17" x14ac:dyDescent="0.25">
      <c r="A45" s="2" t="s">
        <v>184</v>
      </c>
      <c r="B45" t="s">
        <v>167</v>
      </c>
      <c r="C45" s="2" t="s">
        <v>203</v>
      </c>
      <c r="D45" s="2"/>
      <c r="E45" s="6"/>
      <c r="F45" s="3">
        <f>9047.24</f>
        <v>9047.24</v>
      </c>
      <c r="G45" s="3">
        <v>38260.542000000001</v>
      </c>
      <c r="H45" s="3"/>
      <c r="I45" s="3"/>
      <c r="J45" s="3">
        <v>0</v>
      </c>
      <c r="K45" s="3">
        <v>0</v>
      </c>
      <c r="L45" s="3">
        <v>0</v>
      </c>
      <c r="M45" s="3">
        <v>0</v>
      </c>
      <c r="N45" s="3"/>
      <c r="O45" s="3"/>
      <c r="P45" s="3"/>
      <c r="Q45" s="4">
        <f t="shared" si="0"/>
        <v>47307.781999999999</v>
      </c>
    </row>
    <row r="46" spans="1:17" x14ac:dyDescent="0.25">
      <c r="A46" s="2" t="s">
        <v>184</v>
      </c>
      <c r="B46" t="s">
        <v>167</v>
      </c>
      <c r="C46" s="2" t="s">
        <v>204</v>
      </c>
      <c r="D46" s="2"/>
      <c r="E46" s="6"/>
      <c r="F46" s="3"/>
      <c r="G46" s="3"/>
      <c r="H46" s="3">
        <f>22859.78</f>
        <v>22859.78</v>
      </c>
      <c r="I46" s="3">
        <f>-74.89</f>
        <v>-74.89</v>
      </c>
      <c r="J46" s="3">
        <v>0</v>
      </c>
      <c r="K46" s="3">
        <v>0</v>
      </c>
      <c r="L46" s="3">
        <v>0</v>
      </c>
      <c r="M46" s="3">
        <v>0</v>
      </c>
      <c r="N46" s="3"/>
      <c r="O46" s="3"/>
      <c r="P46" s="3"/>
      <c r="Q46" s="4">
        <f t="shared" si="0"/>
        <v>22784.89</v>
      </c>
    </row>
    <row r="47" spans="1:17" x14ac:dyDescent="0.25">
      <c r="A47" s="2" t="s">
        <v>184</v>
      </c>
      <c r="B47" t="s">
        <v>167</v>
      </c>
      <c r="C47" s="2" t="s">
        <v>205</v>
      </c>
      <c r="D47" s="2"/>
      <c r="E47" s="6"/>
      <c r="F47" s="3"/>
      <c r="G47" s="3"/>
      <c r="H47" s="3"/>
      <c r="I47" s="3"/>
      <c r="J47" s="3">
        <v>0</v>
      </c>
      <c r="K47" s="3">
        <v>0</v>
      </c>
      <c r="L47" s="3">
        <v>0</v>
      </c>
      <c r="M47" s="3">
        <v>0</v>
      </c>
      <c r="N47" s="3"/>
      <c r="O47" s="3"/>
      <c r="P47" s="3"/>
      <c r="Q47" s="4">
        <f t="shared" si="0"/>
        <v>0</v>
      </c>
    </row>
    <row r="48" spans="1:17" x14ac:dyDescent="0.25">
      <c r="A48" s="2" t="s">
        <v>184</v>
      </c>
      <c r="B48" t="s">
        <v>167</v>
      </c>
      <c r="C48" s="2" t="s">
        <v>206</v>
      </c>
      <c r="D48" s="2"/>
      <c r="E48" s="6"/>
      <c r="F48" s="3"/>
      <c r="G48" s="3"/>
      <c r="H48" s="3"/>
      <c r="I48" s="3"/>
      <c r="J48" s="3">
        <v>0</v>
      </c>
      <c r="K48" s="3">
        <v>0</v>
      </c>
      <c r="L48" s="3">
        <v>0</v>
      </c>
      <c r="M48" s="3">
        <v>0</v>
      </c>
      <c r="N48" s="3"/>
      <c r="O48" s="3"/>
      <c r="P48" s="3"/>
      <c r="Q48" s="4">
        <f t="shared" si="0"/>
        <v>0</v>
      </c>
    </row>
    <row r="49" spans="1:17" x14ac:dyDescent="0.25">
      <c r="A49" s="2" t="s">
        <v>184</v>
      </c>
      <c r="B49" t="s">
        <v>167</v>
      </c>
      <c r="C49" s="2" t="s">
        <v>207</v>
      </c>
      <c r="D49" s="2"/>
      <c r="E49" s="6"/>
      <c r="F49" s="3"/>
      <c r="G49" s="3"/>
      <c r="H49" s="3"/>
      <c r="I49" s="3"/>
      <c r="J49" s="3">
        <v>0</v>
      </c>
      <c r="K49" s="3">
        <v>0</v>
      </c>
      <c r="L49" s="3">
        <v>0</v>
      </c>
      <c r="M49" s="3">
        <v>0</v>
      </c>
      <c r="N49" s="3"/>
      <c r="O49" s="3"/>
      <c r="P49" s="3"/>
      <c r="Q49" s="4">
        <f t="shared" si="0"/>
        <v>0</v>
      </c>
    </row>
    <row r="50" spans="1:17" s="9" customFormat="1" x14ac:dyDescent="0.25">
      <c r="A50" s="8" t="s">
        <v>184</v>
      </c>
      <c r="B50" s="9" t="s">
        <v>167</v>
      </c>
      <c r="C50" s="8" t="s">
        <v>208</v>
      </c>
      <c r="D50" s="8"/>
      <c r="E50" s="10"/>
      <c r="F50" s="11"/>
      <c r="G50" s="11"/>
      <c r="H50" s="11"/>
      <c r="I50" s="11"/>
      <c r="J50" s="11">
        <v>0</v>
      </c>
      <c r="K50" s="11">
        <v>0</v>
      </c>
      <c r="L50" s="11">
        <v>0</v>
      </c>
      <c r="M50" s="11">
        <v>0</v>
      </c>
      <c r="N50" s="11"/>
      <c r="O50" s="11"/>
      <c r="P50" s="11"/>
      <c r="Q50" s="12">
        <f t="shared" si="0"/>
        <v>0</v>
      </c>
    </row>
    <row r="51" spans="1:17" s="14" customFormat="1" x14ac:dyDescent="0.25">
      <c r="A51" s="13" t="s">
        <v>209</v>
      </c>
      <c r="B51" s="14" t="s">
        <v>167</v>
      </c>
      <c r="C51" s="13" t="s">
        <v>210</v>
      </c>
      <c r="D51" s="13"/>
      <c r="E51" s="15"/>
      <c r="F51" s="15"/>
      <c r="G51" s="15"/>
      <c r="H51" s="15"/>
      <c r="I51" s="15"/>
      <c r="J51" s="15">
        <v>0</v>
      </c>
      <c r="K51" s="15">
        <v>0</v>
      </c>
      <c r="L51" s="15">
        <v>0</v>
      </c>
      <c r="M51" s="15">
        <v>0</v>
      </c>
      <c r="N51" s="15"/>
      <c r="O51" s="15"/>
      <c r="P51" s="15"/>
      <c r="Q51" s="16">
        <f t="shared" si="0"/>
        <v>0</v>
      </c>
    </row>
    <row r="52" spans="1:17" s="18" customFormat="1" x14ac:dyDescent="0.25">
      <c r="A52" s="17" t="s">
        <v>209</v>
      </c>
      <c r="B52" s="18" t="s">
        <v>167</v>
      </c>
      <c r="C52" s="17" t="s">
        <v>211</v>
      </c>
      <c r="D52" s="17"/>
      <c r="E52" s="19"/>
      <c r="F52" s="19"/>
      <c r="G52" s="19"/>
      <c r="H52" s="19"/>
      <c r="I52" s="19"/>
      <c r="J52" s="19">
        <v>0</v>
      </c>
      <c r="K52" s="19">
        <v>0</v>
      </c>
      <c r="L52" s="19">
        <v>0</v>
      </c>
      <c r="M52" s="19">
        <v>0</v>
      </c>
      <c r="N52" s="19"/>
      <c r="O52" s="19"/>
      <c r="P52" s="19"/>
      <c r="Q52" s="20">
        <f t="shared" si="0"/>
        <v>0</v>
      </c>
    </row>
    <row r="53" spans="1:17" s="9" customFormat="1" x14ac:dyDescent="0.25">
      <c r="A53" s="8" t="s">
        <v>209</v>
      </c>
      <c r="B53" s="9" t="s">
        <v>167</v>
      </c>
      <c r="C53" s="8" t="s">
        <v>212</v>
      </c>
      <c r="D53" s="8"/>
      <c r="E53" s="11"/>
      <c r="F53" s="11"/>
      <c r="G53" s="11"/>
      <c r="H53" s="11"/>
      <c r="I53" s="11"/>
      <c r="J53" s="11">
        <v>0</v>
      </c>
      <c r="K53" s="11">
        <v>0</v>
      </c>
      <c r="L53" s="11">
        <v>0</v>
      </c>
      <c r="M53" s="11">
        <v>0</v>
      </c>
      <c r="N53" s="11"/>
      <c r="O53" s="11"/>
      <c r="P53" s="11"/>
      <c r="Q53" s="12">
        <f t="shared" si="0"/>
        <v>0</v>
      </c>
    </row>
    <row r="54" spans="1:17" x14ac:dyDescent="0.25">
      <c r="A54" s="2" t="s">
        <v>213</v>
      </c>
      <c r="B54" t="s">
        <v>167</v>
      </c>
      <c r="C54" s="2" t="s">
        <v>214</v>
      </c>
      <c r="D54" s="2"/>
      <c r="E54" s="3"/>
      <c r="F54" s="3"/>
      <c r="G54" s="3"/>
      <c r="H54" s="3"/>
      <c r="I54" s="3"/>
      <c r="J54" s="3">
        <v>0</v>
      </c>
      <c r="K54" s="3">
        <v>0</v>
      </c>
      <c r="L54" s="3">
        <v>0</v>
      </c>
      <c r="M54" s="3">
        <v>0</v>
      </c>
      <c r="N54" s="3"/>
      <c r="O54" s="5"/>
      <c r="P54" s="5">
        <v>132458</v>
      </c>
      <c r="Q54" s="4">
        <f t="shared" si="0"/>
        <v>132458</v>
      </c>
    </row>
    <row r="55" spans="1:17" x14ac:dyDescent="0.25">
      <c r="A55" s="2" t="s">
        <v>213</v>
      </c>
      <c r="B55" t="s">
        <v>167</v>
      </c>
      <c r="C55" s="2" t="s">
        <v>215</v>
      </c>
      <c r="D55" s="2"/>
      <c r="E55" s="3">
        <f>-22329.67-27742.46</f>
        <v>-50072.13</v>
      </c>
      <c r="F55" s="3">
        <f>50000+15590.9</f>
        <v>65590.899999999994</v>
      </c>
      <c r="G55" s="3"/>
      <c r="H55" s="3"/>
      <c r="I55" s="3">
        <f>-10757.93</f>
        <v>-10757.93</v>
      </c>
      <c r="J55" s="3">
        <v>0</v>
      </c>
      <c r="K55" s="3">
        <v>0</v>
      </c>
      <c r="L55" s="3">
        <v>0</v>
      </c>
      <c r="M55" s="3">
        <v>0</v>
      </c>
      <c r="N55" s="3"/>
      <c r="O55" s="3"/>
      <c r="P55" s="3"/>
      <c r="Q55" s="4">
        <f t="shared" si="0"/>
        <v>4760.8399999999965</v>
      </c>
    </row>
    <row r="56" spans="1:17" x14ac:dyDescent="0.25">
      <c r="A56" s="2" t="s">
        <v>213</v>
      </c>
      <c r="B56" t="s">
        <v>167</v>
      </c>
      <c r="C56" s="2" t="s">
        <v>216</v>
      </c>
      <c r="D56" s="2"/>
      <c r="E56" s="3">
        <v>128443.96553999999</v>
      </c>
      <c r="F56" s="3">
        <f>132310.55</f>
        <v>132310.54999999999</v>
      </c>
      <c r="G56" s="3">
        <v>97690.447289999996</v>
      </c>
      <c r="H56" s="3">
        <f>86566.6+24370.35+6790.66</f>
        <v>117727.61000000002</v>
      </c>
      <c r="I56" s="3">
        <f>85272.23+37315.97+6215.36</f>
        <v>128803.56</v>
      </c>
      <c r="J56" s="3">
        <v>92579.125970000008</v>
      </c>
      <c r="K56" s="3">
        <v>101650.79243999999</v>
      </c>
      <c r="L56" s="3">
        <v>126571.81621</v>
      </c>
      <c r="M56" s="3">
        <v>88112.39387</v>
      </c>
      <c r="N56" s="3">
        <v>126258</v>
      </c>
      <c r="O56" s="3">
        <v>129891.60613</v>
      </c>
      <c r="P56" s="3">
        <v>70771.128400000045</v>
      </c>
      <c r="Q56" s="4">
        <f t="shared" si="0"/>
        <v>1340810.9958500001</v>
      </c>
    </row>
    <row r="57" spans="1:17" x14ac:dyDescent="0.25">
      <c r="A57" s="2" t="s">
        <v>213</v>
      </c>
      <c r="B57" t="s">
        <v>167</v>
      </c>
      <c r="C57" s="2" t="s">
        <v>217</v>
      </c>
      <c r="D57" s="2"/>
      <c r="E57" s="3"/>
      <c r="F57" s="3"/>
      <c r="G57" s="3"/>
      <c r="H57" s="3"/>
      <c r="I57" s="3"/>
      <c r="J57" s="3">
        <v>0</v>
      </c>
      <c r="K57" s="3">
        <v>0</v>
      </c>
      <c r="L57" s="3">
        <v>0</v>
      </c>
      <c r="M57" s="3">
        <v>0</v>
      </c>
      <c r="N57" s="3">
        <v>63204</v>
      </c>
      <c r="O57" s="3">
        <v>63204</v>
      </c>
      <c r="P57" s="3">
        <v>63204</v>
      </c>
      <c r="Q57" s="4">
        <f t="shared" si="0"/>
        <v>189612</v>
      </c>
    </row>
    <row r="58" spans="1:17" x14ac:dyDescent="0.25">
      <c r="A58" s="2" t="s">
        <v>213</v>
      </c>
      <c r="B58" t="s">
        <v>167</v>
      </c>
      <c r="C58" s="2" t="s">
        <v>218</v>
      </c>
      <c r="D58" s="2"/>
      <c r="E58" s="3"/>
      <c r="F58" s="3"/>
      <c r="G58" s="3"/>
      <c r="H58" s="3"/>
      <c r="I58" s="3"/>
      <c r="J58" s="3">
        <v>0</v>
      </c>
      <c r="K58" s="3">
        <v>0</v>
      </c>
      <c r="L58" s="3">
        <v>0</v>
      </c>
      <c r="M58" s="3">
        <v>0</v>
      </c>
      <c r="N58" s="3"/>
      <c r="O58" s="3"/>
      <c r="P58" s="3"/>
      <c r="Q58" s="4">
        <f t="shared" si="0"/>
        <v>0</v>
      </c>
    </row>
    <row r="59" spans="1:17" x14ac:dyDescent="0.25">
      <c r="A59" s="2" t="s">
        <v>213</v>
      </c>
      <c r="B59" t="s">
        <v>167</v>
      </c>
      <c r="C59" s="2" t="s">
        <v>219</v>
      </c>
      <c r="D59" s="2"/>
      <c r="E59" s="3"/>
      <c r="F59" s="3"/>
      <c r="G59" s="3"/>
      <c r="H59" s="3"/>
      <c r="I59" s="3"/>
      <c r="J59" s="3">
        <v>0</v>
      </c>
      <c r="K59" s="3">
        <v>0</v>
      </c>
      <c r="L59" s="3">
        <v>0</v>
      </c>
      <c r="M59" s="3">
        <v>0</v>
      </c>
      <c r="N59" s="3"/>
      <c r="O59" s="3"/>
      <c r="P59" s="3"/>
      <c r="Q59" s="4">
        <f t="shared" si="0"/>
        <v>0</v>
      </c>
    </row>
    <row r="60" spans="1:17" x14ac:dyDescent="0.25">
      <c r="A60" s="2" t="s">
        <v>213</v>
      </c>
      <c r="B60" t="s">
        <v>167</v>
      </c>
      <c r="C60" s="2" t="s">
        <v>169</v>
      </c>
      <c r="D60" s="2"/>
      <c r="E60" s="3"/>
      <c r="F60" s="3"/>
      <c r="G60" s="3"/>
      <c r="H60" s="3"/>
      <c r="I60" s="3"/>
      <c r="J60" s="3">
        <v>0</v>
      </c>
      <c r="K60" s="3">
        <v>0</v>
      </c>
      <c r="L60" s="3">
        <v>0</v>
      </c>
      <c r="M60" s="3">
        <v>0</v>
      </c>
      <c r="N60" s="3">
        <v>4250</v>
      </c>
      <c r="O60" s="3">
        <v>4250</v>
      </c>
      <c r="P60" s="3">
        <v>3400</v>
      </c>
      <c r="Q60" s="4">
        <f t="shared" si="0"/>
        <v>11900</v>
      </c>
    </row>
    <row r="61" spans="1:17" x14ac:dyDescent="0.25">
      <c r="A61" s="2" t="s">
        <v>213</v>
      </c>
      <c r="B61" t="s">
        <v>167</v>
      </c>
      <c r="C61" s="2" t="s">
        <v>220</v>
      </c>
      <c r="D61" s="2"/>
      <c r="E61" s="3">
        <f>74653.2585+194082.2566</f>
        <v>268735.51509999996</v>
      </c>
      <c r="F61" s="3">
        <f>425394-6396.3</f>
        <v>418997.7</v>
      </c>
      <c r="G61" s="3">
        <f>-5711.78+302285.2</f>
        <v>296573.42</v>
      </c>
      <c r="H61" s="3">
        <f>262940.95+93157.93</f>
        <v>356098.88</v>
      </c>
      <c r="I61" s="6">
        <f>494795.78</f>
        <v>494795.78</v>
      </c>
      <c r="J61" s="3">
        <v>395317.5892760313</v>
      </c>
      <c r="K61" s="3">
        <v>437400.94583754987</v>
      </c>
      <c r="L61" s="3">
        <v>373949.24882456241</v>
      </c>
      <c r="M61" s="3">
        <v>516447.97795199999</v>
      </c>
      <c r="N61" s="3">
        <v>456500</v>
      </c>
      <c r="O61" s="3">
        <v>396552.02204800001</v>
      </c>
      <c r="P61" s="3">
        <v>539050.9228492314</v>
      </c>
      <c r="Q61" s="4">
        <f t="shared" si="0"/>
        <v>4950420.0018873755</v>
      </c>
    </row>
    <row r="62" spans="1:17" x14ac:dyDescent="0.25">
      <c r="A62" s="2" t="s">
        <v>213</v>
      </c>
      <c r="B62" t="s">
        <v>167</v>
      </c>
      <c r="C62" s="2" t="s">
        <v>221</v>
      </c>
      <c r="D62" s="2"/>
      <c r="E62" s="3">
        <f>45838.79597+15815</f>
        <v>61653.795969999999</v>
      </c>
      <c r="F62" s="3">
        <f>47223.48</f>
        <v>47223.48</v>
      </c>
      <c r="G62" s="3">
        <v>14932.789559999999</v>
      </c>
      <c r="H62" s="3">
        <f>10213.08-117.53</f>
        <v>10095.549999999999</v>
      </c>
      <c r="I62" s="3">
        <f>39132.96</f>
        <v>39132.959999999999</v>
      </c>
      <c r="J62" s="3">
        <v>35851.070699999997</v>
      </c>
      <c r="K62" s="3">
        <v>37053.881499999996</v>
      </c>
      <c r="L62" s="3">
        <v>49479.02661999999</v>
      </c>
      <c r="M62" s="3">
        <v>73975.251499999998</v>
      </c>
      <c r="N62" s="3">
        <v>127500</v>
      </c>
      <c r="O62" s="3">
        <v>174224.74849999999</v>
      </c>
      <c r="P62" s="3">
        <v>190121.44865000003</v>
      </c>
      <c r="Q62" s="4">
        <f t="shared" si="0"/>
        <v>861244.00300000003</v>
      </c>
    </row>
    <row r="63" spans="1:17" x14ac:dyDescent="0.25">
      <c r="A63" s="2" t="s">
        <v>213</v>
      </c>
      <c r="B63" t="s">
        <v>167</v>
      </c>
      <c r="C63" s="2" t="s">
        <v>222</v>
      </c>
      <c r="D63" s="2"/>
      <c r="E63" s="3"/>
      <c r="F63" s="3"/>
      <c r="G63" s="3"/>
      <c r="H63" s="3"/>
      <c r="I63" s="3"/>
      <c r="J63" s="3">
        <v>0</v>
      </c>
      <c r="K63" s="3">
        <v>0</v>
      </c>
      <c r="L63" s="3">
        <v>0</v>
      </c>
      <c r="M63" s="3">
        <v>0</v>
      </c>
      <c r="N63" s="3"/>
      <c r="O63" s="3"/>
      <c r="P63" s="3"/>
      <c r="Q63" s="4">
        <f t="shared" si="0"/>
        <v>0</v>
      </c>
    </row>
    <row r="64" spans="1:17" x14ac:dyDescent="0.25">
      <c r="A64" s="2" t="s">
        <v>213</v>
      </c>
      <c r="B64" t="s">
        <v>167</v>
      </c>
      <c r="C64" s="2" t="s">
        <v>223</v>
      </c>
      <c r="D64" s="2"/>
      <c r="E64" s="3"/>
      <c r="F64" s="3">
        <f>2599.2</f>
        <v>2599.1999999999998</v>
      </c>
      <c r="G64" s="3">
        <v>4789.2200999999995</v>
      </c>
      <c r="H64" s="3">
        <f>5086.49</f>
        <v>5086.49</v>
      </c>
      <c r="I64" s="6">
        <f>26351.89</f>
        <v>26351.89</v>
      </c>
      <c r="J64" s="3">
        <v>33197.857420000008</v>
      </c>
      <c r="K64" s="3">
        <v>27479.453299999997</v>
      </c>
      <c r="L64" s="3">
        <v>2467.6714000000002</v>
      </c>
      <c r="M64" s="3">
        <v>4843.149879999999</v>
      </c>
      <c r="N64" s="3">
        <v>3906</v>
      </c>
      <c r="O64" s="3">
        <v>2968.850120000001</v>
      </c>
      <c r="P64" s="3">
        <v>5344.2157899999875</v>
      </c>
      <c r="Q64" s="4">
        <f t="shared" si="0"/>
        <v>119033.99801</v>
      </c>
    </row>
    <row r="65" spans="1:17" x14ac:dyDescent="0.25">
      <c r="A65" s="2" t="s">
        <v>213</v>
      </c>
      <c r="B65" t="s">
        <v>167</v>
      </c>
      <c r="C65" s="2" t="s">
        <v>224</v>
      </c>
      <c r="D65" s="2"/>
      <c r="E65" s="3"/>
      <c r="F65" s="3"/>
      <c r="G65" s="3"/>
      <c r="H65" s="3">
        <f>4454.8</f>
        <v>4454.8</v>
      </c>
      <c r="I65" s="3">
        <f>9622.76</f>
        <v>9622.76</v>
      </c>
      <c r="J65" s="3">
        <v>4370.7635500000006</v>
      </c>
      <c r="K65" s="3">
        <v>0</v>
      </c>
      <c r="L65" s="3">
        <v>0</v>
      </c>
      <c r="M65" s="3">
        <v>0</v>
      </c>
      <c r="N65" s="3">
        <v>7000</v>
      </c>
      <c r="O65" s="3">
        <v>14000</v>
      </c>
      <c r="P65" s="3">
        <v>13999.678050000002</v>
      </c>
      <c r="Q65" s="4">
        <f t="shared" si="0"/>
        <v>53448.001600000003</v>
      </c>
    </row>
    <row r="66" spans="1:17" x14ac:dyDescent="0.25">
      <c r="A66" s="2" t="s">
        <v>213</v>
      </c>
      <c r="B66" t="s">
        <v>167</v>
      </c>
      <c r="C66" s="2" t="s">
        <v>225</v>
      </c>
      <c r="D66" s="2"/>
      <c r="E66" s="3">
        <v>88557.19</v>
      </c>
      <c r="F66" s="3">
        <f>93732.15-10</f>
        <v>93722.15</v>
      </c>
      <c r="G66" s="3">
        <f>1081.59+119750.11</f>
        <v>120831.7</v>
      </c>
      <c r="H66" s="3">
        <f>96770.53-1438.43</f>
        <v>95332.1</v>
      </c>
      <c r="I66" s="3">
        <f>1526.43+108854.13</f>
        <v>110380.56</v>
      </c>
      <c r="J66" s="3">
        <v>120403.7691</v>
      </c>
      <c r="K66" s="3">
        <v>154426.701</v>
      </c>
      <c r="L66" s="3">
        <v>168869.30559999996</v>
      </c>
      <c r="M66" s="3">
        <v>83349.099749999994</v>
      </c>
      <c r="N66" s="3">
        <v>127500</v>
      </c>
      <c r="O66" s="3">
        <v>188650.90025000001</v>
      </c>
      <c r="P66" s="3">
        <v>160336.52565</v>
      </c>
      <c r="Q66" s="4">
        <f t="shared" si="0"/>
        <v>1512360.0013499998</v>
      </c>
    </row>
    <row r="67" spans="1:17" x14ac:dyDescent="0.25">
      <c r="A67" s="2" t="s">
        <v>213</v>
      </c>
      <c r="B67" t="s">
        <v>167</v>
      </c>
      <c r="C67" s="2" t="s">
        <v>226</v>
      </c>
      <c r="D67" s="2"/>
      <c r="E67" s="3">
        <v>12553.73</v>
      </c>
      <c r="F67" s="3">
        <f>12847.95-11500</f>
        <v>1347.9500000000007</v>
      </c>
      <c r="G67" s="3"/>
      <c r="H67" s="3"/>
      <c r="I67" s="3"/>
      <c r="J67" s="3">
        <v>0</v>
      </c>
      <c r="K67" s="3">
        <v>0</v>
      </c>
      <c r="L67" s="3">
        <v>0</v>
      </c>
      <c r="M67" s="3">
        <v>0</v>
      </c>
      <c r="N67" s="3">
        <v>31875</v>
      </c>
      <c r="O67" s="3">
        <v>31875</v>
      </c>
      <c r="P67" s="3">
        <v>0</v>
      </c>
      <c r="Q67" s="4">
        <f t="shared" si="0"/>
        <v>77651.679999999993</v>
      </c>
    </row>
    <row r="68" spans="1:17" x14ac:dyDescent="0.25">
      <c r="A68" s="2" t="s">
        <v>213</v>
      </c>
      <c r="B68" t="s">
        <v>167</v>
      </c>
      <c r="C68" s="2" t="s">
        <v>227</v>
      </c>
      <c r="D68" s="2"/>
      <c r="E68" s="3">
        <v>71837.843299999993</v>
      </c>
      <c r="F68" s="3">
        <f>16.6</f>
        <v>16.600000000000001</v>
      </c>
      <c r="G68" s="3"/>
      <c r="H68" s="3">
        <f>78306.98</f>
        <v>78306.98</v>
      </c>
      <c r="I68" s="3">
        <f>89.34+196208.96</f>
        <v>196298.3</v>
      </c>
      <c r="J68" s="3">
        <v>0</v>
      </c>
      <c r="K68" s="3">
        <v>0</v>
      </c>
      <c r="L68" s="3">
        <v>5758.7654199999997</v>
      </c>
      <c r="M68" s="3">
        <v>58353.251185999994</v>
      </c>
      <c r="N68" s="3">
        <v>150000</v>
      </c>
      <c r="O68" s="3">
        <v>91646.748814000006</v>
      </c>
      <c r="P68" s="3">
        <v>309116.50857999991</v>
      </c>
      <c r="Q68" s="4">
        <f t="shared" si="0"/>
        <v>961334.99729999993</v>
      </c>
    </row>
    <row r="69" spans="1:17" x14ac:dyDescent="0.25">
      <c r="A69" s="2" t="s">
        <v>213</v>
      </c>
      <c r="B69" t="s">
        <v>167</v>
      </c>
      <c r="C69" s="2" t="s">
        <v>228</v>
      </c>
      <c r="D69" s="2"/>
      <c r="E69" s="6">
        <v>85945.346649999992</v>
      </c>
      <c r="F69" s="3">
        <f>145513.99</f>
        <v>145513.99</v>
      </c>
      <c r="G69" s="3">
        <f>11781.8+112540.26</f>
        <v>124322.06</v>
      </c>
      <c r="H69" s="3">
        <f>36134.03</f>
        <v>36134.03</v>
      </c>
      <c r="I69" s="3">
        <f>1380.76+154501.88</f>
        <v>155882.64000000001</v>
      </c>
      <c r="J69" s="3">
        <v>61687.955400000006</v>
      </c>
      <c r="K69" s="3">
        <v>16352.4535</v>
      </c>
      <c r="L69" s="3">
        <v>9739.5594999999994</v>
      </c>
      <c r="M69" s="3">
        <v>56269.24</v>
      </c>
      <c r="N69" s="3">
        <v>24700</v>
      </c>
      <c r="O69" s="3">
        <v>-6869.239999999998</v>
      </c>
      <c r="P69" s="3">
        <v>659.96000000007916</v>
      </c>
      <c r="Q69" s="4">
        <f t="shared" si="0"/>
        <v>710337.99505000003</v>
      </c>
    </row>
    <row r="70" spans="1:17" x14ac:dyDescent="0.25">
      <c r="A70" s="2" t="s">
        <v>213</v>
      </c>
      <c r="B70" t="s">
        <v>167</v>
      </c>
      <c r="C70" s="2" t="s">
        <v>229</v>
      </c>
      <c r="D70" s="2"/>
      <c r="E70" s="3">
        <v>132.09830000000002</v>
      </c>
      <c r="F70" s="3"/>
      <c r="G70" s="3">
        <f>-1032</f>
        <v>-1032</v>
      </c>
      <c r="H70" s="3">
        <f>39045.89</f>
        <v>39045.89</v>
      </c>
      <c r="I70" s="3">
        <f>6185.68+84136.79</f>
        <v>90322.47</v>
      </c>
      <c r="J70" s="3">
        <v>95955.239169999986</v>
      </c>
      <c r="K70" s="3">
        <v>0</v>
      </c>
      <c r="L70" s="3">
        <v>0</v>
      </c>
      <c r="M70" s="3">
        <v>0</v>
      </c>
      <c r="N70" s="3">
        <v>51000</v>
      </c>
      <c r="O70" s="3">
        <v>42500</v>
      </c>
      <c r="P70" s="3">
        <v>21250</v>
      </c>
      <c r="Q70" s="4">
        <f t="shared" si="0"/>
        <v>339173.69747000001</v>
      </c>
    </row>
    <row r="71" spans="1:17" x14ac:dyDescent="0.25">
      <c r="A71" s="2" t="s">
        <v>213</v>
      </c>
      <c r="B71" t="s">
        <v>167</v>
      </c>
      <c r="C71" s="2" t="s">
        <v>230</v>
      </c>
      <c r="D71" s="2"/>
      <c r="E71" s="3"/>
      <c r="F71" s="3"/>
      <c r="G71" s="3"/>
      <c r="H71" s="3"/>
      <c r="I71" s="3"/>
      <c r="J71" s="3">
        <v>0</v>
      </c>
      <c r="K71" s="3">
        <v>0</v>
      </c>
      <c r="L71" s="3">
        <v>0</v>
      </c>
      <c r="M71" s="3">
        <v>0</v>
      </c>
      <c r="N71" s="3"/>
      <c r="O71" s="3"/>
      <c r="P71" s="3"/>
      <c r="Q71" s="4">
        <f t="shared" ref="Q71:Q127" si="1">SUM(E71:P71)</f>
        <v>0</v>
      </c>
    </row>
    <row r="72" spans="1:17" x14ac:dyDescent="0.25">
      <c r="A72" s="2" t="s">
        <v>213</v>
      </c>
      <c r="B72" t="s">
        <v>167</v>
      </c>
      <c r="C72" s="2" t="s">
        <v>231</v>
      </c>
      <c r="D72" s="2"/>
      <c r="E72" s="6"/>
      <c r="F72" s="3"/>
      <c r="G72" s="3"/>
      <c r="H72" s="3"/>
      <c r="I72" s="3"/>
      <c r="J72" s="3">
        <v>0</v>
      </c>
      <c r="K72" s="3">
        <v>0</v>
      </c>
      <c r="L72" s="3">
        <v>0</v>
      </c>
      <c r="M72" s="3">
        <v>0</v>
      </c>
      <c r="N72" s="3"/>
      <c r="O72" s="3"/>
      <c r="P72" s="3"/>
      <c r="Q72" s="4">
        <f t="shared" si="1"/>
        <v>0</v>
      </c>
    </row>
    <row r="73" spans="1:17" x14ac:dyDescent="0.25">
      <c r="A73" s="2" t="s">
        <v>213</v>
      </c>
      <c r="B73" t="s">
        <v>167</v>
      </c>
      <c r="C73" s="2" t="s">
        <v>232</v>
      </c>
      <c r="D73" s="2"/>
      <c r="E73" s="6">
        <v>28854.03</v>
      </c>
      <c r="F73" s="3">
        <f>12895.06</f>
        <v>12895.06</v>
      </c>
      <c r="G73" s="3"/>
      <c r="H73" s="3"/>
      <c r="I73" s="6"/>
      <c r="J73" s="3">
        <v>0</v>
      </c>
      <c r="K73" s="3">
        <v>0</v>
      </c>
      <c r="L73" s="3">
        <v>0</v>
      </c>
      <c r="M73" s="3">
        <v>0</v>
      </c>
      <c r="N73" s="3"/>
      <c r="O73" s="3"/>
      <c r="P73" s="3"/>
      <c r="Q73" s="4">
        <f t="shared" si="1"/>
        <v>41749.089999999997</v>
      </c>
    </row>
    <row r="74" spans="1:17" x14ac:dyDescent="0.25">
      <c r="A74" s="2" t="s">
        <v>213</v>
      </c>
      <c r="B74" t="s">
        <v>167</v>
      </c>
      <c r="C74" s="2" t="s">
        <v>233</v>
      </c>
      <c r="D74" s="2"/>
      <c r="E74" s="3">
        <v>59579.888210000005</v>
      </c>
      <c r="F74" s="3">
        <f>147344.38-261.8</f>
        <v>147082.58000000002</v>
      </c>
      <c r="G74" s="3">
        <f>-232.67+167363.51</f>
        <v>167130.84</v>
      </c>
      <c r="H74" s="3">
        <f>205171.34</f>
        <v>205171.34</v>
      </c>
      <c r="I74" s="3">
        <f>30516.09+385235.55</f>
        <v>415751.64</v>
      </c>
      <c r="J74" s="3">
        <v>486740.98095</v>
      </c>
      <c r="K74" s="3">
        <v>138864.71216</v>
      </c>
      <c r="L74" s="3">
        <v>251345.00759999998</v>
      </c>
      <c r="M74" s="3">
        <v>234371.19719900002</v>
      </c>
      <c r="N74" s="3">
        <v>152600</v>
      </c>
      <c r="O74" s="3">
        <v>253528.80280099998</v>
      </c>
      <c r="P74" s="3">
        <v>148855</v>
      </c>
      <c r="Q74" s="4">
        <f t="shared" si="1"/>
        <v>2661021.9889199999</v>
      </c>
    </row>
    <row r="75" spans="1:17" x14ac:dyDescent="0.25">
      <c r="A75" s="2" t="s">
        <v>213</v>
      </c>
      <c r="B75" t="s">
        <v>167</v>
      </c>
      <c r="C75" s="2" t="s">
        <v>234</v>
      </c>
      <c r="D75" s="2"/>
      <c r="E75" s="3"/>
      <c r="F75" s="3"/>
      <c r="G75" s="3"/>
      <c r="H75" s="3"/>
      <c r="I75" s="3"/>
      <c r="J75" s="3">
        <v>0</v>
      </c>
      <c r="K75" s="3">
        <v>0</v>
      </c>
      <c r="L75" s="3">
        <v>0</v>
      </c>
      <c r="M75" s="3">
        <v>0</v>
      </c>
      <c r="N75" s="3"/>
      <c r="O75" s="3"/>
      <c r="P75" s="3"/>
      <c r="Q75" s="4">
        <f t="shared" si="1"/>
        <v>0</v>
      </c>
    </row>
    <row r="76" spans="1:17" x14ac:dyDescent="0.25">
      <c r="A76" s="2" t="s">
        <v>213</v>
      </c>
      <c r="B76" t="s">
        <v>167</v>
      </c>
      <c r="C76" s="2" t="s">
        <v>235</v>
      </c>
      <c r="D76" s="2"/>
      <c r="E76" s="3"/>
      <c r="F76" s="3"/>
      <c r="G76" s="3"/>
      <c r="H76" s="3"/>
      <c r="I76" s="3"/>
      <c r="J76" s="3">
        <v>0</v>
      </c>
      <c r="K76" s="3">
        <v>0</v>
      </c>
      <c r="L76" s="3">
        <v>0</v>
      </c>
      <c r="M76" s="3">
        <v>0</v>
      </c>
      <c r="N76" s="3"/>
      <c r="O76" s="3"/>
      <c r="P76" s="3"/>
      <c r="Q76" s="4">
        <f t="shared" si="1"/>
        <v>0</v>
      </c>
    </row>
    <row r="77" spans="1:17" x14ac:dyDescent="0.25">
      <c r="A77" s="2" t="s">
        <v>213</v>
      </c>
      <c r="B77" t="s">
        <v>167</v>
      </c>
      <c r="C77" s="2" t="s">
        <v>170</v>
      </c>
      <c r="D77" s="2"/>
      <c r="E77" s="3"/>
      <c r="F77" s="3"/>
      <c r="G77" s="3"/>
      <c r="H77" s="3"/>
      <c r="I77" s="3"/>
      <c r="J77" s="3">
        <v>0</v>
      </c>
      <c r="K77" s="3">
        <v>0</v>
      </c>
      <c r="L77" s="3">
        <v>0</v>
      </c>
      <c r="M77" s="3">
        <v>0</v>
      </c>
      <c r="N77" s="3"/>
      <c r="O77" s="3"/>
      <c r="P77" s="3"/>
      <c r="Q77" s="4">
        <f t="shared" si="1"/>
        <v>0</v>
      </c>
    </row>
    <row r="78" spans="1:17" x14ac:dyDescent="0.25">
      <c r="A78" s="2" t="s">
        <v>213</v>
      </c>
      <c r="B78" t="s">
        <v>167</v>
      </c>
      <c r="C78" s="2" t="s">
        <v>236</v>
      </c>
      <c r="D78" s="2"/>
      <c r="E78" s="6">
        <v>61112.331940000004</v>
      </c>
      <c r="F78" s="3">
        <f>124376.38</f>
        <v>124376.38</v>
      </c>
      <c r="G78" s="3">
        <v>40039.681619999996</v>
      </c>
      <c r="H78" s="3">
        <f>81228.26</f>
        <v>81228.259999999995</v>
      </c>
      <c r="I78" s="3">
        <f>60395</f>
        <v>60395</v>
      </c>
      <c r="J78" s="3">
        <v>8615.4</v>
      </c>
      <c r="K78" s="3">
        <v>174781.60868999999</v>
      </c>
      <c r="L78" s="3">
        <v>46254.135599999994</v>
      </c>
      <c r="M78" s="3">
        <v>73950</v>
      </c>
      <c r="N78" s="3">
        <v>255000</v>
      </c>
      <c r="O78" s="3">
        <v>181050</v>
      </c>
      <c r="P78" s="3">
        <v>379426.20214999979</v>
      </c>
      <c r="Q78" s="4">
        <f t="shared" si="1"/>
        <v>1486229</v>
      </c>
    </row>
    <row r="79" spans="1:17" x14ac:dyDescent="0.25">
      <c r="A79" s="2" t="s">
        <v>213</v>
      </c>
      <c r="B79" t="s">
        <v>167</v>
      </c>
      <c r="C79" s="2" t="s">
        <v>237</v>
      </c>
      <c r="D79" s="2"/>
      <c r="E79" s="3"/>
      <c r="F79" s="3"/>
      <c r="G79" s="3"/>
      <c r="H79" s="3">
        <f>28582.13</f>
        <v>28582.13</v>
      </c>
      <c r="I79" s="3">
        <f>31417.87</f>
        <v>31417.87</v>
      </c>
      <c r="J79" s="3">
        <v>14086.5522</v>
      </c>
      <c r="K79" s="3">
        <v>14507.2068</v>
      </c>
      <c r="L79" s="3">
        <v>29935.071999999996</v>
      </c>
      <c r="M79" s="3">
        <v>16813.49035</v>
      </c>
      <c r="N79" s="3">
        <v>3000</v>
      </c>
      <c r="O79" s="3">
        <v>-10813.49035</v>
      </c>
      <c r="P79" s="3">
        <v>-23934.832000000009</v>
      </c>
      <c r="Q79" s="4">
        <f t="shared" si="1"/>
        <v>103593.999</v>
      </c>
    </row>
    <row r="80" spans="1:17" x14ac:dyDescent="0.25">
      <c r="A80" s="2" t="s">
        <v>213</v>
      </c>
      <c r="B80" t="s">
        <v>167</v>
      </c>
      <c r="C80" s="2" t="s">
        <v>238</v>
      </c>
      <c r="D80" s="2"/>
      <c r="E80" s="3"/>
      <c r="F80" s="3">
        <f>4592.79</f>
        <v>4592.79</v>
      </c>
      <c r="G80" s="3">
        <v>10577.437249999999</v>
      </c>
      <c r="H80" s="3">
        <f>7868.57</f>
        <v>7868.57</v>
      </c>
      <c r="I80" s="3"/>
      <c r="J80" s="3">
        <v>0</v>
      </c>
      <c r="K80" s="3">
        <v>-88.8</v>
      </c>
      <c r="L80" s="3">
        <v>0</v>
      </c>
      <c r="M80" s="3">
        <v>0</v>
      </c>
      <c r="N80" s="3"/>
      <c r="O80" s="3"/>
      <c r="P80" s="3"/>
      <c r="Q80" s="4">
        <f t="shared" si="1"/>
        <v>22949.99725</v>
      </c>
    </row>
    <row r="81" spans="1:17" x14ac:dyDescent="0.25">
      <c r="A81" s="2" t="s">
        <v>213</v>
      </c>
      <c r="B81" t="s">
        <v>167</v>
      </c>
      <c r="C81" s="2" t="s">
        <v>239</v>
      </c>
      <c r="D81" s="2"/>
      <c r="E81" s="3">
        <v>9390</v>
      </c>
      <c r="F81" s="3">
        <f>9390</f>
        <v>9390</v>
      </c>
      <c r="G81" s="3">
        <f>-3.04+20204.36</f>
        <v>20201.32</v>
      </c>
      <c r="H81" s="3">
        <f>19575.04</f>
        <v>19575.04</v>
      </c>
      <c r="I81" s="3">
        <f>34212.13</f>
        <v>34212.129999999997</v>
      </c>
      <c r="J81" s="3">
        <v>28332.158000000007</v>
      </c>
      <c r="K81" s="3">
        <v>27549.263500000001</v>
      </c>
      <c r="L81" s="3">
        <v>27622.320150000007</v>
      </c>
      <c r="M81" s="3">
        <v>15358.614100000003</v>
      </c>
      <c r="N81" s="3">
        <v>29750</v>
      </c>
      <c r="O81" s="3">
        <v>31391.385899999997</v>
      </c>
      <c r="P81" s="3">
        <v>25077.771349999995</v>
      </c>
      <c r="Q81" s="4">
        <f t="shared" si="1"/>
        <v>277850.00300000003</v>
      </c>
    </row>
    <row r="82" spans="1:17" x14ac:dyDescent="0.25">
      <c r="A82" s="2" t="s">
        <v>213</v>
      </c>
      <c r="B82" t="s">
        <v>167</v>
      </c>
      <c r="C82" s="2" t="s">
        <v>240</v>
      </c>
      <c r="D82" s="2"/>
      <c r="E82" s="3"/>
      <c r="F82" s="3"/>
      <c r="G82" s="3"/>
      <c r="H82" s="3">
        <f>29265.05</f>
        <v>29265.05</v>
      </c>
      <c r="I82" s="3">
        <f>15274.48</f>
        <v>15274.48</v>
      </c>
      <c r="J82" s="3">
        <v>15146.029000000002</v>
      </c>
      <c r="K82" s="3">
        <v>12891.219799999999</v>
      </c>
      <c r="L82" s="3">
        <v>14417.828</v>
      </c>
      <c r="M82" s="3">
        <v>15498.3205</v>
      </c>
      <c r="N82" s="3">
        <v>15500</v>
      </c>
      <c r="O82" s="3">
        <v>1.6795000000001892</v>
      </c>
      <c r="P82" s="3">
        <v>1082</v>
      </c>
      <c r="Q82" s="4">
        <f t="shared" si="1"/>
        <v>119076.60679999999</v>
      </c>
    </row>
    <row r="83" spans="1:17" x14ac:dyDescent="0.25">
      <c r="A83" s="2" t="s">
        <v>213</v>
      </c>
      <c r="B83" t="s">
        <v>167</v>
      </c>
      <c r="C83" s="2" t="s">
        <v>241</v>
      </c>
      <c r="D83" s="2"/>
      <c r="E83" s="3"/>
      <c r="F83" s="3"/>
      <c r="G83" s="3"/>
      <c r="H83" s="3">
        <f>15107.1</f>
        <v>15107.1</v>
      </c>
      <c r="I83" s="3">
        <f>14435.9</f>
        <v>14435.9</v>
      </c>
      <c r="J83" s="3">
        <v>35782.2552</v>
      </c>
      <c r="K83" s="3">
        <v>20144.034299999999</v>
      </c>
      <c r="L83" s="3">
        <v>17583.224750000001</v>
      </c>
      <c r="M83" s="3">
        <v>20807.998899999999</v>
      </c>
      <c r="N83" s="3">
        <v>15109</v>
      </c>
      <c r="O83" s="3">
        <v>-616.99889999999868</v>
      </c>
      <c r="P83" s="3">
        <v>4360.4831300000078</v>
      </c>
      <c r="Q83" s="4">
        <f t="shared" si="1"/>
        <v>142712.99738000002</v>
      </c>
    </row>
    <row r="84" spans="1:17" x14ac:dyDescent="0.25">
      <c r="A84" s="2" t="s">
        <v>213</v>
      </c>
      <c r="B84" t="s">
        <v>167</v>
      </c>
      <c r="C84" s="2" t="s">
        <v>242</v>
      </c>
      <c r="D84" s="2"/>
      <c r="E84" s="3"/>
      <c r="F84" s="3"/>
      <c r="G84" s="3"/>
      <c r="H84" s="3"/>
      <c r="I84" s="3"/>
      <c r="J84" s="3">
        <v>0</v>
      </c>
      <c r="K84" s="3">
        <v>0</v>
      </c>
      <c r="L84" s="3">
        <v>0</v>
      </c>
      <c r="M84" s="3">
        <v>0</v>
      </c>
      <c r="N84" s="3"/>
      <c r="O84" s="3"/>
      <c r="P84" s="3"/>
      <c r="Q84" s="4">
        <f t="shared" si="1"/>
        <v>0</v>
      </c>
    </row>
    <row r="85" spans="1:17" x14ac:dyDescent="0.25">
      <c r="A85" s="2" t="s">
        <v>213</v>
      </c>
      <c r="B85" t="s">
        <v>167</v>
      </c>
      <c r="C85" s="2" t="s">
        <v>243</v>
      </c>
      <c r="D85" s="2"/>
      <c r="E85" s="3"/>
      <c r="F85" s="3"/>
      <c r="G85" s="3"/>
      <c r="H85" s="3"/>
      <c r="I85" s="3"/>
      <c r="J85" s="3">
        <v>0</v>
      </c>
      <c r="K85" s="3">
        <v>0</v>
      </c>
      <c r="L85" s="3">
        <v>0</v>
      </c>
      <c r="M85" s="3">
        <v>0</v>
      </c>
      <c r="N85" s="3"/>
      <c r="O85" s="3"/>
      <c r="P85" s="3"/>
      <c r="Q85" s="4">
        <f t="shared" si="1"/>
        <v>0</v>
      </c>
    </row>
    <row r="86" spans="1:17" x14ac:dyDescent="0.25">
      <c r="A86" s="2" t="s">
        <v>213</v>
      </c>
      <c r="B86" t="s">
        <v>167</v>
      </c>
      <c r="C86" s="2" t="s">
        <v>244</v>
      </c>
      <c r="D86" s="2"/>
      <c r="E86" s="3"/>
      <c r="F86" s="3"/>
      <c r="G86" s="3"/>
      <c r="H86" s="3"/>
      <c r="I86" s="3"/>
      <c r="J86" s="3">
        <v>0</v>
      </c>
      <c r="K86" s="3">
        <v>-3176.1</v>
      </c>
      <c r="L86" s="3">
        <v>0</v>
      </c>
      <c r="M86" s="3">
        <v>0</v>
      </c>
      <c r="N86" s="3"/>
      <c r="O86" s="3"/>
      <c r="P86" s="3"/>
      <c r="Q86" s="4">
        <f t="shared" si="1"/>
        <v>-3176.1</v>
      </c>
    </row>
    <row r="87" spans="1:17" x14ac:dyDescent="0.25">
      <c r="A87" s="2" t="s">
        <v>213</v>
      </c>
      <c r="B87" t="s">
        <v>167</v>
      </c>
      <c r="C87" s="2" t="s">
        <v>245</v>
      </c>
      <c r="D87" s="2"/>
      <c r="E87" s="3"/>
      <c r="F87" s="3"/>
      <c r="G87" s="3">
        <f>-714.67</f>
        <v>-714.67</v>
      </c>
      <c r="H87" s="3"/>
      <c r="I87" s="3"/>
      <c r="J87" s="3">
        <v>0</v>
      </c>
      <c r="K87" s="3">
        <v>0</v>
      </c>
      <c r="L87" s="3">
        <v>0</v>
      </c>
      <c r="M87" s="3">
        <v>0</v>
      </c>
      <c r="N87" s="3"/>
      <c r="O87" s="3"/>
      <c r="P87" s="3"/>
      <c r="Q87" s="4">
        <f t="shared" si="1"/>
        <v>-714.67</v>
      </c>
    </row>
    <row r="88" spans="1:17" x14ac:dyDescent="0.25">
      <c r="A88" s="2" t="s">
        <v>213</v>
      </c>
      <c r="B88" t="s">
        <v>167</v>
      </c>
      <c r="C88" s="2" t="s">
        <v>246</v>
      </c>
      <c r="D88" s="2"/>
      <c r="E88" s="3"/>
      <c r="F88" s="3"/>
      <c r="G88" s="3"/>
      <c r="H88" s="3"/>
      <c r="I88" s="3"/>
      <c r="J88" s="3">
        <v>0</v>
      </c>
      <c r="K88" s="3">
        <v>0</v>
      </c>
      <c r="L88" s="3">
        <v>0</v>
      </c>
      <c r="M88" s="3">
        <v>0</v>
      </c>
      <c r="N88" s="3"/>
      <c r="O88" s="3"/>
      <c r="P88" s="3"/>
      <c r="Q88" s="4">
        <f t="shared" si="1"/>
        <v>0</v>
      </c>
    </row>
    <row r="89" spans="1:17" x14ac:dyDescent="0.25">
      <c r="A89" s="2" t="s">
        <v>213</v>
      </c>
      <c r="B89" t="s">
        <v>167</v>
      </c>
      <c r="C89" s="2" t="s">
        <v>247</v>
      </c>
      <c r="D89" s="2"/>
      <c r="E89" s="3"/>
      <c r="F89" s="3"/>
      <c r="G89" s="3"/>
      <c r="H89" s="3">
        <f>9981.55</f>
        <v>9981.5499999999993</v>
      </c>
      <c r="I89" s="3">
        <f>4352.46</f>
        <v>4352.46</v>
      </c>
      <c r="J89" s="3">
        <v>7667.6715000000004</v>
      </c>
      <c r="K89" s="3">
        <v>12625.2775</v>
      </c>
      <c r="L89" s="3">
        <v>-4381.1400000000003</v>
      </c>
      <c r="M89" s="3">
        <v>0</v>
      </c>
      <c r="N89" s="3"/>
      <c r="O89" s="3"/>
      <c r="P89" s="3"/>
      <c r="Q89" s="4">
        <f t="shared" si="1"/>
        <v>30245.819000000003</v>
      </c>
    </row>
    <row r="90" spans="1:17" x14ac:dyDescent="0.25">
      <c r="A90" s="2" t="s">
        <v>213</v>
      </c>
      <c r="B90" t="s">
        <v>167</v>
      </c>
      <c r="C90" s="2" t="s">
        <v>248</v>
      </c>
      <c r="D90" s="2"/>
      <c r="E90" s="3"/>
      <c r="F90" s="3"/>
      <c r="G90" s="3"/>
      <c r="H90" s="3"/>
      <c r="I90" s="3"/>
      <c r="J90" s="3">
        <v>8154.5694999999996</v>
      </c>
      <c r="K90" s="3">
        <v>11836.367700000001</v>
      </c>
      <c r="L90" s="3">
        <v>11900.476500000001</v>
      </c>
      <c r="M90" s="3">
        <v>10751.058999999999</v>
      </c>
      <c r="N90" s="3">
        <v>6400</v>
      </c>
      <c r="O90" s="3">
        <v>2048.9410000000007</v>
      </c>
      <c r="P90" s="3">
        <v>900</v>
      </c>
      <c r="Q90" s="4">
        <f t="shared" si="1"/>
        <v>51991.413699999997</v>
      </c>
    </row>
    <row r="91" spans="1:17" x14ac:dyDescent="0.25">
      <c r="A91" s="2" t="s">
        <v>213</v>
      </c>
      <c r="B91" t="s">
        <v>167</v>
      </c>
      <c r="C91" s="2" t="s">
        <v>249</v>
      </c>
      <c r="D91" s="2"/>
      <c r="E91" s="3"/>
      <c r="F91" s="3"/>
      <c r="G91" s="3"/>
      <c r="H91" s="3"/>
      <c r="I91" s="3"/>
      <c r="J91" s="3"/>
      <c r="K91" s="3"/>
      <c r="L91" s="3"/>
      <c r="M91" s="3"/>
      <c r="N91" s="3">
        <v>234937</v>
      </c>
      <c r="O91" s="3">
        <v>469874</v>
      </c>
      <c r="P91" s="3">
        <v>234937</v>
      </c>
      <c r="Q91" s="4">
        <f t="shared" si="1"/>
        <v>939748</v>
      </c>
    </row>
    <row r="92" spans="1:17" x14ac:dyDescent="0.25">
      <c r="A92" s="2" t="s">
        <v>213</v>
      </c>
      <c r="B92" t="s">
        <v>167</v>
      </c>
      <c r="C92" s="2" t="s">
        <v>250</v>
      </c>
      <c r="D92" s="2"/>
      <c r="E92" s="3"/>
      <c r="F92" s="3"/>
      <c r="G92" s="3"/>
      <c r="H92" s="3"/>
      <c r="I92" s="3"/>
      <c r="J92" s="3"/>
      <c r="K92" s="3"/>
      <c r="L92" s="3"/>
      <c r="M92" s="3"/>
      <c r="N92" s="3">
        <v>27826</v>
      </c>
      <c r="O92" s="3">
        <v>27826</v>
      </c>
      <c r="P92" s="3">
        <v>27826</v>
      </c>
      <c r="Q92" s="4">
        <f t="shared" si="1"/>
        <v>83478</v>
      </c>
    </row>
    <row r="93" spans="1:17" s="9" customFormat="1" x14ac:dyDescent="0.25">
      <c r="A93" s="8" t="s">
        <v>213</v>
      </c>
      <c r="B93" s="9" t="s">
        <v>167</v>
      </c>
      <c r="C93" s="8" t="s">
        <v>251</v>
      </c>
      <c r="D93" s="8"/>
      <c r="E93" s="11"/>
      <c r="F93" s="11"/>
      <c r="G93" s="11"/>
      <c r="H93" s="11"/>
      <c r="I93" s="11"/>
      <c r="J93" s="11"/>
      <c r="K93" s="11"/>
      <c r="L93" s="11"/>
      <c r="M93" s="11"/>
      <c r="N93" s="11">
        <v>9052</v>
      </c>
      <c r="O93" s="11">
        <v>18764.72</v>
      </c>
      <c r="P93" s="11">
        <v>9726</v>
      </c>
      <c r="Q93" s="12">
        <f t="shared" si="1"/>
        <v>37542.720000000001</v>
      </c>
    </row>
    <row r="94" spans="1:17" x14ac:dyDescent="0.25">
      <c r="A94" s="2" t="s">
        <v>252</v>
      </c>
      <c r="B94" t="s">
        <v>167</v>
      </c>
      <c r="C94" s="2" t="s">
        <v>253</v>
      </c>
      <c r="D94" s="2"/>
      <c r="E94" s="3"/>
      <c r="F94" s="3"/>
      <c r="G94" s="3"/>
      <c r="H94" s="3"/>
      <c r="I94" s="3"/>
      <c r="J94" s="3">
        <v>0</v>
      </c>
      <c r="K94" s="3">
        <v>0</v>
      </c>
      <c r="L94" s="3">
        <v>0</v>
      </c>
      <c r="M94" s="3">
        <v>0</v>
      </c>
      <c r="N94" s="3"/>
      <c r="O94" s="3"/>
      <c r="P94" s="3"/>
      <c r="Q94" s="4">
        <f t="shared" si="1"/>
        <v>0</v>
      </c>
    </row>
    <row r="95" spans="1:17" x14ac:dyDescent="0.25">
      <c r="A95" s="2" t="s">
        <v>252</v>
      </c>
      <c r="B95" t="s">
        <v>167</v>
      </c>
      <c r="C95" s="2" t="s">
        <v>254</v>
      </c>
      <c r="D95" s="2"/>
      <c r="E95" s="6">
        <v>331205.03940000001</v>
      </c>
      <c r="F95" s="3">
        <f>205846.82</f>
        <v>205846.82</v>
      </c>
      <c r="G95" s="3">
        <f>3272.33+324978.45</f>
        <v>328250.78000000003</v>
      </c>
      <c r="H95" s="3">
        <f>342239.31-227.4</f>
        <v>342011.91</v>
      </c>
      <c r="I95" s="3">
        <f>332789.79</f>
        <v>332789.78999999998</v>
      </c>
      <c r="J95" s="3">
        <v>247441.35805000004</v>
      </c>
      <c r="K95" s="3">
        <v>170021.49314999999</v>
      </c>
      <c r="L95" s="3">
        <v>118550.65464999998</v>
      </c>
      <c r="M95" s="3">
        <v>233895.87157999998</v>
      </c>
      <c r="N95" s="3">
        <v>400000</v>
      </c>
      <c r="O95" s="3">
        <v>485000</v>
      </c>
      <c r="P95" s="3">
        <v>400000</v>
      </c>
      <c r="Q95" s="4">
        <f t="shared" si="1"/>
        <v>3595013.7168299998</v>
      </c>
    </row>
    <row r="96" spans="1:17" x14ac:dyDescent="0.25">
      <c r="A96" s="2" t="s">
        <v>252</v>
      </c>
      <c r="B96" t="s">
        <v>167</v>
      </c>
      <c r="C96" s="2" t="s">
        <v>255</v>
      </c>
      <c r="D96" s="2"/>
      <c r="E96" s="3"/>
      <c r="F96" s="3"/>
      <c r="G96" s="3"/>
      <c r="H96" s="3"/>
      <c r="I96" s="3"/>
      <c r="J96" s="3">
        <v>0</v>
      </c>
      <c r="K96" s="3">
        <v>0</v>
      </c>
      <c r="L96" s="3">
        <v>0</v>
      </c>
      <c r="M96" s="3">
        <v>0</v>
      </c>
      <c r="N96" s="3"/>
      <c r="O96" s="3"/>
      <c r="P96" s="3"/>
      <c r="Q96" s="4">
        <f t="shared" si="1"/>
        <v>0</v>
      </c>
    </row>
    <row r="97" spans="1:17" x14ac:dyDescent="0.25">
      <c r="A97" s="2" t="s">
        <v>252</v>
      </c>
      <c r="B97" t="s">
        <v>167</v>
      </c>
      <c r="C97" s="2" t="s">
        <v>256</v>
      </c>
      <c r="D97" s="2"/>
      <c r="E97" s="6">
        <v>51846.613120000002</v>
      </c>
      <c r="F97" s="3">
        <f>43130.61</f>
        <v>43130.61</v>
      </c>
      <c r="G97" s="3"/>
      <c r="H97" s="3"/>
      <c r="I97" s="3"/>
      <c r="J97" s="3">
        <v>0</v>
      </c>
      <c r="K97" s="3">
        <v>0</v>
      </c>
      <c r="L97" s="3">
        <v>15632.529540000001</v>
      </c>
      <c r="M97" s="3">
        <v>96786.66468300001</v>
      </c>
      <c r="N97" s="3">
        <v>102300</v>
      </c>
      <c r="O97" s="3">
        <v>102300</v>
      </c>
      <c r="P97" s="3">
        <v>102300</v>
      </c>
      <c r="Q97" s="4">
        <f t="shared" si="1"/>
        <v>514296.41734300001</v>
      </c>
    </row>
    <row r="98" spans="1:17" x14ac:dyDescent="0.25">
      <c r="A98" s="2" t="s">
        <v>252</v>
      </c>
      <c r="B98" t="s">
        <v>167</v>
      </c>
      <c r="C98" s="2" t="s">
        <v>257</v>
      </c>
      <c r="D98" s="2"/>
      <c r="E98" s="3"/>
      <c r="F98" s="3"/>
      <c r="G98" s="3"/>
      <c r="H98" s="3"/>
      <c r="I98" s="3"/>
      <c r="J98" s="3">
        <v>0</v>
      </c>
      <c r="K98" s="3">
        <v>0</v>
      </c>
      <c r="L98" s="3">
        <v>0</v>
      </c>
      <c r="M98" s="3">
        <v>0</v>
      </c>
      <c r="N98" s="3"/>
      <c r="O98" s="3"/>
      <c r="P98" s="3"/>
      <c r="Q98" s="4">
        <f t="shared" si="1"/>
        <v>0</v>
      </c>
    </row>
    <row r="99" spans="1:17" x14ac:dyDescent="0.25">
      <c r="A99" s="2" t="s">
        <v>252</v>
      </c>
      <c r="B99" t="s">
        <v>167</v>
      </c>
      <c r="C99" s="2" t="s">
        <v>258</v>
      </c>
      <c r="D99" s="2"/>
      <c r="E99" s="3">
        <f>306348.12395+102829.6971</f>
        <v>409177.82104999997</v>
      </c>
      <c r="F99" s="3">
        <f>638498.5+19278.59-545.5</f>
        <v>657231.59</v>
      </c>
      <c r="G99" s="3">
        <f>-55.73+15.13+44.93-3.69+11388.42+787908.33+217947.23+7659.35</f>
        <v>1024903.97</v>
      </c>
      <c r="H99" s="3">
        <f>758998.58+231478.62</f>
        <v>990477.2</v>
      </c>
      <c r="I99" s="3">
        <f>-3418.28+839015.41+254571.17</f>
        <v>1090168.3</v>
      </c>
      <c r="J99" s="3">
        <v>862066.54247000022</v>
      </c>
      <c r="K99" s="3">
        <v>1000733.2541399993</v>
      </c>
      <c r="L99" s="3">
        <v>1056726.9214199998</v>
      </c>
      <c r="M99" s="3">
        <v>1408170.0743300002</v>
      </c>
      <c r="N99" s="3">
        <v>807300</v>
      </c>
      <c r="O99" s="3">
        <v>1087800</v>
      </c>
      <c r="P99" s="3">
        <v>1083900</v>
      </c>
      <c r="Q99" s="4">
        <f t="shared" si="1"/>
        <v>11478655.673409998</v>
      </c>
    </row>
    <row r="100" spans="1:17" x14ac:dyDescent="0.25">
      <c r="A100" s="2" t="s">
        <v>252</v>
      </c>
      <c r="B100" t="s">
        <v>167</v>
      </c>
      <c r="C100" s="2" t="s">
        <v>259</v>
      </c>
      <c r="D100" s="2"/>
      <c r="E100" s="3">
        <v>68119.731750000006</v>
      </c>
      <c r="F100" s="3">
        <f>58039.25</f>
        <v>58039.25</v>
      </c>
      <c r="G100" s="3">
        <v>14312.84</v>
      </c>
      <c r="H100" s="3">
        <f>1671.03</f>
        <v>1671.03</v>
      </c>
      <c r="I100" s="3">
        <f>19173.76</f>
        <v>19173.759999999998</v>
      </c>
      <c r="J100" s="3">
        <v>48647.033500000005</v>
      </c>
      <c r="K100" s="3">
        <v>3527.3379999999997</v>
      </c>
      <c r="L100" s="3">
        <v>0</v>
      </c>
      <c r="M100" s="3">
        <v>1706.5509999999999</v>
      </c>
      <c r="N100" s="3">
        <v>97000</v>
      </c>
      <c r="O100" s="3">
        <v>84000</v>
      </c>
      <c r="P100" s="3">
        <v>0</v>
      </c>
      <c r="Q100" s="4">
        <f t="shared" si="1"/>
        <v>396197.53425000003</v>
      </c>
    </row>
    <row r="101" spans="1:17" x14ac:dyDescent="0.25">
      <c r="A101" s="2" t="s">
        <v>252</v>
      </c>
      <c r="B101" t="s">
        <v>167</v>
      </c>
      <c r="C101" s="2" t="s">
        <v>260</v>
      </c>
      <c r="D101" s="2"/>
      <c r="E101" s="3">
        <v>63789.76249999999</v>
      </c>
      <c r="F101" s="3">
        <f>74440.5</f>
        <v>74440.5</v>
      </c>
      <c r="G101" s="3">
        <v>100770.18</v>
      </c>
      <c r="H101" s="3">
        <f>9573.66</f>
        <v>9573.66</v>
      </c>
      <c r="I101" s="3">
        <f>13638.46</f>
        <v>13638.46</v>
      </c>
      <c r="J101" s="3">
        <v>21637.333500000001</v>
      </c>
      <c r="K101" s="3">
        <v>39848.845000000001</v>
      </c>
      <c r="L101" s="3">
        <v>47366.724499999997</v>
      </c>
      <c r="M101" s="3">
        <v>65739.161000000007</v>
      </c>
      <c r="N101" s="3">
        <v>16800</v>
      </c>
      <c r="O101" s="3">
        <v>10700</v>
      </c>
      <c r="P101" s="3">
        <v>17500</v>
      </c>
      <c r="Q101" s="4">
        <f t="shared" si="1"/>
        <v>481804.62650000007</v>
      </c>
    </row>
    <row r="102" spans="1:17" x14ac:dyDescent="0.25">
      <c r="A102" s="2" t="s">
        <v>252</v>
      </c>
      <c r="B102" t="s">
        <v>167</v>
      </c>
      <c r="C102" s="2" t="s">
        <v>261</v>
      </c>
      <c r="D102" s="2"/>
      <c r="E102" s="3">
        <v>384984.31890000001</v>
      </c>
      <c r="F102" s="3">
        <f>339569.65-2663.2</f>
        <v>336906.45</v>
      </c>
      <c r="G102" s="3">
        <f>360834.61+7851.22</f>
        <v>368685.82999999996</v>
      </c>
      <c r="H102" s="3">
        <f>585273.69</f>
        <v>585273.68999999994</v>
      </c>
      <c r="I102" s="3">
        <f>985326.27</f>
        <v>985326.27</v>
      </c>
      <c r="J102" s="3">
        <v>922877.46610000019</v>
      </c>
      <c r="K102" s="3">
        <v>771065.84550000005</v>
      </c>
      <c r="L102" s="3">
        <v>900865.85750000004</v>
      </c>
      <c r="M102" s="3">
        <v>839021.90200000012</v>
      </c>
      <c r="N102" s="3">
        <v>942480</v>
      </c>
      <c r="O102" s="3">
        <v>1116725</v>
      </c>
      <c r="P102" s="3">
        <v>1169760</v>
      </c>
      <c r="Q102" s="4">
        <f t="shared" si="1"/>
        <v>9323972.629999999</v>
      </c>
    </row>
    <row r="103" spans="1:17" x14ac:dyDescent="0.25">
      <c r="A103" s="2" t="s">
        <v>252</v>
      </c>
      <c r="B103" t="s">
        <v>167</v>
      </c>
      <c r="C103" s="2" t="s">
        <v>262</v>
      </c>
      <c r="D103" s="2"/>
      <c r="E103" s="3">
        <v>85012</v>
      </c>
      <c r="F103" s="3"/>
      <c r="G103" s="3">
        <f>23825.89</f>
        <v>23825.89</v>
      </c>
      <c r="H103" s="3">
        <f>39676.46</f>
        <v>39676.46</v>
      </c>
      <c r="I103" s="3">
        <f>72068.05</f>
        <v>72068.05</v>
      </c>
      <c r="J103" s="3">
        <v>61502.459060000008</v>
      </c>
      <c r="K103" s="3">
        <v>73334.737930000003</v>
      </c>
      <c r="L103" s="3">
        <v>53529.485760000003</v>
      </c>
      <c r="M103" s="3">
        <v>28155.468389999998</v>
      </c>
      <c r="N103" s="3"/>
      <c r="O103" s="5"/>
      <c r="P103" s="3"/>
      <c r="Q103" s="4">
        <f t="shared" si="1"/>
        <v>437104.55114000005</v>
      </c>
    </row>
    <row r="104" spans="1:17" x14ac:dyDescent="0.25">
      <c r="A104" s="2" t="s">
        <v>252</v>
      </c>
      <c r="B104" t="s">
        <v>167</v>
      </c>
      <c r="C104" s="2" t="s">
        <v>263</v>
      </c>
      <c r="D104" s="2"/>
      <c r="E104" s="3"/>
      <c r="F104" s="3"/>
      <c r="G104" s="3"/>
      <c r="H104" s="3"/>
      <c r="I104" s="3"/>
      <c r="J104" s="3">
        <v>0</v>
      </c>
      <c r="K104" s="3">
        <v>0</v>
      </c>
      <c r="L104" s="3">
        <v>0</v>
      </c>
      <c r="M104" s="3">
        <v>0</v>
      </c>
      <c r="N104" s="3"/>
      <c r="O104" s="3"/>
      <c r="P104" s="3"/>
      <c r="Q104" s="4">
        <f t="shared" si="1"/>
        <v>0</v>
      </c>
    </row>
    <row r="105" spans="1:17" x14ac:dyDescent="0.25">
      <c r="A105" s="2" t="s">
        <v>252</v>
      </c>
      <c r="B105" t="s">
        <v>167</v>
      </c>
      <c r="C105" s="2" t="s">
        <v>264</v>
      </c>
      <c r="D105" s="2"/>
      <c r="E105" s="3">
        <v>14233.88</v>
      </c>
      <c r="F105" s="3">
        <f>38008.98</f>
        <v>38008.980000000003</v>
      </c>
      <c r="G105" s="3"/>
      <c r="H105" s="3"/>
      <c r="I105" s="3"/>
      <c r="J105" s="3">
        <v>0</v>
      </c>
      <c r="K105" s="3">
        <v>0</v>
      </c>
      <c r="L105" s="3">
        <v>0</v>
      </c>
      <c r="M105" s="3">
        <v>0</v>
      </c>
      <c r="N105" s="3"/>
      <c r="O105" s="3"/>
      <c r="P105" s="3"/>
      <c r="Q105" s="4">
        <f t="shared" si="1"/>
        <v>52242.86</v>
      </c>
    </row>
    <row r="106" spans="1:17" x14ac:dyDescent="0.25">
      <c r="A106" s="2" t="s">
        <v>252</v>
      </c>
      <c r="B106" t="s">
        <v>167</v>
      </c>
      <c r="C106" s="2" t="s">
        <v>265</v>
      </c>
      <c r="D106" s="2"/>
      <c r="E106" s="3">
        <v>196113.57247000001</v>
      </c>
      <c r="F106" s="3">
        <f>371868.12</f>
        <v>371868.12</v>
      </c>
      <c r="G106" s="3">
        <f>256693.44</f>
        <v>256693.44</v>
      </c>
      <c r="H106" s="3">
        <f>380711.92</f>
        <v>380711.92</v>
      </c>
      <c r="I106" s="3">
        <f>2956.98+413689.55</f>
        <v>416646.52999999997</v>
      </c>
      <c r="J106" s="3">
        <v>230023.12245</v>
      </c>
      <c r="K106" s="3">
        <v>194196.04108</v>
      </c>
      <c r="L106" s="3">
        <v>489325.68926999992</v>
      </c>
      <c r="M106" s="3">
        <v>128577.66108999998</v>
      </c>
      <c r="N106" s="3">
        <v>354900</v>
      </c>
      <c r="O106" s="3">
        <v>402450</v>
      </c>
      <c r="P106" s="3">
        <v>252450</v>
      </c>
      <c r="Q106" s="4">
        <f t="shared" si="1"/>
        <v>3673956.0963599999</v>
      </c>
    </row>
    <row r="107" spans="1:17" x14ac:dyDescent="0.25">
      <c r="A107" s="2" t="s">
        <v>252</v>
      </c>
      <c r="B107" t="s">
        <v>167</v>
      </c>
      <c r="C107" s="2" t="s">
        <v>266</v>
      </c>
      <c r="D107" s="2"/>
      <c r="E107" s="3"/>
      <c r="F107" s="3"/>
      <c r="G107" s="3"/>
      <c r="H107" s="3"/>
      <c r="I107" s="3"/>
      <c r="J107" s="3">
        <v>0</v>
      </c>
      <c r="K107" s="3">
        <v>0</v>
      </c>
      <c r="L107" s="3">
        <v>0</v>
      </c>
      <c r="M107" s="3">
        <v>0</v>
      </c>
      <c r="N107" s="3"/>
      <c r="O107" s="3"/>
      <c r="P107" s="3"/>
      <c r="Q107" s="4">
        <f t="shared" si="1"/>
        <v>0</v>
      </c>
    </row>
    <row r="108" spans="1:17" x14ac:dyDescent="0.25">
      <c r="A108" s="2" t="s">
        <v>252</v>
      </c>
      <c r="B108" t="s">
        <v>167</v>
      </c>
      <c r="C108" s="2" t="s">
        <v>267</v>
      </c>
      <c r="D108" s="2"/>
      <c r="E108" s="3"/>
      <c r="F108" s="3"/>
      <c r="G108" s="3">
        <f>-16.02</f>
        <v>-16.02</v>
      </c>
      <c r="H108" s="3"/>
      <c r="I108" s="3"/>
      <c r="J108" s="3">
        <v>0</v>
      </c>
      <c r="K108" s="3">
        <v>0</v>
      </c>
      <c r="L108" s="3">
        <v>0</v>
      </c>
      <c r="M108" s="3">
        <v>0</v>
      </c>
      <c r="N108" s="3">
        <v>5000</v>
      </c>
      <c r="O108" s="3">
        <v>5000</v>
      </c>
      <c r="P108" s="3">
        <v>5000</v>
      </c>
      <c r="Q108" s="4">
        <f t="shared" si="1"/>
        <v>14983.98</v>
      </c>
    </row>
    <row r="109" spans="1:17" x14ac:dyDescent="0.25">
      <c r="A109" s="2" t="s">
        <v>252</v>
      </c>
      <c r="B109" t="s">
        <v>167</v>
      </c>
      <c r="C109" s="2" t="s">
        <v>268</v>
      </c>
      <c r="D109" s="2"/>
      <c r="E109" s="3"/>
      <c r="F109" s="3"/>
      <c r="G109" s="3"/>
      <c r="H109" s="3"/>
      <c r="I109" s="3"/>
      <c r="J109" s="3">
        <v>0</v>
      </c>
      <c r="K109" s="3">
        <v>0</v>
      </c>
      <c r="L109" s="3">
        <v>0</v>
      </c>
      <c r="M109" s="3">
        <v>0</v>
      </c>
      <c r="N109" s="3"/>
      <c r="O109" s="3"/>
      <c r="P109" s="3"/>
      <c r="Q109" s="4">
        <f t="shared" si="1"/>
        <v>0</v>
      </c>
    </row>
    <row r="110" spans="1:17" x14ac:dyDescent="0.25">
      <c r="A110" s="2" t="s">
        <v>252</v>
      </c>
      <c r="B110" t="s">
        <v>167</v>
      </c>
      <c r="C110" s="2" t="s">
        <v>269</v>
      </c>
      <c r="D110" s="2"/>
      <c r="E110" s="3"/>
      <c r="F110" s="3"/>
      <c r="G110" s="3"/>
      <c r="H110" s="3"/>
      <c r="I110" s="3"/>
      <c r="J110" s="3">
        <v>0</v>
      </c>
      <c r="K110" s="3">
        <v>0</v>
      </c>
      <c r="L110" s="3">
        <v>0</v>
      </c>
      <c r="M110" s="3">
        <v>0</v>
      </c>
      <c r="N110" s="3"/>
      <c r="O110" s="3"/>
      <c r="P110" s="3"/>
      <c r="Q110" s="4">
        <f t="shared" si="1"/>
        <v>0</v>
      </c>
    </row>
    <row r="111" spans="1:17" x14ac:dyDescent="0.25">
      <c r="A111" s="2" t="s">
        <v>252</v>
      </c>
      <c r="B111" t="s">
        <v>167</v>
      </c>
      <c r="C111" s="2" t="s">
        <v>270</v>
      </c>
      <c r="D111" s="2"/>
      <c r="E111" s="3">
        <f>-0.22-0.19</f>
        <v>-0.41000000000000003</v>
      </c>
      <c r="F111" s="3"/>
      <c r="G111" s="3">
        <v>48274.04</v>
      </c>
      <c r="H111" s="3">
        <f>73501.34</f>
        <v>73501.34</v>
      </c>
      <c r="I111" s="3">
        <f>84752.94</f>
        <v>84752.94</v>
      </c>
      <c r="J111" s="3">
        <v>9517.1705000000002</v>
      </c>
      <c r="K111" s="3">
        <v>79488.56925</v>
      </c>
      <c r="L111" s="3">
        <v>59716.09865</v>
      </c>
      <c r="M111" s="3">
        <v>86757.945000000007</v>
      </c>
      <c r="N111" s="3">
        <v>85000</v>
      </c>
      <c r="O111" s="3">
        <v>85000</v>
      </c>
      <c r="P111" s="3">
        <v>0</v>
      </c>
      <c r="Q111" s="4">
        <f t="shared" si="1"/>
        <v>612007.69339999999</v>
      </c>
    </row>
    <row r="112" spans="1:17" x14ac:dyDescent="0.25">
      <c r="A112" s="2" t="s">
        <v>252</v>
      </c>
      <c r="B112" t="s">
        <v>167</v>
      </c>
      <c r="C112" s="2" t="s">
        <v>271</v>
      </c>
      <c r="D112" s="2"/>
      <c r="E112" s="3">
        <v>40261.256999999998</v>
      </c>
      <c r="F112" s="3">
        <f>34833.74</f>
        <v>34833.74</v>
      </c>
      <c r="G112" s="3"/>
      <c r="H112" s="3">
        <f>20173.13</f>
        <v>20173.13</v>
      </c>
      <c r="I112" s="3">
        <f>150829.99</f>
        <v>150829.99</v>
      </c>
      <c r="J112" s="3">
        <v>0</v>
      </c>
      <c r="K112" s="3">
        <v>0</v>
      </c>
      <c r="L112" s="3">
        <v>42055.273950000003</v>
      </c>
      <c r="M112" s="3">
        <v>152444.64000000001</v>
      </c>
      <c r="N112" s="3">
        <v>48300</v>
      </c>
      <c r="O112" s="3">
        <v>113300</v>
      </c>
      <c r="P112" s="3">
        <v>105000</v>
      </c>
      <c r="Q112" s="4">
        <f t="shared" si="1"/>
        <v>707198.03095000004</v>
      </c>
    </row>
    <row r="113" spans="1:17" x14ac:dyDescent="0.25">
      <c r="A113" s="2" t="s">
        <v>252</v>
      </c>
      <c r="B113" t="s">
        <v>167</v>
      </c>
      <c r="C113" s="2" t="s">
        <v>272</v>
      </c>
      <c r="D113" s="2"/>
      <c r="E113" s="3"/>
      <c r="F113" s="3"/>
      <c r="G113" s="3"/>
      <c r="H113" s="3">
        <f>34396.334+42.43</f>
        <v>34438.764000000003</v>
      </c>
      <c r="I113" s="3">
        <f>56166.52</f>
        <v>56166.52</v>
      </c>
      <c r="J113" s="3">
        <v>61448.961249999993</v>
      </c>
      <c r="K113" s="3">
        <v>65401.994500000001</v>
      </c>
      <c r="L113" s="3">
        <v>58347.269249999998</v>
      </c>
      <c r="M113" s="3">
        <v>42191.154000000002</v>
      </c>
      <c r="N113" s="3">
        <v>33700</v>
      </c>
      <c r="O113" s="3">
        <v>0</v>
      </c>
      <c r="P113" s="3">
        <v>0</v>
      </c>
      <c r="Q113" s="4">
        <f t="shared" si="1"/>
        <v>351694.66299999994</v>
      </c>
    </row>
    <row r="114" spans="1:17" x14ac:dyDescent="0.25">
      <c r="A114" s="2" t="s">
        <v>252</v>
      </c>
      <c r="B114" t="s">
        <v>167</v>
      </c>
      <c r="C114" s="2" t="s">
        <v>273</v>
      </c>
      <c r="D114" s="2"/>
      <c r="E114" s="3"/>
      <c r="F114" s="3"/>
      <c r="G114" s="3"/>
      <c r="H114" s="3">
        <f>83685.24</f>
        <v>83685.240000000005</v>
      </c>
      <c r="I114" s="3">
        <f>76314.76</f>
        <v>76314.759999999995</v>
      </c>
      <c r="J114" s="3">
        <v>0</v>
      </c>
      <c r="K114" s="3">
        <v>0</v>
      </c>
      <c r="L114" s="3">
        <v>0</v>
      </c>
      <c r="M114" s="3">
        <v>0</v>
      </c>
      <c r="N114" s="3"/>
      <c r="O114" s="3"/>
      <c r="P114" s="3"/>
      <c r="Q114" s="4">
        <f t="shared" si="1"/>
        <v>160000</v>
      </c>
    </row>
    <row r="115" spans="1:17" x14ac:dyDescent="0.25">
      <c r="A115" s="2" t="s">
        <v>252</v>
      </c>
      <c r="B115" t="s">
        <v>167</v>
      </c>
      <c r="C115" s="2" t="s">
        <v>274</v>
      </c>
      <c r="D115" s="2"/>
      <c r="E115" s="3"/>
      <c r="F115" s="3">
        <f>3673.61</f>
        <v>3673.61</v>
      </c>
      <c r="G115" s="3"/>
      <c r="H115" s="3">
        <f>6436.6+6621.77</f>
        <v>13058.37</v>
      </c>
      <c r="I115" s="3">
        <f>43000</f>
        <v>43000</v>
      </c>
      <c r="J115" s="3">
        <v>0</v>
      </c>
      <c r="K115" s="3">
        <v>523.80899999999997</v>
      </c>
      <c r="L115" s="3">
        <v>19663.161749999999</v>
      </c>
      <c r="M115" s="3">
        <v>59214.660250000001</v>
      </c>
      <c r="N115" s="3">
        <v>55000</v>
      </c>
      <c r="O115" s="3">
        <v>45000</v>
      </c>
      <c r="P115" s="3">
        <v>45000</v>
      </c>
      <c r="Q115" s="4">
        <f t="shared" si="1"/>
        <v>284133.61099999998</v>
      </c>
    </row>
    <row r="116" spans="1:17" s="9" customFormat="1" x14ac:dyDescent="0.25">
      <c r="A116" s="8" t="s">
        <v>252</v>
      </c>
      <c r="B116" s="9" t="s">
        <v>167</v>
      </c>
      <c r="C116" s="8" t="s">
        <v>275</v>
      </c>
      <c r="D116" s="8"/>
      <c r="E116" s="11"/>
      <c r="F116" s="11"/>
      <c r="G116" s="11"/>
      <c r="H116" s="11"/>
      <c r="I116" s="11"/>
      <c r="J116" s="11"/>
      <c r="K116" s="11"/>
      <c r="L116" s="11">
        <v>82680.311989999987</v>
      </c>
      <c r="M116" s="11">
        <v>40612.932520000002</v>
      </c>
      <c r="N116" s="11"/>
      <c r="O116" s="11"/>
      <c r="P116" s="11"/>
      <c r="Q116" s="12">
        <f t="shared" si="1"/>
        <v>123293.24450999999</v>
      </c>
    </row>
    <row r="117" spans="1:17" x14ac:dyDescent="0.25">
      <c r="A117" s="2" t="s">
        <v>276</v>
      </c>
      <c r="B117" t="s">
        <v>167</v>
      </c>
      <c r="C117" s="2" t="s">
        <v>277</v>
      </c>
      <c r="D117" s="2"/>
      <c r="E117" s="3"/>
      <c r="F117" s="3"/>
      <c r="G117" s="3"/>
      <c r="H117" s="3"/>
      <c r="I117" s="3"/>
      <c r="J117" s="3">
        <v>0</v>
      </c>
      <c r="K117" s="3">
        <v>0</v>
      </c>
      <c r="L117" s="3">
        <v>0</v>
      </c>
      <c r="M117" s="3">
        <v>0</v>
      </c>
      <c r="N117" s="3"/>
      <c r="O117" s="3"/>
      <c r="P117" s="3"/>
      <c r="Q117" s="4">
        <f t="shared" si="1"/>
        <v>0</v>
      </c>
    </row>
    <row r="118" spans="1:17" x14ac:dyDescent="0.25">
      <c r="A118" s="2" t="s">
        <v>276</v>
      </c>
      <c r="B118" t="s">
        <v>167</v>
      </c>
      <c r="C118" s="2" t="s">
        <v>278</v>
      </c>
      <c r="D118" s="2"/>
      <c r="E118" s="3"/>
      <c r="F118" s="3"/>
      <c r="G118" s="3"/>
      <c r="H118" s="3"/>
      <c r="I118" s="3"/>
      <c r="J118" s="3">
        <v>0</v>
      </c>
      <c r="K118" s="3">
        <v>0</v>
      </c>
      <c r="L118" s="3">
        <v>0</v>
      </c>
      <c r="M118" s="3">
        <v>0</v>
      </c>
      <c r="N118" s="3"/>
      <c r="O118" s="3"/>
      <c r="P118" s="3"/>
      <c r="Q118" s="4">
        <f t="shared" si="1"/>
        <v>0</v>
      </c>
    </row>
    <row r="119" spans="1:17" x14ac:dyDescent="0.25">
      <c r="A119" s="2" t="s">
        <v>276</v>
      </c>
      <c r="B119" t="s">
        <v>167</v>
      </c>
      <c r="C119" s="2" t="s">
        <v>279</v>
      </c>
      <c r="D119" s="2"/>
      <c r="E119" s="3"/>
      <c r="F119" s="3"/>
      <c r="G119" s="3"/>
      <c r="H119" s="3"/>
      <c r="I119" s="3"/>
      <c r="J119" s="3">
        <v>0</v>
      </c>
      <c r="K119" s="3">
        <v>0</v>
      </c>
      <c r="L119" s="3">
        <v>0</v>
      </c>
      <c r="M119" s="3">
        <v>0</v>
      </c>
      <c r="N119" s="3"/>
      <c r="O119" s="3"/>
      <c r="P119" s="3"/>
      <c r="Q119" s="4">
        <f t="shared" si="1"/>
        <v>0</v>
      </c>
    </row>
    <row r="120" spans="1:17" x14ac:dyDescent="0.25">
      <c r="A120" s="2" t="s">
        <v>276</v>
      </c>
      <c r="B120" t="s">
        <v>167</v>
      </c>
      <c r="C120" s="2" t="s">
        <v>280</v>
      </c>
      <c r="D120" s="2"/>
      <c r="E120" s="3"/>
      <c r="F120" s="3"/>
      <c r="G120" s="3"/>
      <c r="H120" s="3"/>
      <c r="I120" s="3"/>
      <c r="J120" s="3">
        <v>0</v>
      </c>
      <c r="K120" s="3">
        <v>0</v>
      </c>
      <c r="L120" s="3">
        <v>0</v>
      </c>
      <c r="M120" s="3">
        <v>0</v>
      </c>
      <c r="N120" s="3"/>
      <c r="O120" s="3"/>
      <c r="P120" s="3"/>
      <c r="Q120" s="4">
        <f t="shared" si="1"/>
        <v>0</v>
      </c>
    </row>
    <row r="121" spans="1:17" x14ac:dyDescent="0.25">
      <c r="A121" s="2" t="s">
        <v>276</v>
      </c>
      <c r="B121" t="s">
        <v>167</v>
      </c>
      <c r="C121" s="2" t="s">
        <v>281</v>
      </c>
      <c r="D121" s="2"/>
      <c r="E121" s="3"/>
      <c r="F121" s="3"/>
      <c r="G121" s="3"/>
      <c r="H121" s="3"/>
      <c r="I121" s="3"/>
      <c r="J121" s="3">
        <v>0</v>
      </c>
      <c r="K121" s="3">
        <v>0</v>
      </c>
      <c r="L121" s="3">
        <v>0</v>
      </c>
      <c r="M121" s="3">
        <v>0</v>
      </c>
      <c r="N121" s="3"/>
      <c r="O121" s="3"/>
      <c r="P121" s="3"/>
      <c r="Q121" s="4">
        <f t="shared" si="1"/>
        <v>0</v>
      </c>
    </row>
    <row r="122" spans="1:17" x14ac:dyDescent="0.25">
      <c r="A122" s="2" t="s">
        <v>276</v>
      </c>
      <c r="B122" t="s">
        <v>167</v>
      </c>
      <c r="C122" s="2" t="s">
        <v>282</v>
      </c>
      <c r="D122" s="2"/>
      <c r="E122" s="3"/>
      <c r="F122" s="3"/>
      <c r="G122" s="3"/>
      <c r="H122" s="3"/>
      <c r="I122" s="3"/>
      <c r="J122" s="3">
        <v>0</v>
      </c>
      <c r="K122" s="3">
        <v>0</v>
      </c>
      <c r="L122" s="3">
        <v>-33.56</v>
      </c>
      <c r="M122" s="3">
        <v>0</v>
      </c>
      <c r="N122" s="3"/>
      <c r="O122" s="3"/>
      <c r="P122" s="3"/>
      <c r="Q122" s="4">
        <f t="shared" si="1"/>
        <v>-33.56</v>
      </c>
    </row>
    <row r="123" spans="1:17" x14ac:dyDescent="0.25">
      <c r="A123" s="2" t="s">
        <v>276</v>
      </c>
      <c r="B123" t="s">
        <v>167</v>
      </c>
      <c r="C123" s="2" t="s">
        <v>283</v>
      </c>
      <c r="D123" s="2"/>
      <c r="E123" s="3"/>
      <c r="F123" s="3"/>
      <c r="G123" s="3">
        <v>14862.52</v>
      </c>
      <c r="H123" s="3">
        <f>15469.56</f>
        <v>15469.56</v>
      </c>
      <c r="I123" s="3">
        <f>15839.97</f>
        <v>15839.97</v>
      </c>
      <c r="J123" s="3">
        <v>0</v>
      </c>
      <c r="K123" s="3">
        <v>0</v>
      </c>
      <c r="L123" s="3">
        <v>36538.854999999996</v>
      </c>
      <c r="M123" s="3">
        <v>6574.1039999999994</v>
      </c>
      <c r="N123" s="3"/>
      <c r="O123" s="3"/>
      <c r="P123" s="3"/>
      <c r="Q123" s="4">
        <f t="shared" si="1"/>
        <v>89285.008999999991</v>
      </c>
    </row>
    <row r="124" spans="1:17" x14ac:dyDescent="0.25">
      <c r="A124" s="2" t="s">
        <v>276</v>
      </c>
      <c r="B124" t="s">
        <v>167</v>
      </c>
      <c r="C124" s="2" t="s">
        <v>284</v>
      </c>
      <c r="D124" s="2"/>
      <c r="E124" s="3"/>
      <c r="F124" s="3"/>
      <c r="G124" s="3"/>
      <c r="H124" s="3"/>
      <c r="I124" s="3"/>
      <c r="J124" s="3">
        <v>0</v>
      </c>
      <c r="K124" s="3">
        <v>0</v>
      </c>
      <c r="L124" s="3">
        <v>0</v>
      </c>
      <c r="M124" s="3">
        <v>0</v>
      </c>
      <c r="N124" s="3"/>
      <c r="O124" s="3"/>
      <c r="P124" s="3"/>
      <c r="Q124" s="4">
        <f t="shared" si="1"/>
        <v>0</v>
      </c>
    </row>
    <row r="125" spans="1:17" x14ac:dyDescent="0.25">
      <c r="A125" s="2" t="s">
        <v>276</v>
      </c>
      <c r="B125" t="s">
        <v>167</v>
      </c>
      <c r="C125" s="2" t="s">
        <v>285</v>
      </c>
      <c r="D125" s="2"/>
      <c r="E125" s="3"/>
      <c r="F125" s="3"/>
      <c r="G125" s="3"/>
      <c r="H125" s="3"/>
      <c r="I125" s="3"/>
      <c r="J125" s="3"/>
      <c r="K125" s="3"/>
      <c r="L125" s="3"/>
      <c r="M125" s="3">
        <v>0</v>
      </c>
      <c r="N125" s="3">
        <v>49333.333333333336</v>
      </c>
      <c r="O125" s="3">
        <v>49333.333333333336</v>
      </c>
      <c r="P125" s="3">
        <v>49333.333333333336</v>
      </c>
      <c r="Q125" s="4">
        <f t="shared" si="1"/>
        <v>148000</v>
      </c>
    </row>
    <row r="126" spans="1:17" x14ac:dyDescent="0.25">
      <c r="A126" s="2" t="s">
        <v>276</v>
      </c>
      <c r="B126" t="s">
        <v>167</v>
      </c>
      <c r="C126" s="2" t="s">
        <v>286</v>
      </c>
      <c r="D126" s="2"/>
      <c r="E126" s="3"/>
      <c r="F126" s="3"/>
      <c r="G126" s="3"/>
      <c r="H126" s="3"/>
      <c r="I126" s="3"/>
      <c r="J126" s="3">
        <v>0</v>
      </c>
      <c r="K126" s="3">
        <v>0</v>
      </c>
      <c r="L126" s="3">
        <v>0</v>
      </c>
      <c r="M126" s="3">
        <v>0</v>
      </c>
      <c r="N126" s="3"/>
      <c r="O126" s="3"/>
      <c r="P126" s="3"/>
      <c r="Q126" s="4">
        <f t="shared" si="1"/>
        <v>0</v>
      </c>
    </row>
    <row r="127" spans="1:17" s="9" customFormat="1" x14ac:dyDescent="0.25">
      <c r="A127" s="8" t="s">
        <v>276</v>
      </c>
      <c r="B127" s="9" t="s">
        <v>167</v>
      </c>
      <c r="C127" s="8" t="s">
        <v>288</v>
      </c>
      <c r="D127" s="8"/>
      <c r="E127" s="11"/>
      <c r="F127" s="11"/>
      <c r="G127" s="11"/>
      <c r="H127" s="11"/>
      <c r="I127" s="11"/>
      <c r="J127" s="11">
        <v>0</v>
      </c>
      <c r="K127" s="11">
        <v>0</v>
      </c>
      <c r="L127" s="11">
        <v>0</v>
      </c>
      <c r="M127" s="11">
        <v>0</v>
      </c>
      <c r="N127" s="11"/>
      <c r="O127" s="11"/>
      <c r="P127" s="11"/>
      <c r="Q127" s="12">
        <f t="shared" si="1"/>
        <v>0</v>
      </c>
    </row>
    <row r="128" spans="1:17" s="24" customFormat="1" ht="15.75" thickBot="1" x14ac:dyDescent="0.3">
      <c r="A128" s="21" t="s">
        <v>12</v>
      </c>
      <c r="B128" s="22"/>
      <c r="C128" s="21"/>
      <c r="D128" s="21"/>
      <c r="E128" s="23">
        <f t="shared" ref="E128:P128" si="2">SUM(E3:E127)</f>
        <v>3040490.9479899998</v>
      </c>
      <c r="F128" s="23">
        <f t="shared" si="2"/>
        <v>3659973.87</v>
      </c>
      <c r="G128" s="23">
        <f t="shared" si="2"/>
        <v>3709284.4639900005</v>
      </c>
      <c r="H128" s="23">
        <f t="shared" si="2"/>
        <v>4499751.2964500003</v>
      </c>
      <c r="I128" s="23">
        <f t="shared" si="2"/>
        <v>5996278.5800000001</v>
      </c>
      <c r="J128" s="23">
        <f t="shared" si="2"/>
        <v>4590363.3850360317</v>
      </c>
      <c r="K128" s="23">
        <f t="shared" si="2"/>
        <v>4687830.5274675488</v>
      </c>
      <c r="L128" s="23">
        <f t="shared" si="2"/>
        <v>5838708.0350254709</v>
      </c>
      <c r="M128" s="23">
        <f t="shared" si="2"/>
        <v>6578435.6722469889</v>
      </c>
      <c r="N128" s="23">
        <f t="shared" si="2"/>
        <v>6316464.0333333332</v>
      </c>
      <c r="O128" s="23">
        <f t="shared" si="2"/>
        <v>6830980.8991463333</v>
      </c>
      <c r="P128" s="23">
        <f t="shared" si="2"/>
        <v>6641524.125932564</v>
      </c>
      <c r="Q128" s="23">
        <f t="shared" ref="Q128" si="3">SUM(E128:P128)</f>
        <v>62390085.836618282</v>
      </c>
    </row>
    <row r="129" ht="15.75" thickTop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9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H33" sqref="H33"/>
    </sheetView>
  </sheetViews>
  <sheetFormatPr defaultRowHeight="15" x14ac:dyDescent="0.25"/>
  <cols>
    <col min="1" max="1" width="13.5703125" bestFit="1" customWidth="1"/>
    <col min="2" max="2" width="12.85546875" bestFit="1" customWidth="1"/>
    <col min="3" max="3" width="44.7109375" bestFit="1" customWidth="1"/>
    <col min="5" max="16" width="13.28515625" bestFit="1" customWidth="1"/>
    <col min="17" max="17" width="14.28515625" style="1" bestFit="1" customWidth="1"/>
  </cols>
  <sheetData>
    <row r="1" spans="1:17" x14ac:dyDescent="0.25">
      <c r="A1" t="s">
        <v>287</v>
      </c>
      <c r="E1" s="7">
        <v>42370</v>
      </c>
      <c r="F1" s="7">
        <v>42401</v>
      </c>
      <c r="G1" s="7">
        <v>42430</v>
      </c>
      <c r="H1" s="7">
        <v>42461</v>
      </c>
      <c r="I1" s="7">
        <v>42491</v>
      </c>
      <c r="J1" s="7">
        <v>42522</v>
      </c>
      <c r="K1" s="7">
        <v>42552</v>
      </c>
      <c r="L1" s="7">
        <v>42583</v>
      </c>
      <c r="M1" s="7">
        <v>42614</v>
      </c>
      <c r="N1" s="7">
        <v>42644</v>
      </c>
      <c r="O1" s="7">
        <v>42675</v>
      </c>
      <c r="P1" s="7">
        <v>42705</v>
      </c>
      <c r="Q1" s="1" t="s">
        <v>12</v>
      </c>
    </row>
    <row r="3" spans="1:17" x14ac:dyDescent="0.25">
      <c r="A3" s="2" t="s">
        <v>158</v>
      </c>
      <c r="B3" t="s">
        <v>167</v>
      </c>
      <c r="C3" s="2" t="s">
        <v>159</v>
      </c>
      <c r="D3" s="2"/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5857.31</v>
      </c>
      <c r="K3" s="3">
        <v>0</v>
      </c>
      <c r="L3" s="3">
        <v>0</v>
      </c>
      <c r="M3" s="3">
        <v>0</v>
      </c>
      <c r="N3" s="3">
        <f>'Agency Revenues CAD'!N3*39.5%</f>
        <v>0</v>
      </c>
      <c r="O3" s="3">
        <f>'Agency Revenues CAD'!O3*39.5%</f>
        <v>0</v>
      </c>
      <c r="P3" s="3">
        <f>'Agency Revenues CAD'!P3*39.5%</f>
        <v>0</v>
      </c>
      <c r="Q3" s="4">
        <f t="shared" ref="Q3:Q70" si="0">SUM(E3:P3)</f>
        <v>5857.31</v>
      </c>
    </row>
    <row r="4" spans="1:17" x14ac:dyDescent="0.25">
      <c r="A4" s="2" t="s">
        <v>158</v>
      </c>
      <c r="B4" t="s">
        <v>167</v>
      </c>
      <c r="C4" s="2" t="s">
        <v>160</v>
      </c>
      <c r="D4" s="2"/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f>'Agency Revenues CAD'!N4*39.5%</f>
        <v>0</v>
      </c>
      <c r="O4" s="3">
        <f>'Agency Revenues CAD'!O4*39.5%</f>
        <v>0</v>
      </c>
      <c r="P4" s="3">
        <f>'Agency Revenues CAD'!P4*39.5%</f>
        <v>0</v>
      </c>
      <c r="Q4" s="4">
        <f t="shared" si="0"/>
        <v>0</v>
      </c>
    </row>
    <row r="5" spans="1:17" x14ac:dyDescent="0.25">
      <c r="A5" s="2" t="s">
        <v>158</v>
      </c>
      <c r="B5" t="s">
        <v>167</v>
      </c>
      <c r="C5" s="2" t="s">
        <v>161</v>
      </c>
      <c r="D5" s="2"/>
      <c r="E5" s="3">
        <v>13564.071820000001</v>
      </c>
      <c r="F5" s="3">
        <v>6547.4358000000002</v>
      </c>
      <c r="G5" s="3">
        <v>2649.01</v>
      </c>
      <c r="H5" s="3">
        <v>0</v>
      </c>
      <c r="I5" s="3">
        <v>9420.9544000000005</v>
      </c>
      <c r="J5" s="3">
        <v>-3654.7686580944046</v>
      </c>
      <c r="K5" s="3">
        <v>-32.220126269614866</v>
      </c>
      <c r="L5" s="3">
        <v>-98.902190745135812</v>
      </c>
      <c r="M5" s="3">
        <v>0</v>
      </c>
      <c r="N5" s="3">
        <f>'Agency Revenues CAD'!N5*39.5%</f>
        <v>0</v>
      </c>
      <c r="O5" s="3">
        <f>'Agency Revenues CAD'!O5*39.5%</f>
        <v>0</v>
      </c>
      <c r="P5" s="3">
        <f>'Agency Revenues CAD'!P5*39.5%</f>
        <v>0</v>
      </c>
      <c r="Q5" s="4">
        <f t="shared" si="0"/>
        <v>28395.581044890845</v>
      </c>
    </row>
    <row r="6" spans="1:17" x14ac:dyDescent="0.25">
      <c r="A6" s="2" t="s">
        <v>158</v>
      </c>
      <c r="B6" t="s">
        <v>167</v>
      </c>
      <c r="C6" s="2" t="s">
        <v>162</v>
      </c>
      <c r="D6" s="2"/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f>'Agency Revenues CAD'!N6*39.5%</f>
        <v>0</v>
      </c>
      <c r="O6" s="3">
        <f>'Agency Revenues CAD'!O6*39.5%</f>
        <v>0</v>
      </c>
      <c r="P6" s="5">
        <v>20566</v>
      </c>
      <c r="Q6" s="4">
        <f t="shared" si="0"/>
        <v>20566</v>
      </c>
    </row>
    <row r="7" spans="1:17" x14ac:dyDescent="0.25">
      <c r="A7" s="2" t="s">
        <v>158</v>
      </c>
      <c r="B7" t="s">
        <v>167</v>
      </c>
      <c r="C7" s="2" t="s">
        <v>163</v>
      </c>
      <c r="D7" s="2"/>
      <c r="E7" s="3">
        <v>31343.550219999997</v>
      </c>
      <c r="F7" s="3">
        <v>93350.381600000008</v>
      </c>
      <c r="G7" s="3">
        <v>45536.193200000009</v>
      </c>
      <c r="H7" s="3">
        <v>34747.987399999998</v>
      </c>
      <c r="I7" s="3">
        <v>60658.949399999998</v>
      </c>
      <c r="J7" s="3">
        <v>62841.898538625552</v>
      </c>
      <c r="K7" s="3">
        <v>105277.7569587029</v>
      </c>
      <c r="L7" s="3">
        <v>75100.180083172629</v>
      </c>
      <c r="M7" s="3">
        <v>49128.298001496369</v>
      </c>
      <c r="N7" s="3">
        <f>'Agency Revenues CAD'!N7*39.5%</f>
        <v>55936.740000000005</v>
      </c>
      <c r="O7" s="3">
        <f>'Agency Revenues CAD'!O7*39.5%</f>
        <v>70454.964999999997</v>
      </c>
      <c r="P7" s="3">
        <f>'Agency Revenues CAD'!P7*39.5%</f>
        <v>25652.089999999997</v>
      </c>
      <c r="Q7" s="4">
        <f t="shared" si="0"/>
        <v>710028.99040199735</v>
      </c>
    </row>
    <row r="8" spans="1:17" x14ac:dyDescent="0.25">
      <c r="A8" s="2" t="s">
        <v>158</v>
      </c>
      <c r="B8" t="s">
        <v>167</v>
      </c>
      <c r="C8" s="2" t="s">
        <v>164</v>
      </c>
      <c r="D8" s="2"/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f>'Agency Revenues CAD'!N8*39.5%</f>
        <v>0</v>
      </c>
      <c r="O8" s="3">
        <f>'Agency Revenues CAD'!O8*39.5%</f>
        <v>0</v>
      </c>
      <c r="P8" s="3">
        <f>'Agency Revenues CAD'!P8*39.5%</f>
        <v>0</v>
      </c>
      <c r="Q8" s="4">
        <f t="shared" si="0"/>
        <v>0</v>
      </c>
    </row>
    <row r="9" spans="1:17" x14ac:dyDescent="0.25">
      <c r="A9" s="2" t="s">
        <v>158</v>
      </c>
      <c r="B9" t="s">
        <v>167</v>
      </c>
      <c r="C9" s="2" t="s">
        <v>165</v>
      </c>
      <c r="D9" s="2"/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16025.404254999999</v>
      </c>
      <c r="N9" s="3">
        <f>'Agency Revenues CAD'!N9*39.5%</f>
        <v>15800</v>
      </c>
      <c r="O9" s="3">
        <f>'Agency Revenues CAD'!O9*39.5%</f>
        <v>0</v>
      </c>
      <c r="P9" s="3">
        <f>'Agency Revenues CAD'!P9*39.5%</f>
        <v>0</v>
      </c>
      <c r="Q9" s="4">
        <f t="shared" si="0"/>
        <v>31825.404255000001</v>
      </c>
    </row>
    <row r="10" spans="1:17" x14ac:dyDescent="0.25">
      <c r="A10" s="2" t="s">
        <v>158</v>
      </c>
      <c r="B10" t="s">
        <v>167</v>
      </c>
      <c r="C10" s="2" t="s">
        <v>166</v>
      </c>
      <c r="D10" s="2"/>
      <c r="E10" s="3">
        <v>2610.6786000000002</v>
      </c>
      <c r="F10" s="3">
        <v>3417.4825999999998</v>
      </c>
      <c r="G10" s="3">
        <v>9626.7816000000003</v>
      </c>
      <c r="H10" s="3">
        <v>447.95334999999989</v>
      </c>
      <c r="I10" s="3">
        <v>640.70499999999993</v>
      </c>
      <c r="J10" s="3">
        <v>3730.2452053411425</v>
      </c>
      <c r="K10" s="3">
        <v>4156.9045399967017</v>
      </c>
      <c r="L10" s="3">
        <v>-445.30543554289733</v>
      </c>
      <c r="M10" s="3">
        <v>483.66602586347335</v>
      </c>
      <c r="N10" s="3">
        <f>'Agency Revenues CAD'!N10*39.5%</f>
        <v>5925</v>
      </c>
      <c r="O10" s="3">
        <f>'Agency Revenues CAD'!O10*39.5%</f>
        <v>3950</v>
      </c>
      <c r="P10" s="3">
        <f>'Agency Revenues CAD'!P10*39.5%</f>
        <v>5925</v>
      </c>
      <c r="Q10" s="4">
        <f t="shared" si="0"/>
        <v>40469.111485658424</v>
      </c>
    </row>
    <row r="11" spans="1:17" x14ac:dyDescent="0.25">
      <c r="A11" s="2" t="s">
        <v>158</v>
      </c>
      <c r="B11" t="s">
        <v>167</v>
      </c>
      <c r="C11" s="2" t="s">
        <v>168</v>
      </c>
      <c r="D11" s="2"/>
      <c r="E11" s="3">
        <v>-1737.34</v>
      </c>
      <c r="F11" s="3">
        <v>0</v>
      </c>
      <c r="G11" s="3">
        <v>-14775.82</v>
      </c>
      <c r="H11" s="3">
        <v>-6877.21</v>
      </c>
      <c r="I11" s="3">
        <v>0</v>
      </c>
      <c r="J11" s="3">
        <v>-127.17740000000002</v>
      </c>
      <c r="K11" s="3">
        <v>0</v>
      </c>
      <c r="L11" s="3">
        <v>0</v>
      </c>
      <c r="M11" s="3">
        <v>0</v>
      </c>
      <c r="N11" s="3">
        <f>'Agency Revenues CAD'!N11*39.5%</f>
        <v>18762.5</v>
      </c>
      <c r="O11" s="3">
        <f>'Agency Revenues CAD'!O11*39.5%</f>
        <v>7505</v>
      </c>
      <c r="P11" s="3">
        <f>'Agency Revenues CAD'!P11*39.5%</f>
        <v>15010</v>
      </c>
      <c r="Q11" s="4">
        <f t="shared" si="0"/>
        <v>17759.952600000001</v>
      </c>
    </row>
    <row r="12" spans="1:17" x14ac:dyDescent="0.25">
      <c r="A12" s="2" t="s">
        <v>158</v>
      </c>
      <c r="B12" t="s">
        <v>167</v>
      </c>
      <c r="C12" s="2" t="s">
        <v>169</v>
      </c>
      <c r="D12" s="2"/>
      <c r="E12" s="6">
        <v>31950.278600000001</v>
      </c>
      <c r="F12" s="3">
        <v>8167.1260000000002</v>
      </c>
      <c r="G12" s="3">
        <v>25543.552599999999</v>
      </c>
      <c r="H12" s="3">
        <v>22355.816168600002</v>
      </c>
      <c r="I12" s="3">
        <v>28206.007600000001</v>
      </c>
      <c r="J12" s="3">
        <v>38166.692805483028</v>
      </c>
      <c r="K12" s="3">
        <v>20736.816467700002</v>
      </c>
      <c r="L12" s="3">
        <v>7944.4397570472829</v>
      </c>
      <c r="M12" s="3">
        <v>-3464.6631610477225</v>
      </c>
      <c r="N12" s="3">
        <f>'Agency Revenues CAD'!N12*39.5%</f>
        <v>15800</v>
      </c>
      <c r="O12" s="3">
        <f>'Agency Revenues CAD'!O12*39.5%</f>
        <v>0</v>
      </c>
      <c r="P12" s="3">
        <f>'Agency Revenues CAD'!P12*39.5%</f>
        <v>7268</v>
      </c>
      <c r="Q12" s="4">
        <f t="shared" si="0"/>
        <v>202674.06683778256</v>
      </c>
    </row>
    <row r="13" spans="1:17" x14ac:dyDescent="0.25">
      <c r="A13" s="2" t="s">
        <v>158</v>
      </c>
      <c r="B13" t="s">
        <v>167</v>
      </c>
      <c r="C13" s="2" t="s">
        <v>170</v>
      </c>
      <c r="D13" s="2"/>
      <c r="E13" s="6">
        <v>2325.5620000000004</v>
      </c>
      <c r="F13" s="3">
        <v>5210.6578</v>
      </c>
      <c r="G13" s="3">
        <v>7016.6297999999997</v>
      </c>
      <c r="H13" s="3">
        <v>7431.3395999999993</v>
      </c>
      <c r="I13" s="3">
        <v>4994.7226000000001</v>
      </c>
      <c r="J13" s="3">
        <v>-194.06799999999998</v>
      </c>
      <c r="K13" s="3">
        <v>894.57698730000129</v>
      </c>
      <c r="L13" s="3">
        <v>4287.7605000000003</v>
      </c>
      <c r="M13" s="3">
        <v>-2044.7426707500031</v>
      </c>
      <c r="N13" s="3">
        <f>'Agency Revenues CAD'!N13*39.5%</f>
        <v>0</v>
      </c>
      <c r="O13" s="3">
        <f>'Agency Revenues CAD'!O13*39.5%</f>
        <v>0</v>
      </c>
      <c r="P13" s="3">
        <f>'Agency Revenues CAD'!P13*39.5%</f>
        <v>0</v>
      </c>
      <c r="Q13" s="4">
        <f t="shared" si="0"/>
        <v>29922.438616550004</v>
      </c>
    </row>
    <row r="14" spans="1:17" x14ac:dyDescent="0.25">
      <c r="A14" s="2" t="s">
        <v>158</v>
      </c>
      <c r="B14" t="s">
        <v>167</v>
      </c>
      <c r="C14" s="2" t="s">
        <v>171</v>
      </c>
      <c r="D14" s="2"/>
      <c r="E14" s="6">
        <v>0</v>
      </c>
      <c r="F14" s="3">
        <v>0</v>
      </c>
      <c r="G14" s="3">
        <v>0</v>
      </c>
      <c r="H14" s="3">
        <v>0</v>
      </c>
      <c r="I14" s="6">
        <v>0</v>
      </c>
      <c r="J14" s="3">
        <v>0</v>
      </c>
      <c r="K14" s="3">
        <v>0</v>
      </c>
      <c r="L14" s="3">
        <v>0</v>
      </c>
      <c r="M14" s="3">
        <v>0</v>
      </c>
      <c r="N14" s="3">
        <f>'Agency Revenues CAD'!N14*39.5%</f>
        <v>0</v>
      </c>
      <c r="O14" s="3">
        <f>'Agency Revenues CAD'!O14*39.5%</f>
        <v>0</v>
      </c>
      <c r="P14" s="3">
        <f>'Agency Revenues CAD'!P14*39.5%</f>
        <v>0</v>
      </c>
      <c r="Q14" s="4">
        <f t="shared" si="0"/>
        <v>0</v>
      </c>
    </row>
    <row r="15" spans="1:17" x14ac:dyDescent="0.25">
      <c r="A15" s="2" t="s">
        <v>158</v>
      </c>
      <c r="B15" t="s">
        <v>167</v>
      </c>
      <c r="C15" s="2" t="s">
        <v>172</v>
      </c>
      <c r="D15" s="2"/>
      <c r="E15" s="6">
        <v>-5.05</v>
      </c>
      <c r="F15" s="3">
        <v>0</v>
      </c>
      <c r="G15" s="3">
        <v>889.38339999999994</v>
      </c>
      <c r="H15" s="3">
        <v>2653.0198</v>
      </c>
      <c r="I15" s="3">
        <v>1707.1994000000002</v>
      </c>
      <c r="J15" s="3">
        <v>3487.1604650000004</v>
      </c>
      <c r="K15" s="3">
        <v>1823.1571733922196</v>
      </c>
      <c r="L15" s="3">
        <v>2156.3899824720406</v>
      </c>
      <c r="M15" s="3">
        <v>1443.2814105429991</v>
      </c>
      <c r="N15" s="3">
        <f>'Agency Revenues CAD'!N15*39.5%</f>
        <v>2530.9940999999999</v>
      </c>
      <c r="O15" s="3">
        <f>'Agency Revenues CAD'!O15*39.5%</f>
        <v>2204.4160000000002</v>
      </c>
      <c r="P15" s="3">
        <f>'Agency Revenues CAD'!P15*39.5%</f>
        <v>3265.8007500000003</v>
      </c>
      <c r="Q15" s="4">
        <f t="shared" si="0"/>
        <v>22155.75248140726</v>
      </c>
    </row>
    <row r="16" spans="1:17" x14ac:dyDescent="0.25">
      <c r="A16" s="2" t="s">
        <v>158</v>
      </c>
      <c r="B16" t="s">
        <v>167</v>
      </c>
      <c r="C16" s="2" t="s">
        <v>173</v>
      </c>
      <c r="D16" s="2"/>
      <c r="E16" s="6">
        <v>0</v>
      </c>
      <c r="F16" s="3">
        <v>0</v>
      </c>
      <c r="G16" s="3">
        <v>0</v>
      </c>
      <c r="H16" s="3">
        <v>1252.7686000000001</v>
      </c>
      <c r="I16" s="6">
        <v>1087.6014</v>
      </c>
      <c r="J16" s="3">
        <v>1252.4675800000002</v>
      </c>
      <c r="K16" s="3">
        <v>1285.1767400000001</v>
      </c>
      <c r="L16" s="3">
        <v>836.55938747753771</v>
      </c>
      <c r="M16" s="3">
        <v>1845.0211365329192</v>
      </c>
      <c r="N16" s="3">
        <f>'Agency Revenues CAD'!N16*39.5%</f>
        <v>1192.5681999999999</v>
      </c>
      <c r="O16" s="3">
        <f>'Agency Revenues CAD'!O16*39.5%</f>
        <v>1154.0952</v>
      </c>
      <c r="P16" s="3">
        <f>'Agency Revenues CAD'!P16*39.5%</f>
        <v>0</v>
      </c>
      <c r="Q16" s="4">
        <f t="shared" si="0"/>
        <v>9906.2582440104561</v>
      </c>
    </row>
    <row r="17" spans="1:17" x14ac:dyDescent="0.25">
      <c r="A17" s="2" t="s">
        <v>158</v>
      </c>
      <c r="B17" t="s">
        <v>167</v>
      </c>
      <c r="C17" s="2" t="s">
        <v>174</v>
      </c>
      <c r="D17" s="2"/>
      <c r="E17" s="6">
        <v>-53.35</v>
      </c>
      <c r="F17" s="3">
        <v>-72.98</v>
      </c>
      <c r="G17" s="3">
        <v>25.3</v>
      </c>
      <c r="H17" s="3">
        <v>0</v>
      </c>
      <c r="I17" s="6">
        <v>8878.02</v>
      </c>
      <c r="J17" s="3">
        <v>0</v>
      </c>
      <c r="K17" s="3">
        <v>12036.20537</v>
      </c>
      <c r="L17" s="3">
        <v>14645.098653113304</v>
      </c>
      <c r="M17" s="3">
        <v>19334.778568115231</v>
      </c>
      <c r="N17" s="3">
        <f>'Agency Revenues CAD'!N17*39.5%</f>
        <v>9875</v>
      </c>
      <c r="O17" s="3">
        <f>'Agency Revenues CAD'!O17*39.5%</f>
        <v>11850</v>
      </c>
      <c r="P17" s="3">
        <f>'Agency Revenues CAD'!P17*39.5%</f>
        <v>11850</v>
      </c>
      <c r="Q17" s="4">
        <f t="shared" si="0"/>
        <v>88368.072591228527</v>
      </c>
    </row>
    <row r="18" spans="1:17" x14ac:dyDescent="0.25">
      <c r="A18" s="2" t="s">
        <v>158</v>
      </c>
      <c r="B18" t="s">
        <v>167</v>
      </c>
      <c r="C18" s="2" t="s">
        <v>175</v>
      </c>
      <c r="D18" s="2"/>
      <c r="E18" s="6"/>
      <c r="F18" s="3">
        <v>0</v>
      </c>
      <c r="G18" s="3">
        <v>7748.3676799999994</v>
      </c>
      <c r="H18" s="3">
        <v>32515.933799999999</v>
      </c>
      <c r="I18" s="6">
        <v>24244.091</v>
      </c>
      <c r="J18" s="3">
        <v>9801.2219000000005</v>
      </c>
      <c r="K18" s="3">
        <v>5899.3498539852399</v>
      </c>
      <c r="L18" s="3">
        <v>2468.3981014346173</v>
      </c>
      <c r="M18" s="3">
        <v>77907.14568488783</v>
      </c>
      <c r="N18" s="3">
        <f>'Agency Revenues CAD'!N18*39.5%</f>
        <v>0</v>
      </c>
      <c r="O18" s="3">
        <f>'Agency Revenues CAD'!O18*39.5%</f>
        <v>0</v>
      </c>
      <c r="P18" s="3">
        <f>'Agency Revenues CAD'!P18*39.5%</f>
        <v>0</v>
      </c>
      <c r="Q18" s="4">
        <f t="shared" si="0"/>
        <v>160584.50802030769</v>
      </c>
    </row>
    <row r="19" spans="1:17" x14ac:dyDescent="0.25">
      <c r="A19" s="2" t="s">
        <v>158</v>
      </c>
      <c r="B19" t="s">
        <v>167</v>
      </c>
      <c r="C19" s="2" t="s">
        <v>176</v>
      </c>
      <c r="D19" s="2"/>
      <c r="E19" s="6"/>
      <c r="F19" s="3">
        <v>0</v>
      </c>
      <c r="G19" s="3">
        <v>9165.8847999999998</v>
      </c>
      <c r="H19" s="3">
        <v>11500.372719999999</v>
      </c>
      <c r="I19" s="6">
        <v>3033.7428</v>
      </c>
      <c r="J19" s="3">
        <v>0</v>
      </c>
      <c r="K19" s="3">
        <v>-1192.1470600000011</v>
      </c>
      <c r="L19" s="3">
        <v>3433.2899999999995</v>
      </c>
      <c r="M19" s="3">
        <v>-2391.6739600000055</v>
      </c>
      <c r="N19" s="3">
        <f>'Agency Revenues CAD'!N19*39.5%</f>
        <v>0</v>
      </c>
      <c r="O19" s="3">
        <f>'Agency Revenues CAD'!O19*39.5%</f>
        <v>0</v>
      </c>
      <c r="P19" s="3">
        <f>'Agency Revenues CAD'!P19*39.5%</f>
        <v>0</v>
      </c>
      <c r="Q19" s="4">
        <f t="shared" si="0"/>
        <v>23549.46929999999</v>
      </c>
    </row>
    <row r="20" spans="1:17" x14ac:dyDescent="0.25">
      <c r="A20" s="2" t="s">
        <v>158</v>
      </c>
      <c r="B20" t="s">
        <v>167</v>
      </c>
      <c r="C20" s="2" t="s">
        <v>177</v>
      </c>
      <c r="D20" s="2"/>
      <c r="E20" s="6"/>
      <c r="F20" s="3">
        <v>0</v>
      </c>
      <c r="G20" s="3">
        <v>0</v>
      </c>
      <c r="H20" s="3">
        <v>908.70011240000008</v>
      </c>
      <c r="I20" s="6">
        <v>0</v>
      </c>
      <c r="J20" s="3">
        <v>59319.030941600002</v>
      </c>
      <c r="K20" s="3">
        <v>47932.140126400001</v>
      </c>
      <c r="L20" s="3">
        <v>20076.409026313871</v>
      </c>
      <c r="M20" s="3">
        <v>-20437.941915355517</v>
      </c>
      <c r="N20" s="3">
        <f>'Agency Revenues CAD'!N20*39.5%</f>
        <v>15669.26685</v>
      </c>
      <c r="O20" s="3">
        <f>'Agency Revenues CAD'!O20*39.5%</f>
        <v>13521.798000000001</v>
      </c>
      <c r="P20" s="3">
        <f>'Agency Revenues CAD'!P20*39.5%</f>
        <v>0</v>
      </c>
      <c r="Q20" s="4">
        <f t="shared" si="0"/>
        <v>136989.40314135837</v>
      </c>
    </row>
    <row r="21" spans="1:17" x14ac:dyDescent="0.25">
      <c r="A21" s="2" t="s">
        <v>158</v>
      </c>
      <c r="B21" t="s">
        <v>167</v>
      </c>
      <c r="C21" s="2" t="s">
        <v>178</v>
      </c>
      <c r="D21" s="2"/>
      <c r="E21" s="6"/>
      <c r="F21" s="3">
        <v>0</v>
      </c>
      <c r="G21" s="3">
        <v>0</v>
      </c>
      <c r="H21" s="3">
        <v>0</v>
      </c>
      <c r="I21" s="6">
        <v>12467.485199999999</v>
      </c>
      <c r="J21" s="3">
        <v>9510.0476500000022</v>
      </c>
      <c r="K21" s="3">
        <v>33335.507632499997</v>
      </c>
      <c r="L21" s="3">
        <v>24265.743426876008</v>
      </c>
      <c r="M21" s="3">
        <v>47368.402728419467</v>
      </c>
      <c r="N21" s="3">
        <f>'Agency Revenues CAD'!N21*39.5%</f>
        <v>3681.7673500000001</v>
      </c>
      <c r="O21" s="3">
        <f>'Agency Revenues CAD'!O21*39.5%</f>
        <v>3681.7673500000001</v>
      </c>
      <c r="P21" s="3">
        <f>'Agency Revenues CAD'!P21*39.5%</f>
        <v>3681.7673500000001</v>
      </c>
      <c r="Q21" s="4">
        <f t="shared" si="0"/>
        <v>137992.48868779547</v>
      </c>
    </row>
    <row r="22" spans="1:17" x14ac:dyDescent="0.25">
      <c r="A22" s="2" t="s">
        <v>158</v>
      </c>
      <c r="B22" t="s">
        <v>167</v>
      </c>
      <c r="C22" s="2" t="s">
        <v>179</v>
      </c>
      <c r="D22" s="2"/>
      <c r="E22" s="6"/>
      <c r="F22" s="3">
        <v>0</v>
      </c>
      <c r="G22" s="3">
        <v>0</v>
      </c>
      <c r="H22" s="3">
        <v>0</v>
      </c>
      <c r="I22" s="6">
        <v>0</v>
      </c>
      <c r="J22" s="3">
        <v>0</v>
      </c>
      <c r="K22" s="3">
        <v>50878.988570000001</v>
      </c>
      <c r="L22" s="3">
        <v>3364.7751277048606</v>
      </c>
      <c r="M22" s="3">
        <v>-217.33475013785642</v>
      </c>
      <c r="N22" s="3">
        <f>'Agency Revenues CAD'!N22*39.5%</f>
        <v>0</v>
      </c>
      <c r="O22" s="3">
        <f>'Agency Revenues CAD'!O22*39.5%</f>
        <v>0</v>
      </c>
      <c r="P22" s="3">
        <f>'Agency Revenues CAD'!P22*39.5%</f>
        <v>0</v>
      </c>
      <c r="Q22" s="4">
        <f t="shared" si="0"/>
        <v>54026.428947567001</v>
      </c>
    </row>
    <row r="23" spans="1:17" x14ac:dyDescent="0.25">
      <c r="A23" s="2" t="s">
        <v>158</v>
      </c>
      <c r="B23" t="s">
        <v>167</v>
      </c>
      <c r="C23" s="2" t="s">
        <v>180</v>
      </c>
      <c r="D23" s="2"/>
      <c r="E23" s="6"/>
      <c r="F23" s="3">
        <v>0</v>
      </c>
      <c r="G23" s="3">
        <v>0</v>
      </c>
      <c r="H23" s="3">
        <v>0</v>
      </c>
      <c r="I23" s="6">
        <v>0</v>
      </c>
      <c r="J23" s="3">
        <v>0</v>
      </c>
      <c r="K23" s="3">
        <v>0</v>
      </c>
      <c r="L23" s="3">
        <v>0</v>
      </c>
      <c r="M23" s="3">
        <v>15316.006847995002</v>
      </c>
      <c r="N23" s="3">
        <f>'Agency Revenues CAD'!N23*39.5%</f>
        <v>33970</v>
      </c>
      <c r="O23" s="3">
        <f>'Agency Revenues CAD'!O23*39.5%</f>
        <v>33970</v>
      </c>
      <c r="P23" s="3">
        <f>'Agency Revenues CAD'!P23*39.5%</f>
        <v>33970</v>
      </c>
      <c r="Q23" s="4">
        <f t="shared" si="0"/>
        <v>117226.006847995</v>
      </c>
    </row>
    <row r="24" spans="1:17" x14ac:dyDescent="0.25">
      <c r="A24" s="2" t="s">
        <v>158</v>
      </c>
      <c r="B24" t="s">
        <v>167</v>
      </c>
      <c r="C24" s="2" t="s">
        <v>181</v>
      </c>
      <c r="D24" s="2"/>
      <c r="E24" s="6"/>
      <c r="F24" s="3">
        <v>0</v>
      </c>
      <c r="G24" s="3">
        <v>0</v>
      </c>
      <c r="H24" s="3">
        <v>0</v>
      </c>
      <c r="I24" s="6">
        <v>0</v>
      </c>
      <c r="J24" s="3">
        <v>0</v>
      </c>
      <c r="K24" s="3">
        <v>0</v>
      </c>
      <c r="L24" s="3">
        <v>0</v>
      </c>
      <c r="M24" s="3">
        <v>4093.6024474999995</v>
      </c>
      <c r="N24" s="3">
        <f>'Agency Revenues CAD'!N24*39.5%</f>
        <v>3950</v>
      </c>
      <c r="O24" s="3">
        <f>'Agency Revenues CAD'!O24*39.5%</f>
        <v>0</v>
      </c>
      <c r="P24" s="3">
        <f>'Agency Revenues CAD'!P24*39.5%</f>
        <v>0</v>
      </c>
      <c r="Q24" s="4">
        <f t="shared" si="0"/>
        <v>8043.6024474999995</v>
      </c>
    </row>
    <row r="25" spans="1:17" x14ac:dyDescent="0.25">
      <c r="A25" s="2" t="s">
        <v>158</v>
      </c>
      <c r="B25" t="s">
        <v>167</v>
      </c>
      <c r="C25" s="2" t="s">
        <v>182</v>
      </c>
      <c r="D25" s="2"/>
      <c r="E25" s="6"/>
      <c r="F25" s="3">
        <v>0</v>
      </c>
      <c r="G25" s="3">
        <v>0</v>
      </c>
      <c r="H25" s="3">
        <v>0</v>
      </c>
      <c r="I25" s="6">
        <v>0</v>
      </c>
      <c r="J25" s="3">
        <v>0</v>
      </c>
      <c r="K25" s="3">
        <v>0</v>
      </c>
      <c r="L25" s="3">
        <v>0</v>
      </c>
      <c r="M25" s="3">
        <v>19963.763730000006</v>
      </c>
      <c r="N25" s="3">
        <f>'Agency Revenues CAD'!N25*39.5%</f>
        <v>33557.224999999999</v>
      </c>
      <c r="O25" s="3">
        <f>'Agency Revenues CAD'!O25*39.5%</f>
        <v>0</v>
      </c>
      <c r="P25" s="3">
        <f>'Agency Revenues CAD'!P25*39.5%</f>
        <v>0</v>
      </c>
      <c r="Q25" s="4">
        <f t="shared" si="0"/>
        <v>53520.988730000005</v>
      </c>
    </row>
    <row r="26" spans="1:17" s="9" customFormat="1" x14ac:dyDescent="0.25">
      <c r="A26" s="8" t="s">
        <v>158</v>
      </c>
      <c r="B26" s="9" t="s">
        <v>167</v>
      </c>
      <c r="C26" s="8" t="s">
        <v>183</v>
      </c>
      <c r="D26" s="8"/>
      <c r="E26" s="10"/>
      <c r="F26" s="11"/>
      <c r="G26" s="11"/>
      <c r="H26" s="11"/>
      <c r="I26" s="10"/>
      <c r="J26" s="11"/>
      <c r="K26" s="11"/>
      <c r="L26" s="11"/>
      <c r="M26" s="11"/>
      <c r="N26" s="11">
        <f>'Agency Revenues CAD'!N26*39.5%</f>
        <v>9875</v>
      </c>
      <c r="O26" s="11">
        <f>'Agency Revenues CAD'!O26*39.5%</f>
        <v>0</v>
      </c>
      <c r="P26" s="11">
        <f>'Agency Revenues CAD'!P26*39.5%</f>
        <v>0</v>
      </c>
      <c r="Q26" s="12">
        <f t="shared" si="0"/>
        <v>9875</v>
      </c>
    </row>
    <row r="27" spans="1:17" x14ac:dyDescent="0.25">
      <c r="A27" s="2" t="s">
        <v>184</v>
      </c>
      <c r="B27" t="s">
        <v>167</v>
      </c>
      <c r="C27" s="2" t="s">
        <v>185</v>
      </c>
      <c r="D27" s="2"/>
      <c r="E27" s="3"/>
      <c r="F27" s="3"/>
      <c r="G27" s="3"/>
      <c r="H27" s="3"/>
      <c r="I27" s="3"/>
      <c r="J27" s="3">
        <v>0</v>
      </c>
      <c r="K27" s="3">
        <v>0</v>
      </c>
      <c r="L27" s="3">
        <v>0</v>
      </c>
      <c r="M27" s="3">
        <v>0</v>
      </c>
      <c r="N27" s="3"/>
      <c r="O27" s="5"/>
      <c r="P27" s="5">
        <v>99816</v>
      </c>
      <c r="Q27" s="4">
        <f t="shared" si="0"/>
        <v>99816</v>
      </c>
    </row>
    <row r="28" spans="1:17" x14ac:dyDescent="0.25">
      <c r="A28" s="2" t="s">
        <v>184</v>
      </c>
      <c r="B28" t="s">
        <v>167</v>
      </c>
      <c r="C28" s="2" t="s">
        <v>186</v>
      </c>
      <c r="D28" s="2"/>
      <c r="E28" s="3">
        <v>6490.6208000000006</v>
      </c>
      <c r="F28" s="3">
        <v>7491.9430000000002</v>
      </c>
      <c r="G28" s="3">
        <v>3874.5884000000001</v>
      </c>
      <c r="H28" s="3">
        <v>-1137.7752</v>
      </c>
      <c r="I28" s="3">
        <v>29567.767799999998</v>
      </c>
      <c r="J28" s="3">
        <v>16265.088123850372</v>
      </c>
      <c r="K28" s="3">
        <v>50658.968806792574</v>
      </c>
      <c r="L28" s="3">
        <v>9373.6440202870654</v>
      </c>
      <c r="M28" s="3">
        <v>145827.40369701784</v>
      </c>
      <c r="N28" s="3">
        <f>'Agency Revenues CAD'!N28*39.5%</f>
        <v>59250</v>
      </c>
      <c r="O28" s="3">
        <f>'Agency Revenues CAD'!O28*39.5%</f>
        <v>15800</v>
      </c>
      <c r="P28" s="3">
        <f>'Agency Revenues CAD'!P28*39.5%</f>
        <v>15800</v>
      </c>
      <c r="Q28" s="4">
        <f t="shared" si="0"/>
        <v>359262.24944794783</v>
      </c>
    </row>
    <row r="29" spans="1:17" x14ac:dyDescent="0.25">
      <c r="A29" s="2" t="s">
        <v>184</v>
      </c>
      <c r="B29" t="s">
        <v>167</v>
      </c>
      <c r="C29" s="2" t="s">
        <v>187</v>
      </c>
      <c r="D29" s="2"/>
      <c r="E29" s="6">
        <v>5771.7529999999988</v>
      </c>
      <c r="F29" s="3">
        <v>12076.5906</v>
      </c>
      <c r="G29" s="3">
        <v>20844.702399999998</v>
      </c>
      <c r="H29" s="3">
        <v>35462.329400000002</v>
      </c>
      <c r="I29" s="3">
        <v>25177.021200000003</v>
      </c>
      <c r="J29" s="3">
        <v>113465.96643189169</v>
      </c>
      <c r="K29" s="3">
        <v>19316.395955602911</v>
      </c>
      <c r="L29" s="3">
        <v>322303.67361203505</v>
      </c>
      <c r="M29" s="3">
        <v>210167.26269919812</v>
      </c>
      <c r="N29" s="3">
        <f>'Agency Revenues CAD'!N29*39.5%</f>
        <v>59250</v>
      </c>
      <c r="O29" s="3">
        <f>'Agency Revenues CAD'!O29*39.5%</f>
        <v>79000</v>
      </c>
      <c r="P29" s="3">
        <f>'Agency Revenues CAD'!P29*39.5%</f>
        <v>63200</v>
      </c>
      <c r="Q29" s="4">
        <f t="shared" si="0"/>
        <v>966035.69529872772</v>
      </c>
    </row>
    <row r="30" spans="1:17" x14ac:dyDescent="0.25">
      <c r="A30" s="2" t="s">
        <v>184</v>
      </c>
      <c r="B30" t="s">
        <v>167</v>
      </c>
      <c r="C30" s="2" t="s">
        <v>188</v>
      </c>
      <c r="D30" s="2"/>
      <c r="E30" s="3">
        <v>-10428.629999999999</v>
      </c>
      <c r="F30" s="3">
        <v>37841.131400000006</v>
      </c>
      <c r="G30" s="3">
        <v>9098.3142828999989</v>
      </c>
      <c r="H30" s="3">
        <v>61544.626400000001</v>
      </c>
      <c r="I30" s="3">
        <v>46694.128599999996</v>
      </c>
      <c r="J30" s="3">
        <v>6827.6258069284004</v>
      </c>
      <c r="K30" s="3">
        <v>41964.959705013374</v>
      </c>
      <c r="L30" s="3">
        <v>36708.717924348923</v>
      </c>
      <c r="M30" s="3">
        <v>10744.339765700612</v>
      </c>
      <c r="N30" s="3">
        <f>'Agency Revenues CAD'!N30*39.5%</f>
        <v>17775</v>
      </c>
      <c r="O30" s="3">
        <f>'Agency Revenues CAD'!O30*39.5%</f>
        <v>17775</v>
      </c>
      <c r="P30" s="3">
        <f>'Agency Revenues CAD'!P30*39.5%</f>
        <v>17775</v>
      </c>
      <c r="Q30" s="4">
        <f t="shared" si="0"/>
        <v>294320.2138848913</v>
      </c>
    </row>
    <row r="31" spans="1:17" x14ac:dyDescent="0.25">
      <c r="A31" s="2" t="s">
        <v>184</v>
      </c>
      <c r="B31" t="s">
        <v>167</v>
      </c>
      <c r="C31" s="2" t="s">
        <v>189</v>
      </c>
      <c r="D31" s="2"/>
      <c r="E31" s="3">
        <v>0</v>
      </c>
      <c r="F31" s="3">
        <v>0</v>
      </c>
      <c r="G31" s="3">
        <v>1268.83667625</v>
      </c>
      <c r="H31" s="3">
        <v>15061.7114</v>
      </c>
      <c r="I31" s="3">
        <v>28038.3374</v>
      </c>
      <c r="J31" s="3">
        <v>15331.405549850002</v>
      </c>
      <c r="K31" s="3">
        <v>322.37367875000302</v>
      </c>
      <c r="L31" s="3">
        <v>3181.1455000000001</v>
      </c>
      <c r="M31" s="3">
        <v>17465.062225799989</v>
      </c>
      <c r="N31" s="3">
        <f>'Agency Revenues CAD'!N31*39.5%</f>
        <v>0</v>
      </c>
      <c r="O31" s="3">
        <f>'Agency Revenues CAD'!O31*39.5%</f>
        <v>0</v>
      </c>
      <c r="P31" s="3">
        <f>'Agency Revenues CAD'!P31*39.5%</f>
        <v>0</v>
      </c>
      <c r="Q31" s="4">
        <f t="shared" si="0"/>
        <v>80668.872430649993</v>
      </c>
    </row>
    <row r="32" spans="1:17" x14ac:dyDescent="0.25">
      <c r="A32" s="2" t="s">
        <v>184</v>
      </c>
      <c r="B32" t="s">
        <v>167</v>
      </c>
      <c r="C32" s="2" t="s">
        <v>190</v>
      </c>
      <c r="D32" s="2"/>
      <c r="E32" s="3">
        <v>-32366.38</v>
      </c>
      <c r="F32" s="3">
        <v>9418.626400000001</v>
      </c>
      <c r="G32" s="3">
        <v>-2793.0347499999989</v>
      </c>
      <c r="H32" s="3">
        <v>4936.9858000000004</v>
      </c>
      <c r="I32" s="3">
        <v>-249.14</v>
      </c>
      <c r="J32" s="3">
        <v>40865.347955269375</v>
      </c>
      <c r="K32" s="3">
        <v>38873.397956496359</v>
      </c>
      <c r="L32" s="3">
        <v>32601.78226534478</v>
      </c>
      <c r="M32" s="3">
        <v>17622.198517034034</v>
      </c>
      <c r="N32" s="3">
        <f>'Agency Revenues CAD'!N32*39.5%</f>
        <v>18565</v>
      </c>
      <c r="O32" s="3">
        <f>'Agency Revenues CAD'!O32*39.5%</f>
        <v>18565</v>
      </c>
      <c r="P32" s="3">
        <f>'Agency Revenues CAD'!P32*39.5%</f>
        <v>18565</v>
      </c>
      <c r="Q32" s="4">
        <f t="shared" si="0"/>
        <v>164604.78414414456</v>
      </c>
    </row>
    <row r="33" spans="1:17" x14ac:dyDescent="0.25">
      <c r="A33" s="2" t="s">
        <v>184</v>
      </c>
      <c r="B33" t="s">
        <v>167</v>
      </c>
      <c r="C33" s="2" t="s">
        <v>191</v>
      </c>
      <c r="D33" s="2"/>
      <c r="E33" s="3">
        <v>-725.09340000000009</v>
      </c>
      <c r="F33" s="3">
        <v>-175.53</v>
      </c>
      <c r="G33" s="3">
        <v>-311.86</v>
      </c>
      <c r="H33" s="3">
        <v>-119.42</v>
      </c>
      <c r="I33" s="3">
        <v>2133.9899999999998</v>
      </c>
      <c r="J33" s="3">
        <v>-1698.9305645335091</v>
      </c>
      <c r="K33" s="3">
        <v>0</v>
      </c>
      <c r="L33" s="3">
        <v>-34.234075196852601</v>
      </c>
      <c r="M33" s="3">
        <v>0</v>
      </c>
      <c r="N33" s="3">
        <f>'Agency Revenues CAD'!N33*39.5%</f>
        <v>17775</v>
      </c>
      <c r="O33" s="3">
        <f>'Agency Revenues CAD'!O33*39.5%</f>
        <v>17775</v>
      </c>
      <c r="P33" s="3">
        <f>'Agency Revenues CAD'!P33*39.5%</f>
        <v>17775</v>
      </c>
      <c r="Q33" s="4">
        <f t="shared" si="0"/>
        <v>52393.921960269639</v>
      </c>
    </row>
    <row r="34" spans="1:17" x14ac:dyDescent="0.25">
      <c r="A34" s="2" t="s">
        <v>184</v>
      </c>
      <c r="B34" t="s">
        <v>167</v>
      </c>
      <c r="C34" s="2" t="s">
        <v>192</v>
      </c>
      <c r="D34" s="2"/>
      <c r="E34" s="6">
        <v>41254.145624199999</v>
      </c>
      <c r="F34" s="3">
        <v>41662.240400000002</v>
      </c>
      <c r="G34" s="3">
        <v>11734.171350000001</v>
      </c>
      <c r="H34" s="3">
        <v>-295.45</v>
      </c>
      <c r="I34" s="3">
        <v>5837.77</v>
      </c>
      <c r="J34" s="3">
        <v>32637.522566865642</v>
      </c>
      <c r="K34" s="3">
        <v>32342.740664626341</v>
      </c>
      <c r="L34" s="3">
        <v>124460.06802042552</v>
      </c>
      <c r="M34" s="3">
        <v>89719.177960434317</v>
      </c>
      <c r="N34" s="3">
        <f>'Agency Revenues CAD'!N34*39.5%</f>
        <v>86900</v>
      </c>
      <c r="O34" s="3">
        <f>'Agency Revenues CAD'!O34*39.5%</f>
        <v>86900</v>
      </c>
      <c r="P34" s="3">
        <f>'Agency Revenues CAD'!P34*39.5%</f>
        <v>86900</v>
      </c>
      <c r="Q34" s="4">
        <f t="shared" si="0"/>
        <v>640052.38658655179</v>
      </c>
    </row>
    <row r="35" spans="1:17" x14ac:dyDescent="0.25">
      <c r="A35" s="2" t="s">
        <v>184</v>
      </c>
      <c r="B35" t="s">
        <v>167</v>
      </c>
      <c r="C35" s="2" t="s">
        <v>193</v>
      </c>
      <c r="D35" s="2"/>
      <c r="E35" s="3">
        <v>0</v>
      </c>
      <c r="F35" s="3">
        <v>9950.0977999999996</v>
      </c>
      <c r="G35" s="3">
        <v>18872.629281599999</v>
      </c>
      <c r="H35" s="3">
        <v>22844.781999999999</v>
      </c>
      <c r="I35" s="3">
        <v>29497.514999999999</v>
      </c>
      <c r="J35" s="3">
        <v>13463.790672800003</v>
      </c>
      <c r="K35" s="3">
        <v>8033.6850131999909</v>
      </c>
      <c r="L35" s="3">
        <v>17767.686328</v>
      </c>
      <c r="M35" s="3">
        <v>-50970.741941150016</v>
      </c>
      <c r="N35" s="3">
        <f>'Agency Revenues CAD'!N35*39.5%</f>
        <v>19750</v>
      </c>
      <c r="O35" s="3">
        <f>'Agency Revenues CAD'!O35*39.5%</f>
        <v>19750</v>
      </c>
      <c r="P35" s="3">
        <f>'Agency Revenues CAD'!P35*39.5%</f>
        <v>11850</v>
      </c>
      <c r="Q35" s="4">
        <f t="shared" si="0"/>
        <v>120809.44415444999</v>
      </c>
    </row>
    <row r="36" spans="1:17" x14ac:dyDescent="0.25">
      <c r="A36" s="2" t="s">
        <v>184</v>
      </c>
      <c r="B36" t="s">
        <v>167</v>
      </c>
      <c r="C36" s="2" t="s">
        <v>194</v>
      </c>
      <c r="D36" s="2"/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f>'Agency Revenues CAD'!N36*39.5%</f>
        <v>0</v>
      </c>
      <c r="O36" s="3">
        <f>'Agency Revenues CAD'!O36*39.5%</f>
        <v>0</v>
      </c>
      <c r="P36" s="3">
        <f>'Agency Revenues CAD'!P36*39.5%</f>
        <v>0</v>
      </c>
      <c r="Q36" s="4">
        <f t="shared" si="0"/>
        <v>0</v>
      </c>
    </row>
    <row r="37" spans="1:17" x14ac:dyDescent="0.25">
      <c r="A37" s="2" t="s">
        <v>184</v>
      </c>
      <c r="B37" t="s">
        <v>167</v>
      </c>
      <c r="C37" s="2" t="s">
        <v>195</v>
      </c>
      <c r="D37" s="2"/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f>'Agency Revenues CAD'!N37*39.5%</f>
        <v>0</v>
      </c>
      <c r="O37" s="3">
        <f>'Agency Revenues CAD'!O37*39.5%</f>
        <v>0</v>
      </c>
      <c r="P37" s="3">
        <f>'Agency Revenues CAD'!P37*39.5%</f>
        <v>0</v>
      </c>
      <c r="Q37" s="4">
        <f t="shared" si="0"/>
        <v>0</v>
      </c>
    </row>
    <row r="38" spans="1:17" x14ac:dyDescent="0.25">
      <c r="A38" s="2" t="s">
        <v>184</v>
      </c>
      <c r="B38" t="s">
        <v>167</v>
      </c>
      <c r="C38" s="2" t="s">
        <v>196</v>
      </c>
      <c r="D38" s="2"/>
      <c r="E38" s="3">
        <v>-651.74</v>
      </c>
      <c r="F38" s="3">
        <v>6757.64</v>
      </c>
      <c r="G38" s="3">
        <v>-144.6</v>
      </c>
      <c r="H38" s="3">
        <v>0</v>
      </c>
      <c r="I38" s="3">
        <v>-106.87</v>
      </c>
      <c r="J38" s="3">
        <v>-1405.7191256072379</v>
      </c>
      <c r="K38" s="3">
        <v>2400.7336475000006</v>
      </c>
      <c r="L38" s="3">
        <v>9718.298320130878</v>
      </c>
      <c r="M38" s="3">
        <v>8312.1491305328927</v>
      </c>
      <c r="N38" s="3">
        <f>'Agency Revenues CAD'!N38*39.5%</f>
        <v>6320</v>
      </c>
      <c r="O38" s="3">
        <f>'Agency Revenues CAD'!O38*39.5%</f>
        <v>6320</v>
      </c>
      <c r="P38" s="3">
        <f>'Agency Revenues CAD'!P38*39.5%</f>
        <v>6320</v>
      </c>
      <c r="Q38" s="4">
        <f t="shared" si="0"/>
        <v>43839.891972556536</v>
      </c>
    </row>
    <row r="39" spans="1:17" x14ac:dyDescent="0.25">
      <c r="A39" s="2" t="s">
        <v>184</v>
      </c>
      <c r="B39" t="s">
        <v>167</v>
      </c>
      <c r="C39" s="2" t="s">
        <v>197</v>
      </c>
      <c r="D39" s="2"/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f>'Agency Revenues CAD'!N39*39.5%</f>
        <v>0</v>
      </c>
      <c r="O39" s="3">
        <f>'Agency Revenues CAD'!O39*39.5%</f>
        <v>0</v>
      </c>
      <c r="P39" s="3">
        <f>'Agency Revenues CAD'!P39*39.5%</f>
        <v>0</v>
      </c>
      <c r="Q39" s="4">
        <f t="shared" si="0"/>
        <v>0</v>
      </c>
    </row>
    <row r="40" spans="1:17" x14ac:dyDescent="0.25">
      <c r="A40" s="2" t="s">
        <v>184</v>
      </c>
      <c r="B40" t="s">
        <v>167</v>
      </c>
      <c r="C40" s="2" t="s">
        <v>198</v>
      </c>
      <c r="D40" s="2"/>
      <c r="E40" s="3">
        <v>15645.882600000001</v>
      </c>
      <c r="F40" s="3">
        <v>59516.349000000002</v>
      </c>
      <c r="G40" s="3">
        <v>85252.329099900016</v>
      </c>
      <c r="H40" s="3">
        <v>24986.497199999998</v>
      </c>
      <c r="I40" s="3">
        <v>16871.500200000002</v>
      </c>
      <c r="J40" s="3">
        <v>58378.545683730474</v>
      </c>
      <c r="K40" s="3">
        <v>16544.83832500616</v>
      </c>
      <c r="L40" s="3">
        <v>6504.6056510792378</v>
      </c>
      <c r="M40" s="3">
        <v>-5963.2134663353609</v>
      </c>
      <c r="N40" s="3">
        <f>'Agency Revenues CAD'!N40*39.5%</f>
        <v>0</v>
      </c>
      <c r="O40" s="3">
        <f>'Agency Revenues CAD'!O40*39.5%</f>
        <v>0</v>
      </c>
      <c r="P40" s="3">
        <f>'Agency Revenues CAD'!P40*39.5%</f>
        <v>0</v>
      </c>
      <c r="Q40" s="4">
        <f t="shared" si="0"/>
        <v>277737.3342933805</v>
      </c>
    </row>
    <row r="41" spans="1:17" x14ac:dyDescent="0.25">
      <c r="A41" s="2" t="s">
        <v>184</v>
      </c>
      <c r="B41" t="s">
        <v>167</v>
      </c>
      <c r="C41" s="2" t="s">
        <v>199</v>
      </c>
      <c r="D41" s="2"/>
      <c r="E41" s="6">
        <v>0</v>
      </c>
      <c r="F41" s="3">
        <v>2725.319</v>
      </c>
      <c r="G41" s="3">
        <v>8547.3773600000004</v>
      </c>
      <c r="H41" s="3">
        <v>4834.5335999999998</v>
      </c>
      <c r="I41" s="3">
        <v>0</v>
      </c>
      <c r="J41" s="3">
        <v>-32.960679735119868</v>
      </c>
      <c r="K41" s="3">
        <v>4362.9365432980694</v>
      </c>
      <c r="L41" s="3">
        <v>-295.92990370318648</v>
      </c>
      <c r="M41" s="3">
        <v>5583.3462068334557</v>
      </c>
      <c r="N41" s="3">
        <f>'Agency Revenues CAD'!N41*39.5%</f>
        <v>0</v>
      </c>
      <c r="O41" s="3">
        <f>'Agency Revenues CAD'!O41*39.5%</f>
        <v>0</v>
      </c>
      <c r="P41" s="3">
        <f>'Agency Revenues CAD'!P41*39.5%</f>
        <v>0</v>
      </c>
      <c r="Q41" s="4">
        <f t="shared" si="0"/>
        <v>25724.622126693219</v>
      </c>
    </row>
    <row r="42" spans="1:17" x14ac:dyDescent="0.25">
      <c r="A42" s="2" t="s">
        <v>184</v>
      </c>
      <c r="B42" t="s">
        <v>167</v>
      </c>
      <c r="C42" s="2" t="s">
        <v>200</v>
      </c>
      <c r="D42" s="2"/>
      <c r="E42" s="6">
        <v>0</v>
      </c>
      <c r="F42" s="3">
        <v>0</v>
      </c>
      <c r="G42" s="3">
        <v>-900</v>
      </c>
      <c r="H42" s="3">
        <v>837.19040000000007</v>
      </c>
      <c r="I42" s="3">
        <v>2749.2477999999996</v>
      </c>
      <c r="J42" s="3">
        <v>2594.8875857000003</v>
      </c>
      <c r="K42" s="3">
        <v>8484.5466374999996</v>
      </c>
      <c r="L42" s="3">
        <v>2146.04565</v>
      </c>
      <c r="M42" s="3">
        <v>-466.96186824999984</v>
      </c>
      <c r="N42" s="3">
        <f>'Agency Revenues CAD'!N42*39.5%</f>
        <v>0</v>
      </c>
      <c r="O42" s="3">
        <f>'Agency Revenues CAD'!O42*39.5%</f>
        <v>0</v>
      </c>
      <c r="P42" s="3">
        <f>'Agency Revenues CAD'!P42*39.5%</f>
        <v>0</v>
      </c>
      <c r="Q42" s="4">
        <f t="shared" si="0"/>
        <v>15444.956204949998</v>
      </c>
    </row>
    <row r="43" spans="1:17" x14ac:dyDescent="0.25">
      <c r="A43" s="2" t="s">
        <v>184</v>
      </c>
      <c r="B43" t="s">
        <v>167</v>
      </c>
      <c r="C43" s="2" t="s">
        <v>201</v>
      </c>
      <c r="D43" s="2"/>
      <c r="E43" s="6">
        <v>122987.3944</v>
      </c>
      <c r="F43" s="3">
        <v>-21113.383999999998</v>
      </c>
      <c r="G43" s="3">
        <v>-124.19</v>
      </c>
      <c r="H43" s="3">
        <v>0.14000000000000001</v>
      </c>
      <c r="I43" s="3">
        <v>5513.74</v>
      </c>
      <c r="J43" s="3">
        <v>1079.5570739678324</v>
      </c>
      <c r="K43" s="3">
        <v>-15.923363049447516</v>
      </c>
      <c r="L43" s="3">
        <v>16579.387557715625</v>
      </c>
      <c r="M43" s="3">
        <v>38432.481014424084</v>
      </c>
      <c r="N43" s="3">
        <f>'Agency Revenues CAD'!N43*39.5%</f>
        <v>39500</v>
      </c>
      <c r="O43" s="3">
        <f>'Agency Revenues CAD'!O43*39.5%</f>
        <v>39500</v>
      </c>
      <c r="P43" s="3">
        <f>'Agency Revenues CAD'!P43*39.5%</f>
        <v>39500</v>
      </c>
      <c r="Q43" s="4">
        <f t="shared" si="0"/>
        <v>281839.2026830581</v>
      </c>
    </row>
    <row r="44" spans="1:17" x14ac:dyDescent="0.25">
      <c r="A44" s="2" t="s">
        <v>184</v>
      </c>
      <c r="B44" t="s">
        <v>167</v>
      </c>
      <c r="C44" s="2" t="s">
        <v>202</v>
      </c>
      <c r="D44" s="2"/>
      <c r="E44" s="6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f>'Agency Revenues CAD'!N44*39.5%</f>
        <v>0</v>
      </c>
      <c r="O44" s="3">
        <f>'Agency Revenues CAD'!O44*39.5%</f>
        <v>0</v>
      </c>
      <c r="P44" s="3">
        <f>'Agency Revenues CAD'!P44*39.5%</f>
        <v>0</v>
      </c>
      <c r="Q44" s="4">
        <f t="shared" si="0"/>
        <v>0</v>
      </c>
    </row>
    <row r="45" spans="1:17" x14ac:dyDescent="0.25">
      <c r="A45" s="2" t="s">
        <v>184</v>
      </c>
      <c r="B45" t="s">
        <v>167</v>
      </c>
      <c r="C45" s="2" t="s">
        <v>203</v>
      </c>
      <c r="D45" s="2"/>
      <c r="E45" s="6"/>
      <c r="F45" s="3">
        <v>3573.6552000000001</v>
      </c>
      <c r="G45" s="3">
        <v>16351.92916</v>
      </c>
      <c r="H45" s="3">
        <v>0</v>
      </c>
      <c r="I45" s="3">
        <v>0</v>
      </c>
      <c r="J45" s="3">
        <v>-4.4132883097703228</v>
      </c>
      <c r="K45" s="3">
        <v>6404.2906246496914</v>
      </c>
      <c r="L45" s="3">
        <v>-715.32421396387429</v>
      </c>
      <c r="M45" s="3">
        <v>-4.4216100675278227</v>
      </c>
      <c r="N45" s="3">
        <f>'Agency Revenues CAD'!N45*39.5%</f>
        <v>0</v>
      </c>
      <c r="O45" s="3">
        <f>'Agency Revenues CAD'!O45*39.5%</f>
        <v>0</v>
      </c>
      <c r="P45" s="3">
        <f>'Agency Revenues CAD'!P45*39.5%</f>
        <v>0</v>
      </c>
      <c r="Q45" s="4">
        <f t="shared" si="0"/>
        <v>25605.715872308519</v>
      </c>
    </row>
    <row r="46" spans="1:17" x14ac:dyDescent="0.25">
      <c r="A46" s="2" t="s">
        <v>184</v>
      </c>
      <c r="B46" t="s">
        <v>167</v>
      </c>
      <c r="C46" s="2" t="s">
        <v>204</v>
      </c>
      <c r="D46" s="2"/>
      <c r="E46" s="6"/>
      <c r="F46" s="3">
        <v>0</v>
      </c>
      <c r="G46" s="3">
        <v>18675</v>
      </c>
      <c r="H46" s="3">
        <v>9029.6143999999986</v>
      </c>
      <c r="I46" s="3">
        <v>-73.392200000000003</v>
      </c>
      <c r="J46" s="3">
        <v>0</v>
      </c>
      <c r="K46" s="3">
        <v>3266.1379124511986</v>
      </c>
      <c r="L46" s="3">
        <v>-250.68699005513196</v>
      </c>
      <c r="M46" s="3">
        <v>3549.2244092160086</v>
      </c>
      <c r="N46" s="3">
        <f>'Agency Revenues CAD'!N46*39.5%</f>
        <v>0</v>
      </c>
      <c r="O46" s="3">
        <f>'Agency Revenues CAD'!O46*39.5%</f>
        <v>0</v>
      </c>
      <c r="P46" s="3">
        <f>'Agency Revenues CAD'!P46*39.5%</f>
        <v>0</v>
      </c>
      <c r="Q46" s="4">
        <f t="shared" si="0"/>
        <v>34195.897531612078</v>
      </c>
    </row>
    <row r="47" spans="1:17" x14ac:dyDescent="0.25">
      <c r="A47" s="2" t="s">
        <v>184</v>
      </c>
      <c r="B47" t="s">
        <v>167</v>
      </c>
      <c r="C47" s="2" t="s">
        <v>205</v>
      </c>
      <c r="D47" s="2"/>
      <c r="E47" s="6">
        <v>0</v>
      </c>
      <c r="F47" s="3">
        <v>0</v>
      </c>
      <c r="G47" s="3">
        <v>0</v>
      </c>
      <c r="H47" s="3">
        <v>0</v>
      </c>
      <c r="I47" s="3">
        <v>0</v>
      </c>
      <c r="J47" s="3">
        <v>-123.02</v>
      </c>
      <c r="K47" s="3">
        <v>0</v>
      </c>
      <c r="L47" s="3">
        <v>0</v>
      </c>
      <c r="M47" s="3">
        <v>0</v>
      </c>
      <c r="N47" s="3">
        <f>'Agency Revenues CAD'!N47*39.5%</f>
        <v>0</v>
      </c>
      <c r="O47" s="3">
        <f>'Agency Revenues CAD'!O47*39.5%</f>
        <v>0</v>
      </c>
      <c r="P47" s="3">
        <f>'Agency Revenues CAD'!P47*39.5%</f>
        <v>0</v>
      </c>
      <c r="Q47" s="4">
        <f t="shared" si="0"/>
        <v>-123.02</v>
      </c>
    </row>
    <row r="48" spans="1:17" x14ac:dyDescent="0.25">
      <c r="A48" s="2" t="s">
        <v>184</v>
      </c>
      <c r="B48" t="s">
        <v>167</v>
      </c>
      <c r="C48" s="2" t="s">
        <v>206</v>
      </c>
      <c r="D48" s="2"/>
      <c r="E48" s="6"/>
      <c r="F48" s="3">
        <v>0</v>
      </c>
      <c r="G48" s="3">
        <v>0</v>
      </c>
      <c r="H48" s="3">
        <v>0</v>
      </c>
      <c r="I48" s="3">
        <v>0</v>
      </c>
      <c r="J48" s="3">
        <v>4147.5600000000004</v>
      </c>
      <c r="K48" s="3">
        <v>0</v>
      </c>
      <c r="L48" s="3">
        <v>0</v>
      </c>
      <c r="M48" s="3">
        <v>0</v>
      </c>
      <c r="N48" s="3">
        <f>'Agency Revenues CAD'!N48*39.5%</f>
        <v>0</v>
      </c>
      <c r="O48" s="3">
        <f>'Agency Revenues CAD'!O48*39.5%</f>
        <v>0</v>
      </c>
      <c r="P48" s="3">
        <f>'Agency Revenues CAD'!P48*39.5%</f>
        <v>0</v>
      </c>
      <c r="Q48" s="4">
        <f t="shared" si="0"/>
        <v>4147.5600000000004</v>
      </c>
    </row>
    <row r="49" spans="1:17" x14ac:dyDescent="0.25">
      <c r="A49" s="2" t="s">
        <v>184</v>
      </c>
      <c r="B49" t="s">
        <v>167</v>
      </c>
      <c r="C49" s="2" t="s">
        <v>207</v>
      </c>
      <c r="D49" s="2"/>
      <c r="E49" s="6"/>
      <c r="F49" s="3">
        <v>0</v>
      </c>
      <c r="G49" s="3">
        <v>0</v>
      </c>
      <c r="H49" s="3">
        <v>0</v>
      </c>
      <c r="I49" s="3">
        <v>0</v>
      </c>
      <c r="J49" s="3">
        <v>6718.8</v>
      </c>
      <c r="K49" s="3">
        <v>0</v>
      </c>
      <c r="L49" s="3">
        <v>0</v>
      </c>
      <c r="M49" s="3">
        <v>0</v>
      </c>
      <c r="N49" s="3">
        <f>'Agency Revenues CAD'!N49*39.5%</f>
        <v>0</v>
      </c>
      <c r="O49" s="3">
        <f>'Agency Revenues CAD'!O49*39.5%</f>
        <v>0</v>
      </c>
      <c r="P49" s="3">
        <f>'Agency Revenues CAD'!P49*39.5%</f>
        <v>0</v>
      </c>
      <c r="Q49" s="4">
        <f t="shared" si="0"/>
        <v>6718.8</v>
      </c>
    </row>
    <row r="50" spans="1:17" s="9" customFormat="1" x14ac:dyDescent="0.25">
      <c r="A50" s="8" t="s">
        <v>184</v>
      </c>
      <c r="B50" s="9" t="s">
        <v>167</v>
      </c>
      <c r="C50" s="8" t="s">
        <v>208</v>
      </c>
      <c r="D50" s="8"/>
      <c r="E50" s="10"/>
      <c r="F50" s="11">
        <v>0</v>
      </c>
      <c r="G50" s="11">
        <v>0</v>
      </c>
      <c r="H50" s="11">
        <v>0</v>
      </c>
      <c r="I50" s="11">
        <v>0</v>
      </c>
      <c r="J50" s="11">
        <v>7886.9599999999991</v>
      </c>
      <c r="K50" s="11">
        <v>0</v>
      </c>
      <c r="L50" s="11">
        <v>0</v>
      </c>
      <c r="M50" s="11">
        <v>0</v>
      </c>
      <c r="N50" s="11">
        <f>'Agency Revenues CAD'!N50*39.5%</f>
        <v>0</v>
      </c>
      <c r="O50" s="11">
        <f>'Agency Revenues CAD'!O50*39.5%</f>
        <v>0</v>
      </c>
      <c r="P50" s="11">
        <f>'Agency Revenues CAD'!P50*39.5%</f>
        <v>0</v>
      </c>
      <c r="Q50" s="12">
        <f t="shared" si="0"/>
        <v>7886.9599999999991</v>
      </c>
    </row>
    <row r="51" spans="1:17" s="14" customFormat="1" x14ac:dyDescent="0.25">
      <c r="A51" s="13" t="s">
        <v>209</v>
      </c>
      <c r="B51" s="14" t="s">
        <v>167</v>
      </c>
      <c r="C51" s="13" t="s">
        <v>210</v>
      </c>
      <c r="D51" s="13"/>
      <c r="E51" s="15"/>
      <c r="F51" s="15"/>
      <c r="G51" s="15"/>
      <c r="H51" s="15"/>
      <c r="I51" s="15"/>
      <c r="J51" s="15">
        <v>0</v>
      </c>
      <c r="K51" s="15">
        <v>0</v>
      </c>
      <c r="L51" s="15">
        <v>0</v>
      </c>
      <c r="M51" s="15">
        <v>0</v>
      </c>
      <c r="N51" s="15"/>
      <c r="O51" s="15"/>
      <c r="P51" s="15"/>
      <c r="Q51" s="16">
        <f t="shared" si="0"/>
        <v>0</v>
      </c>
    </row>
    <row r="52" spans="1:17" s="18" customFormat="1" x14ac:dyDescent="0.25">
      <c r="A52" s="17" t="s">
        <v>209</v>
      </c>
      <c r="B52" s="18" t="s">
        <v>167</v>
      </c>
      <c r="C52" s="17" t="s">
        <v>211</v>
      </c>
      <c r="D52" s="17"/>
      <c r="E52" s="19"/>
      <c r="F52" s="19"/>
      <c r="G52" s="19"/>
      <c r="H52" s="19"/>
      <c r="I52" s="19"/>
      <c r="J52" s="19">
        <v>0</v>
      </c>
      <c r="K52" s="19">
        <v>0</v>
      </c>
      <c r="L52" s="19">
        <v>0</v>
      </c>
      <c r="M52" s="19">
        <v>0</v>
      </c>
      <c r="N52" s="19"/>
      <c r="O52" s="19"/>
      <c r="P52" s="19"/>
      <c r="Q52" s="20">
        <f t="shared" si="0"/>
        <v>0</v>
      </c>
    </row>
    <row r="53" spans="1:17" s="9" customFormat="1" x14ac:dyDescent="0.25">
      <c r="A53" s="8" t="s">
        <v>209</v>
      </c>
      <c r="B53" s="9" t="s">
        <v>167</v>
      </c>
      <c r="C53" s="8" t="s">
        <v>212</v>
      </c>
      <c r="D53" s="8"/>
      <c r="E53" s="11"/>
      <c r="F53" s="11"/>
      <c r="G53" s="11"/>
      <c r="H53" s="11"/>
      <c r="I53" s="11"/>
      <c r="J53" s="11">
        <v>0</v>
      </c>
      <c r="K53" s="11">
        <v>0</v>
      </c>
      <c r="L53" s="11">
        <v>0</v>
      </c>
      <c r="M53" s="11">
        <v>0</v>
      </c>
      <c r="N53" s="11"/>
      <c r="O53" s="11"/>
      <c r="P53" s="11"/>
      <c r="Q53" s="12">
        <f t="shared" si="0"/>
        <v>0</v>
      </c>
    </row>
    <row r="54" spans="1:17" x14ac:dyDescent="0.25">
      <c r="A54" s="2" t="s">
        <v>213</v>
      </c>
      <c r="B54" t="s">
        <v>167</v>
      </c>
      <c r="C54" s="2" t="s">
        <v>214</v>
      </c>
      <c r="D54" s="2"/>
      <c r="E54" s="3"/>
      <c r="F54" s="3"/>
      <c r="G54" s="3"/>
      <c r="H54" s="3"/>
      <c r="I54" s="3"/>
      <c r="J54" s="3">
        <v>25244.36</v>
      </c>
      <c r="K54" s="3">
        <v>0</v>
      </c>
      <c r="L54" s="3">
        <v>0</v>
      </c>
      <c r="M54" s="3">
        <v>0</v>
      </c>
      <c r="N54" s="3"/>
      <c r="O54" s="5"/>
      <c r="P54" s="5">
        <v>132458</v>
      </c>
      <c r="Q54" s="4">
        <f t="shared" si="0"/>
        <v>157702.35999999999</v>
      </c>
    </row>
    <row r="55" spans="1:17" x14ac:dyDescent="0.25">
      <c r="A55" s="2" t="s">
        <v>213</v>
      </c>
      <c r="B55" t="s">
        <v>167</v>
      </c>
      <c r="C55" s="2" t="s">
        <v>215</v>
      </c>
      <c r="D55" s="2"/>
      <c r="E55" s="3">
        <v>-70462.477400000003</v>
      </c>
      <c r="F55" s="3">
        <v>37216.682000000001</v>
      </c>
      <c r="G55" s="3">
        <v>-1031.27</v>
      </c>
      <c r="H55" s="3">
        <v>0</v>
      </c>
      <c r="I55" s="3">
        <v>-10703.581399999999</v>
      </c>
      <c r="J55" s="3">
        <v>65553.260754121846</v>
      </c>
      <c r="K55" s="3">
        <v>0</v>
      </c>
      <c r="L55" s="3">
        <v>873.31736719999753</v>
      </c>
      <c r="M55" s="3">
        <v>-8.3473943804700079E-2</v>
      </c>
      <c r="N55" s="3">
        <f>'Agency Revenues CAD'!N55*39.5%</f>
        <v>0</v>
      </c>
      <c r="O55" s="3">
        <f>'Agency Revenues CAD'!O55*39.5%</f>
        <v>0</v>
      </c>
      <c r="P55" s="3">
        <f>'Agency Revenues CAD'!P55*39.5%</f>
        <v>0</v>
      </c>
      <c r="Q55" s="4">
        <f t="shared" si="0"/>
        <v>21445.847847378038</v>
      </c>
    </row>
    <row r="56" spans="1:17" x14ac:dyDescent="0.25">
      <c r="A56" s="2" t="s">
        <v>213</v>
      </c>
      <c r="B56" t="s">
        <v>167</v>
      </c>
      <c r="C56" s="2" t="s">
        <v>216</v>
      </c>
      <c r="D56" s="2"/>
      <c r="E56" s="3">
        <v>47212.620689199997</v>
      </c>
      <c r="F56" s="3">
        <v>54264.718999999997</v>
      </c>
      <c r="G56" s="3">
        <v>51029.431054200002</v>
      </c>
      <c r="H56" s="3">
        <v>50474.947800000002</v>
      </c>
      <c r="I56" s="3">
        <v>50877.408799999997</v>
      </c>
      <c r="J56" s="3">
        <v>40949.121632944465</v>
      </c>
      <c r="K56" s="3">
        <v>59422.105845993443</v>
      </c>
      <c r="L56" s="3">
        <v>47337.439832441625</v>
      </c>
      <c r="M56" s="3">
        <v>57544.083486812226</v>
      </c>
      <c r="N56" s="3">
        <f>'Agency Revenues CAD'!N56*39.5%</f>
        <v>49871.91</v>
      </c>
      <c r="O56" s="3">
        <f>'Agency Revenues CAD'!O56*39.5%</f>
        <v>51307.184421350001</v>
      </c>
      <c r="P56" s="3">
        <f>'Agency Revenues CAD'!P56*39.5%</f>
        <v>27954.595718000019</v>
      </c>
      <c r="Q56" s="4">
        <f t="shared" si="0"/>
        <v>588245.56828094169</v>
      </c>
    </row>
    <row r="57" spans="1:17" x14ac:dyDescent="0.25">
      <c r="A57" s="2" t="s">
        <v>213</v>
      </c>
      <c r="B57" t="s">
        <v>167</v>
      </c>
      <c r="C57" s="2" t="s">
        <v>217</v>
      </c>
      <c r="D57" s="2"/>
      <c r="E57" s="3">
        <v>1015.97</v>
      </c>
      <c r="F57" s="3">
        <v>-26.14</v>
      </c>
      <c r="G57" s="3">
        <v>-34.590000000000003</v>
      </c>
      <c r="H57" s="3">
        <v>0</v>
      </c>
      <c r="I57" s="3">
        <v>-35.299999999999997</v>
      </c>
      <c r="J57" s="3">
        <v>551.32629059460646</v>
      </c>
      <c r="K57" s="3">
        <v>0</v>
      </c>
      <c r="L57" s="3">
        <v>0</v>
      </c>
      <c r="M57" s="3">
        <v>0</v>
      </c>
      <c r="N57" s="3">
        <f>'Agency Revenues CAD'!N57*39.5%</f>
        <v>24965.58</v>
      </c>
      <c r="O57" s="3">
        <f>'Agency Revenues CAD'!O57*39.5%</f>
        <v>24965.58</v>
      </c>
      <c r="P57" s="3">
        <f>'Agency Revenues CAD'!P57*39.5%</f>
        <v>24965.58</v>
      </c>
      <c r="Q57" s="4">
        <f t="shared" si="0"/>
        <v>76368.006290594611</v>
      </c>
    </row>
    <row r="58" spans="1:17" x14ac:dyDescent="0.25">
      <c r="A58" s="2" t="s">
        <v>213</v>
      </c>
      <c r="B58" t="s">
        <v>167</v>
      </c>
      <c r="C58" s="2" t="s">
        <v>218</v>
      </c>
      <c r="D58" s="2"/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2451.36</v>
      </c>
      <c r="K58" s="3">
        <v>0</v>
      </c>
      <c r="L58" s="3">
        <v>0</v>
      </c>
      <c r="M58" s="3">
        <v>0</v>
      </c>
      <c r="N58" s="3">
        <f>'Agency Revenues CAD'!N58*39.5%</f>
        <v>0</v>
      </c>
      <c r="O58" s="3">
        <f>'Agency Revenues CAD'!O58*39.5%</f>
        <v>0</v>
      </c>
      <c r="P58" s="3">
        <f>'Agency Revenues CAD'!P58*39.5%</f>
        <v>0</v>
      </c>
      <c r="Q58" s="4">
        <f t="shared" si="0"/>
        <v>2451.36</v>
      </c>
    </row>
    <row r="59" spans="1:17" x14ac:dyDescent="0.25">
      <c r="A59" s="2" t="s">
        <v>213</v>
      </c>
      <c r="B59" t="s">
        <v>167</v>
      </c>
      <c r="C59" s="2" t="s">
        <v>219</v>
      </c>
      <c r="D59" s="2"/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f>'Agency Revenues CAD'!N59*39.5%</f>
        <v>0</v>
      </c>
      <c r="O59" s="3">
        <f>'Agency Revenues CAD'!O59*39.5%</f>
        <v>0</v>
      </c>
      <c r="P59" s="3">
        <f>'Agency Revenues CAD'!P59*39.5%</f>
        <v>0</v>
      </c>
      <c r="Q59" s="4">
        <f t="shared" si="0"/>
        <v>0</v>
      </c>
    </row>
    <row r="60" spans="1:17" x14ac:dyDescent="0.25">
      <c r="A60" s="2" t="s">
        <v>213</v>
      </c>
      <c r="B60" t="s">
        <v>167</v>
      </c>
      <c r="C60" s="2" t="s">
        <v>169</v>
      </c>
      <c r="D60" s="2"/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881.04</v>
      </c>
      <c r="K60" s="3">
        <v>0</v>
      </c>
      <c r="L60" s="3">
        <v>0</v>
      </c>
      <c r="M60" s="3">
        <v>0</v>
      </c>
      <c r="N60" s="3">
        <f>'Agency Revenues CAD'!N60*39.5%</f>
        <v>1678.75</v>
      </c>
      <c r="O60" s="3">
        <f>'Agency Revenues CAD'!O60*39.5%</f>
        <v>1678.75</v>
      </c>
      <c r="P60" s="3">
        <f>'Agency Revenues CAD'!P60*39.5%</f>
        <v>1343</v>
      </c>
      <c r="Q60" s="4">
        <f t="shared" si="0"/>
        <v>5581.54</v>
      </c>
    </row>
    <row r="61" spans="1:17" x14ac:dyDescent="0.25">
      <c r="A61" s="2" t="s">
        <v>213</v>
      </c>
      <c r="B61" t="s">
        <v>167</v>
      </c>
      <c r="C61" s="2" t="s">
        <v>220</v>
      </c>
      <c r="D61" s="2"/>
      <c r="E61" s="3">
        <v>91132.509698000009</v>
      </c>
      <c r="F61" s="3">
        <v>159893.69600000003</v>
      </c>
      <c r="G61" s="3">
        <v>41680.57160000001</v>
      </c>
      <c r="H61" s="3">
        <v>195156.45239999998</v>
      </c>
      <c r="I61" s="6">
        <v>195446.4644</v>
      </c>
      <c r="J61" s="3">
        <v>45600.569666684023</v>
      </c>
      <c r="K61" s="3">
        <v>51280.350324935542</v>
      </c>
      <c r="L61" s="3">
        <v>130300.78573815781</v>
      </c>
      <c r="M61" s="3">
        <v>58528.202193160716</v>
      </c>
      <c r="N61" s="3">
        <f>'Agency Revenues CAD'!N61*39.5%</f>
        <v>180317.5</v>
      </c>
      <c r="O61" s="3">
        <f>'Agency Revenues CAD'!O61*39.5%</f>
        <v>156638.04870896001</v>
      </c>
      <c r="P61" s="3">
        <f>'Agency Revenues CAD'!P61*39.5%</f>
        <v>212925.11452544641</v>
      </c>
      <c r="Q61" s="4">
        <f t="shared" si="0"/>
        <v>1518900.2652553443</v>
      </c>
    </row>
    <row r="62" spans="1:17" x14ac:dyDescent="0.25">
      <c r="A62" s="2" t="s">
        <v>213</v>
      </c>
      <c r="B62" t="s">
        <v>167</v>
      </c>
      <c r="C62" s="2" t="s">
        <v>221</v>
      </c>
      <c r="D62" s="2"/>
      <c r="E62" s="3">
        <v>22039.9140806</v>
      </c>
      <c r="F62" s="3">
        <v>20478.040400000002</v>
      </c>
      <c r="G62" s="3">
        <v>907.15420879999942</v>
      </c>
      <c r="H62" s="3">
        <v>4366.0190000000002</v>
      </c>
      <c r="I62" s="3">
        <v>13448.890799999999</v>
      </c>
      <c r="J62" s="3">
        <v>5946.7415895341046</v>
      </c>
      <c r="K62" s="3">
        <v>16142.863634128134</v>
      </c>
      <c r="L62" s="3">
        <v>18566.023224711073</v>
      </c>
      <c r="M62" s="3">
        <v>36153.155423560049</v>
      </c>
      <c r="N62" s="3">
        <f>'Agency Revenues CAD'!N62*39.5%</f>
        <v>50362.5</v>
      </c>
      <c r="O62" s="3">
        <f>'Agency Revenues CAD'!O62*39.5%</f>
        <v>68818.775657499995</v>
      </c>
      <c r="P62" s="3">
        <f>'Agency Revenues CAD'!P62*39.5%</f>
        <v>75097.972216750015</v>
      </c>
      <c r="Q62" s="4">
        <f t="shared" si="0"/>
        <v>332328.05023558339</v>
      </c>
    </row>
    <row r="63" spans="1:17" x14ac:dyDescent="0.25">
      <c r="A63" s="2" t="s">
        <v>213</v>
      </c>
      <c r="B63" t="s">
        <v>167</v>
      </c>
      <c r="C63" s="2" t="s">
        <v>222</v>
      </c>
      <c r="D63" s="2"/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636.94000000000005</v>
      </c>
      <c r="K63" s="3">
        <v>0</v>
      </c>
      <c r="L63" s="3">
        <v>0</v>
      </c>
      <c r="M63" s="3">
        <v>0</v>
      </c>
      <c r="N63" s="3">
        <f>'Agency Revenues CAD'!N63*39.5%</f>
        <v>0</v>
      </c>
      <c r="O63" s="3">
        <f>'Agency Revenues CAD'!O63*39.5%</f>
        <v>0</v>
      </c>
      <c r="P63" s="3">
        <f>'Agency Revenues CAD'!P63*39.5%</f>
        <v>0</v>
      </c>
      <c r="Q63" s="4">
        <f t="shared" si="0"/>
        <v>636.94000000000005</v>
      </c>
    </row>
    <row r="64" spans="1:17" x14ac:dyDescent="0.25">
      <c r="A64" s="2" t="s">
        <v>213</v>
      </c>
      <c r="B64" t="s">
        <v>167</v>
      </c>
      <c r="C64" s="2" t="s">
        <v>223</v>
      </c>
      <c r="D64" s="2"/>
      <c r="E64" s="3">
        <v>0</v>
      </c>
      <c r="F64" s="3">
        <v>1141.8260000000002</v>
      </c>
      <c r="G64" s="3">
        <v>1445.695598</v>
      </c>
      <c r="H64" s="3">
        <v>2009.1601999999998</v>
      </c>
      <c r="I64" s="6">
        <v>9184.1221999999998</v>
      </c>
      <c r="J64" s="3">
        <v>15853.793680899998</v>
      </c>
      <c r="K64" s="3">
        <v>11877.213103821821</v>
      </c>
      <c r="L64" s="3">
        <v>747.52428336266144</v>
      </c>
      <c r="M64" s="3">
        <v>2322.9752706051672</v>
      </c>
      <c r="N64" s="3">
        <f>'Agency Revenues CAD'!N64*39.5%</f>
        <v>1542.8700000000001</v>
      </c>
      <c r="O64" s="3">
        <f>'Agency Revenues CAD'!O64*39.5%</f>
        <v>1172.6957974000004</v>
      </c>
      <c r="P64" s="3">
        <f>'Agency Revenues CAD'!P64*39.5%</f>
        <v>2110.9652370499953</v>
      </c>
      <c r="Q64" s="4">
        <f t="shared" si="0"/>
        <v>49408.84137113965</v>
      </c>
    </row>
    <row r="65" spans="1:17" x14ac:dyDescent="0.25">
      <c r="A65" s="2" t="s">
        <v>213</v>
      </c>
      <c r="B65" t="s">
        <v>167</v>
      </c>
      <c r="C65" s="2" t="s">
        <v>224</v>
      </c>
      <c r="D65" s="2"/>
      <c r="E65" s="3">
        <v>-110.18</v>
      </c>
      <c r="F65" s="3">
        <v>4897.04</v>
      </c>
      <c r="G65" s="3">
        <v>-666.75</v>
      </c>
      <c r="H65" s="3">
        <v>1759.654</v>
      </c>
      <c r="I65" s="3">
        <v>3283.1748000000002</v>
      </c>
      <c r="J65" s="3">
        <v>24903.091602249999</v>
      </c>
      <c r="K65" s="3">
        <v>-9.9999999997635314E-3</v>
      </c>
      <c r="L65" s="3">
        <v>-144.80890048224722</v>
      </c>
      <c r="M65" s="3">
        <v>1214.394508381838</v>
      </c>
      <c r="N65" s="3">
        <f>'Agency Revenues CAD'!N65*39.5%</f>
        <v>2765</v>
      </c>
      <c r="O65" s="3">
        <f>'Agency Revenues CAD'!O65*39.5%</f>
        <v>5530</v>
      </c>
      <c r="P65" s="3">
        <f>'Agency Revenues CAD'!P65*39.5%</f>
        <v>5529.8728297500011</v>
      </c>
      <c r="Q65" s="4">
        <f t="shared" si="0"/>
        <v>48960.478839899588</v>
      </c>
    </row>
    <row r="66" spans="1:17" x14ac:dyDescent="0.25">
      <c r="A66" s="2" t="s">
        <v>213</v>
      </c>
      <c r="B66" t="s">
        <v>167</v>
      </c>
      <c r="C66" s="2" t="s">
        <v>225</v>
      </c>
      <c r="D66" s="2"/>
      <c r="E66" s="3">
        <v>34980.086200000005</v>
      </c>
      <c r="F66" s="3">
        <v>38753.916999999994</v>
      </c>
      <c r="G66" s="3">
        <v>50291.516000000003</v>
      </c>
      <c r="H66" s="3">
        <v>36814.697999999997</v>
      </c>
      <c r="I66" s="3">
        <v>44493.2788</v>
      </c>
      <c r="J66" s="3">
        <v>49532.176138254159</v>
      </c>
      <c r="K66" s="3">
        <v>92842.305795801818</v>
      </c>
      <c r="L66" s="3">
        <v>83417.412194946737</v>
      </c>
      <c r="M66" s="3">
        <v>36292.329157873079</v>
      </c>
      <c r="N66" s="3">
        <f>'Agency Revenues CAD'!N66*39.5%</f>
        <v>50362.5</v>
      </c>
      <c r="O66" s="3">
        <f>'Agency Revenues CAD'!O66*39.5%</f>
        <v>74517.10559875</v>
      </c>
      <c r="P66" s="3">
        <f>'Agency Revenues CAD'!P66*39.5%</f>
        <v>63332.927631750004</v>
      </c>
      <c r="Q66" s="4">
        <f t="shared" si="0"/>
        <v>655630.25251737575</v>
      </c>
    </row>
    <row r="67" spans="1:17" x14ac:dyDescent="0.25">
      <c r="A67" s="2" t="s">
        <v>213</v>
      </c>
      <c r="B67" t="s">
        <v>167</v>
      </c>
      <c r="C67" s="2" t="s">
        <v>226</v>
      </c>
      <c r="D67" s="2"/>
      <c r="E67" s="3">
        <v>3664.8154000000004</v>
      </c>
      <c r="F67" s="3">
        <v>-7348.5889999999999</v>
      </c>
      <c r="G67" s="3">
        <v>213.02</v>
      </c>
      <c r="H67" s="3">
        <v>0</v>
      </c>
      <c r="I67" s="3">
        <v>0</v>
      </c>
      <c r="J67" s="3">
        <v>6600.3272075031127</v>
      </c>
      <c r="K67" s="3">
        <v>14839.38184693354</v>
      </c>
      <c r="L67" s="3">
        <v>-15.443946328107762</v>
      </c>
      <c r="M67" s="3">
        <v>0</v>
      </c>
      <c r="N67" s="3">
        <f>'Agency Revenues CAD'!N67*39.5%</f>
        <v>12590.625</v>
      </c>
      <c r="O67" s="3">
        <f>'Agency Revenues CAD'!O67*39.5%</f>
        <v>12590.625</v>
      </c>
      <c r="P67" s="3">
        <f>'Agency Revenues CAD'!P67*39.5%</f>
        <v>0</v>
      </c>
      <c r="Q67" s="4">
        <f t="shared" si="0"/>
        <v>43134.761508108546</v>
      </c>
    </row>
    <row r="68" spans="1:17" x14ac:dyDescent="0.25">
      <c r="A68" s="2" t="s">
        <v>213</v>
      </c>
      <c r="B68" t="s">
        <v>167</v>
      </c>
      <c r="C68" s="2" t="s">
        <v>227</v>
      </c>
      <c r="D68" s="2"/>
      <c r="E68" s="3">
        <v>28375.533134000001</v>
      </c>
      <c r="F68" s="3">
        <v>-18538.632000000001</v>
      </c>
      <c r="G68" s="3">
        <v>-20.74</v>
      </c>
      <c r="H68" s="3">
        <v>30931.260400000003</v>
      </c>
      <c r="I68" s="3">
        <v>78140.194000000003</v>
      </c>
      <c r="J68" s="3">
        <v>-7648.6888784405937</v>
      </c>
      <c r="K68" s="3">
        <v>4392.513999999991</v>
      </c>
      <c r="L68" s="3">
        <v>2678.9606191212165</v>
      </c>
      <c r="M68" s="3">
        <v>56029.081318053126</v>
      </c>
      <c r="N68" s="3">
        <f>'Agency Revenues CAD'!N68*39.5%</f>
        <v>59250</v>
      </c>
      <c r="O68" s="3">
        <f>'Agency Revenues CAD'!O68*39.5%</f>
        <v>36200.465781530002</v>
      </c>
      <c r="P68" s="3">
        <f>'Agency Revenues CAD'!P68*39.5%</f>
        <v>122101.02088909996</v>
      </c>
      <c r="Q68" s="4">
        <f t="shared" si="0"/>
        <v>391890.96926336375</v>
      </c>
    </row>
    <row r="69" spans="1:17" x14ac:dyDescent="0.25">
      <c r="A69" s="2" t="s">
        <v>213</v>
      </c>
      <c r="B69" t="s">
        <v>167</v>
      </c>
      <c r="C69" s="2" t="s">
        <v>228</v>
      </c>
      <c r="D69" s="2"/>
      <c r="E69" s="6">
        <v>37067.433066999998</v>
      </c>
      <c r="F69" s="3">
        <v>66365.6302</v>
      </c>
      <c r="G69" s="3">
        <v>55012.568799999994</v>
      </c>
      <c r="H69" s="3">
        <v>14143.929400000001</v>
      </c>
      <c r="I69" s="3">
        <v>62068.207199999997</v>
      </c>
      <c r="J69" s="3">
        <v>20667.021897921783</v>
      </c>
      <c r="K69" s="3">
        <v>3396.9217540231098</v>
      </c>
      <c r="L69" s="3">
        <v>217.67625203430262</v>
      </c>
      <c r="M69" s="3">
        <v>-1763.8400890360972</v>
      </c>
      <c r="N69" s="3">
        <f>'Agency Revenues CAD'!N69*39.5%</f>
        <v>9756.5</v>
      </c>
      <c r="O69" s="3">
        <f>'Agency Revenues CAD'!O69*39.5%</f>
        <v>-2713.3497999999995</v>
      </c>
      <c r="P69" s="3">
        <f>'Agency Revenues CAD'!P69*39.5%</f>
        <v>260.6842000000313</v>
      </c>
      <c r="Q69" s="4">
        <f t="shared" si="0"/>
        <v>264479.38288194308</v>
      </c>
    </row>
    <row r="70" spans="1:17" x14ac:dyDescent="0.25">
      <c r="A70" s="2" t="s">
        <v>213</v>
      </c>
      <c r="B70" t="s">
        <v>167</v>
      </c>
      <c r="C70" s="2" t="s">
        <v>229</v>
      </c>
      <c r="D70" s="2"/>
      <c r="E70" s="3">
        <v>2121.988034</v>
      </c>
      <c r="F70" s="3">
        <v>471.63</v>
      </c>
      <c r="G70" s="3">
        <v>675.36</v>
      </c>
      <c r="H70" s="3">
        <v>20124.672200000001</v>
      </c>
      <c r="I70" s="3">
        <v>39166.8606</v>
      </c>
      <c r="J70" s="3">
        <v>56857.381173923277</v>
      </c>
      <c r="K70" s="3">
        <v>1000.8599999999933</v>
      </c>
      <c r="L70" s="3">
        <v>3360.8800967332104</v>
      </c>
      <c r="M70" s="3">
        <v>-34462.921893968924</v>
      </c>
      <c r="N70" s="3">
        <f>'Agency Revenues CAD'!N70*39.5%</f>
        <v>20145</v>
      </c>
      <c r="O70" s="3">
        <f>'Agency Revenues CAD'!O70*39.5%</f>
        <v>16787.5</v>
      </c>
      <c r="P70" s="3">
        <f>'Agency Revenues CAD'!P70*39.5%</f>
        <v>8393.75</v>
      </c>
      <c r="Q70" s="4">
        <f t="shared" si="0"/>
        <v>134642.96021068754</v>
      </c>
    </row>
    <row r="71" spans="1:17" x14ac:dyDescent="0.25">
      <c r="A71" s="2" t="s">
        <v>213</v>
      </c>
      <c r="B71" t="s">
        <v>167</v>
      </c>
      <c r="C71" s="2" t="s">
        <v>230</v>
      </c>
      <c r="D71" s="2"/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445.49</v>
      </c>
      <c r="K71" s="3">
        <v>0</v>
      </c>
      <c r="L71" s="3">
        <v>0</v>
      </c>
      <c r="M71" s="3">
        <v>0</v>
      </c>
      <c r="N71" s="3">
        <f>'Agency Revenues CAD'!N71*39.5%</f>
        <v>0</v>
      </c>
      <c r="O71" s="3">
        <f>'Agency Revenues CAD'!O71*39.5%</f>
        <v>0</v>
      </c>
      <c r="P71" s="3">
        <f>'Agency Revenues CAD'!P71*39.5%</f>
        <v>0</v>
      </c>
      <c r="Q71" s="4">
        <f t="shared" ref="Q71:Q127" si="1">SUM(E71:P71)</f>
        <v>445.49</v>
      </c>
    </row>
    <row r="72" spans="1:17" x14ac:dyDescent="0.25">
      <c r="A72" s="2" t="s">
        <v>213</v>
      </c>
      <c r="B72" t="s">
        <v>167</v>
      </c>
      <c r="C72" s="2" t="s">
        <v>231</v>
      </c>
      <c r="D72" s="2"/>
      <c r="E72" s="6">
        <v>0</v>
      </c>
      <c r="F72" s="3">
        <v>0</v>
      </c>
      <c r="G72" s="3">
        <v>0</v>
      </c>
      <c r="H72" s="3">
        <v>0</v>
      </c>
      <c r="I72" s="3">
        <v>0</v>
      </c>
      <c r="J72" s="3">
        <v>-75.22</v>
      </c>
      <c r="K72" s="3">
        <v>0</v>
      </c>
      <c r="L72" s="3">
        <v>0</v>
      </c>
      <c r="M72" s="3">
        <v>0</v>
      </c>
      <c r="N72" s="3">
        <f>'Agency Revenues CAD'!N72*39.5%</f>
        <v>0</v>
      </c>
      <c r="O72" s="3">
        <f>'Agency Revenues CAD'!O72*39.5%</f>
        <v>0</v>
      </c>
      <c r="P72" s="3">
        <f>'Agency Revenues CAD'!P72*39.5%</f>
        <v>0</v>
      </c>
      <c r="Q72" s="4">
        <f t="shared" si="1"/>
        <v>-75.22</v>
      </c>
    </row>
    <row r="73" spans="1:17" x14ac:dyDescent="0.25">
      <c r="A73" s="2" t="s">
        <v>213</v>
      </c>
      <c r="B73" t="s">
        <v>167</v>
      </c>
      <c r="C73" s="2" t="s">
        <v>232</v>
      </c>
      <c r="D73" s="2"/>
      <c r="E73" s="6">
        <v>12252.1594</v>
      </c>
      <c r="F73" s="3">
        <v>3187.7687999999998</v>
      </c>
      <c r="G73" s="3">
        <v>-838.18</v>
      </c>
      <c r="H73" s="3">
        <v>0</v>
      </c>
      <c r="I73" s="6">
        <v>0</v>
      </c>
      <c r="J73" s="3">
        <v>7377.6477023668758</v>
      </c>
      <c r="K73" s="3">
        <v>12773.599999999999</v>
      </c>
      <c r="L73" s="3">
        <v>0</v>
      </c>
      <c r="M73" s="3">
        <v>0</v>
      </c>
      <c r="N73" s="3">
        <f>'Agency Revenues CAD'!N73*39.5%</f>
        <v>0</v>
      </c>
      <c r="O73" s="3">
        <f>'Agency Revenues CAD'!O73*39.5%</f>
        <v>0</v>
      </c>
      <c r="P73" s="3">
        <f>'Agency Revenues CAD'!P73*39.5%</f>
        <v>0</v>
      </c>
      <c r="Q73" s="4">
        <f t="shared" si="1"/>
        <v>34752.995902366878</v>
      </c>
    </row>
    <row r="74" spans="1:17" x14ac:dyDescent="0.25">
      <c r="A74" s="2" t="s">
        <v>213</v>
      </c>
      <c r="B74" t="s">
        <v>167</v>
      </c>
      <c r="C74" s="2" t="s">
        <v>233</v>
      </c>
      <c r="D74" s="2"/>
      <c r="E74" s="3">
        <v>15630.272235800003</v>
      </c>
      <c r="F74" s="3">
        <v>61791.338400000001</v>
      </c>
      <c r="G74" s="3">
        <v>45525.533200000005</v>
      </c>
      <c r="H74" s="3">
        <v>61991.863200000007</v>
      </c>
      <c r="I74" s="3">
        <v>181789.34720000002</v>
      </c>
      <c r="J74" s="3">
        <v>190985.19023046954</v>
      </c>
      <c r="K74" s="3">
        <v>50897.929020988333</v>
      </c>
      <c r="L74" s="3">
        <v>95902.080178416669</v>
      </c>
      <c r="M74" s="3">
        <v>-71418.154324961142</v>
      </c>
      <c r="N74" s="3">
        <f>'Agency Revenues CAD'!N74*39.5%</f>
        <v>60277</v>
      </c>
      <c r="O74" s="3">
        <f>'Agency Revenues CAD'!O74*39.5%</f>
        <v>100143.877106395</v>
      </c>
      <c r="P74" s="3">
        <f>'Agency Revenues CAD'!P74*39.5%</f>
        <v>58797.725000000006</v>
      </c>
      <c r="Q74" s="4">
        <f t="shared" si="1"/>
        <v>852314.00144710834</v>
      </c>
    </row>
    <row r="75" spans="1:17" x14ac:dyDescent="0.25">
      <c r="A75" s="2" t="s">
        <v>213</v>
      </c>
      <c r="B75" t="s">
        <v>167</v>
      </c>
      <c r="C75" s="2" t="s">
        <v>234</v>
      </c>
      <c r="D75" s="2"/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f>'Agency Revenues CAD'!N75*39.5%</f>
        <v>0</v>
      </c>
      <c r="O75" s="3">
        <f>'Agency Revenues CAD'!O75*39.5%</f>
        <v>0</v>
      </c>
      <c r="P75" s="3">
        <f>'Agency Revenues CAD'!P75*39.5%</f>
        <v>0</v>
      </c>
      <c r="Q75" s="4">
        <f t="shared" si="1"/>
        <v>0</v>
      </c>
    </row>
    <row r="76" spans="1:17" x14ac:dyDescent="0.25">
      <c r="A76" s="2" t="s">
        <v>213</v>
      </c>
      <c r="B76" t="s">
        <v>167</v>
      </c>
      <c r="C76" s="2" t="s">
        <v>235</v>
      </c>
      <c r="D76" s="2"/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f>'Agency Revenues CAD'!N76*39.5%</f>
        <v>0</v>
      </c>
      <c r="O76" s="3">
        <f>'Agency Revenues CAD'!O76*39.5%</f>
        <v>0</v>
      </c>
      <c r="P76" s="3">
        <f>'Agency Revenues CAD'!P76*39.5%</f>
        <v>0</v>
      </c>
      <c r="Q76" s="4">
        <f t="shared" si="1"/>
        <v>0</v>
      </c>
    </row>
    <row r="77" spans="1:17" x14ac:dyDescent="0.25">
      <c r="A77" s="2" t="s">
        <v>213</v>
      </c>
      <c r="B77" t="s">
        <v>167</v>
      </c>
      <c r="C77" s="2" t="s">
        <v>170</v>
      </c>
      <c r="D77" s="2"/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428.77999999999975</v>
      </c>
      <c r="L77" s="3">
        <v>0</v>
      </c>
      <c r="M77" s="3">
        <v>0</v>
      </c>
      <c r="N77" s="3">
        <f>'Agency Revenues CAD'!N77*39.5%</f>
        <v>0</v>
      </c>
      <c r="O77" s="3">
        <f>'Agency Revenues CAD'!O77*39.5%</f>
        <v>0</v>
      </c>
      <c r="P77" s="3">
        <f>'Agency Revenues CAD'!P77*39.5%</f>
        <v>0</v>
      </c>
      <c r="Q77" s="4">
        <f t="shared" si="1"/>
        <v>428.77999999999975</v>
      </c>
    </row>
    <row r="78" spans="1:17" x14ac:dyDescent="0.25">
      <c r="A78" s="2" t="s">
        <v>213</v>
      </c>
      <c r="B78" t="s">
        <v>167</v>
      </c>
      <c r="C78" s="2" t="s">
        <v>236</v>
      </c>
      <c r="D78" s="2"/>
      <c r="E78" s="6">
        <v>14991.7233612</v>
      </c>
      <c r="F78" s="3">
        <v>57313.632399999995</v>
      </c>
      <c r="G78" s="3">
        <v>37683.586367600008</v>
      </c>
      <c r="H78" s="3">
        <v>43668.034800000009</v>
      </c>
      <c r="I78" s="3">
        <v>16191.13</v>
      </c>
      <c r="J78" s="3">
        <v>43289.116105745248</v>
      </c>
      <c r="K78" s="3">
        <v>65773.031066995885</v>
      </c>
      <c r="L78" s="3">
        <v>-15361.439446309589</v>
      </c>
      <c r="M78" s="3">
        <v>-7266.7969539081751</v>
      </c>
      <c r="N78" s="3">
        <f>'Agency Revenues CAD'!N78*39.5%</f>
        <v>100725</v>
      </c>
      <c r="O78" s="3">
        <f>'Agency Revenues CAD'!O78*39.5%</f>
        <v>71514.75</v>
      </c>
      <c r="P78" s="3">
        <f>'Agency Revenues CAD'!P78*39.5%</f>
        <v>149873.34984924993</v>
      </c>
      <c r="Q78" s="4">
        <f t="shared" si="1"/>
        <v>578395.11755057331</v>
      </c>
    </row>
    <row r="79" spans="1:17" x14ac:dyDescent="0.25">
      <c r="A79" s="2" t="s">
        <v>213</v>
      </c>
      <c r="B79" t="s">
        <v>167</v>
      </c>
      <c r="C79" s="2" t="s">
        <v>237</v>
      </c>
      <c r="D79" s="2"/>
      <c r="E79" s="3">
        <v>-39161.03</v>
      </c>
      <c r="F79" s="3">
        <v>18.27</v>
      </c>
      <c r="G79" s="3">
        <v>-254.99</v>
      </c>
      <c r="H79" s="3">
        <v>11289.937400000001</v>
      </c>
      <c r="I79" s="3">
        <v>12309.032599999999</v>
      </c>
      <c r="J79" s="3">
        <v>4974.6981190000015</v>
      </c>
      <c r="K79" s="3">
        <v>5730.3466860000008</v>
      </c>
      <c r="L79" s="3">
        <v>9801.1872195299275</v>
      </c>
      <c r="M79" s="3">
        <v>23142.079395395373</v>
      </c>
      <c r="N79" s="3">
        <f>'Agency Revenues CAD'!N79*39.5%</f>
        <v>1185</v>
      </c>
      <c r="O79" s="3">
        <f>'Agency Revenues CAD'!O79*39.5%</f>
        <v>-4271.3286882500006</v>
      </c>
      <c r="P79" s="3">
        <f>'Agency Revenues CAD'!P79*39.5%</f>
        <v>-9454.2586400000037</v>
      </c>
      <c r="Q79" s="4">
        <f t="shared" si="1"/>
        <v>15308.944091675301</v>
      </c>
    </row>
    <row r="80" spans="1:17" x14ac:dyDescent="0.25">
      <c r="A80" s="2" t="s">
        <v>213</v>
      </c>
      <c r="B80" t="s">
        <v>167</v>
      </c>
      <c r="C80" s="2" t="s">
        <v>238</v>
      </c>
      <c r="D80" s="2"/>
      <c r="E80" s="3">
        <v>0</v>
      </c>
      <c r="F80" s="3">
        <v>1814.1541999999999</v>
      </c>
      <c r="G80" s="3">
        <v>5517.5212550000006</v>
      </c>
      <c r="H80" s="3">
        <v>3108.0886</v>
      </c>
      <c r="I80" s="3">
        <v>0</v>
      </c>
      <c r="J80" s="3">
        <v>-4.2913829772465988</v>
      </c>
      <c r="K80" s="3">
        <v>2085.431987153449</v>
      </c>
      <c r="L80" s="3">
        <v>-222.62341476157985</v>
      </c>
      <c r="M80" s="3">
        <v>1566.3944633509195</v>
      </c>
      <c r="N80" s="3">
        <f>'Agency Revenues CAD'!N80*39.5%</f>
        <v>0</v>
      </c>
      <c r="O80" s="3">
        <f>'Agency Revenues CAD'!O80*39.5%</f>
        <v>0</v>
      </c>
      <c r="P80" s="3">
        <f>'Agency Revenues CAD'!P80*39.5%</f>
        <v>0</v>
      </c>
      <c r="Q80" s="4">
        <f t="shared" si="1"/>
        <v>13864.675707765542</v>
      </c>
    </row>
    <row r="81" spans="1:17" x14ac:dyDescent="0.25">
      <c r="A81" s="2" t="s">
        <v>213</v>
      </c>
      <c r="B81" t="s">
        <v>167</v>
      </c>
      <c r="C81" s="2" t="s">
        <v>239</v>
      </c>
      <c r="D81" s="2"/>
      <c r="E81" s="3">
        <v>3692.9999999999995</v>
      </c>
      <c r="F81" s="3">
        <v>2754.22</v>
      </c>
      <c r="G81" s="3">
        <v>3771.0235999999982</v>
      </c>
      <c r="H81" s="3">
        <v>7732.1392000000005</v>
      </c>
      <c r="I81" s="3">
        <v>13484.987400000002</v>
      </c>
      <c r="J81" s="3">
        <v>10467.562409999997</v>
      </c>
      <c r="K81" s="3">
        <v>12939.784884345252</v>
      </c>
      <c r="L81" s="3">
        <v>9547.7354554404064</v>
      </c>
      <c r="M81" s="3">
        <v>4495.3381181724899</v>
      </c>
      <c r="N81" s="3">
        <f>'Agency Revenues CAD'!N81*39.5%</f>
        <v>11751.25</v>
      </c>
      <c r="O81" s="3">
        <f>'Agency Revenues CAD'!O81*39.5%</f>
        <v>12399.5974305</v>
      </c>
      <c r="P81" s="3">
        <f>'Agency Revenues CAD'!P81*39.5%</f>
        <v>9905.7196832499994</v>
      </c>
      <c r="Q81" s="4">
        <f t="shared" si="1"/>
        <v>102942.35818170814</v>
      </c>
    </row>
    <row r="82" spans="1:17" x14ac:dyDescent="0.25">
      <c r="A82" s="2" t="s">
        <v>213</v>
      </c>
      <c r="B82" t="s">
        <v>167</v>
      </c>
      <c r="C82" s="2" t="s">
        <v>240</v>
      </c>
      <c r="D82" s="2"/>
      <c r="E82" s="3">
        <v>-87.15</v>
      </c>
      <c r="F82" s="3">
        <v>3.71</v>
      </c>
      <c r="G82" s="3">
        <v>-793.88</v>
      </c>
      <c r="H82" s="3">
        <v>11559.699000000001</v>
      </c>
      <c r="I82" s="3">
        <v>6033.4204</v>
      </c>
      <c r="J82" s="3">
        <v>5982.6814550000008</v>
      </c>
      <c r="K82" s="3">
        <v>4615.9318210000001</v>
      </c>
      <c r="L82" s="3">
        <v>5504.1720790790332</v>
      </c>
      <c r="M82" s="3">
        <v>14772.918153148865</v>
      </c>
      <c r="N82" s="3">
        <f>'Agency Revenues CAD'!N82*39.5%</f>
        <v>6122.5</v>
      </c>
      <c r="O82" s="3">
        <f>'Agency Revenues CAD'!O82*39.5%</f>
        <v>0.66340250000007472</v>
      </c>
      <c r="P82" s="3">
        <f>'Agency Revenues CAD'!P82*39.5%</f>
        <v>427.39000000000004</v>
      </c>
      <c r="Q82" s="4">
        <f t="shared" si="1"/>
        <v>54142.056310727901</v>
      </c>
    </row>
    <row r="83" spans="1:17" x14ac:dyDescent="0.25">
      <c r="A83" s="2" t="s">
        <v>213</v>
      </c>
      <c r="B83" t="s">
        <v>167</v>
      </c>
      <c r="C83" s="2" t="s">
        <v>241</v>
      </c>
      <c r="D83" s="2"/>
      <c r="E83" s="3">
        <v>-44.2</v>
      </c>
      <c r="F83" s="3">
        <v>0</v>
      </c>
      <c r="G83" s="3">
        <v>-85.59</v>
      </c>
      <c r="H83" s="3">
        <v>5967.308</v>
      </c>
      <c r="I83" s="3">
        <v>5702.1819999999998</v>
      </c>
      <c r="J83" s="3">
        <v>14133.990804000001</v>
      </c>
      <c r="K83" s="3">
        <v>7956.8935485000002</v>
      </c>
      <c r="L83" s="3">
        <v>5856.8488567927334</v>
      </c>
      <c r="M83" s="3">
        <v>11330.430641450357</v>
      </c>
      <c r="N83" s="3">
        <f>'Agency Revenues CAD'!N83*39.5%</f>
        <v>5968.0550000000003</v>
      </c>
      <c r="O83" s="3">
        <f>'Agency Revenues CAD'!O83*39.5%</f>
        <v>-243.71456549999948</v>
      </c>
      <c r="P83" s="3">
        <f>'Agency Revenues CAD'!P83*39.5%</f>
        <v>1722.3908363500032</v>
      </c>
      <c r="Q83" s="4">
        <f t="shared" si="1"/>
        <v>58264.595121593098</v>
      </c>
    </row>
    <row r="84" spans="1:17" x14ac:dyDescent="0.25">
      <c r="A84" s="2" t="s">
        <v>213</v>
      </c>
      <c r="B84" t="s">
        <v>167</v>
      </c>
      <c r="C84" s="2" t="s">
        <v>242</v>
      </c>
      <c r="D84" s="2"/>
      <c r="E84" s="3">
        <v>-8.0399999999999991</v>
      </c>
      <c r="F84" s="3">
        <v>12.64</v>
      </c>
      <c r="G84" s="3">
        <v>-38.270000000000003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f>'Agency Revenues CAD'!N84*39.5%</f>
        <v>0</v>
      </c>
      <c r="O84" s="3">
        <f>'Agency Revenues CAD'!O84*39.5%</f>
        <v>0</v>
      </c>
      <c r="P84" s="3">
        <f>'Agency Revenues CAD'!P84*39.5%</f>
        <v>0</v>
      </c>
      <c r="Q84" s="4">
        <f t="shared" si="1"/>
        <v>-33.67</v>
      </c>
    </row>
    <row r="85" spans="1:17" x14ac:dyDescent="0.25">
      <c r="A85" s="2" t="s">
        <v>213</v>
      </c>
      <c r="B85" t="s">
        <v>167</v>
      </c>
      <c r="C85" s="2" t="s">
        <v>243</v>
      </c>
      <c r="D85" s="2"/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1997.3700000000001</v>
      </c>
      <c r="L85" s="3">
        <v>0</v>
      </c>
      <c r="M85" s="3">
        <v>0</v>
      </c>
      <c r="N85" s="3">
        <f>'Agency Revenues CAD'!N85*39.5%</f>
        <v>0</v>
      </c>
      <c r="O85" s="3">
        <f>'Agency Revenues CAD'!O85*39.5%</f>
        <v>0</v>
      </c>
      <c r="P85" s="3">
        <f>'Agency Revenues CAD'!P85*39.5%</f>
        <v>0</v>
      </c>
      <c r="Q85" s="4">
        <f t="shared" si="1"/>
        <v>1997.3700000000001</v>
      </c>
    </row>
    <row r="86" spans="1:17" x14ac:dyDescent="0.25">
      <c r="A86" s="2" t="s">
        <v>213</v>
      </c>
      <c r="B86" t="s">
        <v>167</v>
      </c>
      <c r="C86" s="2" t="s">
        <v>244</v>
      </c>
      <c r="D86" s="2"/>
      <c r="E86" s="3">
        <v>-1250.98</v>
      </c>
      <c r="F86" s="3">
        <v>-10.37</v>
      </c>
      <c r="G86" s="3">
        <v>-72.56</v>
      </c>
      <c r="H86" s="3">
        <v>0</v>
      </c>
      <c r="I86" s="3">
        <v>-38.89</v>
      </c>
      <c r="J86" s="3">
        <v>-25.529640679227555</v>
      </c>
      <c r="K86" s="3">
        <v>-1254.5595000000001</v>
      </c>
      <c r="L86" s="3">
        <v>0</v>
      </c>
      <c r="M86" s="3">
        <v>0</v>
      </c>
      <c r="N86" s="3">
        <f>'Agency Revenues CAD'!N86*39.5%</f>
        <v>0</v>
      </c>
      <c r="O86" s="3">
        <f>'Agency Revenues CAD'!O86*39.5%</f>
        <v>0</v>
      </c>
      <c r="P86" s="3">
        <f>'Agency Revenues CAD'!P86*39.5%</f>
        <v>0</v>
      </c>
      <c r="Q86" s="4">
        <f t="shared" si="1"/>
        <v>-2652.8891406792272</v>
      </c>
    </row>
    <row r="87" spans="1:17" x14ac:dyDescent="0.25">
      <c r="A87" s="2" t="s">
        <v>213</v>
      </c>
      <c r="B87" t="s">
        <v>167</v>
      </c>
      <c r="C87" s="2" t="s">
        <v>245</v>
      </c>
      <c r="D87" s="2"/>
      <c r="E87" s="3">
        <v>-2028.83</v>
      </c>
      <c r="F87" s="3">
        <v>0</v>
      </c>
      <c r="G87" s="3">
        <v>-700.37659999999994</v>
      </c>
      <c r="H87" s="3">
        <v>0</v>
      </c>
      <c r="I87" s="3">
        <v>0</v>
      </c>
      <c r="J87" s="3">
        <v>-2926.8799999999992</v>
      </c>
      <c r="K87" s="3">
        <v>0</v>
      </c>
      <c r="L87" s="3">
        <v>0</v>
      </c>
      <c r="M87" s="3">
        <v>0</v>
      </c>
      <c r="N87" s="3">
        <f>'Agency Revenues CAD'!N87*39.5%</f>
        <v>0</v>
      </c>
      <c r="O87" s="3">
        <f>'Agency Revenues CAD'!O87*39.5%</f>
        <v>0</v>
      </c>
      <c r="P87" s="3">
        <f>'Agency Revenues CAD'!P87*39.5%</f>
        <v>0</v>
      </c>
      <c r="Q87" s="4">
        <f t="shared" si="1"/>
        <v>-5656.0865999999987</v>
      </c>
    </row>
    <row r="88" spans="1:17" x14ac:dyDescent="0.25">
      <c r="A88" s="2" t="s">
        <v>213</v>
      </c>
      <c r="B88" t="s">
        <v>167</v>
      </c>
      <c r="C88" s="2" t="s">
        <v>246</v>
      </c>
      <c r="D88" s="2"/>
      <c r="E88" s="3">
        <v>-13.52</v>
      </c>
      <c r="F88" s="3">
        <v>-20.84</v>
      </c>
      <c r="G88" s="3">
        <v>-43.75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-0.75493839085988412</v>
      </c>
      <c r="N88" s="3">
        <f>'Agency Revenues CAD'!N88*39.5%</f>
        <v>0</v>
      </c>
      <c r="O88" s="3">
        <f>'Agency Revenues CAD'!O88*39.5%</f>
        <v>0</v>
      </c>
      <c r="P88" s="3">
        <f>'Agency Revenues CAD'!P88*39.5%</f>
        <v>0</v>
      </c>
      <c r="Q88" s="4">
        <f t="shared" si="1"/>
        <v>-78.864938390859891</v>
      </c>
    </row>
    <row r="89" spans="1:17" x14ac:dyDescent="0.25">
      <c r="A89" s="2" t="s">
        <v>213</v>
      </c>
      <c r="B89" t="s">
        <v>167</v>
      </c>
      <c r="C89" s="2" t="s">
        <v>247</v>
      </c>
      <c r="D89" s="2"/>
      <c r="E89" s="3"/>
      <c r="F89" s="3">
        <v>0</v>
      </c>
      <c r="G89" s="3">
        <v>0</v>
      </c>
      <c r="H89" s="3">
        <v>3942.7090000000003</v>
      </c>
      <c r="I89" s="3">
        <v>1719.2208000000001</v>
      </c>
      <c r="J89" s="3">
        <v>3028.7302425000007</v>
      </c>
      <c r="K89" s="3">
        <v>4986.9846125000004</v>
      </c>
      <c r="L89" s="3">
        <v>-2122.8394825190067</v>
      </c>
      <c r="M89" s="3">
        <v>4428.1835730958855</v>
      </c>
      <c r="N89" s="3">
        <f>'Agency Revenues CAD'!N89*39.5%</f>
        <v>0</v>
      </c>
      <c r="O89" s="3">
        <f>'Agency Revenues CAD'!O89*39.5%</f>
        <v>0</v>
      </c>
      <c r="P89" s="3">
        <f>'Agency Revenues CAD'!P89*39.5%</f>
        <v>0</v>
      </c>
      <c r="Q89" s="4">
        <f t="shared" si="1"/>
        <v>15982.98874557688</v>
      </c>
    </row>
    <row r="90" spans="1:17" x14ac:dyDescent="0.25">
      <c r="A90" s="2" t="s">
        <v>213</v>
      </c>
      <c r="B90" t="s">
        <v>167</v>
      </c>
      <c r="C90" s="2" t="s">
        <v>248</v>
      </c>
      <c r="D90" s="2"/>
      <c r="E90" s="3"/>
      <c r="F90" s="3">
        <v>0</v>
      </c>
      <c r="G90" s="3">
        <v>0</v>
      </c>
      <c r="H90" s="3">
        <v>0</v>
      </c>
      <c r="I90" s="3">
        <v>0</v>
      </c>
      <c r="J90" s="3">
        <v>3221.0549525000001</v>
      </c>
      <c r="K90" s="3">
        <v>4675.3652415000015</v>
      </c>
      <c r="L90" s="3">
        <v>4482.7941457762245</v>
      </c>
      <c r="M90" s="3">
        <v>4076.8846589879495</v>
      </c>
      <c r="N90" s="3">
        <f>'Agency Revenues CAD'!N90*39.5%</f>
        <v>2528</v>
      </c>
      <c r="O90" s="3">
        <f>'Agency Revenues CAD'!O90*39.5%</f>
        <v>809.33169500000031</v>
      </c>
      <c r="P90" s="3">
        <f>'Agency Revenues CAD'!P90*39.5%</f>
        <v>355.5</v>
      </c>
      <c r="Q90" s="4">
        <f t="shared" si="1"/>
        <v>20148.930693764178</v>
      </c>
    </row>
    <row r="91" spans="1:17" x14ac:dyDescent="0.25">
      <c r="A91" s="2" t="s">
        <v>213</v>
      </c>
      <c r="B91" t="s">
        <v>167</v>
      </c>
      <c r="C91" s="2" t="s">
        <v>249</v>
      </c>
      <c r="D91" s="2"/>
      <c r="E91" s="3"/>
      <c r="F91" s="3"/>
      <c r="G91" s="3"/>
      <c r="H91" s="3"/>
      <c r="I91" s="3"/>
      <c r="J91" s="3"/>
      <c r="K91" s="3"/>
      <c r="L91" s="3"/>
      <c r="M91" s="3"/>
      <c r="N91" s="3">
        <f>'Agency Revenues CAD'!N91*39.5%</f>
        <v>92800.115000000005</v>
      </c>
      <c r="O91" s="3">
        <f>'Agency Revenues CAD'!O91*39.5%</f>
        <v>185600.23</v>
      </c>
      <c r="P91" s="3">
        <f>'Agency Revenues CAD'!P91*39.5%</f>
        <v>92800.115000000005</v>
      </c>
      <c r="Q91" s="4">
        <f t="shared" si="1"/>
        <v>371200.46</v>
      </c>
    </row>
    <row r="92" spans="1:17" x14ac:dyDescent="0.25">
      <c r="A92" s="2" t="s">
        <v>213</v>
      </c>
      <c r="B92" t="s">
        <v>167</v>
      </c>
      <c r="C92" s="2" t="s">
        <v>250</v>
      </c>
      <c r="D92" s="2"/>
      <c r="E92" s="3"/>
      <c r="F92" s="3"/>
      <c r="G92" s="3"/>
      <c r="H92" s="3"/>
      <c r="I92" s="3"/>
      <c r="J92" s="3"/>
      <c r="K92" s="3"/>
      <c r="L92" s="3"/>
      <c r="M92" s="3"/>
      <c r="N92" s="3">
        <f>'Agency Revenues CAD'!N92*39.5%</f>
        <v>10991.27</v>
      </c>
      <c r="O92" s="3">
        <f>'Agency Revenues CAD'!O92*39.5%</f>
        <v>10991.27</v>
      </c>
      <c r="P92" s="3">
        <f>'Agency Revenues CAD'!P92*39.5%</f>
        <v>10991.27</v>
      </c>
      <c r="Q92" s="4">
        <f t="shared" si="1"/>
        <v>32973.81</v>
      </c>
    </row>
    <row r="93" spans="1:17" s="9" customFormat="1" x14ac:dyDescent="0.25">
      <c r="A93" s="8" t="s">
        <v>213</v>
      </c>
      <c r="B93" s="9" t="s">
        <v>167</v>
      </c>
      <c r="C93" s="8" t="s">
        <v>251</v>
      </c>
      <c r="D93" s="8"/>
      <c r="E93" s="11"/>
      <c r="F93" s="11"/>
      <c r="G93" s="11"/>
      <c r="H93" s="11"/>
      <c r="I93" s="11"/>
      <c r="J93" s="11"/>
      <c r="K93" s="11"/>
      <c r="L93" s="11"/>
      <c r="M93" s="11"/>
      <c r="N93" s="11">
        <f>'Agency Revenues CAD'!N93*39.5%</f>
        <v>3575.54</v>
      </c>
      <c r="O93" s="11">
        <f>'Agency Revenues CAD'!O93*39.5%</f>
        <v>7412.0644000000011</v>
      </c>
      <c r="P93" s="11">
        <f>'Agency Revenues CAD'!P93*39.5%</f>
        <v>3841.77</v>
      </c>
      <c r="Q93" s="12">
        <f t="shared" si="1"/>
        <v>14829.374400000001</v>
      </c>
    </row>
    <row r="94" spans="1:17" x14ac:dyDescent="0.25">
      <c r="A94" s="2" t="s">
        <v>252</v>
      </c>
      <c r="B94" t="s">
        <v>167</v>
      </c>
      <c r="C94" s="2" t="s">
        <v>253</v>
      </c>
      <c r="D94" s="2"/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f>'Agency Revenues CAD'!N94*39.5%</f>
        <v>0</v>
      </c>
      <c r="O94" s="3">
        <f>'Agency Revenues CAD'!O94*39.5%</f>
        <v>0</v>
      </c>
      <c r="P94" s="3">
        <f>'Agency Revenues CAD'!P94*39.5%</f>
        <v>0</v>
      </c>
      <c r="Q94" s="4">
        <f t="shared" si="1"/>
        <v>0</v>
      </c>
    </row>
    <row r="95" spans="1:17" x14ac:dyDescent="0.25">
      <c r="A95" s="2" t="s">
        <v>252</v>
      </c>
      <c r="B95" t="s">
        <v>167</v>
      </c>
      <c r="C95" s="2" t="s">
        <v>254</v>
      </c>
      <c r="D95" s="2"/>
      <c r="E95" s="6">
        <v>134472.379212</v>
      </c>
      <c r="F95" s="3">
        <v>115244.05359999998</v>
      </c>
      <c r="G95" s="3">
        <v>160287.51439999996</v>
      </c>
      <c r="H95" s="3">
        <v>132339.5618</v>
      </c>
      <c r="I95" s="3">
        <v>90631.154200000019</v>
      </c>
      <c r="J95" s="3">
        <v>112076.90908419155</v>
      </c>
      <c r="K95" s="3">
        <v>103556.09168451287</v>
      </c>
      <c r="L95" s="3">
        <v>21079.094266138876</v>
      </c>
      <c r="M95" s="3">
        <v>201946.19650060195</v>
      </c>
      <c r="N95" s="3">
        <f>'Agency Revenues CAD'!N95*39.5%</f>
        <v>158000</v>
      </c>
      <c r="O95" s="3">
        <f>'Agency Revenues CAD'!O95*39.5%</f>
        <v>191575</v>
      </c>
      <c r="P95" s="3">
        <f>'Agency Revenues CAD'!P95*39.5%</f>
        <v>158000</v>
      </c>
      <c r="Q95" s="4">
        <f t="shared" si="1"/>
        <v>1579207.9547474452</v>
      </c>
    </row>
    <row r="96" spans="1:17" x14ac:dyDescent="0.25">
      <c r="A96" s="2" t="s">
        <v>252</v>
      </c>
      <c r="B96" t="s">
        <v>167</v>
      </c>
      <c r="C96" s="2" t="s">
        <v>255</v>
      </c>
      <c r="D96" s="2"/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16382.529999999999</v>
      </c>
      <c r="K96" s="3">
        <v>0</v>
      </c>
      <c r="L96" s="3">
        <v>0</v>
      </c>
      <c r="M96" s="3">
        <v>0</v>
      </c>
      <c r="N96" s="3">
        <f>'Agency Revenues CAD'!N96*39.5%</f>
        <v>0</v>
      </c>
      <c r="O96" s="3">
        <f>'Agency Revenues CAD'!O96*39.5%</f>
        <v>0</v>
      </c>
      <c r="P96" s="3">
        <f>'Agency Revenues CAD'!P96*39.5%</f>
        <v>0</v>
      </c>
      <c r="Q96" s="4">
        <f t="shared" si="1"/>
        <v>16382.529999999999</v>
      </c>
    </row>
    <row r="97" spans="1:17" x14ac:dyDescent="0.25">
      <c r="A97" s="2" t="s">
        <v>252</v>
      </c>
      <c r="B97" t="s">
        <v>167</v>
      </c>
      <c r="C97" s="2" t="s">
        <v>256</v>
      </c>
      <c r="D97" s="2"/>
      <c r="E97" s="6">
        <v>25189.887737599998</v>
      </c>
      <c r="F97" s="3">
        <v>16133.697800000002</v>
      </c>
      <c r="G97" s="3">
        <v>2927.85</v>
      </c>
      <c r="H97" s="3">
        <v>0</v>
      </c>
      <c r="I97" s="3">
        <v>1785.76</v>
      </c>
      <c r="J97" s="3">
        <v>-255.16045088874569</v>
      </c>
      <c r="K97" s="3">
        <v>6282.2849711309082</v>
      </c>
      <c r="L97" s="3">
        <v>5653.9210409463803</v>
      </c>
      <c r="M97" s="3">
        <v>38194.292317215848</v>
      </c>
      <c r="N97" s="3">
        <f>'Agency Revenues CAD'!N97*39.5%</f>
        <v>40408.5</v>
      </c>
      <c r="O97" s="3">
        <f>'Agency Revenues CAD'!O97*39.5%</f>
        <v>40408.5</v>
      </c>
      <c r="P97" s="3">
        <f>'Agency Revenues CAD'!P97*39.5%</f>
        <v>40408.5</v>
      </c>
      <c r="Q97" s="4">
        <f t="shared" si="1"/>
        <v>217138.03341600439</v>
      </c>
    </row>
    <row r="98" spans="1:17" x14ac:dyDescent="0.25">
      <c r="A98" s="2" t="s">
        <v>252</v>
      </c>
      <c r="B98" t="s">
        <v>167</v>
      </c>
      <c r="C98" s="2" t="s">
        <v>257</v>
      </c>
      <c r="D98" s="2"/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f>'Agency Revenues CAD'!N98*39.5%</f>
        <v>0</v>
      </c>
      <c r="O98" s="3">
        <f>'Agency Revenues CAD'!O98*39.5%</f>
        <v>0</v>
      </c>
      <c r="P98" s="3">
        <f>'Agency Revenues CAD'!P98*39.5%</f>
        <v>0</v>
      </c>
      <c r="Q98" s="4">
        <f t="shared" si="1"/>
        <v>0</v>
      </c>
    </row>
    <row r="99" spans="1:17" x14ac:dyDescent="0.25">
      <c r="A99" s="2" t="s">
        <v>252</v>
      </c>
      <c r="B99" t="s">
        <v>167</v>
      </c>
      <c r="C99" s="2" t="s">
        <v>258</v>
      </c>
      <c r="D99" s="2"/>
      <c r="E99" s="3">
        <v>122787.42357900001</v>
      </c>
      <c r="F99" s="3">
        <v>316163.88820000004</v>
      </c>
      <c r="G99" s="3">
        <v>511851.57060000004</v>
      </c>
      <c r="H99" s="3">
        <v>376650.92599999998</v>
      </c>
      <c r="I99" s="3">
        <v>437044.98400000005</v>
      </c>
      <c r="J99" s="3">
        <v>376362.83244737308</v>
      </c>
      <c r="K99" s="3">
        <v>581439.29500013171</v>
      </c>
      <c r="L99" s="3">
        <v>428737.58452560013</v>
      </c>
      <c r="M99" s="3">
        <v>684620.88548547123</v>
      </c>
      <c r="N99" s="3">
        <f>'Agency Revenues CAD'!N99*39.5%</f>
        <v>318883.5</v>
      </c>
      <c r="O99" s="3">
        <f>'Agency Revenues CAD'!O99*39.5%</f>
        <v>429681</v>
      </c>
      <c r="P99" s="3">
        <f>'Agency Revenues CAD'!P99*39.5%</f>
        <v>428140.5</v>
      </c>
      <c r="Q99" s="4">
        <f t="shared" si="1"/>
        <v>5012364.3898375761</v>
      </c>
    </row>
    <row r="100" spans="1:17" x14ac:dyDescent="0.25">
      <c r="A100" s="2" t="s">
        <v>252</v>
      </c>
      <c r="B100" t="s">
        <v>167</v>
      </c>
      <c r="C100" s="2" t="s">
        <v>259</v>
      </c>
      <c r="D100" s="2"/>
      <c r="E100" s="3">
        <v>-9821.664635000001</v>
      </c>
      <c r="F100" s="3">
        <v>36092.054999999993</v>
      </c>
      <c r="G100" s="3">
        <v>-20841.7268</v>
      </c>
      <c r="H100" s="3">
        <v>5455.4093999999996</v>
      </c>
      <c r="I100" s="3">
        <v>7432.0347999999994</v>
      </c>
      <c r="J100" s="3">
        <v>63511.017531618381</v>
      </c>
      <c r="K100" s="3">
        <v>-12536.790406490218</v>
      </c>
      <c r="L100" s="3">
        <v>-2268.8815128988895</v>
      </c>
      <c r="M100" s="3">
        <v>3871.3380057960712</v>
      </c>
      <c r="N100" s="3">
        <f>'Agency Revenues CAD'!N100*39.5%</f>
        <v>38315</v>
      </c>
      <c r="O100" s="3">
        <f>'Agency Revenues CAD'!O100*39.5%</f>
        <v>33180</v>
      </c>
      <c r="P100" s="3">
        <f>'Agency Revenues CAD'!P100*39.5%</f>
        <v>0</v>
      </c>
      <c r="Q100" s="4">
        <f t="shared" si="1"/>
        <v>142387.79138302535</v>
      </c>
    </row>
    <row r="101" spans="1:17" x14ac:dyDescent="0.25">
      <c r="A101" s="2" t="s">
        <v>252</v>
      </c>
      <c r="B101" t="s">
        <v>167</v>
      </c>
      <c r="C101" s="2" t="s">
        <v>260</v>
      </c>
      <c r="D101" s="2"/>
      <c r="E101" s="3">
        <v>36694.674749999998</v>
      </c>
      <c r="F101" s="3">
        <v>31225.89</v>
      </c>
      <c r="G101" s="3">
        <v>39804.216400000005</v>
      </c>
      <c r="H101" s="3">
        <v>3984.4367999999999</v>
      </c>
      <c r="I101" s="3">
        <v>4870.5907999999999</v>
      </c>
      <c r="J101" s="3">
        <v>9895.9032732563865</v>
      </c>
      <c r="K101" s="3">
        <v>16482.462342470146</v>
      </c>
      <c r="L101" s="3">
        <v>14728.885295485414</v>
      </c>
      <c r="M101" s="3">
        <v>22373.137298919413</v>
      </c>
      <c r="N101" s="3">
        <f>'Agency Revenues CAD'!N101*39.5%</f>
        <v>6636</v>
      </c>
      <c r="O101" s="3">
        <f>'Agency Revenues CAD'!O101*39.5%</f>
        <v>4226.5</v>
      </c>
      <c r="P101" s="3">
        <f>'Agency Revenues CAD'!P101*39.5%</f>
        <v>6912.5</v>
      </c>
      <c r="Q101" s="4">
        <f t="shared" si="1"/>
        <v>197835.19696013135</v>
      </c>
    </row>
    <row r="102" spans="1:17" x14ac:dyDescent="0.25">
      <c r="A102" s="2" t="s">
        <v>252</v>
      </c>
      <c r="B102" t="s">
        <v>167</v>
      </c>
      <c r="C102" s="2" t="s">
        <v>261</v>
      </c>
      <c r="D102" s="2"/>
      <c r="E102" s="3">
        <v>4031.183621999995</v>
      </c>
      <c r="F102" s="3">
        <v>159616.56099999999</v>
      </c>
      <c r="G102" s="3">
        <v>144231.25339999999</v>
      </c>
      <c r="H102" s="3">
        <v>203146.70619999999</v>
      </c>
      <c r="I102" s="3">
        <v>386975.00460000004</v>
      </c>
      <c r="J102" s="3">
        <v>397262.03183443943</v>
      </c>
      <c r="K102" s="3">
        <v>349148.12462928437</v>
      </c>
      <c r="L102" s="3">
        <v>361745.13049919059</v>
      </c>
      <c r="M102" s="3">
        <v>476173.9249307774</v>
      </c>
      <c r="N102" s="3">
        <f>'Agency Revenues CAD'!N102*39.5%</f>
        <v>372279.60000000003</v>
      </c>
      <c r="O102" s="3">
        <f>'Agency Revenues CAD'!O102*39.5%</f>
        <v>441106.375</v>
      </c>
      <c r="P102" s="3">
        <f>'Agency Revenues CAD'!P102*39.5%</f>
        <v>462055.2</v>
      </c>
      <c r="Q102" s="4">
        <f t="shared" si="1"/>
        <v>3757771.0957156923</v>
      </c>
    </row>
    <row r="103" spans="1:17" x14ac:dyDescent="0.25">
      <c r="A103" s="2" t="s">
        <v>252</v>
      </c>
      <c r="B103" t="s">
        <v>167</v>
      </c>
      <c r="C103" s="2" t="s">
        <v>262</v>
      </c>
      <c r="D103" s="2"/>
      <c r="E103" s="3">
        <v>85011.97</v>
      </c>
      <c r="F103" s="3">
        <v>0</v>
      </c>
      <c r="G103" s="3">
        <v>9411.2322000000004</v>
      </c>
      <c r="H103" s="3">
        <v>15672.200799999999</v>
      </c>
      <c r="I103" s="3">
        <v>28466.879000000001</v>
      </c>
      <c r="J103" s="3">
        <v>24293.471328700005</v>
      </c>
      <c r="K103" s="3">
        <v>35741.746075529532</v>
      </c>
      <c r="L103" s="3">
        <v>30050.027375199999</v>
      </c>
      <c r="M103" s="3">
        <v>9428.6982986058829</v>
      </c>
      <c r="N103" s="3">
        <f>'Agency Revenues CAD'!N103*39.5%</f>
        <v>0</v>
      </c>
      <c r="O103" s="5">
        <f>'Agency Revenues CAD'!O103*39.5%</f>
        <v>0</v>
      </c>
      <c r="P103" s="3">
        <f>'Agency Revenues CAD'!P103*39.5%</f>
        <v>0</v>
      </c>
      <c r="Q103" s="4">
        <f t="shared" si="1"/>
        <v>238076.22507803547</v>
      </c>
    </row>
    <row r="104" spans="1:17" x14ac:dyDescent="0.25">
      <c r="A104" s="2" t="s">
        <v>252</v>
      </c>
      <c r="B104" t="s">
        <v>167</v>
      </c>
      <c r="C104" s="2" t="s">
        <v>263</v>
      </c>
      <c r="D104" s="2"/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80310.350000000006</v>
      </c>
      <c r="K104" s="3">
        <v>0</v>
      </c>
      <c r="L104" s="3">
        <v>0</v>
      </c>
      <c r="M104" s="3">
        <v>0</v>
      </c>
      <c r="N104" s="3">
        <f>'Agency Revenues CAD'!N104*39.5%</f>
        <v>0</v>
      </c>
      <c r="O104" s="3">
        <f>'Agency Revenues CAD'!O104*39.5%</f>
        <v>0</v>
      </c>
      <c r="P104" s="3">
        <f>'Agency Revenues CAD'!P104*39.5%</f>
        <v>0</v>
      </c>
      <c r="Q104" s="4">
        <f t="shared" si="1"/>
        <v>80310.350000000006</v>
      </c>
    </row>
    <row r="105" spans="1:17" x14ac:dyDescent="0.25">
      <c r="A105" s="2" t="s">
        <v>252</v>
      </c>
      <c r="B105" t="s">
        <v>167</v>
      </c>
      <c r="C105" s="2" t="s">
        <v>264</v>
      </c>
      <c r="D105" s="2"/>
      <c r="E105" s="3">
        <v>6576.0824000000002</v>
      </c>
      <c r="F105" s="3">
        <v>16050.420399999999</v>
      </c>
      <c r="G105" s="3">
        <v>2481.85</v>
      </c>
      <c r="H105" s="3">
        <v>0</v>
      </c>
      <c r="I105" s="3">
        <v>-11.3</v>
      </c>
      <c r="J105" s="3">
        <v>0</v>
      </c>
      <c r="K105" s="3">
        <v>0</v>
      </c>
      <c r="L105" s="3">
        <v>0</v>
      </c>
      <c r="M105" s="3">
        <v>0</v>
      </c>
      <c r="N105" s="3">
        <f>'Agency Revenues CAD'!N105*39.5%</f>
        <v>0</v>
      </c>
      <c r="O105" s="3">
        <f>'Agency Revenues CAD'!O105*39.5%</f>
        <v>0</v>
      </c>
      <c r="P105" s="3">
        <f>'Agency Revenues CAD'!P105*39.5%</f>
        <v>0</v>
      </c>
      <c r="Q105" s="4">
        <f t="shared" si="1"/>
        <v>25097.052799999998</v>
      </c>
    </row>
    <row r="106" spans="1:17" x14ac:dyDescent="0.25">
      <c r="A106" s="2" t="s">
        <v>252</v>
      </c>
      <c r="B106" t="s">
        <v>167</v>
      </c>
      <c r="C106" s="2" t="s">
        <v>265</v>
      </c>
      <c r="D106" s="2"/>
      <c r="E106" s="3">
        <v>76249.528550600007</v>
      </c>
      <c r="F106" s="3">
        <v>136931.37759999998</v>
      </c>
      <c r="G106" s="3">
        <v>164184.5312</v>
      </c>
      <c r="H106" s="3">
        <v>150592.5416</v>
      </c>
      <c r="I106" s="3">
        <v>165762.06940000001</v>
      </c>
      <c r="J106" s="3">
        <v>100689.15800527838</v>
      </c>
      <c r="K106" s="3">
        <v>145141.14890247758</v>
      </c>
      <c r="L106" s="3">
        <v>203353.6598031412</v>
      </c>
      <c r="M106" s="3">
        <v>69287.517570742537</v>
      </c>
      <c r="N106" s="3">
        <f>'Agency Revenues CAD'!N106*39.5%</f>
        <v>140185.5</v>
      </c>
      <c r="O106" s="3">
        <f>'Agency Revenues CAD'!O106*39.5%</f>
        <v>158967.75</v>
      </c>
      <c r="P106" s="3">
        <f>'Agency Revenues CAD'!P106*39.5%</f>
        <v>99717.75</v>
      </c>
      <c r="Q106" s="4">
        <f t="shared" si="1"/>
        <v>1611062.5326322399</v>
      </c>
    </row>
    <row r="107" spans="1:17" x14ac:dyDescent="0.25">
      <c r="A107" s="2" t="s">
        <v>252</v>
      </c>
      <c r="B107" t="s">
        <v>167</v>
      </c>
      <c r="C107" s="2" t="s">
        <v>266</v>
      </c>
      <c r="D107" s="2"/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f>'Agency Revenues CAD'!N107*39.5%</f>
        <v>0</v>
      </c>
      <c r="O107" s="3">
        <f>'Agency Revenues CAD'!O107*39.5%</f>
        <v>0</v>
      </c>
      <c r="P107" s="3">
        <f>'Agency Revenues CAD'!P107*39.5%</f>
        <v>0</v>
      </c>
      <c r="Q107" s="4">
        <f t="shared" si="1"/>
        <v>0</v>
      </c>
    </row>
    <row r="108" spans="1:17" x14ac:dyDescent="0.25">
      <c r="A108" s="2" t="s">
        <v>252</v>
      </c>
      <c r="B108" t="s">
        <v>167</v>
      </c>
      <c r="C108" s="2" t="s">
        <v>267</v>
      </c>
      <c r="D108" s="2"/>
      <c r="E108" s="3">
        <v>565.77</v>
      </c>
      <c r="F108" s="3">
        <v>0</v>
      </c>
      <c r="G108" s="3">
        <v>-15.6996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f>'Agency Revenues CAD'!N108*39.5%</f>
        <v>1975</v>
      </c>
      <c r="O108" s="3">
        <f>'Agency Revenues CAD'!O108*39.5%</f>
        <v>1975</v>
      </c>
      <c r="P108" s="3">
        <f>'Agency Revenues CAD'!P108*39.5%</f>
        <v>1975</v>
      </c>
      <c r="Q108" s="4">
        <f t="shared" si="1"/>
        <v>6475.0704000000005</v>
      </c>
    </row>
    <row r="109" spans="1:17" x14ac:dyDescent="0.25">
      <c r="A109" s="2" t="s">
        <v>252</v>
      </c>
      <c r="B109" t="s">
        <v>167</v>
      </c>
      <c r="C109" s="2" t="s">
        <v>268</v>
      </c>
      <c r="D109" s="2"/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f>'Agency Revenues CAD'!N109*39.5%</f>
        <v>0</v>
      </c>
      <c r="O109" s="3">
        <f>'Agency Revenues CAD'!O109*39.5%</f>
        <v>0</v>
      </c>
      <c r="P109" s="3">
        <f>'Agency Revenues CAD'!P109*39.5%</f>
        <v>0</v>
      </c>
      <c r="Q109" s="4">
        <f t="shared" si="1"/>
        <v>0</v>
      </c>
    </row>
    <row r="110" spans="1:17" x14ac:dyDescent="0.25">
      <c r="A110" s="2" t="s">
        <v>252</v>
      </c>
      <c r="B110" t="s">
        <v>167</v>
      </c>
      <c r="C110" s="2" t="s">
        <v>269</v>
      </c>
      <c r="D110" s="2"/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f>'Agency Revenues CAD'!N110*39.5%</f>
        <v>0</v>
      </c>
      <c r="O110" s="3">
        <f>'Agency Revenues CAD'!O110*39.5%</f>
        <v>0</v>
      </c>
      <c r="P110" s="3">
        <f>'Agency Revenues CAD'!P110*39.5%</f>
        <v>0</v>
      </c>
      <c r="Q110" s="4">
        <f t="shared" si="1"/>
        <v>0</v>
      </c>
    </row>
    <row r="111" spans="1:17" x14ac:dyDescent="0.25">
      <c r="A111" s="2" t="s">
        <v>252</v>
      </c>
      <c r="B111" t="s">
        <v>167</v>
      </c>
      <c r="C111" s="2" t="s">
        <v>270</v>
      </c>
      <c r="D111" s="2"/>
      <c r="E111" s="3">
        <v>19320.698199999999</v>
      </c>
      <c r="F111" s="3">
        <v>-111.94</v>
      </c>
      <c r="G111" s="3">
        <v>22802.159199999998</v>
      </c>
      <c r="H111" s="3">
        <v>29033.033200000002</v>
      </c>
      <c r="I111" s="3">
        <v>32533.501199999999</v>
      </c>
      <c r="J111" s="3">
        <v>3724.3116711236476</v>
      </c>
      <c r="K111" s="3">
        <v>20735.409179556897</v>
      </c>
      <c r="L111" s="3">
        <v>19578.56775870415</v>
      </c>
      <c r="M111" s="3">
        <v>52902.962080038502</v>
      </c>
      <c r="N111" s="3">
        <f>'Agency Revenues CAD'!N111*39.5%</f>
        <v>33575</v>
      </c>
      <c r="O111" s="3">
        <f>'Agency Revenues CAD'!O111*39.5%</f>
        <v>33575</v>
      </c>
      <c r="P111" s="3">
        <f>'Agency Revenues CAD'!P111*39.5%</f>
        <v>0</v>
      </c>
      <c r="Q111" s="4">
        <f t="shared" si="1"/>
        <v>267668.70248942322</v>
      </c>
    </row>
    <row r="112" spans="1:17" x14ac:dyDescent="0.25">
      <c r="A112" s="2" t="s">
        <v>252</v>
      </c>
      <c r="B112" t="s">
        <v>167</v>
      </c>
      <c r="C112" s="2" t="s">
        <v>271</v>
      </c>
      <c r="D112" s="2"/>
      <c r="E112" s="3">
        <v>22950.69486</v>
      </c>
      <c r="F112" s="3">
        <v>20836.155200000001</v>
      </c>
      <c r="G112" s="3">
        <v>4517.5600000000004</v>
      </c>
      <c r="H112" s="3">
        <v>18826.327400000002</v>
      </c>
      <c r="I112" s="3">
        <v>59321.980199999991</v>
      </c>
      <c r="J112" s="3">
        <v>19351.382140730493</v>
      </c>
      <c r="K112" s="3">
        <v>-4260.2392213444855</v>
      </c>
      <c r="L112" s="3">
        <v>13877.100841582225</v>
      </c>
      <c r="M112" s="3">
        <v>83452.809961783409</v>
      </c>
      <c r="N112" s="3">
        <f>'Agency Revenues CAD'!N112*39.5%</f>
        <v>19078.5</v>
      </c>
      <c r="O112" s="3">
        <f>'Agency Revenues CAD'!O112*39.5%</f>
        <v>44753.5</v>
      </c>
      <c r="P112" s="3">
        <f>'Agency Revenues CAD'!P112*39.5%</f>
        <v>41475</v>
      </c>
      <c r="Q112" s="4">
        <f t="shared" si="1"/>
        <v>344180.77138275164</v>
      </c>
    </row>
    <row r="113" spans="1:17" x14ac:dyDescent="0.25">
      <c r="A113" s="2" t="s">
        <v>252</v>
      </c>
      <c r="B113" t="s">
        <v>167</v>
      </c>
      <c r="C113" s="2" t="s">
        <v>272</v>
      </c>
      <c r="D113" s="2"/>
      <c r="E113" s="3">
        <v>551.09</v>
      </c>
      <c r="F113" s="3">
        <v>1160.8900000000001</v>
      </c>
      <c r="G113" s="3">
        <v>-85.88</v>
      </c>
      <c r="H113" s="3">
        <v>13628.13472</v>
      </c>
      <c r="I113" s="3">
        <v>22185.779600000002</v>
      </c>
      <c r="J113" s="3">
        <v>26294.553602317796</v>
      </c>
      <c r="K113" s="3">
        <v>10610.946328790887</v>
      </c>
      <c r="L113" s="3">
        <v>20195.579313264618</v>
      </c>
      <c r="M113" s="3">
        <v>21877.012660851764</v>
      </c>
      <c r="N113" s="3">
        <f>'Agency Revenues CAD'!N113*39.5%</f>
        <v>13311.5</v>
      </c>
      <c r="O113" s="3">
        <f>'Agency Revenues CAD'!O113*39.5%</f>
        <v>0</v>
      </c>
      <c r="P113" s="3">
        <f>'Agency Revenues CAD'!P113*39.5%</f>
        <v>0</v>
      </c>
      <c r="Q113" s="4">
        <f t="shared" si="1"/>
        <v>129729.60622522507</v>
      </c>
    </row>
    <row r="114" spans="1:17" x14ac:dyDescent="0.25">
      <c r="A114" s="2" t="s">
        <v>252</v>
      </c>
      <c r="B114" t="s">
        <v>167</v>
      </c>
      <c r="C114" s="2" t="s">
        <v>273</v>
      </c>
      <c r="D114" s="2"/>
      <c r="E114" s="3">
        <v>-2625.79</v>
      </c>
      <c r="F114" s="3">
        <v>0</v>
      </c>
      <c r="G114" s="3">
        <v>0</v>
      </c>
      <c r="H114" s="3">
        <v>33055.665200000003</v>
      </c>
      <c r="I114" s="3">
        <v>30648.674799999997</v>
      </c>
      <c r="J114" s="3">
        <v>0</v>
      </c>
      <c r="K114" s="3">
        <v>2342.0299999999988</v>
      </c>
      <c r="L114" s="3">
        <v>0</v>
      </c>
      <c r="M114" s="3">
        <v>-2578.549766000011</v>
      </c>
      <c r="N114" s="3">
        <f>'Agency Revenues CAD'!N114*39.5%</f>
        <v>0</v>
      </c>
      <c r="O114" s="3">
        <f>'Agency Revenues CAD'!O114*39.5%</f>
        <v>0</v>
      </c>
      <c r="P114" s="3">
        <f>'Agency Revenues CAD'!P114*39.5%</f>
        <v>0</v>
      </c>
      <c r="Q114" s="4">
        <f t="shared" si="1"/>
        <v>60842.030233999991</v>
      </c>
    </row>
    <row r="115" spans="1:17" x14ac:dyDescent="0.25">
      <c r="A115" s="2" t="s">
        <v>252</v>
      </c>
      <c r="B115" t="s">
        <v>167</v>
      </c>
      <c r="C115" s="2" t="s">
        <v>274</v>
      </c>
      <c r="D115" s="2"/>
      <c r="E115" s="3"/>
      <c r="F115" s="3">
        <v>1451.0778</v>
      </c>
      <c r="G115" s="3">
        <v>1148.48</v>
      </c>
      <c r="H115" s="3">
        <v>9031.7926000000007</v>
      </c>
      <c r="I115" s="3">
        <v>16985</v>
      </c>
      <c r="J115" s="3">
        <v>-5.1830784483360475</v>
      </c>
      <c r="K115" s="3">
        <v>-27056.657125144906</v>
      </c>
      <c r="L115" s="3">
        <v>6986.9450154193173</v>
      </c>
      <c r="M115" s="3">
        <v>36304.857762576605</v>
      </c>
      <c r="N115" s="3">
        <f>'Agency Revenues CAD'!N115*39.5%</f>
        <v>21725</v>
      </c>
      <c r="O115" s="3">
        <f>'Agency Revenues CAD'!O115*39.5%</f>
        <v>17775</v>
      </c>
      <c r="P115" s="3">
        <f>'Agency Revenues CAD'!P115*39.5%</f>
        <v>17775</v>
      </c>
      <c r="Q115" s="4">
        <f t="shared" si="1"/>
        <v>102121.31297440268</v>
      </c>
    </row>
    <row r="116" spans="1:17" s="9" customFormat="1" x14ac:dyDescent="0.25">
      <c r="A116" s="8" t="s">
        <v>252</v>
      </c>
      <c r="B116" s="9" t="s">
        <v>167</v>
      </c>
      <c r="C116" s="8" t="s">
        <v>275</v>
      </c>
      <c r="D116" s="8"/>
      <c r="E116" s="11">
        <v>0</v>
      </c>
      <c r="F116" s="11">
        <v>0</v>
      </c>
      <c r="G116" s="11">
        <v>0</v>
      </c>
      <c r="H116" s="11">
        <v>0</v>
      </c>
      <c r="I116" s="11">
        <v>0</v>
      </c>
      <c r="J116" s="11">
        <v>0</v>
      </c>
      <c r="K116" s="11">
        <v>0</v>
      </c>
      <c r="L116" s="11">
        <v>32658.723236050006</v>
      </c>
      <c r="M116" s="11">
        <v>15873.204789857722</v>
      </c>
      <c r="N116" s="11">
        <f>'Agency Revenues CAD'!N116*39.5%</f>
        <v>0</v>
      </c>
      <c r="O116" s="11">
        <f>'Agency Revenues CAD'!O116*39.5%</f>
        <v>0</v>
      </c>
      <c r="P116" s="11">
        <f>'Agency Revenues CAD'!P116*39.5%</f>
        <v>0</v>
      </c>
      <c r="Q116" s="12">
        <f t="shared" si="1"/>
        <v>48531.928025907728</v>
      </c>
    </row>
    <row r="117" spans="1:17" x14ac:dyDescent="0.25">
      <c r="A117" s="2" t="s">
        <v>276</v>
      </c>
      <c r="B117" t="s">
        <v>167</v>
      </c>
      <c r="C117" s="2" t="s">
        <v>289</v>
      </c>
      <c r="D117" s="2"/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24998.880000000001</v>
      </c>
      <c r="K117" s="3">
        <v>0</v>
      </c>
      <c r="L117" s="3">
        <v>0</v>
      </c>
      <c r="M117" s="3">
        <v>0</v>
      </c>
      <c r="N117" s="3">
        <f>'Agency Revenues CAD'!N117*39.5%</f>
        <v>0</v>
      </c>
      <c r="O117" s="3">
        <f>'Agency Revenues CAD'!O117*39.5%</f>
        <v>0</v>
      </c>
      <c r="P117" s="3">
        <f>'Agency Revenues CAD'!P117*39.5%</f>
        <v>0</v>
      </c>
      <c r="Q117" s="4">
        <f t="shared" si="1"/>
        <v>24998.880000000001</v>
      </c>
    </row>
    <row r="118" spans="1:17" x14ac:dyDescent="0.25">
      <c r="A118" s="2" t="s">
        <v>276</v>
      </c>
      <c r="B118" t="s">
        <v>167</v>
      </c>
      <c r="C118" s="2" t="s">
        <v>290</v>
      </c>
      <c r="D118" s="2"/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8019.6</v>
      </c>
      <c r="K118" s="3">
        <v>0</v>
      </c>
      <c r="L118" s="3">
        <v>0</v>
      </c>
      <c r="M118" s="3">
        <v>0</v>
      </c>
      <c r="N118" s="3">
        <f>'Agency Revenues CAD'!N118*39.5%</f>
        <v>0</v>
      </c>
      <c r="O118" s="3">
        <f>'Agency Revenues CAD'!O118*39.5%</f>
        <v>0</v>
      </c>
      <c r="P118" s="3">
        <f>'Agency Revenues CAD'!P118*39.5%</f>
        <v>0</v>
      </c>
      <c r="Q118" s="4">
        <f t="shared" si="1"/>
        <v>8019.6</v>
      </c>
    </row>
    <row r="119" spans="1:17" x14ac:dyDescent="0.25">
      <c r="A119" s="2" t="s">
        <v>276</v>
      </c>
      <c r="B119" t="s">
        <v>167</v>
      </c>
      <c r="C119" s="2" t="s">
        <v>279</v>
      </c>
      <c r="D119" s="2"/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f>'Agency Revenues CAD'!N119*39.5%</f>
        <v>0</v>
      </c>
      <c r="O119" s="3">
        <f>'Agency Revenues CAD'!O119*39.5%</f>
        <v>0</v>
      </c>
      <c r="P119" s="3">
        <f>'Agency Revenues CAD'!P119*39.5%</f>
        <v>0</v>
      </c>
      <c r="Q119" s="4">
        <f t="shared" si="1"/>
        <v>0</v>
      </c>
    </row>
    <row r="120" spans="1:17" x14ac:dyDescent="0.25">
      <c r="A120" s="2" t="s">
        <v>276</v>
      </c>
      <c r="B120" t="s">
        <v>167</v>
      </c>
      <c r="C120" s="2" t="s">
        <v>280</v>
      </c>
      <c r="D120" s="2"/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f>'Agency Revenues CAD'!N120*39.5%</f>
        <v>0</v>
      </c>
      <c r="O120" s="3">
        <f>'Agency Revenues CAD'!O120*39.5%</f>
        <v>0</v>
      </c>
      <c r="P120" s="3">
        <f>'Agency Revenues CAD'!P120*39.5%</f>
        <v>0</v>
      </c>
      <c r="Q120" s="4">
        <f t="shared" si="1"/>
        <v>0</v>
      </c>
    </row>
    <row r="121" spans="1:17" x14ac:dyDescent="0.25">
      <c r="A121" s="2" t="s">
        <v>276</v>
      </c>
      <c r="B121" t="s">
        <v>167</v>
      </c>
      <c r="C121" s="2" t="s">
        <v>281</v>
      </c>
      <c r="D121" s="2"/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f>'Agency Revenues CAD'!N121*39.5%</f>
        <v>0</v>
      </c>
      <c r="O121" s="3">
        <f>'Agency Revenues CAD'!O121*39.5%</f>
        <v>0</v>
      </c>
      <c r="P121" s="3">
        <f>'Agency Revenues CAD'!P121*39.5%</f>
        <v>0</v>
      </c>
      <c r="Q121" s="4">
        <f t="shared" si="1"/>
        <v>0</v>
      </c>
    </row>
    <row r="122" spans="1:17" x14ac:dyDescent="0.25">
      <c r="A122" s="2" t="s">
        <v>276</v>
      </c>
      <c r="B122" t="s">
        <v>167</v>
      </c>
      <c r="C122" s="2" t="s">
        <v>282</v>
      </c>
      <c r="D122" s="2"/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-108.35999999999999</v>
      </c>
      <c r="K122" s="3">
        <v>0</v>
      </c>
      <c r="L122" s="3">
        <v>-13.256200000000002</v>
      </c>
      <c r="M122" s="3">
        <v>0</v>
      </c>
      <c r="N122" s="3">
        <f>'Agency Revenues CAD'!N122*39.5%</f>
        <v>0</v>
      </c>
      <c r="O122" s="3">
        <f>'Agency Revenues CAD'!O122*39.5%</f>
        <v>0</v>
      </c>
      <c r="P122" s="3">
        <f>'Agency Revenues CAD'!P122*39.5%</f>
        <v>0</v>
      </c>
      <c r="Q122" s="4">
        <f t="shared" si="1"/>
        <v>-121.61619999999999</v>
      </c>
    </row>
    <row r="123" spans="1:17" x14ac:dyDescent="0.25">
      <c r="A123" s="2" t="s">
        <v>276</v>
      </c>
      <c r="B123" t="s">
        <v>167</v>
      </c>
      <c r="C123" s="2" t="s">
        <v>283</v>
      </c>
      <c r="D123" s="2"/>
      <c r="E123" s="3">
        <v>0</v>
      </c>
      <c r="F123" s="3">
        <v>0</v>
      </c>
      <c r="G123" s="3">
        <v>5871.8895999999995</v>
      </c>
      <c r="H123" s="3">
        <v>6110.4787999999999</v>
      </c>
      <c r="I123" s="3">
        <v>6256.7806</v>
      </c>
      <c r="J123" s="3">
        <v>0</v>
      </c>
      <c r="K123" s="3">
        <v>8694.5741999999991</v>
      </c>
      <c r="L123" s="3">
        <v>13668.65975691518</v>
      </c>
      <c r="M123" s="3">
        <v>3879.2350165977018</v>
      </c>
      <c r="N123" s="3">
        <f>'Agency Revenues CAD'!N123*39.5%</f>
        <v>0</v>
      </c>
      <c r="O123" s="3">
        <f>'Agency Revenues CAD'!O123*39.5%</f>
        <v>0</v>
      </c>
      <c r="P123" s="3">
        <f>'Agency Revenues CAD'!P123*39.5%</f>
        <v>0</v>
      </c>
      <c r="Q123" s="4">
        <f t="shared" si="1"/>
        <v>44481.617973512883</v>
      </c>
    </row>
    <row r="124" spans="1:17" x14ac:dyDescent="0.25">
      <c r="A124" s="2" t="s">
        <v>276</v>
      </c>
      <c r="B124" t="s">
        <v>167</v>
      </c>
      <c r="C124" s="2" t="s">
        <v>284</v>
      </c>
      <c r="D124" s="2"/>
      <c r="E124" s="3">
        <v>1518.28</v>
      </c>
      <c r="F124" s="3">
        <v>-3.79</v>
      </c>
      <c r="G124" s="3">
        <v>-28.56</v>
      </c>
      <c r="H124" s="3">
        <v>0</v>
      </c>
      <c r="I124" s="3">
        <v>-72.78</v>
      </c>
      <c r="J124" s="3">
        <v>-113.49776776516296</v>
      </c>
      <c r="K124" s="3">
        <v>0</v>
      </c>
      <c r="L124" s="3">
        <v>-2.0793554147519862</v>
      </c>
      <c r="M124" s="3">
        <v>0</v>
      </c>
      <c r="N124" s="3">
        <f>'Agency Revenues CAD'!N124*39.5%</f>
        <v>0</v>
      </c>
      <c r="O124" s="3">
        <f>'Agency Revenues CAD'!O124*39.5%</f>
        <v>0</v>
      </c>
      <c r="P124" s="3">
        <f>'Agency Revenues CAD'!P124*39.5%</f>
        <v>0</v>
      </c>
      <c r="Q124" s="4">
        <f t="shared" si="1"/>
        <v>1297.5728768200852</v>
      </c>
    </row>
    <row r="125" spans="1:17" x14ac:dyDescent="0.25">
      <c r="A125" s="2" t="s">
        <v>276</v>
      </c>
      <c r="B125" t="s">
        <v>167</v>
      </c>
      <c r="C125" s="2" t="s">
        <v>285</v>
      </c>
      <c r="D125" s="2"/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f>'Agency Revenues CAD'!N125*39.5%</f>
        <v>19486.666666666668</v>
      </c>
      <c r="O125" s="3">
        <f>'Agency Revenues CAD'!O125*39.5%</f>
        <v>19486.666666666668</v>
      </c>
      <c r="P125" s="3">
        <f>'Agency Revenues CAD'!P125*39.5%</f>
        <v>19486.666666666668</v>
      </c>
      <c r="Q125" s="4">
        <f t="shared" si="1"/>
        <v>58460</v>
      </c>
    </row>
    <row r="126" spans="1:17" x14ac:dyDescent="0.25">
      <c r="A126" s="2" t="s">
        <v>276</v>
      </c>
      <c r="B126" t="s">
        <v>167</v>
      </c>
      <c r="C126" s="2" t="s">
        <v>286</v>
      </c>
      <c r="D126" s="2"/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f>'Agency Revenues CAD'!N126*39.5%</f>
        <v>0</v>
      </c>
      <c r="O126" s="3">
        <f>'Agency Revenues CAD'!O126*39.5%</f>
        <v>0</v>
      </c>
      <c r="P126" s="3">
        <f>'Agency Revenues CAD'!P126*39.5%</f>
        <v>0</v>
      </c>
      <c r="Q126" s="4">
        <f t="shared" si="1"/>
        <v>0</v>
      </c>
    </row>
    <row r="127" spans="1:17" s="9" customFormat="1" x14ac:dyDescent="0.25">
      <c r="A127" s="8" t="s">
        <v>276</v>
      </c>
      <c r="B127" s="9" t="s">
        <v>167</v>
      </c>
      <c r="C127" s="8" t="s">
        <v>288</v>
      </c>
      <c r="D127" s="8"/>
      <c r="E127" s="11">
        <v>0</v>
      </c>
      <c r="F127" s="11">
        <v>0</v>
      </c>
      <c r="G127" s="11">
        <v>0</v>
      </c>
      <c r="H127" s="11">
        <v>0</v>
      </c>
      <c r="I127" s="11">
        <v>-54797.159999999996</v>
      </c>
      <c r="J127" s="11">
        <v>-13676.779999999999</v>
      </c>
      <c r="K127" s="11">
        <v>0</v>
      </c>
      <c r="L127" s="11">
        <v>0</v>
      </c>
      <c r="M127" s="11">
        <v>0</v>
      </c>
      <c r="N127" s="11">
        <f>'Agency Revenues CAD'!N127*39.5%</f>
        <v>0</v>
      </c>
      <c r="O127" s="11">
        <f>'Agency Revenues CAD'!O127*39.5%</f>
        <v>0</v>
      </c>
      <c r="P127" s="11">
        <f>'Agency Revenues CAD'!P127*39.5%</f>
        <v>0</v>
      </c>
      <c r="Q127" s="12">
        <f t="shared" si="1"/>
        <v>-68473.94</v>
      </c>
    </row>
    <row r="128" spans="1:17" s="24" customFormat="1" ht="15.75" thickBot="1" x14ac:dyDescent="0.3">
      <c r="A128" s="21" t="s">
        <v>12</v>
      </c>
      <c r="B128" s="22"/>
      <c r="C128" s="21"/>
      <c r="D128" s="21"/>
      <c r="E128" s="23">
        <f t="shared" ref="E128:P128" si="2">SUM(E3:E127)</f>
        <v>952460.18044020014</v>
      </c>
      <c r="F128" s="23">
        <f t="shared" si="2"/>
        <v>1621569.4625999997</v>
      </c>
      <c r="G128" s="23">
        <f t="shared" si="2"/>
        <v>1621391.7520242506</v>
      </c>
      <c r="H128" s="23">
        <f t="shared" si="2"/>
        <v>1787490.234071</v>
      </c>
      <c r="I128" s="23">
        <f t="shared" si="2"/>
        <v>2305570.1984000006</v>
      </c>
      <c r="J128" s="23">
        <f t="shared" si="2"/>
        <v>2390856.0881966678</v>
      </c>
      <c r="K128" s="23">
        <f t="shared" si="2"/>
        <v>2181114.1175770704</v>
      </c>
      <c r="L128" s="23">
        <f t="shared" si="2"/>
        <v>2308841.0600984395</v>
      </c>
      <c r="M128" s="23">
        <f t="shared" si="2"/>
        <v>2628961.7427211264</v>
      </c>
      <c r="N128" s="23">
        <f t="shared" si="2"/>
        <v>2495003.2931666668</v>
      </c>
      <c r="O128" s="23">
        <f t="shared" si="2"/>
        <v>2698237.4551628018</v>
      </c>
      <c r="P128" s="23">
        <f t="shared" si="2"/>
        <v>2776370.2297433629</v>
      </c>
      <c r="Q128" s="23">
        <f t="shared" ref="Q128" si="3">SUM(E128:P128)</f>
        <v>25767865.814201586</v>
      </c>
    </row>
    <row r="129" ht="15.75" thickTop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2016 Q3RF Xaxis Canada -- USD</vt:lpstr>
      <vt:lpstr>Agency Revenues USD</vt:lpstr>
      <vt:lpstr>Agency Net Sales USD</vt:lpstr>
      <vt:lpstr>2016 Q3RF Xaxis Canada -- CAD</vt:lpstr>
      <vt:lpstr>Agency Revenues CAD</vt:lpstr>
      <vt:lpstr>Agency Net Sales CAD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Wallace</dc:creator>
  <cp:lastModifiedBy>Eric  Stewart</cp:lastModifiedBy>
  <dcterms:created xsi:type="dcterms:W3CDTF">2016-12-06T13:43:02Z</dcterms:created>
  <dcterms:modified xsi:type="dcterms:W3CDTF">2016-12-12T21:22:48Z</dcterms:modified>
</cp:coreProperties>
</file>