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updateLinks="never"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amro365-my.sharepoint.com/personal/pr19556_appliedmed_com/Documents/Desktop/VoyantLapFusionScrapTrending/yieldreport/"/>
    </mc:Choice>
  </mc:AlternateContent>
  <xr:revisionPtr revIDLastSave="0" documentId="8_{0C684F8D-452C-497C-80D9-7A933008A6CA}" xr6:coauthVersionLast="47" xr6:coauthVersionMax="47" xr10:uidLastSave="{00000000-0000-0000-0000-000000000000}"/>
  <bookViews>
    <workbookView xWindow="-120" yWindow="-16320" windowWidth="29040" windowHeight="15840" tabRatio="889" firstSheet="3" activeTab="10" xr2:uid="{00000000-000D-0000-FFFF-FFFF00000000}"/>
  </bookViews>
  <sheets>
    <sheet name="EB210" sheetId="64" r:id="rId1"/>
    <sheet name="EB210 Graph" sheetId="37" r:id="rId2"/>
    <sheet name="EB211" sheetId="66" r:id="rId3"/>
    <sheet name="EB211 Graph" sheetId="63" r:id="rId4"/>
    <sheet name="EB212" sheetId="53" r:id="rId5"/>
    <sheet name="EB212 Graphs" sheetId="59" r:id="rId6"/>
    <sheet name="EB213" sheetId="56" r:id="rId7"/>
    <sheet name="EB213 Graphs" sheetId="60" r:id="rId8"/>
    <sheet name="EB214" sheetId="57" r:id="rId9"/>
    <sheet name="EB214 Graphs" sheetId="61" r:id="rId10"/>
    <sheet name="EB215" sheetId="45" r:id="rId11"/>
    <sheet name="EB215 Graphs" sheetId="48" r:id="rId12"/>
    <sheet name="EB216" sheetId="46" r:id="rId13"/>
    <sheet name="EB216 Graphs" sheetId="49" r:id="rId14"/>
    <sheet name="EB217" sheetId="47" r:id="rId15"/>
    <sheet name="EB217 Graphs" sheetId="50" r:id="rId16"/>
    <sheet name="EB230" sheetId="42" r:id="rId17"/>
    <sheet name="EB230 Graphs" sheetId="41" r:id="rId18"/>
    <sheet name="EB240" sheetId="44" r:id="rId19"/>
    <sheet name="EB240 Graphs" sheetId="43" r:id="rId20"/>
    <sheet name="Sheet1" sheetId="51" state="hidden" r:id="rId21"/>
  </sheets>
  <definedNames>
    <definedName name="_xlnm._FilterDatabase" localSheetId="1" hidden="1">'EB210 Graph'!$O$4:$R$4</definedName>
    <definedName name="_xlnm._FilterDatabase" localSheetId="3" hidden="1">'EB211 Graph'!$O$4:$R$4</definedName>
    <definedName name="_xlnm._FilterDatabase" localSheetId="5" hidden="1">'EB212 Graphs'!$O$4:$R$4</definedName>
    <definedName name="_xlnm._FilterDatabase" localSheetId="7" hidden="1">'EB213 Graphs'!$O$4:$R$4</definedName>
    <definedName name="_xlnm._FilterDatabase" localSheetId="9" hidden="1">'EB214 Graphs'!$O$4:$R$4</definedName>
    <definedName name="_xlnm._FilterDatabase" localSheetId="11" hidden="1">'EB215 Graphs'!$O$4:$R$4</definedName>
    <definedName name="_xlnm._FilterDatabase" localSheetId="13" hidden="1">'EB216 Graphs'!$O$4:$R$4</definedName>
    <definedName name="_xlnm._FilterDatabase" localSheetId="15" hidden="1">'EB217 Graphs'!$O$4:$R$4</definedName>
    <definedName name="_xlnm._FilterDatabase" localSheetId="17" hidden="1">'EB230 Graphs'!$O$4:$R$4</definedName>
    <definedName name="_xlnm._FilterDatabase" localSheetId="19" hidden="1">'EB240 Graphs'!$O$4:$R$4</definedName>
    <definedName name="_xlnm.Print_Area" localSheetId="0">'EB210'!#REF!</definedName>
    <definedName name="_xlnm.Print_Area" localSheetId="1">'EB210 Graph'!$B$1:$R$30</definedName>
    <definedName name="_xlnm.Print_Area" localSheetId="2">'EB211'!#REF!</definedName>
    <definedName name="_xlnm.Print_Area" localSheetId="3">'EB211 Graph'!$B$1:$R$30</definedName>
    <definedName name="_xlnm.Print_Area" localSheetId="5">'EB212 Graphs'!$B$1:$R$30</definedName>
    <definedName name="_xlnm.Print_Area" localSheetId="7">'EB213 Graphs'!$B$1:$R$30</definedName>
    <definedName name="_xlnm.Print_Area" localSheetId="9">'EB214 Graphs'!$B$1:$R$30</definedName>
    <definedName name="_xlnm.Print_Area" localSheetId="10">'EB215'!#REF!</definedName>
    <definedName name="_xlnm.Print_Area" localSheetId="11">'EB215 Graphs'!$B$1:$R$34</definedName>
    <definedName name="_xlnm.Print_Area" localSheetId="12">'EB216'!#REF!</definedName>
    <definedName name="_xlnm.Print_Area" localSheetId="13">'EB216 Graphs'!$B$1:$R$30</definedName>
    <definedName name="_xlnm.Print_Area" localSheetId="15">'EB217 Graphs'!$B$1:$R$30</definedName>
    <definedName name="_xlnm.Print_Area" localSheetId="17">'EB230 Graphs'!$B$1:$R$31</definedName>
    <definedName name="_xlnm.Print_Area" localSheetId="19">'EB240 Graphs'!$B$1:$R$32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7" i="53" l="1"/>
  <c r="H122" i="53"/>
  <c r="V126" i="53" l="1"/>
  <c r="V121" i="53"/>
  <c r="V119" i="53"/>
  <c r="V107" i="53"/>
  <c r="V108" i="53"/>
  <c r="V109" i="53"/>
  <c r="V110" i="53"/>
  <c r="V111" i="53"/>
  <c r="V112" i="53"/>
  <c r="V113" i="53"/>
  <c r="V115" i="53"/>
  <c r="V116" i="53"/>
  <c r="V117" i="53"/>
  <c r="V118" i="53"/>
  <c r="V106" i="53"/>
  <c r="V105" i="53"/>
  <c r="V91" i="53"/>
  <c r="V94" i="53"/>
  <c r="V95" i="53"/>
  <c r="V96" i="53"/>
  <c r="V97" i="53"/>
  <c r="V99" i="53"/>
  <c r="V100" i="53"/>
  <c r="V102" i="53"/>
  <c r="V103" i="53"/>
  <c r="V89" i="53"/>
  <c r="W128" i="53"/>
  <c r="T128" i="53"/>
  <c r="S128" i="53"/>
  <c r="R128" i="53"/>
  <c r="Q128" i="53"/>
  <c r="P128" i="53"/>
  <c r="O128" i="53"/>
  <c r="N128" i="53"/>
  <c r="M128" i="53"/>
  <c r="L128" i="53"/>
  <c r="K128" i="53"/>
  <c r="J128" i="53"/>
  <c r="I128" i="53"/>
  <c r="H128" i="53"/>
  <c r="W127" i="53"/>
  <c r="U127" i="53"/>
  <c r="Y127" i="53" s="1"/>
  <c r="Y126" i="53"/>
  <c r="W126" i="53"/>
  <c r="U126" i="53"/>
  <c r="W125" i="53"/>
  <c r="U125" i="53"/>
  <c r="Y125" i="53" s="1"/>
  <c r="W124" i="53"/>
  <c r="U124" i="53"/>
  <c r="Y124" i="53" s="1"/>
  <c r="W123" i="53"/>
  <c r="U123" i="53"/>
  <c r="V123" i="53" s="1"/>
  <c r="W122" i="53"/>
  <c r="U122" i="53"/>
  <c r="V122" i="53" s="1"/>
  <c r="W121" i="53"/>
  <c r="U121" i="53"/>
  <c r="Y121" i="53" s="1"/>
  <c r="Y120" i="53"/>
  <c r="W119" i="53"/>
  <c r="U119" i="53"/>
  <c r="Y119" i="53" s="1"/>
  <c r="W118" i="53"/>
  <c r="U118" i="53"/>
  <c r="W117" i="53"/>
  <c r="U117" i="53"/>
  <c r="W116" i="53"/>
  <c r="U116" i="53"/>
  <c r="Y116" i="53" s="1"/>
  <c r="W115" i="53"/>
  <c r="U115" i="53"/>
  <c r="Y115" i="53" s="1"/>
  <c r="W114" i="53"/>
  <c r="U114" i="53"/>
  <c r="Y114" i="53" s="1"/>
  <c r="Y113" i="53"/>
  <c r="W113" i="53"/>
  <c r="U113" i="53"/>
  <c r="W112" i="53"/>
  <c r="U112" i="53"/>
  <c r="Y112" i="53" s="1"/>
  <c r="W111" i="53"/>
  <c r="U111" i="53"/>
  <c r="Y111" i="53" s="1"/>
  <c r="W110" i="53"/>
  <c r="U110" i="53"/>
  <c r="Y110" i="53" s="1"/>
  <c r="W109" i="53"/>
  <c r="U109" i="53"/>
  <c r="Y109" i="53" s="1"/>
  <c r="W108" i="53"/>
  <c r="U108" i="53"/>
  <c r="Y108" i="53" s="1"/>
  <c r="Y107" i="53"/>
  <c r="W107" i="53"/>
  <c r="U107" i="53"/>
  <c r="W106" i="53"/>
  <c r="U106" i="53"/>
  <c r="Y106" i="53" s="1"/>
  <c r="W105" i="53"/>
  <c r="U105" i="53"/>
  <c r="W104" i="53"/>
  <c r="U104" i="53"/>
  <c r="Y104" i="53" s="1"/>
  <c r="W103" i="53"/>
  <c r="U103" i="53"/>
  <c r="W102" i="53"/>
  <c r="U102" i="53"/>
  <c r="W101" i="53"/>
  <c r="U101" i="53"/>
  <c r="Y101" i="53" s="1"/>
  <c r="W100" i="53"/>
  <c r="U100" i="53"/>
  <c r="Y100" i="53" s="1"/>
  <c r="Y99" i="53"/>
  <c r="W99" i="53"/>
  <c r="U99" i="53"/>
  <c r="W98" i="53"/>
  <c r="U98" i="53"/>
  <c r="Y98" i="53" s="1"/>
  <c r="W97" i="53"/>
  <c r="U97" i="53"/>
  <c r="Y97" i="53" s="1"/>
  <c r="W96" i="53"/>
  <c r="U96" i="53"/>
  <c r="W95" i="53"/>
  <c r="U95" i="53"/>
  <c r="Y95" i="53" s="1"/>
  <c r="W94" i="53"/>
  <c r="U94" i="53"/>
  <c r="Y94" i="53" s="1"/>
  <c r="W93" i="53"/>
  <c r="U93" i="53"/>
  <c r="V93" i="53" s="1"/>
  <c r="W92" i="53"/>
  <c r="U92" i="53"/>
  <c r="Y92" i="53" s="1"/>
  <c r="W91" i="53"/>
  <c r="U91" i="53"/>
  <c r="Y91" i="53" s="1"/>
  <c r="W90" i="53"/>
  <c r="U90" i="53"/>
  <c r="V90" i="53" s="1"/>
  <c r="W89" i="53"/>
  <c r="U89" i="53"/>
  <c r="F88" i="53"/>
  <c r="W74" i="53"/>
  <c r="W73" i="53"/>
  <c r="W72" i="53"/>
  <c r="V83" i="53"/>
  <c r="V79" i="53"/>
  <c r="V80" i="53"/>
  <c r="V81" i="53"/>
  <c r="V82" i="53"/>
  <c r="V78" i="53"/>
  <c r="V77" i="53"/>
  <c r="V64" i="53"/>
  <c r="V66" i="53"/>
  <c r="V67" i="53"/>
  <c r="V68" i="53"/>
  <c r="V69" i="53"/>
  <c r="V71" i="53"/>
  <c r="V72" i="53"/>
  <c r="V73" i="53"/>
  <c r="V74" i="53"/>
  <c r="V61" i="53"/>
  <c r="V47" i="53"/>
  <c r="V48" i="53"/>
  <c r="V49" i="53"/>
  <c r="V51" i="53"/>
  <c r="V52" i="53"/>
  <c r="V53" i="53"/>
  <c r="V54" i="53"/>
  <c r="V56" i="53"/>
  <c r="V46" i="53"/>
  <c r="R6" i="41"/>
  <c r="R8" i="41"/>
  <c r="R13" i="41"/>
  <c r="R14" i="41"/>
  <c r="R16" i="41"/>
  <c r="R17" i="41"/>
  <c r="R15" i="41"/>
  <c r="R18" i="41"/>
  <c r="R19" i="41"/>
  <c r="R20" i="41"/>
  <c r="R21" i="41"/>
  <c r="O193" i="42"/>
  <c r="O176" i="42"/>
  <c r="O177" i="42"/>
  <c r="O178" i="42"/>
  <c r="O179" i="42"/>
  <c r="O180" i="42"/>
  <c r="O181" i="42"/>
  <c r="O182" i="42"/>
  <c r="O183" i="42"/>
  <c r="O184" i="42"/>
  <c r="O185" i="42"/>
  <c r="O186" i="42"/>
  <c r="O187" i="42"/>
  <c r="O188" i="42"/>
  <c r="O189" i="42"/>
  <c r="O190" i="42"/>
  <c r="O191" i="42"/>
  <c r="O192" i="42"/>
  <c r="O175" i="42"/>
  <c r="O174" i="42"/>
  <c r="O172" i="42"/>
  <c r="O161" i="42"/>
  <c r="O162" i="42"/>
  <c r="O163" i="42"/>
  <c r="O164" i="42"/>
  <c r="O165" i="42"/>
  <c r="O166" i="42"/>
  <c r="O167" i="42"/>
  <c r="O168" i="42"/>
  <c r="O169" i="42"/>
  <c r="O170" i="42"/>
  <c r="O171" i="42"/>
  <c r="O160" i="42"/>
  <c r="O159" i="42"/>
  <c r="O157" i="42"/>
  <c r="O136" i="42"/>
  <c r="O137" i="42"/>
  <c r="O139" i="42"/>
  <c r="O140" i="42"/>
  <c r="O141" i="42"/>
  <c r="O143" i="42"/>
  <c r="O144" i="42"/>
  <c r="O145" i="42"/>
  <c r="O146" i="42"/>
  <c r="O147" i="42"/>
  <c r="O149" i="42"/>
  <c r="O150" i="42"/>
  <c r="O151" i="42"/>
  <c r="O153" i="42"/>
  <c r="O154" i="42"/>
  <c r="O156" i="42"/>
  <c r="V124" i="53" l="1"/>
  <c r="V127" i="53"/>
  <c r="Y122" i="53"/>
  <c r="V101" i="53"/>
  <c r="V125" i="53"/>
  <c r="V114" i="53"/>
  <c r="V104" i="53"/>
  <c r="V98" i="53"/>
  <c r="Y93" i="53"/>
  <c r="V92" i="53"/>
  <c r="Y96" i="53"/>
  <c r="Y102" i="53"/>
  <c r="U128" i="53"/>
  <c r="V128" i="53" s="1"/>
  <c r="Y123" i="53"/>
  <c r="Y89" i="53"/>
  <c r="N179" i="42"/>
  <c r="N183" i="42"/>
  <c r="M194" i="42"/>
  <c r="L194" i="42"/>
  <c r="K194" i="42"/>
  <c r="H133" i="42" s="1"/>
  <c r="N193" i="42"/>
  <c r="N190" i="42"/>
  <c r="N189" i="42"/>
  <c r="N187" i="42"/>
  <c r="N186" i="42"/>
  <c r="N184" i="42"/>
  <c r="N182" i="42"/>
  <c r="N181" i="42"/>
  <c r="N180" i="42"/>
  <c r="N178" i="42"/>
  <c r="N177" i="42"/>
  <c r="N174" i="42"/>
  <c r="N172" i="42"/>
  <c r="N171" i="42"/>
  <c r="N170" i="42"/>
  <c r="N169" i="42"/>
  <c r="N168" i="42"/>
  <c r="N167" i="42"/>
  <c r="N166" i="42"/>
  <c r="N165" i="42"/>
  <c r="N164" i="42"/>
  <c r="N163" i="42"/>
  <c r="N162" i="42"/>
  <c r="N161" i="42"/>
  <c r="N160" i="42"/>
  <c r="N159" i="42"/>
  <c r="N157" i="42"/>
  <c r="N156" i="42"/>
  <c r="N155" i="42"/>
  <c r="N154" i="42"/>
  <c r="N153" i="42"/>
  <c r="N152" i="42"/>
  <c r="N151" i="42"/>
  <c r="N150" i="42"/>
  <c r="N149" i="42"/>
  <c r="N148" i="42"/>
  <c r="N147" i="42"/>
  <c r="N146" i="42"/>
  <c r="N145" i="42"/>
  <c r="N144" i="42"/>
  <c r="N143" i="42"/>
  <c r="N142" i="42"/>
  <c r="N141" i="42"/>
  <c r="N140" i="42"/>
  <c r="N139" i="42"/>
  <c r="N138" i="42"/>
  <c r="N137" i="42"/>
  <c r="N136" i="42"/>
  <c r="N135" i="42"/>
  <c r="N134" i="42"/>
  <c r="O134" i="42" s="1"/>
  <c r="G133" i="42"/>
  <c r="R10" i="41" l="1"/>
  <c r="O142" i="42"/>
  <c r="O135" i="42"/>
  <c r="R12" i="41"/>
  <c r="O138" i="42"/>
  <c r="R5" i="41"/>
  <c r="O155" i="42"/>
  <c r="R11" i="41"/>
  <c r="R9" i="41"/>
  <c r="O148" i="42"/>
  <c r="O152" i="42"/>
  <c r="R7" i="41"/>
  <c r="Y128" i="53"/>
  <c r="N194" i="42"/>
  <c r="O194" i="42" s="1"/>
  <c r="J194" i="42"/>
  <c r="R21" i="59"/>
  <c r="R23" i="59"/>
  <c r="R24" i="59"/>
  <c r="R26" i="59"/>
  <c r="R27" i="59"/>
  <c r="R28" i="59"/>
  <c r="R29" i="59"/>
  <c r="R30" i="59"/>
  <c r="U73" i="53" l="1"/>
  <c r="U74" i="53"/>
  <c r="W84" i="53"/>
  <c r="T84" i="53"/>
  <c r="S84" i="53"/>
  <c r="R84" i="53"/>
  <c r="Q84" i="53"/>
  <c r="P84" i="53"/>
  <c r="O84" i="53"/>
  <c r="N84" i="53"/>
  <c r="M84" i="53"/>
  <c r="L84" i="53"/>
  <c r="K84" i="53"/>
  <c r="J84" i="53"/>
  <c r="I84" i="53"/>
  <c r="H84" i="53"/>
  <c r="W83" i="53"/>
  <c r="U83" i="53"/>
  <c r="W82" i="53"/>
  <c r="U82" i="53"/>
  <c r="Y82" i="53" s="1"/>
  <c r="W81" i="53"/>
  <c r="U81" i="53"/>
  <c r="W80" i="53"/>
  <c r="U80" i="53"/>
  <c r="W79" i="53"/>
  <c r="U79" i="53"/>
  <c r="Y79" i="53" s="1"/>
  <c r="W78" i="53"/>
  <c r="U78" i="53"/>
  <c r="Y78" i="53" s="1"/>
  <c r="W77" i="53"/>
  <c r="U77" i="53"/>
  <c r="Y76" i="53"/>
  <c r="W75" i="53"/>
  <c r="U75" i="53"/>
  <c r="V75" i="53" s="1"/>
  <c r="U72" i="53"/>
  <c r="Y72" i="53" s="1"/>
  <c r="W71" i="53"/>
  <c r="U71" i="53"/>
  <c r="Y71" i="53" s="1"/>
  <c r="W70" i="53"/>
  <c r="U70" i="53"/>
  <c r="V70" i="53" s="1"/>
  <c r="W69" i="53"/>
  <c r="U69" i="53"/>
  <c r="Y69" i="53" s="1"/>
  <c r="W68" i="53"/>
  <c r="U68" i="53"/>
  <c r="W67" i="53"/>
  <c r="U67" i="53"/>
  <c r="W66" i="53"/>
  <c r="U66" i="53"/>
  <c r="Y66" i="53" s="1"/>
  <c r="W65" i="53"/>
  <c r="U65" i="53"/>
  <c r="V65" i="53" s="1"/>
  <c r="W64" i="53"/>
  <c r="U64" i="53"/>
  <c r="W63" i="53"/>
  <c r="U63" i="53"/>
  <c r="W62" i="53"/>
  <c r="U62" i="53"/>
  <c r="V62" i="53" s="1"/>
  <c r="W61" i="53"/>
  <c r="U61" i="53"/>
  <c r="W60" i="53"/>
  <c r="U60" i="53"/>
  <c r="W59" i="53"/>
  <c r="U59" i="53"/>
  <c r="V59" i="53" s="1"/>
  <c r="W58" i="53"/>
  <c r="U58" i="53"/>
  <c r="W57" i="53"/>
  <c r="U57" i="53"/>
  <c r="V57" i="53" s="1"/>
  <c r="W56" i="53"/>
  <c r="U56" i="53"/>
  <c r="W55" i="53"/>
  <c r="U55" i="53"/>
  <c r="W54" i="53"/>
  <c r="U54" i="53"/>
  <c r="W53" i="53"/>
  <c r="U53" i="53"/>
  <c r="W52" i="53"/>
  <c r="U52" i="53"/>
  <c r="Y52" i="53" s="1"/>
  <c r="W51" i="53"/>
  <c r="U51" i="53"/>
  <c r="Y51" i="53" s="1"/>
  <c r="W50" i="53"/>
  <c r="U50" i="53"/>
  <c r="V50" i="53" s="1"/>
  <c r="W49" i="53"/>
  <c r="U49" i="53"/>
  <c r="Y49" i="53" s="1"/>
  <c r="W48" i="53"/>
  <c r="U48" i="53"/>
  <c r="Y48" i="53" s="1"/>
  <c r="W47" i="53"/>
  <c r="U47" i="53"/>
  <c r="W46" i="53"/>
  <c r="U46" i="53"/>
  <c r="W45" i="53"/>
  <c r="U45" i="53"/>
  <c r="F44" i="53"/>
  <c r="R19" i="43"/>
  <c r="R20" i="43"/>
  <c r="R21" i="43"/>
  <c r="R22" i="43"/>
  <c r="R23" i="43"/>
  <c r="R24" i="43"/>
  <c r="R25" i="43"/>
  <c r="Y60" i="53" l="1"/>
  <c r="V60" i="53"/>
  <c r="Y58" i="53"/>
  <c r="V58" i="53"/>
  <c r="Y45" i="53"/>
  <c r="V45" i="53"/>
  <c r="Y63" i="53"/>
  <c r="V63" i="53"/>
  <c r="Y55" i="53"/>
  <c r="V55" i="53"/>
  <c r="Y81" i="53"/>
  <c r="R16" i="59"/>
  <c r="Y53" i="53"/>
  <c r="Y62" i="53"/>
  <c r="Y67" i="53"/>
  <c r="Y65" i="53"/>
  <c r="Y70" i="53"/>
  <c r="Y57" i="53"/>
  <c r="Y64" i="53"/>
  <c r="Y50" i="53"/>
  <c r="Y68" i="53"/>
  <c r="Y75" i="53"/>
  <c r="Y54" i="53"/>
  <c r="Y56" i="53"/>
  <c r="U84" i="53"/>
  <c r="Y47" i="53"/>
  <c r="Y77" i="53"/>
  <c r="Y80" i="53"/>
  <c r="Y83" i="53"/>
  <c r="U203" i="44"/>
  <c r="T203" i="44"/>
  <c r="S203" i="44"/>
  <c r="R203" i="44"/>
  <c r="Q203" i="44"/>
  <c r="P203" i="44"/>
  <c r="O203" i="44"/>
  <c r="N203" i="44"/>
  <c r="M203" i="44"/>
  <c r="L203" i="44"/>
  <c r="K203" i="44"/>
  <c r="J203" i="44"/>
  <c r="I203" i="44"/>
  <c r="H203" i="44"/>
  <c r="V202" i="44"/>
  <c r="W202" i="44" s="1"/>
  <c r="V201" i="44"/>
  <c r="W201" i="44" s="1"/>
  <c r="V200" i="44"/>
  <c r="W200" i="44" s="1"/>
  <c r="V199" i="44"/>
  <c r="W199" i="44" s="1"/>
  <c r="V198" i="44"/>
  <c r="W198" i="44" s="1"/>
  <c r="V197" i="44"/>
  <c r="W197" i="44" s="1"/>
  <c r="V196" i="44"/>
  <c r="W196" i="44" s="1"/>
  <c r="V195" i="44"/>
  <c r="W195" i="44" s="1"/>
  <c r="V194" i="44"/>
  <c r="W194" i="44" s="1"/>
  <c r="V193" i="44"/>
  <c r="W193" i="44" s="1"/>
  <c r="V192" i="44"/>
  <c r="W192" i="44" s="1"/>
  <c r="V191" i="44"/>
  <c r="W191" i="44" s="1"/>
  <c r="V190" i="44"/>
  <c r="W190" i="44" s="1"/>
  <c r="V188" i="44"/>
  <c r="W188" i="44" s="1"/>
  <c r="V187" i="44"/>
  <c r="W187" i="44" s="1"/>
  <c r="V186" i="44"/>
  <c r="W186" i="44" s="1"/>
  <c r="V185" i="44"/>
  <c r="W185" i="44" s="1"/>
  <c r="V184" i="44"/>
  <c r="W184" i="44" s="1"/>
  <c r="V183" i="44"/>
  <c r="W183" i="44" s="1"/>
  <c r="V182" i="44"/>
  <c r="W182" i="44" s="1"/>
  <c r="V181" i="44"/>
  <c r="W181" i="44" s="1"/>
  <c r="V180" i="44"/>
  <c r="W180" i="44" s="1"/>
  <c r="V179" i="44"/>
  <c r="W179" i="44" s="1"/>
  <c r="V178" i="44"/>
  <c r="W178" i="44" s="1"/>
  <c r="V177" i="44"/>
  <c r="W177" i="44" s="1"/>
  <c r="V176" i="44"/>
  <c r="W176" i="44" s="1"/>
  <c r="V175" i="44"/>
  <c r="W175" i="44" s="1"/>
  <c r="V174" i="44"/>
  <c r="W174" i="44" s="1"/>
  <c r="V173" i="44"/>
  <c r="W173" i="44" s="1"/>
  <c r="V172" i="44"/>
  <c r="W172" i="44" s="1"/>
  <c r="V171" i="44"/>
  <c r="W171" i="44" s="1"/>
  <c r="V170" i="44"/>
  <c r="W170" i="44" s="1"/>
  <c r="V169" i="44"/>
  <c r="W169" i="44" s="1"/>
  <c r="V168" i="44"/>
  <c r="W168" i="44" s="1"/>
  <c r="V167" i="44"/>
  <c r="W167" i="44" s="1"/>
  <c r="V166" i="44"/>
  <c r="W166" i="44" s="1"/>
  <c r="F165" i="44"/>
  <c r="Y84" i="53" l="1"/>
  <c r="V84" i="53"/>
  <c r="V203" i="44"/>
  <c r="W203" i="44" s="1"/>
  <c r="N103" i="42"/>
  <c r="T144" i="45"/>
  <c r="V145" i="44" l="1"/>
  <c r="W145" i="44" s="1"/>
  <c r="V144" i="44"/>
  <c r="W144" i="44" s="1"/>
  <c r="U161" i="44"/>
  <c r="T161" i="44"/>
  <c r="S161" i="44"/>
  <c r="R161" i="44"/>
  <c r="Q161" i="44"/>
  <c r="P161" i="44"/>
  <c r="O161" i="44"/>
  <c r="N161" i="44"/>
  <c r="M161" i="44"/>
  <c r="L161" i="44"/>
  <c r="K161" i="44"/>
  <c r="J161" i="44"/>
  <c r="I161" i="44"/>
  <c r="H161" i="44"/>
  <c r="V160" i="44"/>
  <c r="W160" i="44" s="1"/>
  <c r="V159" i="44"/>
  <c r="W159" i="44" s="1"/>
  <c r="V158" i="44"/>
  <c r="W158" i="44" s="1"/>
  <c r="V157" i="44"/>
  <c r="W157" i="44" s="1"/>
  <c r="V156" i="44"/>
  <c r="W156" i="44" s="1"/>
  <c r="V155" i="44"/>
  <c r="W155" i="44" s="1"/>
  <c r="V154" i="44"/>
  <c r="W154" i="44" s="1"/>
  <c r="V153" i="44"/>
  <c r="W153" i="44" s="1"/>
  <c r="V152" i="44"/>
  <c r="W152" i="44" s="1"/>
  <c r="V151" i="44"/>
  <c r="W151" i="44" s="1"/>
  <c r="V150" i="44"/>
  <c r="W150" i="44" s="1"/>
  <c r="V149" i="44"/>
  <c r="W149" i="44" s="1"/>
  <c r="V148" i="44"/>
  <c r="W148" i="44" s="1"/>
  <c r="V146" i="44"/>
  <c r="W146" i="44" s="1"/>
  <c r="V143" i="44"/>
  <c r="W143" i="44" s="1"/>
  <c r="V142" i="44"/>
  <c r="W142" i="44" s="1"/>
  <c r="V141" i="44"/>
  <c r="W141" i="44" s="1"/>
  <c r="V140" i="44"/>
  <c r="W140" i="44" s="1"/>
  <c r="V139" i="44"/>
  <c r="W139" i="44" s="1"/>
  <c r="V138" i="44"/>
  <c r="W138" i="44" s="1"/>
  <c r="V137" i="44"/>
  <c r="W137" i="44" s="1"/>
  <c r="V136" i="44"/>
  <c r="W136" i="44" s="1"/>
  <c r="V135" i="44"/>
  <c r="W135" i="44" s="1"/>
  <c r="V134" i="44"/>
  <c r="W134" i="44" s="1"/>
  <c r="V133" i="44"/>
  <c r="W133" i="44" s="1"/>
  <c r="V132" i="44"/>
  <c r="W132" i="44" s="1"/>
  <c r="V131" i="44"/>
  <c r="W131" i="44" s="1"/>
  <c r="V130" i="44"/>
  <c r="W130" i="44" s="1"/>
  <c r="V129" i="44"/>
  <c r="W129" i="44" s="1"/>
  <c r="V128" i="44"/>
  <c r="W128" i="44" s="1"/>
  <c r="V127" i="44"/>
  <c r="W127" i="44" s="1"/>
  <c r="V126" i="44"/>
  <c r="W126" i="44" s="1"/>
  <c r="V125" i="44"/>
  <c r="W125" i="44" s="1"/>
  <c r="V124" i="44"/>
  <c r="W124" i="44" s="1"/>
  <c r="F123" i="44"/>
  <c r="V161" i="44" l="1"/>
  <c r="W161" i="44" s="1"/>
  <c r="T146" i="45"/>
  <c r="U146" i="45" s="1"/>
  <c r="T151" i="45"/>
  <c r="U151" i="45" s="1"/>
  <c r="T152" i="45"/>
  <c r="U152" i="45" s="1"/>
  <c r="T153" i="45"/>
  <c r="U153" i="45" s="1"/>
  <c r="R21" i="48"/>
  <c r="R23" i="48"/>
  <c r="R24" i="48"/>
  <c r="R25" i="48"/>
  <c r="R26" i="48"/>
  <c r="R27" i="48"/>
  <c r="R28" i="48"/>
  <c r="R29" i="48"/>
  <c r="S167" i="45" l="1"/>
  <c r="R167" i="45"/>
  <c r="Q167" i="45"/>
  <c r="P167" i="45"/>
  <c r="O167" i="45"/>
  <c r="N167" i="45"/>
  <c r="M167" i="45"/>
  <c r="L167" i="45"/>
  <c r="K167" i="45"/>
  <c r="J167" i="45"/>
  <c r="I167" i="45"/>
  <c r="H167" i="45"/>
  <c r="T166" i="45"/>
  <c r="U166" i="45" s="1"/>
  <c r="T165" i="45"/>
  <c r="U165" i="45" s="1"/>
  <c r="T164" i="45"/>
  <c r="U164" i="45" s="1"/>
  <c r="T163" i="45"/>
  <c r="U163" i="45" s="1"/>
  <c r="T162" i="45"/>
  <c r="U162" i="45" s="1"/>
  <c r="T161" i="45"/>
  <c r="U161" i="45" s="1"/>
  <c r="T160" i="45"/>
  <c r="U160" i="45" s="1"/>
  <c r="T159" i="45"/>
  <c r="U159" i="45" s="1"/>
  <c r="T158" i="45"/>
  <c r="U158" i="45" s="1"/>
  <c r="T157" i="45"/>
  <c r="U157" i="45" s="1"/>
  <c r="T155" i="45"/>
  <c r="U155" i="45" s="1"/>
  <c r="T154" i="45"/>
  <c r="U154" i="45" s="1"/>
  <c r="T150" i="45"/>
  <c r="U150" i="45" s="1"/>
  <c r="T149" i="45"/>
  <c r="U149" i="45" s="1"/>
  <c r="T148" i="45"/>
  <c r="U148" i="45" s="1"/>
  <c r="T147" i="45"/>
  <c r="U147" i="45" s="1"/>
  <c r="T145" i="45"/>
  <c r="U145" i="45" s="1"/>
  <c r="U144" i="45"/>
  <c r="T143" i="45"/>
  <c r="U143" i="45" s="1"/>
  <c r="T142" i="45"/>
  <c r="U142" i="45" s="1"/>
  <c r="T141" i="45"/>
  <c r="U141" i="45" s="1"/>
  <c r="T140" i="45"/>
  <c r="U140" i="45" s="1"/>
  <c r="T139" i="45"/>
  <c r="U139" i="45" s="1"/>
  <c r="T138" i="45"/>
  <c r="U138" i="45" s="1"/>
  <c r="T137" i="45"/>
  <c r="U137" i="45" s="1"/>
  <c r="T136" i="45"/>
  <c r="U136" i="45" s="1"/>
  <c r="T135" i="45"/>
  <c r="U135" i="45" s="1"/>
  <c r="T134" i="45"/>
  <c r="U134" i="45" s="1"/>
  <c r="T133" i="45"/>
  <c r="U133" i="45" s="1"/>
  <c r="T132" i="45"/>
  <c r="U132" i="45" s="1"/>
  <c r="T131" i="45"/>
  <c r="U131" i="45" s="1"/>
  <c r="G131" i="45"/>
  <c r="G132" i="45" s="1"/>
  <c r="T130" i="45"/>
  <c r="U130" i="45" s="1"/>
  <c r="T129" i="45"/>
  <c r="U129" i="45" s="1"/>
  <c r="T128" i="45"/>
  <c r="U128" i="45" s="1"/>
  <c r="T127" i="45"/>
  <c r="U127" i="45" s="1"/>
  <c r="F126" i="45"/>
  <c r="T167" i="45" l="1"/>
  <c r="U167" i="45" s="1"/>
  <c r="T115" i="45"/>
  <c r="U115" i="45" s="1"/>
  <c r="S122" i="45" l="1"/>
  <c r="R122" i="45"/>
  <c r="Q122" i="45"/>
  <c r="P122" i="45"/>
  <c r="O122" i="45"/>
  <c r="N122" i="45"/>
  <c r="M122" i="45"/>
  <c r="L122" i="45"/>
  <c r="K122" i="45"/>
  <c r="J122" i="45"/>
  <c r="I122" i="45"/>
  <c r="H122" i="45"/>
  <c r="T121" i="45"/>
  <c r="U121" i="45" s="1"/>
  <c r="T120" i="45"/>
  <c r="U120" i="45" s="1"/>
  <c r="T119" i="45"/>
  <c r="U119" i="45" s="1"/>
  <c r="T118" i="45"/>
  <c r="U118" i="45" s="1"/>
  <c r="T117" i="45"/>
  <c r="U117" i="45" s="1"/>
  <c r="T116" i="45"/>
  <c r="U116" i="45" s="1"/>
  <c r="T114" i="45"/>
  <c r="U114" i="45" s="1"/>
  <c r="T113" i="45"/>
  <c r="U113" i="45" s="1"/>
  <c r="T112" i="45"/>
  <c r="U112" i="45" s="1"/>
  <c r="T110" i="45"/>
  <c r="U110" i="45" s="1"/>
  <c r="T109" i="45"/>
  <c r="U109" i="45" s="1"/>
  <c r="T108" i="45"/>
  <c r="U108" i="45" s="1"/>
  <c r="T107" i="45"/>
  <c r="U107" i="45" s="1"/>
  <c r="T106" i="45"/>
  <c r="U106" i="45" s="1"/>
  <c r="T105" i="45"/>
  <c r="U105" i="45" s="1"/>
  <c r="T104" i="45"/>
  <c r="U104" i="45" s="1"/>
  <c r="T103" i="45"/>
  <c r="U103" i="45" s="1"/>
  <c r="T102" i="45"/>
  <c r="U102" i="45" s="1"/>
  <c r="T101" i="45"/>
  <c r="U101" i="45" s="1"/>
  <c r="T100" i="45"/>
  <c r="U100" i="45" s="1"/>
  <c r="T99" i="45"/>
  <c r="U99" i="45" s="1"/>
  <c r="T98" i="45"/>
  <c r="U98" i="45" s="1"/>
  <c r="T97" i="45"/>
  <c r="U97" i="45" s="1"/>
  <c r="T96" i="45"/>
  <c r="U96" i="45" s="1"/>
  <c r="T95" i="45"/>
  <c r="U95" i="45" s="1"/>
  <c r="T94" i="45"/>
  <c r="U94" i="45" s="1"/>
  <c r="T93" i="45"/>
  <c r="U93" i="45" s="1"/>
  <c r="T92" i="45"/>
  <c r="U92" i="45" s="1"/>
  <c r="T91" i="45"/>
  <c r="U91" i="45" s="1"/>
  <c r="T90" i="45"/>
  <c r="U90" i="45" s="1"/>
  <c r="T89" i="45"/>
  <c r="U89" i="45" s="1"/>
  <c r="G89" i="45"/>
  <c r="G90" i="45" s="1"/>
  <c r="T88" i="45"/>
  <c r="U88" i="45" s="1"/>
  <c r="T87" i="45"/>
  <c r="U87" i="45" s="1"/>
  <c r="T86" i="45"/>
  <c r="U86" i="45" s="1"/>
  <c r="T85" i="45"/>
  <c r="U85" i="45" s="1"/>
  <c r="F84" i="45"/>
  <c r="T122" i="45" l="1"/>
  <c r="U122" i="45" s="1"/>
  <c r="U119" i="44" l="1"/>
  <c r="T119" i="44"/>
  <c r="S119" i="44"/>
  <c r="R119" i="44"/>
  <c r="Q119" i="44"/>
  <c r="P119" i="44"/>
  <c r="O119" i="44"/>
  <c r="N119" i="44"/>
  <c r="M119" i="44"/>
  <c r="L119" i="44"/>
  <c r="K119" i="44"/>
  <c r="J119" i="44"/>
  <c r="I119" i="44"/>
  <c r="H119" i="44"/>
  <c r="V118" i="44"/>
  <c r="W118" i="44" s="1"/>
  <c r="V117" i="44"/>
  <c r="W117" i="44" s="1"/>
  <c r="V116" i="44"/>
  <c r="W116" i="44" s="1"/>
  <c r="V115" i="44"/>
  <c r="W115" i="44" s="1"/>
  <c r="V114" i="44"/>
  <c r="W114" i="44" s="1"/>
  <c r="V113" i="44"/>
  <c r="W113" i="44" s="1"/>
  <c r="V112" i="44"/>
  <c r="W112" i="44" s="1"/>
  <c r="V111" i="44"/>
  <c r="W111" i="44" s="1"/>
  <c r="V110" i="44"/>
  <c r="W110" i="44" s="1"/>
  <c r="V109" i="44"/>
  <c r="W109" i="44" s="1"/>
  <c r="V108" i="44"/>
  <c r="W108" i="44" s="1"/>
  <c r="V107" i="44"/>
  <c r="V106" i="44"/>
  <c r="W106" i="44" s="1"/>
  <c r="V104" i="44"/>
  <c r="W104" i="44" s="1"/>
  <c r="V103" i="44"/>
  <c r="W103" i="44" s="1"/>
  <c r="V102" i="44"/>
  <c r="W102" i="44" s="1"/>
  <c r="V101" i="44"/>
  <c r="V100" i="44"/>
  <c r="W100" i="44" s="1"/>
  <c r="V99" i="44"/>
  <c r="V98" i="44"/>
  <c r="W98" i="44" s="1"/>
  <c r="V97" i="44"/>
  <c r="W97" i="44" s="1"/>
  <c r="V96" i="44"/>
  <c r="V95" i="44"/>
  <c r="V94" i="44"/>
  <c r="V93" i="44"/>
  <c r="V92" i="44"/>
  <c r="V91" i="44"/>
  <c r="V90" i="44"/>
  <c r="V89" i="44"/>
  <c r="V88" i="44"/>
  <c r="W88" i="44" s="1"/>
  <c r="V87" i="44"/>
  <c r="W87" i="44" s="1"/>
  <c r="V86" i="44"/>
  <c r="V85" i="44"/>
  <c r="V84" i="44"/>
  <c r="W84" i="44" s="1"/>
  <c r="F83" i="44"/>
  <c r="W96" i="44" l="1"/>
  <c r="R13" i="43"/>
  <c r="R12" i="43"/>
  <c r="W90" i="44"/>
  <c r="R6" i="43"/>
  <c r="W85" i="44"/>
  <c r="R5" i="43"/>
  <c r="W86" i="44"/>
  <c r="R7" i="43"/>
  <c r="W92" i="44"/>
  <c r="R10" i="43"/>
  <c r="W91" i="44"/>
  <c r="R18" i="43"/>
  <c r="W93" i="44"/>
  <c r="R16" i="43"/>
  <c r="W99" i="44"/>
  <c r="R9" i="43"/>
  <c r="W94" i="44"/>
  <c r="R14" i="43"/>
  <c r="W107" i="44"/>
  <c r="R15" i="43"/>
  <c r="W89" i="44"/>
  <c r="R11" i="43"/>
  <c r="W95" i="44"/>
  <c r="R17" i="43"/>
  <c r="W101" i="44"/>
  <c r="R8" i="43"/>
  <c r="V119" i="44"/>
  <c r="W119" i="44" s="1"/>
  <c r="J116" i="42"/>
  <c r="N116" i="42" s="1"/>
  <c r="O116" i="42" s="1"/>
  <c r="N50" i="42"/>
  <c r="N115" i="42"/>
  <c r="O115" i="42" s="1"/>
  <c r="O111" i="42"/>
  <c r="O114" i="42"/>
  <c r="O118" i="42"/>
  <c r="O120" i="42"/>
  <c r="O123" i="42"/>
  <c r="O126" i="42"/>
  <c r="O127" i="42"/>
  <c r="O110" i="42"/>
  <c r="O107" i="42"/>
  <c r="O96" i="42"/>
  <c r="O97" i="42"/>
  <c r="O98" i="42"/>
  <c r="O99" i="42"/>
  <c r="O100" i="42"/>
  <c r="O101" i="42"/>
  <c r="O102" i="42"/>
  <c r="O103" i="42"/>
  <c r="O104" i="42"/>
  <c r="O105" i="42"/>
  <c r="O106" i="42"/>
  <c r="O95" i="42"/>
  <c r="O94" i="42"/>
  <c r="M129" i="42"/>
  <c r="L129" i="42"/>
  <c r="K129" i="42"/>
  <c r="H68" i="42" s="1"/>
  <c r="N128" i="42"/>
  <c r="O128" i="42" s="1"/>
  <c r="N125" i="42"/>
  <c r="O125" i="42" s="1"/>
  <c r="N124" i="42"/>
  <c r="O124" i="42" s="1"/>
  <c r="N122" i="42"/>
  <c r="O122" i="42" s="1"/>
  <c r="N121" i="42"/>
  <c r="O121" i="42" s="1"/>
  <c r="N119" i="42"/>
  <c r="O119" i="42" s="1"/>
  <c r="N117" i="42"/>
  <c r="O117" i="42" s="1"/>
  <c r="N113" i="42"/>
  <c r="O113" i="42" s="1"/>
  <c r="N112" i="42"/>
  <c r="O112" i="42" s="1"/>
  <c r="N109" i="42"/>
  <c r="O109" i="42" s="1"/>
  <c r="N107" i="42"/>
  <c r="N106" i="42"/>
  <c r="N105" i="42"/>
  <c r="N104" i="42"/>
  <c r="N102" i="42"/>
  <c r="N101" i="42"/>
  <c r="N100" i="42"/>
  <c r="N99" i="42"/>
  <c r="N98" i="42"/>
  <c r="N97" i="42"/>
  <c r="N96" i="42"/>
  <c r="N95" i="42"/>
  <c r="N94" i="42"/>
  <c r="N92" i="42"/>
  <c r="O92" i="42" s="1"/>
  <c r="N91" i="42"/>
  <c r="O91" i="42" s="1"/>
  <c r="N90" i="42"/>
  <c r="O90" i="42" s="1"/>
  <c r="N89" i="42"/>
  <c r="O89" i="42" s="1"/>
  <c r="N88" i="42"/>
  <c r="O88" i="42" s="1"/>
  <c r="N87" i="42"/>
  <c r="O87" i="42" s="1"/>
  <c r="N86" i="42"/>
  <c r="O86" i="42" s="1"/>
  <c r="N85" i="42"/>
  <c r="O85" i="42" s="1"/>
  <c r="N84" i="42"/>
  <c r="O84" i="42" s="1"/>
  <c r="N83" i="42"/>
  <c r="O83" i="42" s="1"/>
  <c r="N82" i="42"/>
  <c r="O82" i="42" s="1"/>
  <c r="N81" i="42"/>
  <c r="O81" i="42" s="1"/>
  <c r="N80" i="42"/>
  <c r="O80" i="42" s="1"/>
  <c r="N79" i="42"/>
  <c r="O79" i="42" s="1"/>
  <c r="N78" i="42"/>
  <c r="O78" i="42" s="1"/>
  <c r="N77" i="42"/>
  <c r="O77" i="42" s="1"/>
  <c r="N76" i="42"/>
  <c r="O76" i="42" s="1"/>
  <c r="N75" i="42"/>
  <c r="O75" i="42" s="1"/>
  <c r="N74" i="42"/>
  <c r="O74" i="42" s="1"/>
  <c r="N73" i="42"/>
  <c r="O73" i="42" s="1"/>
  <c r="N72" i="42"/>
  <c r="O72" i="42" s="1"/>
  <c r="N71" i="42"/>
  <c r="O71" i="42" s="1"/>
  <c r="N70" i="42"/>
  <c r="O70" i="42" s="1"/>
  <c r="N69" i="42"/>
  <c r="O69" i="42" s="1"/>
  <c r="G68" i="42"/>
  <c r="U79" i="44"/>
  <c r="T79" i="44"/>
  <c r="S79" i="44"/>
  <c r="R79" i="44"/>
  <c r="Q79" i="44"/>
  <c r="P79" i="44"/>
  <c r="O79" i="44"/>
  <c r="N79" i="44"/>
  <c r="M79" i="44"/>
  <c r="L79" i="44"/>
  <c r="K79" i="44"/>
  <c r="J79" i="44"/>
  <c r="I79" i="44"/>
  <c r="H79" i="44"/>
  <c r="V78" i="44"/>
  <c r="W78" i="44" s="1"/>
  <c r="V77" i="44"/>
  <c r="W77" i="44" s="1"/>
  <c r="V76" i="44"/>
  <c r="W76" i="44" s="1"/>
  <c r="V75" i="44"/>
  <c r="W75" i="44" s="1"/>
  <c r="V74" i="44"/>
  <c r="W74" i="44" s="1"/>
  <c r="V73" i="44"/>
  <c r="W73" i="44" s="1"/>
  <c r="V72" i="44"/>
  <c r="W72" i="44" s="1"/>
  <c r="V71" i="44"/>
  <c r="W71" i="44" s="1"/>
  <c r="V70" i="44"/>
  <c r="W70" i="44" s="1"/>
  <c r="V69" i="44"/>
  <c r="W69" i="44" s="1"/>
  <c r="V68" i="44"/>
  <c r="W68" i="44" s="1"/>
  <c r="V67" i="44"/>
  <c r="V66" i="44"/>
  <c r="W66" i="44" s="1"/>
  <c r="V64" i="44"/>
  <c r="W64" i="44" s="1"/>
  <c r="V63" i="44"/>
  <c r="W63" i="44" s="1"/>
  <c r="V62" i="44"/>
  <c r="W62" i="44" s="1"/>
  <c r="V61" i="44"/>
  <c r="V60" i="44"/>
  <c r="W60" i="44" s="1"/>
  <c r="V59" i="44"/>
  <c r="V58" i="44"/>
  <c r="W58" i="44" s="1"/>
  <c r="V57" i="44"/>
  <c r="W57" i="44" s="1"/>
  <c r="V56" i="44"/>
  <c r="V55" i="44"/>
  <c r="V54" i="44"/>
  <c r="V53" i="44"/>
  <c r="V52" i="44"/>
  <c r="V51" i="44"/>
  <c r="V50" i="44"/>
  <c r="V49" i="44"/>
  <c r="V48" i="44"/>
  <c r="W48" i="44" s="1"/>
  <c r="V47" i="44"/>
  <c r="W47" i="44" s="1"/>
  <c r="V46" i="44"/>
  <c r="V45" i="44"/>
  <c r="V44" i="44"/>
  <c r="W44" i="44" s="1"/>
  <c r="F43" i="44"/>
  <c r="R22" i="50"/>
  <c r="R24" i="50"/>
  <c r="R25" i="50"/>
  <c r="R26" i="50"/>
  <c r="R27" i="50"/>
  <c r="R28" i="50"/>
  <c r="R29" i="50"/>
  <c r="J129" i="42" l="1"/>
  <c r="W54" i="44"/>
  <c r="W67" i="44"/>
  <c r="W46" i="44"/>
  <c r="W49" i="44"/>
  <c r="W55" i="44"/>
  <c r="W61" i="44"/>
  <c r="W59" i="44"/>
  <c r="W50" i="44"/>
  <c r="W56" i="44"/>
  <c r="W52" i="44"/>
  <c r="W53" i="44"/>
  <c r="W51" i="44"/>
  <c r="V79" i="44"/>
  <c r="W79" i="44" s="1"/>
  <c r="N129" i="42"/>
  <c r="O129" i="42" s="1"/>
  <c r="W45" i="44"/>
  <c r="S80" i="45" l="1"/>
  <c r="R80" i="45"/>
  <c r="Q80" i="45"/>
  <c r="P80" i="45"/>
  <c r="O80" i="45"/>
  <c r="N80" i="45"/>
  <c r="M80" i="45"/>
  <c r="L80" i="45"/>
  <c r="K80" i="45"/>
  <c r="J80" i="45"/>
  <c r="I80" i="45"/>
  <c r="H80" i="45"/>
  <c r="T79" i="45"/>
  <c r="U79" i="45" s="1"/>
  <c r="T78" i="45"/>
  <c r="U78" i="45" s="1"/>
  <c r="T77" i="45"/>
  <c r="U77" i="45" s="1"/>
  <c r="T76" i="45"/>
  <c r="U76" i="45" s="1"/>
  <c r="T75" i="45"/>
  <c r="U75" i="45" s="1"/>
  <c r="T74" i="45"/>
  <c r="U74" i="45" s="1"/>
  <c r="T73" i="45"/>
  <c r="U73" i="45" s="1"/>
  <c r="T72" i="45"/>
  <c r="U72" i="45" s="1"/>
  <c r="T71" i="45"/>
  <c r="R17" i="48" s="1"/>
  <c r="T69" i="45"/>
  <c r="U69" i="45" s="1"/>
  <c r="T68" i="45"/>
  <c r="R18" i="48" s="1"/>
  <c r="T67" i="45"/>
  <c r="U67" i="45" s="1"/>
  <c r="T66" i="45"/>
  <c r="T65" i="45"/>
  <c r="U65" i="45" s="1"/>
  <c r="T64" i="45"/>
  <c r="U64" i="45" s="1"/>
  <c r="T63" i="45"/>
  <c r="T62" i="45"/>
  <c r="T61" i="45"/>
  <c r="R15" i="48" s="1"/>
  <c r="T60" i="45"/>
  <c r="U60" i="45" s="1"/>
  <c r="T59" i="45"/>
  <c r="T58" i="45"/>
  <c r="U58" i="45" s="1"/>
  <c r="T57" i="45"/>
  <c r="U57" i="45" s="1"/>
  <c r="T56" i="45"/>
  <c r="U56" i="45" s="1"/>
  <c r="T55" i="45"/>
  <c r="T54" i="45"/>
  <c r="T53" i="45"/>
  <c r="R7" i="48" s="1"/>
  <c r="T52" i="45"/>
  <c r="U52" i="45" s="1"/>
  <c r="T51" i="45"/>
  <c r="U51" i="45" s="1"/>
  <c r="T50" i="45"/>
  <c r="U50" i="45" s="1"/>
  <c r="T49" i="45"/>
  <c r="T48" i="45"/>
  <c r="G48" i="45"/>
  <c r="G49" i="45" s="1"/>
  <c r="T47" i="45"/>
  <c r="T46" i="45"/>
  <c r="T45" i="45"/>
  <c r="T44" i="45"/>
  <c r="F43" i="45"/>
  <c r="U49" i="45" l="1"/>
  <c r="R20" i="48"/>
  <c r="U45" i="45"/>
  <c r="R16" i="48"/>
  <c r="U46" i="45"/>
  <c r="R13" i="48"/>
  <c r="U63" i="45"/>
  <c r="R6" i="48"/>
  <c r="U59" i="45"/>
  <c r="R19" i="48"/>
  <c r="U44" i="45"/>
  <c r="R10" i="48"/>
  <c r="U55" i="45"/>
  <c r="R9" i="48"/>
  <c r="R22" i="48"/>
  <c r="U62" i="45"/>
  <c r="R14" i="48"/>
  <c r="U47" i="45"/>
  <c r="R11" i="48"/>
  <c r="U48" i="45"/>
  <c r="R5" i="48"/>
  <c r="U54" i="45"/>
  <c r="R8" i="48"/>
  <c r="U66" i="45"/>
  <c r="R12" i="48"/>
  <c r="U71" i="45"/>
  <c r="U61" i="45"/>
  <c r="U53" i="45"/>
  <c r="U68" i="45"/>
  <c r="T80" i="45"/>
  <c r="U80" i="45" s="1"/>
  <c r="O62" i="42" l="1"/>
  <c r="O46" i="42"/>
  <c r="O49" i="42"/>
  <c r="O50" i="42"/>
  <c r="O55" i="42"/>
  <c r="O58" i="42"/>
  <c r="O61" i="42"/>
  <c r="O45" i="42"/>
  <c r="O42" i="42"/>
  <c r="O31" i="42"/>
  <c r="O32" i="42"/>
  <c r="O33" i="42"/>
  <c r="O34" i="42"/>
  <c r="O35" i="42"/>
  <c r="O36" i="42"/>
  <c r="O37" i="42"/>
  <c r="O38" i="42"/>
  <c r="O39" i="42"/>
  <c r="O40" i="42"/>
  <c r="O41" i="42"/>
  <c r="O30" i="42"/>
  <c r="O29" i="42"/>
  <c r="N47" i="42" l="1"/>
  <c r="O47" i="42" s="1"/>
  <c r="N48" i="42"/>
  <c r="O48" i="42" s="1"/>
  <c r="N51" i="42"/>
  <c r="O51" i="42" s="1"/>
  <c r="N52" i="42"/>
  <c r="O52" i="42" s="1"/>
  <c r="N53" i="42"/>
  <c r="O53" i="42" s="1"/>
  <c r="N54" i="42"/>
  <c r="O54" i="42" s="1"/>
  <c r="N56" i="42"/>
  <c r="O56" i="42" s="1"/>
  <c r="N57" i="42"/>
  <c r="O57" i="42" s="1"/>
  <c r="N59" i="42"/>
  <c r="O59" i="42" s="1"/>
  <c r="N60" i="42"/>
  <c r="O60" i="42" s="1"/>
  <c r="N63" i="42"/>
  <c r="O63" i="42" s="1"/>
  <c r="N44" i="42"/>
  <c r="O44" i="42" s="1"/>
  <c r="N30" i="42"/>
  <c r="N31" i="42"/>
  <c r="N32" i="42"/>
  <c r="N33" i="42"/>
  <c r="N34" i="42"/>
  <c r="N35" i="42"/>
  <c r="N36" i="42"/>
  <c r="N37" i="42"/>
  <c r="N38" i="42"/>
  <c r="N39" i="42"/>
  <c r="N40" i="42"/>
  <c r="N41" i="42"/>
  <c r="N42" i="42"/>
  <c r="N29" i="42"/>
  <c r="N5" i="42"/>
  <c r="N6" i="42"/>
  <c r="N7" i="42"/>
  <c r="N8" i="42"/>
  <c r="N9" i="42"/>
  <c r="O9" i="42" s="1"/>
  <c r="N10" i="42"/>
  <c r="N11" i="42"/>
  <c r="O11" i="42" s="1"/>
  <c r="N12" i="42"/>
  <c r="N13" i="42"/>
  <c r="O13" i="42" s="1"/>
  <c r="N14" i="42"/>
  <c r="O14" i="42" s="1"/>
  <c r="N15" i="42"/>
  <c r="N16" i="42"/>
  <c r="N17" i="42"/>
  <c r="O17" i="42" s="1"/>
  <c r="N18" i="42"/>
  <c r="N19" i="42"/>
  <c r="O19" i="42" s="1"/>
  <c r="N20" i="42"/>
  <c r="O20" i="42" s="1"/>
  <c r="N21" i="42"/>
  <c r="O21" i="42" s="1"/>
  <c r="N22" i="42"/>
  <c r="N23" i="42"/>
  <c r="N24" i="42"/>
  <c r="O24" i="42" s="1"/>
  <c r="N25" i="42"/>
  <c r="O25" i="42" s="1"/>
  <c r="N26" i="42"/>
  <c r="O26" i="42" s="1"/>
  <c r="N27" i="42"/>
  <c r="O27" i="42" s="1"/>
  <c r="N4" i="42"/>
  <c r="O4" i="42" s="1"/>
  <c r="K64" i="42"/>
  <c r="H3" i="42" s="1"/>
  <c r="O5" i="42" l="1"/>
  <c r="O16" i="42"/>
  <c r="O10" i="42"/>
  <c r="O8" i="42"/>
  <c r="O23" i="42"/>
  <c r="O15" i="42"/>
  <c r="O22" i="42"/>
  <c r="O7" i="42"/>
  <c r="O18" i="42"/>
  <c r="O12" i="42"/>
  <c r="O6" i="42"/>
  <c r="F2" i="45"/>
  <c r="T3" i="45"/>
  <c r="U3" i="45" s="1"/>
  <c r="T4" i="45"/>
  <c r="T5" i="45"/>
  <c r="T6" i="45"/>
  <c r="G7" i="45"/>
  <c r="G8" i="45" s="1"/>
  <c r="T7" i="45"/>
  <c r="T8" i="45"/>
  <c r="T9" i="45"/>
  <c r="T10" i="45"/>
  <c r="U10" i="45" s="1"/>
  <c r="T11" i="45"/>
  <c r="U11" i="45" s="1"/>
  <c r="T12" i="45"/>
  <c r="T13" i="45"/>
  <c r="T14" i="45"/>
  <c r="T15" i="45"/>
  <c r="U15" i="45" s="1"/>
  <c r="T16" i="45"/>
  <c r="U16" i="45" s="1"/>
  <c r="T17" i="45"/>
  <c r="U17" i="45" s="1"/>
  <c r="T18" i="45"/>
  <c r="T19" i="45"/>
  <c r="U19" i="45" s="1"/>
  <c r="T20" i="45"/>
  <c r="T21" i="45"/>
  <c r="T22" i="45"/>
  <c r="T23" i="45"/>
  <c r="U23" i="45" s="1"/>
  <c r="T24" i="45"/>
  <c r="U24" i="45" s="1"/>
  <c r="T25" i="45"/>
  <c r="T26" i="45"/>
  <c r="U26" i="45" s="1"/>
  <c r="T27" i="45"/>
  <c r="T28" i="45"/>
  <c r="U28" i="45" s="1"/>
  <c r="T30" i="45"/>
  <c r="T31" i="45"/>
  <c r="U31" i="45" s="1"/>
  <c r="T32" i="45"/>
  <c r="U32" i="45" s="1"/>
  <c r="T33" i="45"/>
  <c r="U33" i="45" s="1"/>
  <c r="T34" i="45"/>
  <c r="U34" i="45" s="1"/>
  <c r="T35" i="45"/>
  <c r="U35" i="45" s="1"/>
  <c r="T36" i="45"/>
  <c r="U36" i="45" s="1"/>
  <c r="T37" i="45"/>
  <c r="U37" i="45" s="1"/>
  <c r="T38" i="45"/>
  <c r="U38" i="45" s="1"/>
  <c r="H39" i="45"/>
  <c r="I39" i="45"/>
  <c r="J39" i="45"/>
  <c r="K39" i="45"/>
  <c r="L39" i="45"/>
  <c r="M39" i="45"/>
  <c r="N39" i="45"/>
  <c r="O39" i="45"/>
  <c r="P39" i="45"/>
  <c r="Q39" i="45"/>
  <c r="R39" i="45"/>
  <c r="S39" i="45"/>
  <c r="U20" i="45" l="1"/>
  <c r="U12" i="45"/>
  <c r="U5" i="45"/>
  <c r="U27" i="45"/>
  <c r="U21" i="45"/>
  <c r="U9" i="45"/>
  <c r="U4" i="45"/>
  <c r="U18" i="45"/>
  <c r="U30" i="45"/>
  <c r="U6" i="45"/>
  <c r="U14" i="45"/>
  <c r="U8" i="45"/>
  <c r="U22" i="45"/>
  <c r="U25" i="45"/>
  <c r="U13" i="45"/>
  <c r="U7" i="45"/>
  <c r="T39" i="45"/>
  <c r="U39" i="45" s="1"/>
  <c r="U39" i="44" l="1"/>
  <c r="T39" i="44"/>
  <c r="S39" i="44"/>
  <c r="R39" i="44"/>
  <c r="Q39" i="44"/>
  <c r="P39" i="44"/>
  <c r="O39" i="44"/>
  <c r="N39" i="44"/>
  <c r="M39" i="44"/>
  <c r="L39" i="44"/>
  <c r="K39" i="44"/>
  <c r="J39" i="44"/>
  <c r="I39" i="44"/>
  <c r="H39" i="44"/>
  <c r="V38" i="44"/>
  <c r="W38" i="44" s="1"/>
  <c r="V37" i="44"/>
  <c r="W37" i="44" s="1"/>
  <c r="V36" i="44"/>
  <c r="W36" i="44" s="1"/>
  <c r="V35" i="44"/>
  <c r="W35" i="44" s="1"/>
  <c r="V34" i="44"/>
  <c r="W34" i="44" s="1"/>
  <c r="V33" i="44"/>
  <c r="W33" i="44" s="1"/>
  <c r="V32" i="44"/>
  <c r="W32" i="44" s="1"/>
  <c r="V31" i="44"/>
  <c r="W31" i="44" s="1"/>
  <c r="V30" i="44"/>
  <c r="W30" i="44" s="1"/>
  <c r="V29" i="44"/>
  <c r="W29" i="44" s="1"/>
  <c r="V28" i="44"/>
  <c r="W28" i="44" s="1"/>
  <c r="V27" i="44"/>
  <c r="V26" i="44"/>
  <c r="W26" i="44" s="1"/>
  <c r="V24" i="44"/>
  <c r="W24" i="44" s="1"/>
  <c r="V23" i="44"/>
  <c r="W23" i="44" s="1"/>
  <c r="V22" i="44"/>
  <c r="W22" i="44" s="1"/>
  <c r="V21" i="44"/>
  <c r="V20" i="44"/>
  <c r="W20" i="44" s="1"/>
  <c r="V19" i="44"/>
  <c r="V18" i="44"/>
  <c r="W18" i="44" s="1"/>
  <c r="V17" i="44"/>
  <c r="W17" i="44" s="1"/>
  <c r="V16" i="44"/>
  <c r="V15" i="44"/>
  <c r="V14" i="44"/>
  <c r="V13" i="44"/>
  <c r="V12" i="44"/>
  <c r="V11" i="44"/>
  <c r="V10" i="44"/>
  <c r="V9" i="44"/>
  <c r="V8" i="44"/>
  <c r="W8" i="44" s="1"/>
  <c r="V7" i="44"/>
  <c r="W7" i="44" s="1"/>
  <c r="V6" i="44"/>
  <c r="V5" i="44"/>
  <c r="V4" i="44"/>
  <c r="W4" i="44" s="1"/>
  <c r="F3" i="44"/>
  <c r="W16" i="44" l="1"/>
  <c r="W6" i="44"/>
  <c r="W12" i="44"/>
  <c r="W13" i="44"/>
  <c r="W19" i="44"/>
  <c r="W10" i="44"/>
  <c r="W5" i="44"/>
  <c r="W11" i="44"/>
  <c r="W14" i="44"/>
  <c r="W27" i="44"/>
  <c r="W9" i="44"/>
  <c r="W15" i="44"/>
  <c r="W21" i="44"/>
  <c r="V39" i="44"/>
  <c r="W39" i="44" s="1"/>
  <c r="M64" i="42" l="1"/>
  <c r="L64" i="42"/>
  <c r="J64" i="42"/>
  <c r="G3" i="42"/>
  <c r="N64" i="42" l="1"/>
  <c r="O64" i="42" s="1"/>
  <c r="W15" i="53"/>
  <c r="W4" i="53"/>
  <c r="R17" i="60" l="1"/>
  <c r="R18" i="60"/>
  <c r="R20" i="60"/>
  <c r="R21" i="60"/>
  <c r="R22" i="60"/>
  <c r="R24" i="60"/>
  <c r="R25" i="60"/>
  <c r="R29" i="60"/>
  <c r="R26" i="37" l="1"/>
  <c r="R27" i="37"/>
  <c r="R28" i="37"/>
  <c r="R29" i="37"/>
  <c r="R22" i="49" l="1"/>
  <c r="R23" i="49"/>
  <c r="R24" i="49"/>
  <c r="R25" i="49"/>
  <c r="R26" i="49"/>
  <c r="R27" i="49"/>
  <c r="R28" i="49"/>
  <c r="R16" i="61"/>
  <c r="R19" i="61"/>
  <c r="R22" i="61"/>
  <c r="R25" i="61"/>
  <c r="R26" i="61"/>
  <c r="R27" i="61"/>
  <c r="R28" i="61"/>
  <c r="R29" i="61"/>
  <c r="R30" i="61"/>
  <c r="S44" i="47" l="1"/>
  <c r="R44" i="47"/>
  <c r="Q44" i="47"/>
  <c r="P44" i="47"/>
  <c r="O44" i="47"/>
  <c r="N44" i="47"/>
  <c r="M44" i="47"/>
  <c r="L44" i="47"/>
  <c r="K44" i="47"/>
  <c r="J44" i="47"/>
  <c r="I44" i="47"/>
  <c r="H44" i="47"/>
  <c r="T43" i="47"/>
  <c r="U43" i="47" s="1"/>
  <c r="T42" i="47"/>
  <c r="U42" i="47" s="1"/>
  <c r="T41" i="47"/>
  <c r="U41" i="47" s="1"/>
  <c r="T40" i="47"/>
  <c r="T39" i="47"/>
  <c r="U39" i="47" s="1"/>
  <c r="T38" i="47"/>
  <c r="U38" i="47" s="1"/>
  <c r="T37" i="47"/>
  <c r="U37" i="47" s="1"/>
  <c r="T36" i="47"/>
  <c r="U36" i="47" s="1"/>
  <c r="T34" i="47"/>
  <c r="U34" i="47" s="1"/>
  <c r="T33" i="47"/>
  <c r="U33" i="47" s="1"/>
  <c r="T32" i="47"/>
  <c r="U32" i="47" s="1"/>
  <c r="T31" i="47"/>
  <c r="U31" i="47" s="1"/>
  <c r="T30" i="47"/>
  <c r="T29" i="47"/>
  <c r="U29" i="47" s="1"/>
  <c r="T28" i="47"/>
  <c r="U28" i="47" s="1"/>
  <c r="T27" i="47"/>
  <c r="T26" i="47"/>
  <c r="U26" i="47" s="1"/>
  <c r="T25" i="47"/>
  <c r="T24" i="47"/>
  <c r="T23" i="47"/>
  <c r="T22" i="47"/>
  <c r="T21" i="47"/>
  <c r="T20" i="47"/>
  <c r="U20" i="47" s="1"/>
  <c r="T19" i="47"/>
  <c r="U19" i="47" s="1"/>
  <c r="T18" i="47"/>
  <c r="U18" i="47" s="1"/>
  <c r="T17" i="47"/>
  <c r="U17" i="47" s="1"/>
  <c r="T16" i="47"/>
  <c r="U16" i="47" s="1"/>
  <c r="T15" i="47"/>
  <c r="T14" i="47"/>
  <c r="T13" i="47"/>
  <c r="T12" i="47"/>
  <c r="U12" i="47" s="1"/>
  <c r="T11" i="47"/>
  <c r="T10" i="47"/>
  <c r="T9" i="47"/>
  <c r="T8" i="47"/>
  <c r="U8" i="47" s="1"/>
  <c r="G8" i="47"/>
  <c r="G9" i="47" s="1"/>
  <c r="T7" i="47"/>
  <c r="T6" i="47"/>
  <c r="T5" i="47"/>
  <c r="T4" i="47"/>
  <c r="F3" i="47"/>
  <c r="R9" i="50" l="1"/>
  <c r="U15" i="47"/>
  <c r="R21" i="50"/>
  <c r="U10" i="47"/>
  <c r="R23" i="50"/>
  <c r="U22" i="47"/>
  <c r="R11" i="50"/>
  <c r="U14" i="47"/>
  <c r="R6" i="50"/>
  <c r="U4" i="47"/>
  <c r="R20" i="50"/>
  <c r="U21" i="47"/>
  <c r="R7" i="50"/>
  <c r="U13" i="47"/>
  <c r="R5" i="50"/>
  <c r="U25" i="47"/>
  <c r="R12" i="50"/>
  <c r="U9" i="47"/>
  <c r="R19" i="50"/>
  <c r="U27" i="47"/>
  <c r="U40" i="47"/>
  <c r="R10" i="50"/>
  <c r="R13" i="50"/>
  <c r="U5" i="47"/>
  <c r="R14" i="50"/>
  <c r="U6" i="47"/>
  <c r="R17" i="50"/>
  <c r="U11" i="47"/>
  <c r="R15" i="50"/>
  <c r="U23" i="47"/>
  <c r="R8" i="50"/>
  <c r="U7" i="47"/>
  <c r="R16" i="50"/>
  <c r="U24" i="47"/>
  <c r="R18" i="50"/>
  <c r="U30" i="47"/>
  <c r="T44" i="47"/>
  <c r="U44" i="47" s="1"/>
  <c r="S43" i="46"/>
  <c r="R43" i="46"/>
  <c r="Q43" i="46"/>
  <c r="P43" i="46"/>
  <c r="O43" i="46"/>
  <c r="N43" i="46"/>
  <c r="M43" i="46"/>
  <c r="L43" i="46"/>
  <c r="K43" i="46"/>
  <c r="J43" i="46"/>
  <c r="I43" i="46"/>
  <c r="H43" i="46"/>
  <c r="T42" i="46"/>
  <c r="U42" i="46" s="1"/>
  <c r="T41" i="46"/>
  <c r="U41" i="46" s="1"/>
  <c r="T40" i="46"/>
  <c r="U40" i="46" s="1"/>
  <c r="T39" i="46"/>
  <c r="U39" i="46" s="1"/>
  <c r="T38" i="46"/>
  <c r="U38" i="46" s="1"/>
  <c r="T37" i="46"/>
  <c r="U37" i="46" s="1"/>
  <c r="T36" i="46"/>
  <c r="U36" i="46" s="1"/>
  <c r="T35" i="46"/>
  <c r="U35" i="46" s="1"/>
  <c r="T33" i="46"/>
  <c r="U33" i="46" s="1"/>
  <c r="T32" i="46"/>
  <c r="U32" i="46" s="1"/>
  <c r="T31" i="46"/>
  <c r="U31" i="46" s="1"/>
  <c r="T30" i="46"/>
  <c r="U30" i="46" s="1"/>
  <c r="T29" i="46"/>
  <c r="U29" i="46" s="1"/>
  <c r="T28" i="46"/>
  <c r="U28" i="46" s="1"/>
  <c r="T27" i="46"/>
  <c r="U27" i="46" s="1"/>
  <c r="T26" i="46"/>
  <c r="U26" i="46" s="1"/>
  <c r="T25" i="46"/>
  <c r="U25" i="46" s="1"/>
  <c r="T24" i="46"/>
  <c r="U24" i="46" s="1"/>
  <c r="T23" i="46"/>
  <c r="U23" i="46" s="1"/>
  <c r="T22" i="46"/>
  <c r="U22" i="46" s="1"/>
  <c r="T21" i="46"/>
  <c r="U21" i="46" s="1"/>
  <c r="T20" i="46"/>
  <c r="U20" i="46" s="1"/>
  <c r="T19" i="46"/>
  <c r="U19" i="46" s="1"/>
  <c r="T18" i="46"/>
  <c r="U18" i="46" s="1"/>
  <c r="T17" i="46"/>
  <c r="U17" i="46" s="1"/>
  <c r="T16" i="46"/>
  <c r="U16" i="46" s="1"/>
  <c r="T15" i="46"/>
  <c r="T14" i="46"/>
  <c r="T13" i="46"/>
  <c r="U13" i="46" s="1"/>
  <c r="T12" i="46"/>
  <c r="U12" i="46" s="1"/>
  <c r="T11" i="46"/>
  <c r="U11" i="46" s="1"/>
  <c r="T10" i="46"/>
  <c r="U10" i="46" s="1"/>
  <c r="T9" i="46"/>
  <c r="U9" i="46" s="1"/>
  <c r="T8" i="46"/>
  <c r="U8" i="46" s="1"/>
  <c r="G8" i="46"/>
  <c r="G9" i="46" s="1"/>
  <c r="T7" i="46"/>
  <c r="U7" i="46" s="1"/>
  <c r="T6" i="46"/>
  <c r="U6" i="46" s="1"/>
  <c r="T5" i="46"/>
  <c r="U5" i="46" s="1"/>
  <c r="T4" i="46"/>
  <c r="U4" i="46" s="1"/>
  <c r="F3" i="46"/>
  <c r="U14" i="46" l="1"/>
  <c r="U15" i="46"/>
  <c r="T43" i="46"/>
  <c r="U43" i="46" s="1"/>
  <c r="R21" i="63"/>
  <c r="R27" i="63"/>
  <c r="R28" i="63"/>
  <c r="R29" i="63"/>
  <c r="G7" i="64" l="1"/>
  <c r="G8" i="64" s="1"/>
  <c r="B30" i="48" l="1"/>
  <c r="C30" i="48"/>
  <c r="E30" i="48"/>
  <c r="B31" i="48"/>
  <c r="C31" i="48"/>
  <c r="E31" i="48"/>
  <c r="D31" i="48" l="1"/>
  <c r="D30" i="48" l="1"/>
  <c r="U15" i="53" l="1"/>
  <c r="V15" i="53" s="1"/>
  <c r="Y15" i="53" l="1"/>
  <c r="F2" i="53" l="1"/>
  <c r="F2" i="64" l="1"/>
  <c r="B29" i="41" l="1"/>
  <c r="C29" i="41"/>
  <c r="E29" i="41"/>
  <c r="B30" i="43"/>
  <c r="C30" i="43"/>
  <c r="E30" i="43"/>
  <c r="D30" i="43" l="1"/>
  <c r="D29" i="41" l="1"/>
  <c r="B29" i="48" l="1"/>
  <c r="C29" i="48"/>
  <c r="D29" i="48"/>
  <c r="E29" i="48"/>
  <c r="B32" i="48"/>
  <c r="C32" i="48"/>
  <c r="E32" i="48"/>
  <c r="B29" i="43"/>
  <c r="C29" i="43"/>
  <c r="E29" i="43"/>
  <c r="D29" i="43" l="1"/>
  <c r="D32" i="48" l="1"/>
  <c r="E23" i="63" l="1"/>
  <c r="E24" i="63"/>
  <c r="E25" i="63"/>
  <c r="E26" i="63"/>
  <c r="E27" i="63"/>
  <c r="E28" i="63"/>
  <c r="D24" i="63"/>
  <c r="D25" i="63"/>
  <c r="D26" i="63"/>
  <c r="D27" i="63"/>
  <c r="D28" i="63"/>
  <c r="C23" i="63"/>
  <c r="C24" i="63"/>
  <c r="C25" i="63"/>
  <c r="C26" i="63"/>
  <c r="C27" i="63"/>
  <c r="C28" i="63"/>
  <c r="B23" i="63"/>
  <c r="B24" i="63"/>
  <c r="B25" i="63"/>
  <c r="B26" i="63"/>
  <c r="B27" i="63"/>
  <c r="B28" i="63"/>
  <c r="S42" i="66"/>
  <c r="R42" i="66"/>
  <c r="Q42" i="66"/>
  <c r="P42" i="66"/>
  <c r="O42" i="66"/>
  <c r="N42" i="66"/>
  <c r="M42" i="66"/>
  <c r="L42" i="66"/>
  <c r="K42" i="66"/>
  <c r="J42" i="66"/>
  <c r="I42" i="66"/>
  <c r="H42" i="66"/>
  <c r="T41" i="66"/>
  <c r="U41" i="66" s="1"/>
  <c r="T40" i="66"/>
  <c r="U40" i="66" s="1"/>
  <c r="T39" i="66"/>
  <c r="U39" i="66" s="1"/>
  <c r="T38" i="66"/>
  <c r="U38" i="66" s="1"/>
  <c r="T37" i="66"/>
  <c r="U37" i="66" s="1"/>
  <c r="T36" i="66"/>
  <c r="U36" i="66" s="1"/>
  <c r="U35" i="66"/>
  <c r="T34" i="66"/>
  <c r="U34" i="66" s="1"/>
  <c r="T33" i="66"/>
  <c r="U33" i="66" s="1"/>
  <c r="T31" i="66"/>
  <c r="U31" i="66" s="1"/>
  <c r="T30" i="66"/>
  <c r="U30" i="66" s="1"/>
  <c r="T29" i="66"/>
  <c r="U29" i="66" s="1"/>
  <c r="T28" i="66"/>
  <c r="T27" i="66"/>
  <c r="U27" i="66" s="1"/>
  <c r="T26" i="66"/>
  <c r="R26" i="63" s="1"/>
  <c r="T25" i="66"/>
  <c r="R19" i="63" s="1"/>
  <c r="T24" i="66"/>
  <c r="R22" i="63" s="1"/>
  <c r="T23" i="66"/>
  <c r="R20" i="63" s="1"/>
  <c r="T22" i="66"/>
  <c r="R23" i="63" s="1"/>
  <c r="T21" i="66"/>
  <c r="R7" i="63" s="1"/>
  <c r="T20" i="66"/>
  <c r="U20" i="66" s="1"/>
  <c r="T19" i="66"/>
  <c r="R25" i="63" s="1"/>
  <c r="T18" i="66"/>
  <c r="U18" i="66" s="1"/>
  <c r="T17" i="66"/>
  <c r="U17" i="66" s="1"/>
  <c r="T16" i="66"/>
  <c r="T15" i="66"/>
  <c r="R15" i="63" s="1"/>
  <c r="T14" i="66"/>
  <c r="R17" i="63" s="1"/>
  <c r="T13" i="66"/>
  <c r="R12" i="63" s="1"/>
  <c r="T12" i="66"/>
  <c r="R18" i="63" s="1"/>
  <c r="T11" i="66"/>
  <c r="R24" i="63" s="1"/>
  <c r="T10" i="66"/>
  <c r="U10" i="66" s="1"/>
  <c r="T9" i="66"/>
  <c r="R9" i="63" s="1"/>
  <c r="T8" i="66"/>
  <c r="R16" i="63" s="1"/>
  <c r="T7" i="66"/>
  <c r="R8" i="63" s="1"/>
  <c r="T6" i="66"/>
  <c r="R5" i="63" s="1"/>
  <c r="T5" i="66"/>
  <c r="R10" i="63" s="1"/>
  <c r="T4" i="66"/>
  <c r="R13" i="63" s="1"/>
  <c r="T3" i="66"/>
  <c r="U3" i="66" s="1"/>
  <c r="F2" i="66"/>
  <c r="D23" i="63" s="1"/>
  <c r="S42" i="64"/>
  <c r="R42" i="64"/>
  <c r="Q42" i="64"/>
  <c r="P42" i="64"/>
  <c r="O42" i="64"/>
  <c r="N42" i="64"/>
  <c r="M42" i="64"/>
  <c r="L42" i="64"/>
  <c r="K42" i="64"/>
  <c r="J42" i="64"/>
  <c r="I42" i="64"/>
  <c r="H42" i="64"/>
  <c r="T41" i="64"/>
  <c r="U41" i="64" s="1"/>
  <c r="T40" i="64"/>
  <c r="U40" i="64" s="1"/>
  <c r="T39" i="64"/>
  <c r="U39" i="64" s="1"/>
  <c r="T38" i="64"/>
  <c r="U38" i="64" s="1"/>
  <c r="T37" i="64"/>
  <c r="U37" i="64" s="1"/>
  <c r="T36" i="64"/>
  <c r="U36" i="64" s="1"/>
  <c r="U35" i="64"/>
  <c r="T34" i="64"/>
  <c r="U34" i="64" s="1"/>
  <c r="T33" i="64"/>
  <c r="U33" i="64" s="1"/>
  <c r="T31" i="64"/>
  <c r="U31" i="64" s="1"/>
  <c r="T30" i="64"/>
  <c r="U30" i="64" s="1"/>
  <c r="T29" i="64"/>
  <c r="U29" i="64" s="1"/>
  <c r="T28" i="64"/>
  <c r="T27" i="64"/>
  <c r="U27" i="64" s="1"/>
  <c r="T26" i="64"/>
  <c r="T25" i="64"/>
  <c r="T24" i="64"/>
  <c r="T23" i="64"/>
  <c r="T22" i="64"/>
  <c r="T21" i="64"/>
  <c r="T20" i="64"/>
  <c r="U20" i="64" s="1"/>
  <c r="T19" i="64"/>
  <c r="T18" i="64"/>
  <c r="T17" i="64"/>
  <c r="U17" i="64" s="1"/>
  <c r="T16" i="64"/>
  <c r="T15" i="64"/>
  <c r="T14" i="64"/>
  <c r="T13" i="64"/>
  <c r="T12" i="64"/>
  <c r="R12" i="37" s="1"/>
  <c r="T11" i="64"/>
  <c r="T10" i="64"/>
  <c r="U10" i="64" s="1"/>
  <c r="T9" i="64"/>
  <c r="T8" i="64"/>
  <c r="T7" i="64"/>
  <c r="T6" i="64"/>
  <c r="T5" i="64"/>
  <c r="T4" i="64"/>
  <c r="T3" i="64"/>
  <c r="E23" i="37"/>
  <c r="R14" i="63" l="1"/>
  <c r="U7" i="64"/>
  <c r="R16" i="37"/>
  <c r="U19" i="64"/>
  <c r="R23" i="37"/>
  <c r="U25" i="64"/>
  <c r="R20" i="37"/>
  <c r="U22" i="64"/>
  <c r="R19" i="37"/>
  <c r="U5" i="64"/>
  <c r="R5" i="37"/>
  <c r="U13" i="64"/>
  <c r="R6" i="37"/>
  <c r="U8" i="64"/>
  <c r="R13" i="37"/>
  <c r="U14" i="64"/>
  <c r="R9" i="37"/>
  <c r="U26" i="64"/>
  <c r="R24" i="37"/>
  <c r="U3" i="64"/>
  <c r="R7" i="37"/>
  <c r="U9" i="64"/>
  <c r="R25" i="37"/>
  <c r="U15" i="64"/>
  <c r="R15" i="37"/>
  <c r="U21" i="64"/>
  <c r="R10" i="37"/>
  <c r="U4" i="64"/>
  <c r="R11" i="37"/>
  <c r="U16" i="64"/>
  <c r="R17" i="37"/>
  <c r="U28" i="64"/>
  <c r="R18" i="37"/>
  <c r="U11" i="64"/>
  <c r="R22" i="37"/>
  <c r="U23" i="64"/>
  <c r="R21" i="37"/>
  <c r="U6" i="64"/>
  <c r="R8" i="37"/>
  <c r="U18" i="64"/>
  <c r="R14" i="37"/>
  <c r="U24" i="64"/>
  <c r="R30" i="37"/>
  <c r="R11" i="63"/>
  <c r="R6" i="63"/>
  <c r="U11" i="66"/>
  <c r="U9" i="66"/>
  <c r="U26" i="66"/>
  <c r="U21" i="66"/>
  <c r="U5" i="66"/>
  <c r="U16" i="66"/>
  <c r="U22" i="66"/>
  <c r="U28" i="66"/>
  <c r="U14" i="66"/>
  <c r="U4" i="66"/>
  <c r="U15" i="66"/>
  <c r="U6" i="66"/>
  <c r="U23" i="66"/>
  <c r="U7" i="66"/>
  <c r="U12" i="66"/>
  <c r="U24" i="66"/>
  <c r="U8" i="66"/>
  <c r="U13" i="66"/>
  <c r="U19" i="66"/>
  <c r="U25" i="66"/>
  <c r="U12" i="64"/>
  <c r="T42" i="66"/>
  <c r="U42" i="66" s="1"/>
  <c r="T42" i="64"/>
  <c r="U42" i="64" s="1"/>
  <c r="B23" i="37" l="1"/>
  <c r="C23" i="37"/>
  <c r="B24" i="37"/>
  <c r="B25" i="37"/>
  <c r="B26" i="37"/>
  <c r="B27" i="37"/>
  <c r="B28" i="37"/>
  <c r="E25" i="37" l="1"/>
  <c r="E26" i="37"/>
  <c r="E27" i="37"/>
  <c r="E28" i="37"/>
  <c r="D25" i="37"/>
  <c r="D26" i="37"/>
  <c r="D27" i="37"/>
  <c r="D28" i="37"/>
  <c r="C25" i="37"/>
  <c r="C26" i="37"/>
  <c r="C27" i="37"/>
  <c r="C28" i="37"/>
  <c r="E24" i="37"/>
  <c r="D24" i="37"/>
  <c r="C24" i="37"/>
  <c r="D23" i="37" l="1"/>
  <c r="D29" i="37" s="1"/>
  <c r="B24" i="41" l="1"/>
  <c r="B25" i="41"/>
  <c r="B26" i="41"/>
  <c r="B27" i="41"/>
  <c r="B28" i="41"/>
  <c r="B23" i="41"/>
  <c r="C24" i="41"/>
  <c r="C25" i="41"/>
  <c r="C26" i="41"/>
  <c r="C27" i="41"/>
  <c r="C28" i="41"/>
  <c r="C23" i="41"/>
  <c r="E24" i="41"/>
  <c r="E25" i="41"/>
  <c r="E26" i="41"/>
  <c r="E27" i="41"/>
  <c r="E28" i="41"/>
  <c r="E23" i="41"/>
  <c r="D24" i="41"/>
  <c r="D25" i="41"/>
  <c r="D26" i="41"/>
  <c r="D27" i="41"/>
  <c r="D28" i="41"/>
  <c r="D29" i="63" l="1"/>
  <c r="D23" i="41" l="1"/>
  <c r="D30" i="41" s="1"/>
  <c r="E28" i="43" l="1"/>
  <c r="R15" i="49" l="1"/>
  <c r="R21" i="49"/>
  <c r="R6" i="49"/>
  <c r="R7" i="49"/>
  <c r="R17" i="49"/>
  <c r="R18" i="49"/>
  <c r="R11" i="49"/>
  <c r="R5" i="49"/>
  <c r="R20" i="49"/>
  <c r="R16" i="49"/>
  <c r="R10" i="49"/>
  <c r="R14" i="49"/>
  <c r="R8" i="49"/>
  <c r="R9" i="49"/>
  <c r="R19" i="49"/>
  <c r="R13" i="49"/>
  <c r="R12" i="49" l="1"/>
  <c r="R40" i="53" l="1"/>
  <c r="W40" i="53" l="1"/>
  <c r="T40" i="53"/>
  <c r="S40" i="53"/>
  <c r="Q40" i="53"/>
  <c r="P40" i="53"/>
  <c r="O40" i="53"/>
  <c r="N40" i="53"/>
  <c r="M40" i="53"/>
  <c r="L40" i="53"/>
  <c r="K40" i="53"/>
  <c r="J40" i="53"/>
  <c r="I40" i="53"/>
  <c r="H40" i="53"/>
  <c r="W39" i="53"/>
  <c r="U39" i="53"/>
  <c r="V39" i="53" s="1"/>
  <c r="W38" i="53"/>
  <c r="U38" i="53"/>
  <c r="V38" i="53" s="1"/>
  <c r="W37" i="53"/>
  <c r="U37" i="53"/>
  <c r="V37" i="53" s="1"/>
  <c r="W36" i="53"/>
  <c r="U36" i="53"/>
  <c r="V36" i="53" s="1"/>
  <c r="W35" i="53"/>
  <c r="U35" i="53"/>
  <c r="V35" i="53" s="1"/>
  <c r="W34" i="53"/>
  <c r="U34" i="53"/>
  <c r="Y34" i="53" s="1"/>
  <c r="W33" i="53"/>
  <c r="U33" i="53"/>
  <c r="V33" i="53" s="1"/>
  <c r="Y32" i="53"/>
  <c r="W31" i="53"/>
  <c r="U31" i="53"/>
  <c r="R20" i="59" s="1"/>
  <c r="W30" i="53"/>
  <c r="U30" i="53"/>
  <c r="V30" i="53" s="1"/>
  <c r="W29" i="53"/>
  <c r="U29" i="53"/>
  <c r="Y29" i="53" s="1"/>
  <c r="W28" i="53"/>
  <c r="U28" i="53"/>
  <c r="R14" i="59" s="1"/>
  <c r="W27" i="53"/>
  <c r="U27" i="53"/>
  <c r="V27" i="53" s="1"/>
  <c r="W26" i="53"/>
  <c r="U26" i="53"/>
  <c r="Y26" i="53" s="1"/>
  <c r="W25" i="53"/>
  <c r="U25" i="53"/>
  <c r="V25" i="53" s="1"/>
  <c r="W24" i="53"/>
  <c r="U24" i="53"/>
  <c r="V24" i="53" s="1"/>
  <c r="W23" i="53"/>
  <c r="U23" i="53"/>
  <c r="R13" i="59" s="1"/>
  <c r="W22" i="53"/>
  <c r="U22" i="53"/>
  <c r="R11" i="59" s="1"/>
  <c r="W21" i="53"/>
  <c r="U21" i="53"/>
  <c r="R7" i="59" s="1"/>
  <c r="W20" i="53"/>
  <c r="U20" i="53"/>
  <c r="W19" i="53"/>
  <c r="U19" i="53"/>
  <c r="R22" i="59" s="1"/>
  <c r="W18" i="53"/>
  <c r="U18" i="53"/>
  <c r="R12" i="59" s="1"/>
  <c r="W17" i="53"/>
  <c r="U17" i="53"/>
  <c r="V17" i="53" s="1"/>
  <c r="W16" i="53"/>
  <c r="U16" i="53"/>
  <c r="R19" i="59" s="1"/>
  <c r="W14" i="53"/>
  <c r="U14" i="53"/>
  <c r="R15" i="59" s="1"/>
  <c r="W13" i="53"/>
  <c r="U13" i="53"/>
  <c r="R8" i="59" s="1"/>
  <c r="W12" i="53"/>
  <c r="U12" i="53"/>
  <c r="V12" i="53" s="1"/>
  <c r="W11" i="53"/>
  <c r="U11" i="53"/>
  <c r="Y11" i="53" s="1"/>
  <c r="W10" i="53"/>
  <c r="U10" i="53"/>
  <c r="R6" i="59" s="1"/>
  <c r="W9" i="53"/>
  <c r="U9" i="53"/>
  <c r="R25" i="59" s="1"/>
  <c r="W8" i="53"/>
  <c r="U8" i="53"/>
  <c r="R9" i="59" s="1"/>
  <c r="W7" i="53"/>
  <c r="U7" i="53"/>
  <c r="V7" i="53" s="1"/>
  <c r="W6" i="53"/>
  <c r="U6" i="53"/>
  <c r="R5" i="59" s="1"/>
  <c r="W5" i="53"/>
  <c r="U5" i="53"/>
  <c r="R18" i="59" s="1"/>
  <c r="U4" i="53"/>
  <c r="R17" i="59" s="1"/>
  <c r="W3" i="53"/>
  <c r="U3" i="53"/>
  <c r="R10" i="59" s="1"/>
  <c r="V3" i="53" l="1"/>
  <c r="Y20" i="53"/>
  <c r="V28" i="53"/>
  <c r="Y23" i="53"/>
  <c r="V31" i="53"/>
  <c r="V22" i="53"/>
  <c r="V19" i="53"/>
  <c r="V21" i="53"/>
  <c r="V13" i="53"/>
  <c r="Y18" i="53"/>
  <c r="V6" i="53"/>
  <c r="V10" i="53"/>
  <c r="Y5" i="53"/>
  <c r="V16" i="53"/>
  <c r="Y8" i="53"/>
  <c r="Y14" i="53"/>
  <c r="V4" i="53"/>
  <c r="V9" i="53"/>
  <c r="Y24" i="53"/>
  <c r="Y16" i="53"/>
  <c r="Y3" i="53"/>
  <c r="Y37" i="53"/>
  <c r="V18" i="53"/>
  <c r="V34" i="53"/>
  <c r="Y12" i="53"/>
  <c r="Y30" i="53"/>
  <c r="Y35" i="53"/>
  <c r="Y9" i="53"/>
  <c r="Y27" i="53"/>
  <c r="Y38" i="53"/>
  <c r="Y21" i="53"/>
  <c r="Y6" i="53"/>
  <c r="U40" i="53"/>
  <c r="Y40" i="53" s="1"/>
  <c r="Y33" i="53"/>
  <c r="Y36" i="53"/>
  <c r="Y39" i="53"/>
  <c r="Y7" i="53"/>
  <c r="Y10" i="53"/>
  <c r="Y13" i="53"/>
  <c r="Y22" i="53"/>
  <c r="Y25" i="53"/>
  <c r="Y28" i="53"/>
  <c r="Y31" i="53"/>
  <c r="V5" i="53"/>
  <c r="V8" i="53"/>
  <c r="V11" i="53"/>
  <c r="V14" i="53"/>
  <c r="V20" i="53"/>
  <c r="V23" i="53"/>
  <c r="V26" i="53"/>
  <c r="V29" i="53"/>
  <c r="V40" i="53" l="1"/>
  <c r="T41" i="57" l="1"/>
  <c r="T33" i="57"/>
  <c r="T34" i="57"/>
  <c r="T35" i="57"/>
  <c r="T36" i="57"/>
  <c r="T37" i="57"/>
  <c r="T38" i="57"/>
  <c r="T39" i="57"/>
  <c r="T40" i="57"/>
  <c r="R12" i="61" s="1"/>
  <c r="T32" i="57"/>
  <c r="T30" i="57"/>
  <c r="R23" i="61" s="1"/>
  <c r="T4" i="57"/>
  <c r="R21" i="61" s="1"/>
  <c r="T5" i="57"/>
  <c r="R7" i="61" s="1"/>
  <c r="T6" i="57"/>
  <c r="R9" i="61" s="1"/>
  <c r="T7" i="57"/>
  <c r="T8" i="57"/>
  <c r="R14" i="61" s="1"/>
  <c r="T9" i="57"/>
  <c r="R13" i="61" s="1"/>
  <c r="T10" i="57"/>
  <c r="T11" i="57"/>
  <c r="T12" i="57"/>
  <c r="T13" i="57"/>
  <c r="T14" i="57"/>
  <c r="R15" i="61" s="1"/>
  <c r="T15" i="57"/>
  <c r="T16" i="57"/>
  <c r="T17" i="57"/>
  <c r="R5" i="61" s="1"/>
  <c r="T18" i="57"/>
  <c r="R20" i="61" s="1"/>
  <c r="T19" i="57"/>
  <c r="T20" i="57"/>
  <c r="R6" i="61" s="1"/>
  <c r="T21" i="57"/>
  <c r="R17" i="61" s="1"/>
  <c r="T22" i="57"/>
  <c r="R24" i="61" s="1"/>
  <c r="T23" i="57"/>
  <c r="T24" i="57"/>
  <c r="T25" i="57"/>
  <c r="T26" i="57"/>
  <c r="T27" i="57"/>
  <c r="R8" i="61" s="1"/>
  <c r="T28" i="57"/>
  <c r="T29" i="57"/>
  <c r="T3" i="57"/>
  <c r="R10" i="61" s="1"/>
  <c r="R11" i="61" l="1"/>
  <c r="R18" i="61"/>
  <c r="U4" i="57"/>
  <c r="U4" i="56" l="1"/>
  <c r="R14" i="60" s="1"/>
  <c r="V31" i="56"/>
  <c r="V4" i="56" l="1"/>
  <c r="W39" i="56"/>
  <c r="T39" i="56"/>
  <c r="S39" i="56"/>
  <c r="R39" i="56"/>
  <c r="Q39" i="56"/>
  <c r="P39" i="56"/>
  <c r="O39" i="56"/>
  <c r="N39" i="56"/>
  <c r="M39" i="56"/>
  <c r="L39" i="56"/>
  <c r="K39" i="56"/>
  <c r="J39" i="56"/>
  <c r="I39" i="56"/>
  <c r="H39" i="56"/>
  <c r="W38" i="56"/>
  <c r="U38" i="56"/>
  <c r="V38" i="56" s="1"/>
  <c r="W37" i="56"/>
  <c r="U37" i="56"/>
  <c r="R19" i="60" s="1"/>
  <c r="W36" i="56"/>
  <c r="U36" i="56"/>
  <c r="W35" i="56"/>
  <c r="U35" i="56"/>
  <c r="V35" i="56" s="1"/>
  <c r="W34" i="56"/>
  <c r="U34" i="56"/>
  <c r="V34" i="56" s="1"/>
  <c r="W33" i="56"/>
  <c r="U33" i="56"/>
  <c r="W32" i="56"/>
  <c r="U32" i="56"/>
  <c r="V32" i="56" s="1"/>
  <c r="Y31" i="56"/>
  <c r="W30" i="56"/>
  <c r="U30" i="56"/>
  <c r="V30" i="56" s="1"/>
  <c r="W29" i="56"/>
  <c r="U29" i="56"/>
  <c r="V29" i="56" s="1"/>
  <c r="W28" i="56"/>
  <c r="U28" i="56"/>
  <c r="W27" i="56"/>
  <c r="U27" i="56"/>
  <c r="R15" i="60" s="1"/>
  <c r="W26" i="56"/>
  <c r="U26" i="56"/>
  <c r="W25" i="56"/>
  <c r="U25" i="56"/>
  <c r="W24" i="56"/>
  <c r="U24" i="56"/>
  <c r="V24" i="56" s="1"/>
  <c r="W23" i="56"/>
  <c r="U23" i="56"/>
  <c r="V23" i="56" s="1"/>
  <c r="W22" i="56"/>
  <c r="U22" i="56"/>
  <c r="R26" i="60" s="1"/>
  <c r="W21" i="56"/>
  <c r="U21" i="56"/>
  <c r="R23" i="60" s="1"/>
  <c r="W20" i="56"/>
  <c r="U20" i="56"/>
  <c r="R8" i="60" s="1"/>
  <c r="W19" i="56"/>
  <c r="U19" i="56"/>
  <c r="R30" i="60" s="1"/>
  <c r="W18" i="56"/>
  <c r="U18" i="56"/>
  <c r="R28" i="60" s="1"/>
  <c r="W17" i="56"/>
  <c r="U17" i="56"/>
  <c r="W16" i="56"/>
  <c r="U16" i="56"/>
  <c r="V16" i="56" s="1"/>
  <c r="W15" i="56"/>
  <c r="U15" i="56"/>
  <c r="W14" i="56"/>
  <c r="U14" i="56"/>
  <c r="R16" i="60" s="1"/>
  <c r="W13" i="56"/>
  <c r="U13" i="56"/>
  <c r="R5" i="60" s="1"/>
  <c r="W12" i="56"/>
  <c r="U12" i="56"/>
  <c r="R13" i="60" s="1"/>
  <c r="W11" i="56"/>
  <c r="U11" i="56"/>
  <c r="W10" i="56"/>
  <c r="U10" i="56"/>
  <c r="V10" i="56" s="1"/>
  <c r="W9" i="56"/>
  <c r="U9" i="56"/>
  <c r="R27" i="60" s="1"/>
  <c r="W8" i="56"/>
  <c r="U8" i="56"/>
  <c r="R11" i="60" s="1"/>
  <c r="W7" i="56"/>
  <c r="U7" i="56"/>
  <c r="V7" i="56" s="1"/>
  <c r="W6" i="56"/>
  <c r="U6" i="56"/>
  <c r="R6" i="60" s="1"/>
  <c r="W5" i="56"/>
  <c r="U5" i="56"/>
  <c r="R10" i="60" s="1"/>
  <c r="W3" i="56"/>
  <c r="U3" i="56"/>
  <c r="R9" i="60" s="1"/>
  <c r="F2" i="56"/>
  <c r="R12" i="60" l="1"/>
  <c r="R7" i="60"/>
  <c r="V3" i="56"/>
  <c r="V21" i="56"/>
  <c r="V6" i="56"/>
  <c r="V13" i="56"/>
  <c r="V18" i="56"/>
  <c r="V27" i="56"/>
  <c r="V12" i="56"/>
  <c r="Y29" i="56"/>
  <c r="Y33" i="56"/>
  <c r="V33" i="56"/>
  <c r="Y36" i="56"/>
  <c r="V36" i="56"/>
  <c r="Y37" i="56"/>
  <c r="V37" i="56"/>
  <c r="Y14" i="56"/>
  <c r="V14" i="56"/>
  <c r="Y22" i="56"/>
  <c r="V22" i="56"/>
  <c r="Y26" i="56"/>
  <c r="V26" i="56"/>
  <c r="Y17" i="56"/>
  <c r="V17" i="56"/>
  <c r="Y8" i="56"/>
  <c r="V8" i="56"/>
  <c r="Y20" i="56"/>
  <c r="V20" i="56"/>
  <c r="Y28" i="56"/>
  <c r="V28" i="56"/>
  <c r="Y5" i="56"/>
  <c r="V5" i="56"/>
  <c r="Y9" i="56"/>
  <c r="V9" i="56"/>
  <c r="Y11" i="56"/>
  <c r="V11" i="56"/>
  <c r="Y15" i="56"/>
  <c r="V15" i="56"/>
  <c r="Y19" i="56"/>
  <c r="V19" i="56"/>
  <c r="Y25" i="56"/>
  <c r="V25" i="56"/>
  <c r="Y23" i="56"/>
  <c r="Y34" i="56"/>
  <c r="Y10" i="56"/>
  <c r="U39" i="56"/>
  <c r="Y12" i="56"/>
  <c r="Y6" i="56"/>
  <c r="Y3" i="56"/>
  <c r="Y21" i="56"/>
  <c r="Y27" i="56"/>
  <c r="Y7" i="56"/>
  <c r="Y13" i="56"/>
  <c r="Y24" i="56"/>
  <c r="Y30" i="56"/>
  <c r="Y32" i="56"/>
  <c r="Y35" i="56"/>
  <c r="Y38" i="56"/>
  <c r="Y39" i="56" l="1"/>
  <c r="V39" i="56"/>
  <c r="E24" i="43" l="1"/>
  <c r="B24" i="61" l="1"/>
  <c r="E23" i="61"/>
  <c r="E24" i="61"/>
  <c r="E25" i="61"/>
  <c r="E26" i="61"/>
  <c r="E27" i="61"/>
  <c r="E28" i="61"/>
  <c r="D24" i="61"/>
  <c r="D25" i="61"/>
  <c r="D26" i="61"/>
  <c r="D27" i="61"/>
  <c r="D28" i="61"/>
  <c r="C23" i="61"/>
  <c r="C24" i="61"/>
  <c r="C25" i="61"/>
  <c r="C26" i="61"/>
  <c r="C27" i="61"/>
  <c r="C28" i="61"/>
  <c r="B23" i="61"/>
  <c r="B25" i="61"/>
  <c r="B26" i="61"/>
  <c r="B27" i="61"/>
  <c r="B28" i="61"/>
  <c r="E23" i="60" l="1"/>
  <c r="E24" i="60"/>
  <c r="E25" i="60"/>
  <c r="E26" i="60"/>
  <c r="E27" i="60"/>
  <c r="E28" i="60"/>
  <c r="D24" i="60"/>
  <c r="D25" i="60"/>
  <c r="D26" i="60"/>
  <c r="D27" i="60"/>
  <c r="D28" i="60"/>
  <c r="C23" i="60"/>
  <c r="C24" i="60"/>
  <c r="C25" i="60"/>
  <c r="C26" i="60"/>
  <c r="C27" i="60"/>
  <c r="C28" i="60"/>
  <c r="B23" i="60"/>
  <c r="B24" i="60"/>
  <c r="B25" i="60"/>
  <c r="B26" i="60"/>
  <c r="B27" i="60"/>
  <c r="B28" i="60"/>
  <c r="B24" i="59" l="1"/>
  <c r="E23" i="59" l="1"/>
  <c r="E24" i="59"/>
  <c r="E25" i="59"/>
  <c r="E26" i="59"/>
  <c r="E27" i="59"/>
  <c r="E28" i="59"/>
  <c r="B23" i="59"/>
  <c r="B25" i="59"/>
  <c r="B26" i="59"/>
  <c r="B27" i="59"/>
  <c r="B28" i="59"/>
  <c r="C23" i="59"/>
  <c r="C24" i="59"/>
  <c r="C25" i="59"/>
  <c r="C26" i="59"/>
  <c r="C27" i="59"/>
  <c r="C28" i="59"/>
  <c r="D23" i="59"/>
  <c r="D24" i="59"/>
  <c r="D25" i="59"/>
  <c r="D26" i="59"/>
  <c r="D27" i="59"/>
  <c r="D28" i="59"/>
  <c r="D29" i="59" l="1"/>
  <c r="D23" i="60"/>
  <c r="D29" i="60" s="1"/>
  <c r="V42" i="57" l="1"/>
  <c r="S42" i="57"/>
  <c r="R42" i="57"/>
  <c r="Q42" i="57"/>
  <c r="P42" i="57"/>
  <c r="O42" i="57"/>
  <c r="N42" i="57"/>
  <c r="M42" i="57"/>
  <c r="L42" i="57"/>
  <c r="K42" i="57"/>
  <c r="J42" i="57"/>
  <c r="I42" i="57"/>
  <c r="H42" i="57"/>
  <c r="V41" i="57"/>
  <c r="V40" i="57"/>
  <c r="U40" i="57"/>
  <c r="V39" i="57"/>
  <c r="U39" i="57"/>
  <c r="V38" i="57"/>
  <c r="V37" i="57"/>
  <c r="U37" i="57"/>
  <c r="U36" i="57"/>
  <c r="U35" i="57"/>
  <c r="U34" i="57"/>
  <c r="V33" i="57"/>
  <c r="U33" i="57"/>
  <c r="V32" i="57"/>
  <c r="X31" i="57"/>
  <c r="V30" i="57"/>
  <c r="V29" i="57"/>
  <c r="U29" i="57"/>
  <c r="V28" i="57"/>
  <c r="V27" i="57"/>
  <c r="V26" i="57"/>
  <c r="U26" i="57"/>
  <c r="V25" i="57"/>
  <c r="V24" i="57"/>
  <c r="V23" i="57"/>
  <c r="U23" i="57"/>
  <c r="V22" i="57"/>
  <c r="V21" i="57"/>
  <c r="V20" i="57"/>
  <c r="U20" i="57"/>
  <c r="V19" i="57"/>
  <c r="V18" i="57"/>
  <c r="U18" i="57"/>
  <c r="V17" i="57"/>
  <c r="V16" i="57"/>
  <c r="U16" i="57"/>
  <c r="V15" i="57"/>
  <c r="U15" i="57"/>
  <c r="V14" i="57"/>
  <c r="V13" i="57"/>
  <c r="V12" i="57"/>
  <c r="U12" i="57"/>
  <c r="V11" i="57"/>
  <c r="V10" i="57"/>
  <c r="V9" i="57"/>
  <c r="U9" i="57"/>
  <c r="V8" i="57"/>
  <c r="V7" i="57"/>
  <c r="V6" i="57"/>
  <c r="U6" i="57"/>
  <c r="V5" i="57"/>
  <c r="V3" i="57"/>
  <c r="U3" i="57"/>
  <c r="F2" i="57"/>
  <c r="D23" i="61" s="1"/>
  <c r="D29" i="61" s="1"/>
  <c r="T42" i="57" l="1"/>
  <c r="X14" i="57"/>
  <c r="U14" i="57"/>
  <c r="X25" i="57"/>
  <c r="U25" i="57"/>
  <c r="X41" i="57"/>
  <c r="U41" i="57"/>
  <c r="X22" i="57"/>
  <c r="U22" i="57"/>
  <c r="X23" i="57"/>
  <c r="X32" i="57"/>
  <c r="U32" i="57"/>
  <c r="X21" i="57"/>
  <c r="U21" i="57"/>
  <c r="X8" i="57"/>
  <c r="U8" i="57"/>
  <c r="X10" i="57"/>
  <c r="U10" i="57"/>
  <c r="X27" i="57"/>
  <c r="U27" i="57"/>
  <c r="X5" i="57"/>
  <c r="U5" i="57"/>
  <c r="X7" i="57"/>
  <c r="U7" i="57"/>
  <c r="X11" i="57"/>
  <c r="U11" i="57"/>
  <c r="X13" i="57"/>
  <c r="U13" i="57"/>
  <c r="X17" i="57"/>
  <c r="U17" i="57"/>
  <c r="X19" i="57"/>
  <c r="U19" i="57"/>
  <c r="X20" i="57"/>
  <c r="X24" i="57"/>
  <c r="U24" i="57"/>
  <c r="X28" i="57"/>
  <c r="U28" i="57"/>
  <c r="X30" i="57"/>
  <c r="U30" i="57"/>
  <c r="X38" i="57"/>
  <c r="U38" i="57"/>
  <c r="X39" i="57"/>
  <c r="X33" i="57"/>
  <c r="X37" i="57"/>
  <c r="X3" i="57"/>
  <c r="X9" i="57"/>
  <c r="X29" i="57"/>
  <c r="X12" i="57"/>
  <c r="X40" i="57"/>
  <c r="X15" i="57"/>
  <c r="X6" i="57"/>
  <c r="X26" i="57"/>
  <c r="X42" i="57" l="1"/>
  <c r="U42" i="57"/>
  <c r="N38" i="51" l="1"/>
  <c r="G38" i="51"/>
  <c r="H38" i="51"/>
  <c r="I38" i="51"/>
  <c r="J38" i="51"/>
  <c r="K38" i="51"/>
  <c r="L38" i="51"/>
  <c r="M38" i="51"/>
  <c r="F38" i="51"/>
  <c r="E38" i="51"/>
  <c r="O12" i="51"/>
  <c r="P12" i="51" s="1"/>
  <c r="O13" i="51"/>
  <c r="P13" i="51" s="1"/>
  <c r="O14" i="51"/>
  <c r="P14" i="51" s="1"/>
  <c r="O15" i="51"/>
  <c r="P15" i="51" s="1"/>
  <c r="O16" i="51"/>
  <c r="P16" i="51" s="1"/>
  <c r="O17" i="51"/>
  <c r="P17" i="51" s="1"/>
  <c r="O18" i="51"/>
  <c r="P18" i="51" s="1"/>
  <c r="O19" i="51"/>
  <c r="P19" i="51" s="1"/>
  <c r="O20" i="51"/>
  <c r="P20" i="51" s="1"/>
  <c r="O21" i="51"/>
  <c r="P21" i="51" s="1"/>
  <c r="O22" i="51"/>
  <c r="P22" i="51" s="1"/>
  <c r="O23" i="51"/>
  <c r="P23" i="51" s="1"/>
  <c r="O24" i="51"/>
  <c r="P24" i="51" s="1"/>
  <c r="O25" i="51"/>
  <c r="P25" i="51" s="1"/>
  <c r="O26" i="51"/>
  <c r="P26" i="51" s="1"/>
  <c r="O27" i="51"/>
  <c r="P27" i="51" s="1"/>
  <c r="O28" i="51"/>
  <c r="P28" i="51" s="1"/>
  <c r="O29" i="51"/>
  <c r="P29" i="51" s="1"/>
  <c r="O30" i="51"/>
  <c r="P30" i="51" s="1"/>
  <c r="O31" i="51"/>
  <c r="P31" i="51" s="1"/>
  <c r="O32" i="51"/>
  <c r="P32" i="51" s="1"/>
  <c r="O33" i="51"/>
  <c r="P33" i="51" s="1"/>
  <c r="O34" i="51"/>
  <c r="P34" i="51" s="1"/>
  <c r="O35" i="51"/>
  <c r="P35" i="51" s="1"/>
  <c r="O36" i="51"/>
  <c r="P36" i="51" s="1"/>
  <c r="O37" i="51"/>
  <c r="P37" i="51" s="1"/>
  <c r="O11" i="51"/>
  <c r="P11" i="51" s="1"/>
  <c r="O10" i="51"/>
  <c r="P10" i="51" s="1"/>
  <c r="O38" i="51" l="1"/>
  <c r="P38" i="51" s="1"/>
  <c r="E23" i="50" l="1"/>
  <c r="B23" i="50" l="1"/>
  <c r="C23" i="50"/>
  <c r="B24" i="49" l="1"/>
  <c r="C24" i="49" l="1"/>
  <c r="E24" i="49"/>
  <c r="C24" i="43" l="1"/>
  <c r="E28" i="48" l="1"/>
  <c r="C28" i="48"/>
  <c r="C23" i="48"/>
  <c r="E23" i="48"/>
  <c r="E26" i="49" l="1"/>
  <c r="E27" i="49"/>
  <c r="C26" i="49"/>
  <c r="E23" i="49"/>
  <c r="C23" i="49"/>
  <c r="C27" i="49"/>
  <c r="C28" i="49"/>
  <c r="C25" i="49"/>
  <c r="E28" i="49"/>
  <c r="E25" i="49"/>
  <c r="B26" i="49" l="1"/>
  <c r="B28" i="49" l="1"/>
  <c r="B27" i="49"/>
  <c r="B25" i="49"/>
  <c r="D23" i="49"/>
  <c r="D29" i="49" s="1"/>
  <c r="B23" i="49"/>
  <c r="B23" i="48" l="1"/>
  <c r="B28" i="48" l="1"/>
  <c r="D25" i="49" l="1"/>
  <c r="D24" i="49"/>
  <c r="D28" i="48" l="1"/>
  <c r="B24" i="43" l="1"/>
  <c r="D23" i="48" l="1"/>
  <c r="D24" i="43" l="1"/>
  <c r="E27" i="50" l="1"/>
  <c r="C27" i="50"/>
  <c r="B27" i="50"/>
  <c r="D28" i="49" l="1"/>
  <c r="D27" i="50" l="1"/>
  <c r="D27" i="49" l="1"/>
  <c r="E25" i="43" l="1"/>
  <c r="E27" i="43"/>
  <c r="E26" i="43"/>
  <c r="E26" i="48"/>
  <c r="E23" i="43" l="1"/>
  <c r="D23" i="43"/>
  <c r="D26" i="43"/>
  <c r="B26" i="43"/>
  <c r="C26" i="43"/>
  <c r="C27" i="43"/>
  <c r="D27" i="43"/>
  <c r="B27" i="43"/>
  <c r="B28" i="43"/>
  <c r="C28" i="43"/>
  <c r="D28" i="43"/>
  <c r="B25" i="43"/>
  <c r="C25" i="43"/>
  <c r="D25" i="43"/>
  <c r="B23" i="43"/>
  <c r="C23" i="43"/>
  <c r="B27" i="48"/>
  <c r="C27" i="48"/>
  <c r="D27" i="48"/>
  <c r="E27" i="48"/>
  <c r="B26" i="48"/>
  <c r="C26" i="48"/>
  <c r="B25" i="48"/>
  <c r="C25" i="48"/>
  <c r="D25" i="48"/>
  <c r="E25" i="48"/>
  <c r="E24" i="48"/>
  <c r="B24" i="48"/>
  <c r="C24" i="48"/>
  <c r="D24" i="48"/>
  <c r="D31" i="43" l="1"/>
  <c r="D26" i="49"/>
  <c r="E24" i="50" l="1"/>
  <c r="E25" i="50"/>
  <c r="E26" i="50"/>
  <c r="E28" i="50"/>
  <c r="C24" i="50"/>
  <c r="C25" i="50"/>
  <c r="C26" i="50"/>
  <c r="C28" i="50"/>
  <c r="B24" i="50"/>
  <c r="B25" i="50"/>
  <c r="B26" i="50"/>
  <c r="B28" i="50"/>
  <c r="D28" i="50" l="1"/>
  <c r="D23" i="50"/>
  <c r="D24" i="50"/>
  <c r="D25" i="50"/>
  <c r="D26" i="50"/>
  <c r="D29" i="50" l="1"/>
  <c r="D26" i="48"/>
  <c r="D33" i="48" s="1"/>
  <c r="H3" i="37"/>
  <c r="H3" i="63"/>
</calcChain>
</file>

<file path=xl/sharedStrings.xml><?xml version="1.0" encoding="utf-8"?>
<sst xmlns="http://schemas.openxmlformats.org/spreadsheetml/2006/main" count="2027" uniqueCount="342">
  <si>
    <t>Jaw Short</t>
  </si>
  <si>
    <t>Yield %</t>
  </si>
  <si>
    <t>Scrap %</t>
  </si>
  <si>
    <t>Continuity Fail</t>
  </si>
  <si>
    <t>Total</t>
  </si>
  <si>
    <t>Rough Actuation of Jaw</t>
  </si>
  <si>
    <t>Comments</t>
  </si>
  <si>
    <t>High Jaw Force</t>
  </si>
  <si>
    <t>Low Jaw Force</t>
  </si>
  <si>
    <t>Scratched Logo</t>
  </si>
  <si>
    <t>Rough Knob Actuation</t>
  </si>
  <si>
    <t>Insulation Damage</t>
  </si>
  <si>
    <t>Misassembled</t>
  </si>
  <si>
    <t>0.003 Jaw Gap Fail</t>
  </si>
  <si>
    <t>0.006 Jaw Gap Fail</t>
  </si>
  <si>
    <t>Stuck Blade</t>
  </si>
  <si>
    <t>Yield</t>
  </si>
  <si>
    <t>Build QTY</t>
  </si>
  <si>
    <t>Rough Rotation Shaft Rotation</t>
  </si>
  <si>
    <t>Fuse Switch</t>
  </si>
  <si>
    <t>Description</t>
  </si>
  <si>
    <t>Shaft Level Scrap</t>
  </si>
  <si>
    <t>Shop Order</t>
  </si>
  <si>
    <t>Date</t>
  </si>
  <si>
    <t>Count</t>
  </si>
  <si>
    <t>Incorrect/Missing Weld</t>
  </si>
  <si>
    <t>Damaged Harness</t>
  </si>
  <si>
    <t>Squeaky Blade</t>
  </si>
  <si>
    <t>Blade Does Not Pass Front Stop</t>
  </si>
  <si>
    <t>Front Stops Not Touching</t>
  </si>
  <si>
    <t>Middle Stops Not Touching</t>
  </si>
  <si>
    <t>Both Not Touching</t>
  </si>
  <si>
    <t>Incorrect Insulation Orientation</t>
  </si>
  <si>
    <t>Jaw Isolation</t>
  </si>
  <si>
    <t>Damaged Component</t>
  </si>
  <si>
    <t>Discolored Jaws</t>
  </si>
  <si>
    <t>Incorrect Weld</t>
  </si>
  <si>
    <t>Gamma Audit</t>
  </si>
  <si>
    <t>Trigger Lock Failure</t>
  </si>
  <si>
    <t>Collapsed Front Stop</t>
  </si>
  <si>
    <t>Quality Control
Inspection</t>
  </si>
  <si>
    <t>Damaged Handle</t>
  </si>
  <si>
    <t>Blade Activation</t>
  </si>
  <si>
    <t>Rough Trigger</t>
  </si>
  <si>
    <t>Damaged Jaw</t>
  </si>
  <si>
    <t>Engineering Scrap</t>
  </si>
  <si>
    <t>Model</t>
  </si>
  <si>
    <t>Rough Jaw Actuation</t>
  </si>
  <si>
    <t>Average Yield:</t>
  </si>
  <si>
    <t>Scrap Breakdown (Last 3 S/O)</t>
  </si>
  <si>
    <t>Misaligned Hub</t>
  </si>
  <si>
    <t>S/O Qty</t>
  </si>
  <si>
    <t>1st Rework (New Shafts)</t>
  </si>
  <si>
    <t>2nd Rework (New Shafts)</t>
  </si>
  <si>
    <t>3rd Rework (New Shafts)</t>
  </si>
  <si>
    <t>4th Rework (New Shafts)</t>
  </si>
  <si>
    <t>5th Rework (New Shafts)</t>
  </si>
  <si>
    <t>1st Rework (Same Shafts)</t>
  </si>
  <si>
    <t>2nd Rework (Same Shafts)</t>
  </si>
  <si>
    <t>3rd Rework (Same Shafts)</t>
  </si>
  <si>
    <t>Cracked Handles</t>
  </si>
  <si>
    <t>Shop Order's Yield</t>
  </si>
  <si>
    <t>4th Rework (Same Shafts)</t>
  </si>
  <si>
    <t>5th Rework (Same Shafts)</t>
  </si>
  <si>
    <t>Blade lever spring pop out</t>
  </si>
  <si>
    <t>Initial build Inspection (Scrapped Shafts)</t>
  </si>
  <si>
    <t>Initial build rework (Same Shaft)</t>
  </si>
  <si>
    <t>Front Stop Not Touching</t>
  </si>
  <si>
    <t>RSL Code</t>
  </si>
  <si>
    <t>**Production Shop Order**</t>
  </si>
  <si>
    <t>Exposed Wire</t>
  </si>
  <si>
    <t>Production Initial build Inspection (Scrapped Shafts)</t>
  </si>
  <si>
    <t>Production Initial build rework (Same Shaft)</t>
  </si>
  <si>
    <t>4th Rework Same Shafts)</t>
  </si>
  <si>
    <t>Top Level Non-Conformance</t>
  </si>
  <si>
    <t>Damaged harness</t>
  </si>
  <si>
    <t>Return Spring Pop Out</t>
  </si>
  <si>
    <t>Blade Lever Stop Pop Out</t>
  </si>
  <si>
    <t>Open Handles</t>
  </si>
  <si>
    <t>Cosmetic Defect</t>
  </si>
  <si>
    <t>Shafts</t>
  </si>
  <si>
    <t>Incorrect Blade Stop Crimp</t>
  </si>
  <si>
    <t>Incorrect Jaw Crimp</t>
  </si>
  <si>
    <t>Incorrect Blade Orientation</t>
  </si>
  <si>
    <t>Contamination</t>
  </si>
  <si>
    <t>Rework %</t>
  </si>
  <si>
    <t>0.007 Jaw Gap Fail</t>
  </si>
  <si>
    <t>Electrode Isolation</t>
  </si>
  <si>
    <t>Defective Component</t>
  </si>
  <si>
    <t>Wire Popped Out</t>
  </si>
  <si>
    <t>Blade Link Pop Out</t>
  </si>
  <si>
    <t>Missing Component</t>
  </si>
  <si>
    <t>Misassembled Component</t>
  </si>
  <si>
    <t>Particulate Matter</t>
  </si>
  <si>
    <t>Knob Collars Incorrectly Pressed</t>
  </si>
  <si>
    <t>0.005 Jaw Gap Fail</t>
  </si>
  <si>
    <t>EB016/EB216 Energy Hand Device Yield</t>
  </si>
  <si>
    <t>EB015/EB215 Energy Hand Device Yield</t>
  </si>
  <si>
    <t xml:space="preserve"> </t>
  </si>
  <si>
    <t>Jaws Do Not Open</t>
  </si>
  <si>
    <t>Loose Knob Collar</t>
  </si>
  <si>
    <t>EB017/EB217 Energy Hand Device Yield</t>
  </si>
  <si>
    <t>EB040/EB240 Energy Hand Device Yield</t>
  </si>
  <si>
    <t>EB030/EB230 Energy Hand Device Yield</t>
  </si>
  <si>
    <t>EB011/EB211 Energy Hand Device Yield</t>
  </si>
  <si>
    <t>EB010/EB210 Energy Hand Device Yield</t>
  </si>
  <si>
    <t>Front Stop not Touching</t>
  </si>
  <si>
    <t>Open Handle</t>
  </si>
  <si>
    <t xml:space="preserve">                                                                                                                                    </t>
  </si>
  <si>
    <t>Partial Pack</t>
  </si>
  <si>
    <t>Incorrect knob collar press</t>
  </si>
  <si>
    <t>Both Stops Not Touching</t>
  </si>
  <si>
    <t>Packaging</t>
  </si>
  <si>
    <t xml:space="preserve">Packaging </t>
  </si>
  <si>
    <t>Exposed Wire (Static)</t>
  </si>
  <si>
    <t>Blade Guide Does Not Go Through</t>
  </si>
  <si>
    <t>**Production  Shop Order**</t>
  </si>
  <si>
    <t>**Laser Welding Shim: .007 Shim**</t>
  </si>
  <si>
    <t>Non Conformance</t>
  </si>
  <si>
    <t>Shop Order Qty.</t>
  </si>
  <si>
    <t>Build Qty.</t>
  </si>
  <si>
    <t>Top-Level Yield (%)</t>
  </si>
  <si>
    <t>QC</t>
  </si>
  <si>
    <t>Insulation Orientation</t>
  </si>
  <si>
    <t>Blade Actiavtion</t>
  </si>
  <si>
    <t>Low Jaw Gap</t>
  </si>
  <si>
    <t>High Jaw Gap</t>
  </si>
  <si>
    <t>Blade Doesn't Pass Front Stop</t>
  </si>
  <si>
    <t>TOP-LEVEL
SCRAP</t>
  </si>
  <si>
    <t>1st Reassembly
(Reassembly)</t>
  </si>
  <si>
    <t>1st Reassembly
(Scrap)</t>
  </si>
  <si>
    <t>2nd Reassembly
(Scrap)</t>
  </si>
  <si>
    <t>2nd Reassembly
(Reassembly)</t>
  </si>
  <si>
    <t>3rd Reassembly
(Scrap)</t>
  </si>
  <si>
    <t>3rd Reassembly
(Reassembly)</t>
  </si>
  <si>
    <t>Rough Knob Rotation</t>
  </si>
  <si>
    <t>Missassembled</t>
  </si>
  <si>
    <t>TOP-LEVEL
REASSEMBLY</t>
  </si>
  <si>
    <t>Defective Weld</t>
  </si>
  <si>
    <t>SUB-ASSEMBLY
SCRAP</t>
  </si>
  <si>
    <t>Total Scrap</t>
  </si>
  <si>
    <t>Totals</t>
  </si>
  <si>
    <t>Initial Build
(Scrap)</t>
  </si>
  <si>
    <t>Initial Build
(Reassembly)</t>
  </si>
  <si>
    <t>General Information</t>
  </si>
  <si>
    <t>Blade Pusher Coming Out</t>
  </si>
  <si>
    <t>Build Qty</t>
  </si>
  <si>
    <t>Knob Collar Pressed incorrect</t>
  </si>
  <si>
    <t xml:space="preserve">                                                                                                                                 </t>
  </si>
  <si>
    <t>Knob Collar Press Incorrectly</t>
  </si>
  <si>
    <t>Incomplete / Incorrect Weld</t>
  </si>
  <si>
    <t xml:space="preserve">              </t>
  </si>
  <si>
    <t>Damaged Blade</t>
  </si>
  <si>
    <t xml:space="preserve">Contamination </t>
  </si>
  <si>
    <t>Frames Weld Incorrectly</t>
  </si>
  <si>
    <t>EB012/EB212 Energy Hand Device Yield</t>
  </si>
  <si>
    <t>Discolored Weld</t>
  </si>
  <si>
    <t xml:space="preserve">Cosmetic Defect </t>
  </si>
  <si>
    <t xml:space="preserve"> Incorrect Blade Stop Crimp</t>
  </si>
  <si>
    <t>Front and Middle Stops Not Touching</t>
  </si>
  <si>
    <t>Engineering Sample</t>
  </si>
  <si>
    <t xml:space="preserve">Defective Component </t>
  </si>
  <si>
    <t>Rough Jaw</t>
  </si>
  <si>
    <t>Incorrect/Missing  Weld</t>
  </si>
  <si>
    <t>Exposed Wire (Dynamic)</t>
  </si>
  <si>
    <t>Stuck blade</t>
  </si>
  <si>
    <t xml:space="preserve">Wire Cut Short </t>
  </si>
  <si>
    <t>Fuse Button</t>
  </si>
  <si>
    <t>Jaw Gap Testing Method: Jaw Gap Gauges</t>
  </si>
  <si>
    <t>Damaged Upper Jaw</t>
  </si>
  <si>
    <t>Damaged Assembly After Slider Press</t>
  </si>
  <si>
    <t>**Nut Setting Shim: None</t>
  </si>
  <si>
    <t>Incorrect Hub Press</t>
  </si>
  <si>
    <t xml:space="preserve">BP Cap Separation: </t>
  </si>
  <si>
    <t>Failure To Unlock Trigger</t>
  </si>
  <si>
    <t>**Laser Welding Shim: .017 Shim**</t>
  </si>
  <si>
    <t>Blade Does not Pass Front Stop</t>
  </si>
  <si>
    <t>1ea  Incorrect Hub Press</t>
  </si>
  <si>
    <t>Device Key Not Reading</t>
  </si>
  <si>
    <t>Lot Size</t>
  </si>
  <si>
    <t>Type</t>
  </si>
  <si>
    <t>Build Quantity</t>
  </si>
  <si>
    <t>Rework</t>
  </si>
  <si>
    <t>Quality Control</t>
  </si>
  <si>
    <t>Shop
Order</t>
  </si>
  <si>
    <t>Top Level Scrap</t>
  </si>
  <si>
    <t>Top Level Rework</t>
  </si>
  <si>
    <t>0.0015 Jaw Gap Fail</t>
  </si>
  <si>
    <t>Desired Pattern Could Not Be Found</t>
  </si>
  <si>
    <t>Sub-Assembly/Laser Welding Scrap</t>
  </si>
  <si>
    <t>Initial
Build</t>
  </si>
  <si>
    <t>EB014/EB214 Energy Hand Device Yield</t>
  </si>
  <si>
    <t>EB013/EB213 Energy Hand Device Yield</t>
  </si>
  <si>
    <t>**Nut Setting Shim: .017 Shim**</t>
  </si>
  <si>
    <t>Blade Lock Failure</t>
  </si>
  <si>
    <t>Cut Wire Too Short</t>
  </si>
  <si>
    <t>Particulate Matter on Jaw</t>
  </si>
  <si>
    <t>Discolored Component</t>
  </si>
  <si>
    <t>No Twist</t>
  </si>
  <si>
    <t>No Silicone</t>
  </si>
  <si>
    <t>Excess Silicone</t>
  </si>
  <si>
    <t xml:space="preserve">Deep Scratch in Jaw </t>
  </si>
  <si>
    <t>Excess Grivory</t>
  </si>
  <si>
    <t>Excess Grivory (Dynamic)</t>
  </si>
  <si>
    <t>Excess Grivory ( Static )</t>
  </si>
  <si>
    <t>Misassembled Component (X2)</t>
  </si>
  <si>
    <t>Blade doesn't pass Front Stop</t>
  </si>
  <si>
    <t>Damaged Thread</t>
  </si>
  <si>
    <t>**Prototype Shop Order**</t>
  </si>
  <si>
    <t>BP Cap Seperation: ea</t>
  </si>
  <si>
    <t>Jaw isolation</t>
  </si>
  <si>
    <t>Failure to Lock Trigger</t>
  </si>
  <si>
    <t>Burned Wire</t>
  </si>
  <si>
    <t>1ea  Incorrect Blade Stop Crimp (No Jaw)</t>
  </si>
  <si>
    <t>1ea  Damaged pull Tube</t>
  </si>
  <si>
    <t>2ea  Damaged Upper Jaw</t>
  </si>
  <si>
    <t>Miassembled</t>
  </si>
  <si>
    <t>Continuity Fail ( 2X )</t>
  </si>
  <si>
    <t xml:space="preserve">
3ea  Incorrect Blade Stop Crimp (No Jaws)</t>
  </si>
  <si>
    <t xml:space="preserve">Rough Rotation Shaft </t>
  </si>
  <si>
    <t xml:space="preserve">wire sheath is getting shaved </t>
  </si>
  <si>
    <t>Fuse switch</t>
  </si>
  <si>
    <t>Defective Lower Jaw (complete )</t>
  </si>
  <si>
    <t>BP Cap Separation: ea</t>
  </si>
  <si>
    <t>Damage Cover Tube: ea</t>
  </si>
  <si>
    <t>Jaw Gap Tracker</t>
  </si>
  <si>
    <t>Devices Failing Manual Jaw Gap Inspection</t>
  </si>
  <si>
    <t>Devices Failing Starrett Jaw Gap Inspection</t>
  </si>
  <si>
    <t>Recovered Devices after  Secondary Inspection</t>
  </si>
  <si>
    <t>Percentage of Devices Recovered</t>
  </si>
  <si>
    <t>Damaged Blade Pusher</t>
  </si>
  <si>
    <t>Damaged Front Blade Pusher:  ea</t>
  </si>
  <si>
    <t xml:space="preserve">, </t>
  </si>
  <si>
    <t>Misalingned Harness</t>
  </si>
  <si>
    <t>Damaged Front Blade Pusher:  11ea</t>
  </si>
  <si>
    <t>Damaged Front Blade Pusher: ea</t>
  </si>
  <si>
    <t>Crack on Dynamic Jaw</t>
  </si>
  <si>
    <t>Cosmetic Defect on Jaw</t>
  </si>
  <si>
    <t>Cosmetic Defect (Dynamic)</t>
  </si>
  <si>
    <t>Cracked Jaw (Dynamic)</t>
  </si>
  <si>
    <t>Cracked Jaw</t>
  </si>
  <si>
    <t>Damage Upper Jaw: ea</t>
  </si>
  <si>
    <t>Damage Pull Tube: ea</t>
  </si>
  <si>
    <t>Damaged Jaw1ea/Damaged Harness ea</t>
  </si>
  <si>
    <t>Incorrect Blade Stop Crimp (No Jaw):  ea</t>
  </si>
  <si>
    <t>Damage Insulation: ea</t>
  </si>
  <si>
    <t>BP Cap Separation:  ea</t>
  </si>
  <si>
    <t>Insulation Damage: ea</t>
  </si>
  <si>
    <t>Damage Front Blade Pusher: ea</t>
  </si>
  <si>
    <t xml:space="preserve"> Defective Lower Jaw: ea</t>
  </si>
  <si>
    <t>Initial build  Rework</t>
  </si>
  <si>
    <t>EB212</t>
  </si>
  <si>
    <t>8ea Incorrect Hub Press</t>
  </si>
  <si>
    <t>3ea Defective Cover Tube</t>
  </si>
  <si>
    <t>4ea Incorrect Blade Stop Crimp</t>
  </si>
  <si>
    <t>Damaged Nut Thread</t>
  </si>
  <si>
    <t xml:space="preserve"> Damaged Insulation: 33ea</t>
  </si>
  <si>
    <t>Damaged Front Blade Pusher: 29ea</t>
  </si>
  <si>
    <t>EB211</t>
  </si>
  <si>
    <t>2ea Rough Cover Tube with Hub</t>
  </si>
  <si>
    <t>EB230</t>
  </si>
  <si>
    <t>PRD</t>
  </si>
  <si>
    <t>Missing Stop Dot</t>
  </si>
  <si>
    <t>Bent Jaw (Static)</t>
  </si>
  <si>
    <t>Missing Front /Back Stop Dot</t>
  </si>
  <si>
    <t xml:space="preserve">Bent Jaw </t>
  </si>
  <si>
    <t>Arm Cover ( Static ) Scratched Logo: 59ea</t>
  </si>
  <si>
    <t>Arm Housing ( Static ) Scratched Logo: 215ea</t>
  </si>
  <si>
    <t>Pinched Wire</t>
  </si>
  <si>
    <t>2ea no silicone</t>
  </si>
  <si>
    <t xml:space="preserve">Particulate Matter on Jaw </t>
  </si>
  <si>
    <t>EB240</t>
  </si>
  <si>
    <t>1ea No Grease</t>
  </si>
  <si>
    <t>32ea  Damaged Hub</t>
  </si>
  <si>
    <t>3ea  Damaged Right Frame</t>
  </si>
  <si>
    <t>EB215</t>
  </si>
  <si>
    <t>**Development Shop Order**</t>
  </si>
  <si>
    <t>**Laser Welding Shim: .012 Shim**</t>
  </si>
  <si>
    <t>Low Jaw Force (2X)</t>
  </si>
  <si>
    <t xml:space="preserve"> Insulation Damage: 209ea</t>
  </si>
  <si>
    <t xml:space="preserve">Damaged Component </t>
  </si>
  <si>
    <t xml:space="preserve"> 2ea Contamination Pull Tube</t>
  </si>
  <si>
    <t>Damaged Front Blade Pusher: 104ea</t>
  </si>
  <si>
    <t>1ea Damage Cover Tube</t>
  </si>
  <si>
    <t xml:space="preserve"> 8ea Damaged Pull Tube</t>
  </si>
  <si>
    <t>1ea Incorrect Blade Stop Crimp</t>
  </si>
  <si>
    <t xml:space="preserve"> Insulation Damage: 182ea</t>
  </si>
  <si>
    <t>4ea Defective Upper Jaw</t>
  </si>
  <si>
    <t>2ea Incorrect Blade Stop Crimp</t>
  </si>
  <si>
    <t>4ea Defective Pull Tube</t>
  </si>
  <si>
    <t>Damaged Front Blade Pusher: 88ea</t>
  </si>
  <si>
    <t xml:space="preserve">   </t>
  </si>
  <si>
    <t>EB217</t>
  </si>
  <si>
    <t>2ea Incorrect Blade Stop Crimp (No Jaws)</t>
  </si>
  <si>
    <t>2ea  Incorrect Hub Press</t>
  </si>
  <si>
    <t>1ea Defective Pull Tube</t>
  </si>
  <si>
    <t>Damaged Insulation: 101ea</t>
  </si>
  <si>
    <t>Damaged  Blade Pusher: 32ea</t>
  </si>
  <si>
    <t>2ea No Grease</t>
  </si>
  <si>
    <t>Damaged Frame</t>
  </si>
  <si>
    <t>1ea  Damaged Tube</t>
  </si>
  <si>
    <t>59ea  Damaged Hub</t>
  </si>
  <si>
    <t>1ea  Damaged Upper Jaw</t>
  </si>
  <si>
    <t>ea no silicone</t>
  </si>
  <si>
    <t>Misassemble Component Stuck Blade</t>
  </si>
  <si>
    <t>Damaged Wire</t>
  </si>
  <si>
    <t>Contamination(static)</t>
  </si>
  <si>
    <t>Arm Housing ( Static ) Scratched Logo: 62ea</t>
  </si>
  <si>
    <t>Arm Cover ( Static ) Scratched Logo: 30ea</t>
  </si>
  <si>
    <t>ea No Grease</t>
  </si>
  <si>
    <t>2ea  Damaged Tube</t>
  </si>
  <si>
    <t>Incorrect Frame</t>
  </si>
  <si>
    <t>49ea  Damaged Hub</t>
  </si>
  <si>
    <t>contamination</t>
  </si>
  <si>
    <t xml:space="preserve"> Insulation Damage: 354ea</t>
  </si>
  <si>
    <t>Damaged Front Blade Pusher: 94ea</t>
  </si>
  <si>
    <t>1ea Defective Cover Tube</t>
  </si>
  <si>
    <t xml:space="preserve"> Insulation Damage: 227ea</t>
  </si>
  <si>
    <t>4ea Incorrect Hub Press</t>
  </si>
  <si>
    <t>3ea Incorrect Blade Stop Crimp</t>
  </si>
  <si>
    <t>Damaged Front Blade Pusher: 123ea</t>
  </si>
  <si>
    <t xml:space="preserve">  </t>
  </si>
  <si>
    <t>0.006 Jaw Gap Fail x2</t>
  </si>
  <si>
    <t>Front Stops Not Touching (x2)</t>
  </si>
  <si>
    <t>4ea No Grease</t>
  </si>
  <si>
    <t xml:space="preserve">2ea Damage Upper Jaw </t>
  </si>
  <si>
    <t>Failure to Unlock Trigger</t>
  </si>
  <si>
    <t xml:space="preserve">1ea Damage Lower Jaw </t>
  </si>
  <si>
    <t>4ea  Damaged Tube</t>
  </si>
  <si>
    <t>Short Wire</t>
  </si>
  <si>
    <t xml:space="preserve"> Dowel Coming Out </t>
  </si>
  <si>
    <t>Broken Jaw</t>
  </si>
  <si>
    <t>1ea Incorrect Hub Press</t>
  </si>
  <si>
    <t>Damaged Front Blade Pusher: 62ea</t>
  </si>
  <si>
    <t xml:space="preserve"> Damaged Insulation: 140ea</t>
  </si>
  <si>
    <t>Cosmetic Defect (Static)</t>
  </si>
  <si>
    <t>Arm Cover ( Static ) Scratched Logo:45 ea</t>
  </si>
  <si>
    <t>Arm Housing ( Static ) Scratched Logo: 50ea</t>
  </si>
  <si>
    <t>Continuity Fail (2X)</t>
  </si>
  <si>
    <t>Broken Blade Pusher</t>
  </si>
  <si>
    <t xml:space="preserve"> Damaged Insulation: 108ea</t>
  </si>
  <si>
    <t>Damaged Front Blade Pusher: 25ea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</si>
</sst>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ddmmmyy"/>
  </numFmts>
  <fonts count="5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8"/>
      <color theme="0"/>
      <name val="Calibri"/>
      <family val="2"/>
      <scheme val="minor"/>
    </font>
    <font>
      <b/>
      <sz val="4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6478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D6ECF2"/>
        <bgColor indexed="64"/>
      </patternFill>
    </fill>
    <fill>
      <patternFill patternType="solid">
        <fgColor rgb="FFDBD3E5"/>
        <bgColor indexed="64"/>
      </patternFill>
    </fill>
    <fill>
      <patternFill patternType="solid">
        <fgColor rgb="FFD8CFE3"/>
        <bgColor indexed="64"/>
      </patternFill>
    </fill>
    <fill>
      <patternFill patternType="solid">
        <fgColor rgb="FF006464"/>
        <bgColor indexed="64"/>
      </patternFill>
    </fill>
    <fill>
      <patternFill patternType="solid">
        <fgColor rgb="FFD8CFE3"/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0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rgb="FFFFFFFF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theme="0" tint="-0.14999847407452621"/>
      </bottom>
      <diagonal/>
    </border>
    <border>
      <left style="medium">
        <color theme="0"/>
      </left>
      <right/>
      <top/>
      <bottom style="medium">
        <color theme="0"/>
      </bottom>
      <diagonal/>
    </border>
  </borders>
  <cellStyleXfs count="45">
    <xf numFmtId="0" fontId="0" fillId="0" borderId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7" applyNumberFormat="0" applyFill="0" applyAlignment="0" applyProtection="0"/>
    <xf numFmtId="0" fontId="7" fillId="0" borderId="8" applyNumberFormat="0" applyFill="0" applyAlignment="0" applyProtection="0"/>
    <xf numFmtId="0" fontId="8" fillId="0" borderId="9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10" applyNumberFormat="0" applyAlignment="0" applyProtection="0"/>
    <xf numFmtId="0" fontId="13" fillId="6" borderId="11" applyNumberFormat="0" applyAlignment="0" applyProtection="0"/>
    <xf numFmtId="0" fontId="14" fillId="6" borderId="10" applyNumberFormat="0" applyAlignment="0" applyProtection="0"/>
    <xf numFmtId="0" fontId="15" fillId="0" borderId="12" applyNumberFormat="0" applyFill="0" applyAlignment="0" applyProtection="0"/>
    <xf numFmtId="0" fontId="16" fillId="7" borderId="13" applyNumberFormat="0" applyAlignment="0" applyProtection="0"/>
    <xf numFmtId="0" fontId="2" fillId="0" borderId="0" applyNumberFormat="0" applyFill="0" applyBorder="0" applyAlignment="0" applyProtection="0"/>
    <xf numFmtId="0" fontId="4" fillId="8" borderId="14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15" applyNumberFormat="0" applyFill="0" applyAlignment="0" applyProtection="0"/>
    <xf numFmtId="0" fontId="18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0" borderId="0"/>
    <xf numFmtId="0" fontId="19" fillId="0" borderId="0"/>
  </cellStyleXfs>
  <cellXfs count="613"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20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165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166" fontId="0" fillId="0" borderId="0" xfId="0" applyNumberFormat="1" applyAlignment="1">
      <alignment vertical="center"/>
    </xf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 vertical="center"/>
    </xf>
    <xf numFmtId="0" fontId="0" fillId="35" borderId="45" xfId="0" applyFill="1" applyBorder="1" applyAlignment="1">
      <alignment horizontal="center" vertical="center" wrapText="1"/>
    </xf>
    <xf numFmtId="0" fontId="22" fillId="33" borderId="46" xfId="0" applyFont="1" applyFill="1" applyBorder="1" applyAlignment="1">
      <alignment horizontal="left" vertical="center"/>
    </xf>
    <xf numFmtId="0" fontId="0" fillId="33" borderId="44" xfId="0" applyNumberFormat="1" applyFont="1" applyFill="1" applyBorder="1" applyAlignment="1">
      <alignment vertical="center"/>
    </xf>
    <xf numFmtId="14" fontId="0" fillId="33" borderId="40" xfId="0" applyNumberFormat="1" applyFill="1" applyBorder="1" applyAlignment="1"/>
    <xf numFmtId="14" fontId="0" fillId="33" borderId="46" xfId="0" applyNumberFormat="1" applyFill="1" applyBorder="1" applyAlignment="1"/>
    <xf numFmtId="14" fontId="0" fillId="33" borderId="38" xfId="0" applyNumberFormat="1" applyFill="1" applyBorder="1" applyAlignment="1"/>
    <xf numFmtId="0" fontId="0" fillId="33" borderId="46" xfId="0" applyFill="1" applyBorder="1" applyAlignment="1">
      <alignment horizontal="left" vertical="center"/>
    </xf>
    <xf numFmtId="0" fontId="0" fillId="0" borderId="0" xfId="0"/>
    <xf numFmtId="0" fontId="0" fillId="0" borderId="0" xfId="0" applyFill="1"/>
    <xf numFmtId="166" fontId="0" fillId="0" borderId="0" xfId="0" applyNumberFormat="1"/>
    <xf numFmtId="166" fontId="0" fillId="0" borderId="0" xfId="0" applyNumberFormat="1" applyFill="1" applyAlignment="1">
      <alignment vertical="center"/>
    </xf>
    <xf numFmtId="166" fontId="0" fillId="0" borderId="0" xfId="0" applyNumberFormat="1" applyFill="1" applyAlignment="1">
      <alignment horizontal="right" vertical="center"/>
    </xf>
    <xf numFmtId="0" fontId="0" fillId="35" borderId="44" xfId="0" applyFill="1" applyBorder="1" applyAlignment="1">
      <alignment horizontal="center" vertical="center" wrapText="1"/>
    </xf>
    <xf numFmtId="166" fontId="0" fillId="35" borderId="44" xfId="0" applyNumberFormat="1" applyFill="1" applyBorder="1" applyAlignment="1">
      <alignment horizontal="center" vertical="center" wrapText="1"/>
    </xf>
    <xf numFmtId="0" fontId="16" fillId="35" borderId="44" xfId="0" applyFont="1" applyFill="1" applyBorder="1" applyAlignment="1">
      <alignment vertical="center"/>
    </xf>
    <xf numFmtId="14" fontId="0" fillId="33" borderId="0" xfId="0" applyNumberFormat="1" applyFill="1" applyBorder="1" applyAlignment="1"/>
    <xf numFmtId="0" fontId="16" fillId="36" borderId="30" xfId="0" applyFont="1" applyFill="1" applyBorder="1" applyAlignment="1">
      <alignment horizontal="center" vertical="center"/>
    </xf>
    <xf numFmtId="0" fontId="16" fillId="36" borderId="24" xfId="0" applyFont="1" applyFill="1" applyBorder="1" applyAlignment="1">
      <alignment horizontal="center" vertical="center"/>
    </xf>
    <xf numFmtId="0" fontId="0" fillId="38" borderId="4" xfId="0" applyNumberFormat="1" applyFill="1" applyBorder="1" applyAlignment="1">
      <alignment horizontal="center" vertical="center" wrapText="1"/>
    </xf>
    <xf numFmtId="0" fontId="0" fillId="38" borderId="25" xfId="0" applyFill="1" applyBorder="1" applyAlignment="1">
      <alignment horizontal="center" vertical="top"/>
    </xf>
    <xf numFmtId="0" fontId="0" fillId="38" borderId="26" xfId="0" applyFill="1" applyBorder="1" applyAlignment="1">
      <alignment horizontal="center" vertical="top"/>
    </xf>
    <xf numFmtId="0" fontId="0" fillId="38" borderId="31" xfId="0" applyFill="1" applyBorder="1" applyAlignment="1">
      <alignment horizontal="center" vertical="top" wrapText="1"/>
    </xf>
    <xf numFmtId="0" fontId="0" fillId="38" borderId="28" xfId="0" applyFill="1" applyBorder="1" applyAlignment="1">
      <alignment horizontal="center" vertical="top" wrapText="1"/>
    </xf>
    <xf numFmtId="0" fontId="0" fillId="0" borderId="22" xfId="0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6" fillId="36" borderId="5" xfId="0" applyFont="1" applyFill="1" applyBorder="1" applyAlignment="1">
      <alignment horizontal="center" vertical="center"/>
    </xf>
    <xf numFmtId="0" fontId="16" fillId="36" borderId="5" xfId="0" applyFont="1" applyFill="1" applyBorder="1" applyAlignment="1">
      <alignment horizontal="center" vertical="center" wrapText="1"/>
    </xf>
    <xf numFmtId="164" fontId="16" fillId="36" borderId="5" xfId="0" applyNumberFormat="1" applyFont="1" applyFill="1" applyBorder="1" applyAlignment="1">
      <alignment horizontal="center" vertical="center"/>
    </xf>
    <xf numFmtId="166" fontId="16" fillId="36" borderId="5" xfId="0" applyNumberFormat="1" applyFont="1" applyFill="1" applyBorder="1" applyAlignment="1">
      <alignment horizontal="center" vertical="center"/>
    </xf>
    <xf numFmtId="164" fontId="16" fillId="36" borderId="5" xfId="0" applyNumberFormat="1" applyFont="1" applyFill="1" applyBorder="1" applyAlignment="1">
      <alignment horizontal="center" vertical="center" wrapText="1"/>
    </xf>
    <xf numFmtId="166" fontId="16" fillId="36" borderId="6" xfId="0" applyNumberFormat="1" applyFont="1" applyFill="1" applyBorder="1" applyAlignment="1">
      <alignment horizontal="center" vertical="center"/>
    </xf>
    <xf numFmtId="166" fontId="1" fillId="37" borderId="27" xfId="0" applyNumberFormat="1" applyFont="1" applyFill="1" applyBorder="1" applyAlignment="1">
      <alignment horizontal="center" vertical="center"/>
    </xf>
    <xf numFmtId="0" fontId="0" fillId="37" borderId="18" xfId="0" applyFill="1" applyBorder="1" applyAlignment="1">
      <alignment horizontal="center" vertical="center"/>
    </xf>
    <xf numFmtId="0" fontId="0" fillId="37" borderId="19" xfId="0" applyFill="1" applyBorder="1" applyAlignment="1">
      <alignment horizontal="center" vertical="center"/>
    </xf>
    <xf numFmtId="166" fontId="0" fillId="37" borderId="19" xfId="0" applyNumberFormat="1" applyFill="1" applyBorder="1" applyAlignment="1">
      <alignment horizontal="center" vertical="center"/>
    </xf>
    <xf numFmtId="0" fontId="0" fillId="37" borderId="16" xfId="0" applyFill="1" applyBorder="1" applyAlignment="1">
      <alignment horizontal="center" vertical="center"/>
    </xf>
    <xf numFmtId="0" fontId="0" fillId="37" borderId="0" xfId="0" applyFill="1" applyBorder="1" applyAlignment="1">
      <alignment horizontal="center" vertical="center"/>
    </xf>
    <xf numFmtId="166" fontId="0" fillId="37" borderId="0" xfId="0" applyNumberFormat="1" applyFill="1" applyBorder="1" applyAlignment="1">
      <alignment horizontal="center" vertical="center"/>
    </xf>
    <xf numFmtId="0" fontId="0" fillId="37" borderId="0" xfId="0" applyNumberFormat="1" applyFill="1" applyBorder="1" applyAlignment="1">
      <alignment horizontal="center" vertical="center"/>
    </xf>
    <xf numFmtId="166" fontId="0" fillId="37" borderId="17" xfId="0" applyNumberFormat="1" applyFill="1" applyBorder="1" applyAlignment="1">
      <alignment horizontal="center" vertical="center"/>
    </xf>
    <xf numFmtId="0" fontId="0" fillId="37" borderId="5" xfId="0" applyFill="1" applyBorder="1" applyAlignment="1">
      <alignment horizontal="center" vertical="center" wrapText="1"/>
    </xf>
    <xf numFmtId="0" fontId="0" fillId="38" borderId="36" xfId="0" applyNumberFormat="1" applyFill="1" applyBorder="1" applyAlignment="1">
      <alignment horizontal="center" vertical="center" wrapText="1"/>
    </xf>
    <xf numFmtId="0" fontId="0" fillId="38" borderId="21" xfId="0" applyFill="1" applyBorder="1" applyAlignment="1">
      <alignment horizontal="center" vertical="center" wrapText="1"/>
    </xf>
    <xf numFmtId="0" fontId="0" fillId="38" borderId="33" xfId="0" applyNumberFormat="1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center" wrapText="1"/>
    </xf>
    <xf numFmtId="0" fontId="0" fillId="38" borderId="2" xfId="0" applyFill="1" applyBorder="1" applyAlignment="1">
      <alignment horizontal="center" vertical="center" wrapText="1"/>
    </xf>
    <xf numFmtId="0" fontId="0" fillId="38" borderId="1" xfId="0" applyNumberFormat="1" applyFont="1" applyFill="1" applyBorder="1" applyAlignment="1">
      <alignment horizontal="center" vertical="center" wrapText="1"/>
    </xf>
    <xf numFmtId="0" fontId="0" fillId="38" borderId="34" xfId="0" applyNumberFormat="1" applyFill="1" applyBorder="1" applyAlignment="1">
      <alignment horizontal="center" vertical="center" wrapText="1"/>
    </xf>
    <xf numFmtId="0" fontId="0" fillId="38" borderId="3" xfId="0" applyNumberFormat="1" applyFill="1" applyBorder="1" applyAlignment="1">
      <alignment horizontal="center" vertical="center" wrapText="1"/>
    </xf>
    <xf numFmtId="0" fontId="0" fillId="38" borderId="3" xfId="0" applyFill="1" applyBorder="1" applyAlignment="1">
      <alignment horizontal="center" vertical="center" wrapText="1"/>
    </xf>
    <xf numFmtId="0" fontId="1" fillId="38" borderId="1" xfId="0" applyNumberFormat="1" applyFont="1" applyFill="1" applyBorder="1" applyAlignment="1">
      <alignment horizontal="center" vertical="center" wrapText="1"/>
    </xf>
    <xf numFmtId="0" fontId="0" fillId="38" borderId="21" xfId="0" applyNumberFormat="1" applyFill="1" applyBorder="1" applyAlignment="1">
      <alignment horizontal="center" vertical="center" wrapText="1"/>
    </xf>
    <xf numFmtId="0" fontId="0" fillId="38" borderId="1" xfId="0" applyNumberFormat="1" applyFill="1" applyBorder="1" applyAlignment="1">
      <alignment horizontal="center" vertical="center" wrapText="1"/>
    </xf>
    <xf numFmtId="0" fontId="0" fillId="38" borderId="2" xfId="0" applyNumberFormat="1" applyFill="1" applyBorder="1" applyAlignment="1">
      <alignment horizontal="center" vertical="center" wrapText="1"/>
    </xf>
    <xf numFmtId="0" fontId="1" fillId="38" borderId="2" xfId="0" applyNumberFormat="1" applyFont="1" applyFill="1" applyBorder="1" applyAlignment="1">
      <alignment horizontal="center" vertical="center" wrapText="1"/>
    </xf>
    <xf numFmtId="0" fontId="1" fillId="38" borderId="5" xfId="0" applyNumberFormat="1" applyFont="1" applyFill="1" applyBorder="1" applyAlignment="1">
      <alignment horizontal="center" vertical="center" wrapText="1"/>
    </xf>
    <xf numFmtId="0" fontId="1" fillId="37" borderId="29" xfId="0" applyFont="1" applyFill="1" applyBorder="1" applyAlignment="1">
      <alignment horizontal="center"/>
    </xf>
    <xf numFmtId="0" fontId="1" fillId="33" borderId="30" xfId="0" applyFont="1" applyFill="1" applyBorder="1" applyAlignment="1">
      <alignment horizontal="center" vertical="top"/>
    </xf>
    <xf numFmtId="9" fontId="0" fillId="34" borderId="50" xfId="1" applyNumberFormat="1" applyFont="1" applyFill="1" applyBorder="1" applyAlignment="1">
      <alignment vertical="center"/>
    </xf>
    <xf numFmtId="164" fontId="25" fillId="36" borderId="5" xfId="0" applyNumberFormat="1" applyFont="1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23" xfId="0" applyFill="1" applyBorder="1" applyAlignment="1">
      <alignment vertical="center" wrapText="1"/>
    </xf>
    <xf numFmtId="0" fontId="16" fillId="36" borderId="30" xfId="0" applyFont="1" applyFill="1" applyBorder="1" applyAlignment="1">
      <alignment horizontal="center" vertical="center" wrapText="1"/>
    </xf>
    <xf numFmtId="0" fontId="16" fillId="36" borderId="58" xfId="0" applyFont="1" applyFill="1" applyBorder="1" applyAlignment="1">
      <alignment horizontal="center" vertical="center"/>
    </xf>
    <xf numFmtId="0" fontId="26" fillId="36" borderId="58" xfId="0" applyFont="1" applyFill="1" applyBorder="1" applyAlignment="1">
      <alignment horizontal="center" vertical="center"/>
    </xf>
    <xf numFmtId="0" fontId="0" fillId="37" borderId="18" xfId="0" applyNumberFormat="1" applyFont="1" applyFill="1" applyBorder="1" applyAlignment="1">
      <alignment horizontal="center" vertical="center" wrapText="1"/>
    </xf>
    <xf numFmtId="0" fontId="0" fillId="37" borderId="19" xfId="0" applyNumberFormat="1" applyFont="1" applyFill="1" applyBorder="1" applyAlignment="1">
      <alignment horizontal="center" vertical="center" wrapText="1"/>
    </xf>
    <xf numFmtId="0" fontId="0" fillId="37" borderId="19" xfId="0" applyFont="1" applyFill="1" applyBorder="1" applyAlignment="1">
      <alignment horizontal="center" vertical="center" wrapText="1"/>
    </xf>
    <xf numFmtId="0" fontId="1" fillId="37" borderId="19" xfId="0" applyFont="1" applyFill="1" applyBorder="1" applyAlignment="1">
      <alignment horizontal="center" vertical="center" wrapText="1"/>
    </xf>
    <xf numFmtId="0" fontId="1" fillId="37" borderId="20" xfId="0" applyFont="1" applyFill="1" applyBorder="1" applyAlignment="1">
      <alignment horizontal="center" vertical="center"/>
    </xf>
    <xf numFmtId="0" fontId="0" fillId="37" borderId="18" xfId="0" applyFont="1" applyFill="1" applyBorder="1" applyAlignment="1">
      <alignment horizontal="center" vertical="center"/>
    </xf>
    <xf numFmtId="0" fontId="0" fillId="37" borderId="19" xfId="0" applyFont="1" applyFill="1" applyBorder="1" applyAlignment="1">
      <alignment horizontal="center" vertical="center"/>
    </xf>
    <xf numFmtId="166" fontId="0" fillId="37" borderId="19" xfId="0" applyNumberFormat="1" applyFont="1" applyFill="1" applyBorder="1" applyAlignment="1">
      <alignment horizontal="center" vertical="center"/>
    </xf>
    <xf numFmtId="0" fontId="0" fillId="38" borderId="36" xfId="0" applyNumberFormat="1" applyFont="1" applyFill="1" applyBorder="1" applyAlignment="1">
      <alignment horizontal="center" vertical="center" wrapText="1"/>
    </xf>
    <xf numFmtId="0" fontId="0" fillId="38" borderId="21" xfId="0" applyNumberFormat="1" applyFont="1" applyFill="1" applyBorder="1" applyAlignment="1">
      <alignment horizontal="center" vertical="center" wrapText="1"/>
    </xf>
    <xf numFmtId="0" fontId="0" fillId="38" borderId="21" xfId="0" applyFont="1" applyFill="1" applyBorder="1" applyAlignment="1">
      <alignment horizontal="center" vertical="center" wrapText="1"/>
    </xf>
    <xf numFmtId="165" fontId="0" fillId="0" borderId="1" xfId="1" applyNumberFormat="1" applyFont="1" applyFill="1" applyBorder="1" applyAlignment="1">
      <alignment horizontal="center" vertical="center"/>
    </xf>
    <xf numFmtId="0" fontId="0" fillId="38" borderId="25" xfId="0" applyNumberFormat="1" applyFont="1" applyFill="1" applyBorder="1" applyAlignment="1">
      <alignment horizontal="center" vertical="center" wrapText="1"/>
    </xf>
    <xf numFmtId="0" fontId="0" fillId="0" borderId="23" xfId="0" applyFont="1" applyFill="1" applyBorder="1" applyAlignment="1">
      <alignment horizontal="center" vertical="center" wrapText="1"/>
    </xf>
    <xf numFmtId="0" fontId="0" fillId="37" borderId="16" xfId="0" applyFont="1" applyFill="1" applyBorder="1" applyAlignment="1">
      <alignment horizontal="center" vertical="center"/>
    </xf>
    <xf numFmtId="0" fontId="0" fillId="37" borderId="0" xfId="0" applyFont="1" applyFill="1" applyBorder="1" applyAlignment="1">
      <alignment horizontal="center" vertical="center"/>
    </xf>
    <xf numFmtId="166" fontId="0" fillId="37" borderId="0" xfId="0" applyNumberFormat="1" applyFont="1" applyFill="1" applyBorder="1" applyAlignment="1">
      <alignment horizontal="center" vertical="center"/>
    </xf>
    <xf numFmtId="0" fontId="0" fillId="38" borderId="33" xfId="0" applyNumberFormat="1" applyFont="1" applyFill="1" applyBorder="1" applyAlignment="1">
      <alignment horizontal="center" vertical="center" wrapText="1"/>
    </xf>
    <xf numFmtId="0" fontId="0" fillId="38" borderId="3" xfId="0" applyNumberFormat="1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26" xfId="0" applyNumberFormat="1" applyFont="1" applyFill="1" applyBorder="1" applyAlignment="1">
      <alignment horizontal="center" vertical="center" wrapText="1"/>
    </xf>
    <xf numFmtId="0" fontId="0" fillId="0" borderId="23" xfId="0" applyFont="1" applyFill="1" applyBorder="1" applyAlignment="1">
      <alignment vertical="center" wrapText="1"/>
    </xf>
    <xf numFmtId="0" fontId="0" fillId="37" borderId="0" xfId="0" applyNumberFormat="1" applyFont="1" applyFill="1" applyBorder="1" applyAlignment="1">
      <alignment horizontal="center" vertical="center"/>
    </xf>
    <xf numFmtId="0" fontId="27" fillId="0" borderId="23" xfId="0" applyFont="1" applyFill="1" applyBorder="1" applyAlignment="1">
      <alignment horizontal="center" vertical="center" wrapText="1"/>
    </xf>
    <xf numFmtId="0" fontId="27" fillId="0" borderId="23" xfId="0" applyFont="1" applyFill="1" applyBorder="1" applyAlignment="1">
      <alignment vertical="center" wrapText="1"/>
    </xf>
    <xf numFmtId="0" fontId="0" fillId="38" borderId="34" xfId="0" applyNumberFormat="1" applyFont="1" applyFill="1" applyBorder="1" applyAlignment="1">
      <alignment horizontal="center" vertical="center" wrapText="1"/>
    </xf>
    <xf numFmtId="0" fontId="0" fillId="38" borderId="3" xfId="0" applyFont="1" applyFill="1" applyBorder="1" applyAlignment="1">
      <alignment horizontal="center" vertical="center" wrapText="1"/>
    </xf>
    <xf numFmtId="166" fontId="0" fillId="37" borderId="17" xfId="0" applyNumberFormat="1" applyFont="1" applyFill="1" applyBorder="1" applyAlignment="1">
      <alignment horizontal="center" vertical="center"/>
    </xf>
    <xf numFmtId="0" fontId="0" fillId="38" borderId="4" xfId="0" applyNumberFormat="1" applyFont="1" applyFill="1" applyBorder="1" applyAlignment="1">
      <alignment horizontal="center" vertical="center" wrapText="1"/>
    </xf>
    <xf numFmtId="0" fontId="0" fillId="38" borderId="2" xfId="0" applyNumberFormat="1" applyFont="1" applyFill="1" applyBorder="1" applyAlignment="1">
      <alignment horizontal="center" vertical="center" wrapText="1"/>
    </xf>
    <xf numFmtId="0" fontId="0" fillId="38" borderId="2" xfId="0" applyFont="1" applyFill="1" applyBorder="1" applyAlignment="1">
      <alignment horizontal="center" vertical="center" wrapText="1"/>
    </xf>
    <xf numFmtId="0" fontId="0" fillId="38" borderId="32" xfId="0" applyNumberFormat="1" applyFont="1" applyFill="1" applyBorder="1" applyAlignment="1">
      <alignment horizontal="center" vertical="center" wrapText="1"/>
    </xf>
    <xf numFmtId="0" fontId="0" fillId="38" borderId="31" xfId="0" applyNumberFormat="1" applyFont="1" applyFill="1" applyBorder="1" applyAlignment="1">
      <alignment horizontal="center" vertical="center" wrapText="1"/>
    </xf>
    <xf numFmtId="0" fontId="0" fillId="37" borderId="27" xfId="0" applyFont="1" applyFill="1" applyBorder="1" applyAlignment="1">
      <alignment horizontal="center" vertical="center" wrapText="1"/>
    </xf>
    <xf numFmtId="0" fontId="1" fillId="37" borderId="20" xfId="0" applyFont="1" applyFill="1" applyBorder="1" applyAlignment="1">
      <alignment horizontal="center" vertical="center" wrapText="1"/>
    </xf>
    <xf numFmtId="0" fontId="0" fillId="37" borderId="54" xfId="0" applyFont="1" applyFill="1" applyBorder="1" applyAlignment="1">
      <alignment horizontal="center" vertical="center"/>
    </xf>
    <xf numFmtId="0" fontId="0" fillId="37" borderId="55" xfId="0" applyFont="1" applyFill="1" applyBorder="1" applyAlignment="1">
      <alignment horizontal="center" vertical="center"/>
    </xf>
    <xf numFmtId="0" fontId="0" fillId="37" borderId="55" xfId="0" applyNumberFormat="1" applyFont="1" applyFill="1" applyBorder="1" applyAlignment="1">
      <alignment horizontal="center" vertical="center"/>
    </xf>
    <xf numFmtId="166" fontId="0" fillId="37" borderId="56" xfId="0" applyNumberFormat="1" applyFont="1" applyFill="1" applyBorder="1" applyAlignment="1">
      <alignment horizontal="center" vertical="center"/>
    </xf>
    <xf numFmtId="0" fontId="0" fillId="38" borderId="28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37" borderId="5" xfId="0" applyFont="1" applyFill="1" applyBorder="1" applyAlignment="1">
      <alignment horizontal="center" vertical="center" wrapText="1"/>
    </xf>
    <xf numFmtId="0" fontId="0" fillId="38" borderId="60" xfId="0" applyNumberFormat="1" applyFill="1" applyBorder="1" applyAlignment="1">
      <alignment horizontal="center" vertical="center" wrapText="1"/>
    </xf>
    <xf numFmtId="0" fontId="28" fillId="0" borderId="0" xfId="0" applyFont="1"/>
    <xf numFmtId="0" fontId="0" fillId="0" borderId="23" xfId="0" applyFill="1" applyBorder="1" applyAlignment="1">
      <alignment horizontal="center" vertical="center" wrapText="1"/>
    </xf>
    <xf numFmtId="0" fontId="23" fillId="35" borderId="61" xfId="0" applyFont="1" applyFill="1" applyBorder="1" applyAlignment="1">
      <alignment vertical="center"/>
    </xf>
    <xf numFmtId="0" fontId="23" fillId="35" borderId="62" xfId="0" applyFont="1" applyFill="1" applyBorder="1" applyAlignment="1">
      <alignment vertical="center"/>
    </xf>
    <xf numFmtId="0" fontId="23" fillId="35" borderId="63" xfId="0" applyFont="1" applyFill="1" applyBorder="1" applyAlignment="1">
      <alignment vertical="center"/>
    </xf>
    <xf numFmtId="0" fontId="29" fillId="0" borderId="0" xfId="0" applyNumberFormat="1" applyFont="1" applyFill="1" applyAlignment="1">
      <alignment vertical="center"/>
    </xf>
    <xf numFmtId="9" fontId="29" fillId="0" borderId="0" xfId="1" applyNumberFormat="1" applyFont="1" applyFill="1" applyAlignment="1">
      <alignment vertical="center"/>
    </xf>
    <xf numFmtId="166" fontId="29" fillId="0" borderId="0" xfId="0" applyNumberFormat="1" applyFont="1" applyFill="1" applyAlignment="1">
      <alignment vertical="center"/>
    </xf>
    <xf numFmtId="0" fontId="0" fillId="35" borderId="64" xfId="0" applyFill="1" applyBorder="1" applyAlignment="1">
      <alignment horizontal="center" vertical="center" wrapText="1"/>
    </xf>
    <xf numFmtId="0" fontId="0" fillId="35" borderId="47" xfId="0" applyFill="1" applyBorder="1" applyAlignment="1">
      <alignment horizontal="center" vertical="center" wrapText="1"/>
    </xf>
    <xf numFmtId="166" fontId="0" fillId="35" borderId="65" xfId="0" applyNumberFormat="1" applyFill="1" applyBorder="1" applyAlignment="1">
      <alignment horizontal="center" vertical="center" wrapText="1"/>
    </xf>
    <xf numFmtId="166" fontId="0" fillId="0" borderId="0" xfId="0" applyNumberFormat="1" applyFill="1" applyBorder="1" applyAlignment="1">
      <alignment vertical="center"/>
    </xf>
    <xf numFmtId="0" fontId="3" fillId="0" borderId="0" xfId="0" applyFont="1" applyFill="1"/>
    <xf numFmtId="0" fontId="3" fillId="0" borderId="0" xfId="0" applyFont="1"/>
    <xf numFmtId="0" fontId="0" fillId="33" borderId="18" xfId="0" applyFill="1" applyBorder="1" applyAlignment="1">
      <alignment horizontal="center" vertical="top"/>
    </xf>
    <xf numFmtId="0" fontId="0" fillId="33" borderId="19" xfId="0" applyFill="1" applyBorder="1" applyAlignment="1">
      <alignment horizontal="center" vertical="top"/>
    </xf>
    <xf numFmtId="0" fontId="0" fillId="33" borderId="19" xfId="0" applyNumberFormat="1" applyFill="1" applyBorder="1" applyAlignment="1">
      <alignment horizontal="center" vertical="top"/>
    </xf>
    <xf numFmtId="0" fontId="0" fillId="33" borderId="16" xfId="0" applyFill="1" applyBorder="1" applyAlignment="1">
      <alignment horizontal="center" vertical="top"/>
    </xf>
    <xf numFmtId="0" fontId="0" fillId="33" borderId="0" xfId="0" applyFill="1" applyBorder="1" applyAlignment="1">
      <alignment horizontal="center" vertical="top"/>
    </xf>
    <xf numFmtId="0" fontId="0" fillId="33" borderId="0" xfId="0" applyNumberFormat="1" applyFill="1" applyBorder="1" applyAlignment="1">
      <alignment horizontal="center" vertical="top"/>
    </xf>
    <xf numFmtId="166" fontId="0" fillId="33" borderId="17" xfId="0" applyNumberFormat="1" applyFill="1" applyBorder="1" applyAlignment="1">
      <alignment horizontal="center" vertical="top"/>
    </xf>
    <xf numFmtId="0" fontId="0" fillId="0" borderId="23" xfId="0" applyBorder="1" applyAlignment="1">
      <alignment horizontal="center"/>
    </xf>
    <xf numFmtId="0" fontId="0" fillId="0" borderId="23" xfId="0" applyBorder="1" applyAlignment="1">
      <alignment horizontal="left"/>
    </xf>
    <xf numFmtId="0" fontId="21" fillId="38" borderId="31" xfId="0" applyFont="1" applyFill="1" applyBorder="1" applyAlignment="1">
      <alignment horizontal="center" vertical="center"/>
    </xf>
    <xf numFmtId="0" fontId="0" fillId="38" borderId="70" xfId="0" applyNumberFormat="1" applyFill="1" applyBorder="1" applyAlignment="1">
      <alignment horizontal="center" vertical="center" wrapText="1"/>
    </xf>
    <xf numFmtId="0" fontId="0" fillId="33" borderId="73" xfId="0" applyFill="1" applyBorder="1" applyAlignment="1">
      <alignment horizontal="center" vertical="top"/>
    </xf>
    <xf numFmtId="0" fontId="0" fillId="33" borderId="74" xfId="0" applyFill="1" applyBorder="1" applyAlignment="1">
      <alignment horizontal="center" vertical="top"/>
    </xf>
    <xf numFmtId="0" fontId="0" fillId="33" borderId="74" xfId="0" applyNumberFormat="1" applyFill="1" applyBorder="1" applyAlignment="1">
      <alignment horizontal="center" vertical="top"/>
    </xf>
    <xf numFmtId="166" fontId="0" fillId="33" borderId="32" xfId="0" applyNumberFormat="1" applyFill="1" applyBorder="1" applyAlignment="1">
      <alignment horizontal="center" vertical="top"/>
    </xf>
    <xf numFmtId="166" fontId="16" fillId="36" borderId="6" xfId="0" applyNumberFormat="1" applyFont="1" applyFill="1" applyBorder="1" applyAlignment="1">
      <alignment horizontal="center" vertical="top"/>
    </xf>
    <xf numFmtId="0" fontId="0" fillId="37" borderId="54" xfId="0" applyFill="1" applyBorder="1" applyAlignment="1">
      <alignment horizontal="center" vertical="center"/>
    </xf>
    <xf numFmtId="0" fontId="0" fillId="37" borderId="55" xfId="0" applyFill="1" applyBorder="1" applyAlignment="1">
      <alignment horizontal="center" vertical="center"/>
    </xf>
    <xf numFmtId="0" fontId="0" fillId="37" borderId="55" xfId="0" applyNumberFormat="1" applyFill="1" applyBorder="1" applyAlignment="1">
      <alignment horizontal="center" vertical="center"/>
    </xf>
    <xf numFmtId="0" fontId="16" fillId="35" borderId="47" xfId="0" applyFont="1" applyFill="1" applyBorder="1" applyAlignment="1">
      <alignment vertical="center"/>
    </xf>
    <xf numFmtId="0" fontId="1" fillId="38" borderId="3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vertical="center" wrapText="1"/>
    </xf>
    <xf numFmtId="166" fontId="0" fillId="37" borderId="56" xfId="0" applyNumberFormat="1" applyFill="1" applyBorder="1" applyAlignment="1">
      <alignment horizontal="center" vertical="center"/>
    </xf>
    <xf numFmtId="0" fontId="0" fillId="38" borderId="26" xfId="0" applyNumberFormat="1" applyFill="1" applyBorder="1" applyAlignment="1">
      <alignment horizontal="center" vertical="center" wrapText="1"/>
    </xf>
    <xf numFmtId="0" fontId="0" fillId="38" borderId="25" xfId="0" applyNumberFormat="1" applyFill="1" applyBorder="1" applyAlignment="1">
      <alignment horizontal="center" vertical="center" wrapText="1"/>
    </xf>
    <xf numFmtId="0" fontId="0" fillId="37" borderId="27" xfId="0" applyFill="1" applyBorder="1" applyAlignment="1">
      <alignment horizontal="center" vertical="center" wrapText="1"/>
    </xf>
    <xf numFmtId="0" fontId="0" fillId="37" borderId="19" xfId="0" applyFill="1" applyBorder="1" applyAlignment="1">
      <alignment horizontal="center" vertical="center" wrapText="1"/>
    </xf>
    <xf numFmtId="0" fontId="0" fillId="37" borderId="19" xfId="0" applyNumberFormat="1" applyFill="1" applyBorder="1" applyAlignment="1">
      <alignment horizontal="center" vertical="center" wrapText="1"/>
    </xf>
    <xf numFmtId="0" fontId="0" fillId="37" borderId="18" xfId="0" applyNumberFormat="1" applyFill="1" applyBorder="1" applyAlignment="1">
      <alignment horizontal="center" vertical="center" wrapText="1"/>
    </xf>
    <xf numFmtId="0" fontId="0" fillId="38" borderId="31" xfId="0" applyNumberFormat="1" applyFill="1" applyBorder="1" applyAlignment="1">
      <alignment horizontal="center" vertical="center" wrapText="1"/>
    </xf>
    <xf numFmtId="0" fontId="0" fillId="38" borderId="32" xfId="0" applyNumberFormat="1" applyFill="1" applyBorder="1" applyAlignment="1">
      <alignment horizontal="center" vertical="center" wrapText="1"/>
    </xf>
    <xf numFmtId="0" fontId="0" fillId="38" borderId="56" xfId="0" applyNumberFormat="1" applyFill="1" applyBorder="1" applyAlignment="1">
      <alignment horizontal="center" vertical="center" wrapText="1"/>
    </xf>
    <xf numFmtId="0" fontId="1" fillId="38" borderId="75" xfId="0" applyNumberFormat="1" applyFont="1" applyFill="1" applyBorder="1" applyAlignment="1">
      <alignment horizontal="center" vertical="center" wrapText="1"/>
    </xf>
    <xf numFmtId="0" fontId="0" fillId="38" borderId="57" xfId="0" applyFill="1" applyBorder="1" applyAlignment="1">
      <alignment horizontal="center" vertical="center" wrapText="1"/>
    </xf>
    <xf numFmtId="0" fontId="0" fillId="38" borderId="57" xfId="0" applyNumberFormat="1" applyFill="1" applyBorder="1" applyAlignment="1">
      <alignment horizontal="center" vertical="center" wrapText="1"/>
    </xf>
    <xf numFmtId="0" fontId="0" fillId="38" borderId="59" xfId="0" applyNumberFormat="1" applyFill="1" applyBorder="1" applyAlignment="1">
      <alignment horizontal="center" vertical="center" wrapText="1"/>
    </xf>
    <xf numFmtId="0" fontId="0" fillId="38" borderId="43" xfId="0" applyNumberForma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8" fillId="36" borderId="27" xfId="0" applyFont="1" applyFill="1" applyBorder="1" applyAlignment="1">
      <alignment horizontal="center" vertical="center"/>
    </xf>
    <xf numFmtId="166" fontId="1" fillId="33" borderId="27" xfId="0" applyNumberFormat="1" applyFont="1" applyFill="1" applyBorder="1" applyAlignment="1">
      <alignment horizontal="center" vertical="center"/>
    </xf>
    <xf numFmtId="0" fontId="1" fillId="33" borderId="29" xfId="0" applyFont="1" applyFill="1" applyBorder="1" applyAlignment="1">
      <alignment horizontal="center" vertical="center"/>
    </xf>
    <xf numFmtId="0" fontId="16" fillId="35" borderId="58" xfId="0" applyFont="1" applyFill="1" applyBorder="1" applyAlignment="1">
      <alignment horizontal="center" vertical="center"/>
    </xf>
    <xf numFmtId="165" fontId="0" fillId="0" borderId="2" xfId="1" applyNumberFormat="1" applyFont="1" applyFill="1" applyBorder="1" applyAlignment="1">
      <alignment horizontal="center" vertical="center"/>
    </xf>
    <xf numFmtId="0" fontId="0" fillId="38" borderId="73" xfId="0" applyNumberFormat="1" applyFont="1" applyFill="1" applyBorder="1" applyAlignment="1">
      <alignment horizontal="center" vertical="center" wrapText="1"/>
    </xf>
    <xf numFmtId="0" fontId="0" fillId="38" borderId="60" xfId="0" applyNumberFormat="1" applyFont="1" applyFill="1" applyBorder="1" applyAlignment="1">
      <alignment horizontal="center" vertical="center" wrapText="1"/>
    </xf>
    <xf numFmtId="0" fontId="0" fillId="38" borderId="77" xfId="0" applyNumberFormat="1" applyFont="1" applyFill="1" applyBorder="1" applyAlignment="1">
      <alignment horizontal="center" vertical="center" wrapText="1"/>
    </xf>
    <xf numFmtId="0" fontId="0" fillId="38" borderId="75" xfId="0" applyNumberFormat="1" applyFont="1" applyFill="1" applyBorder="1" applyAlignment="1">
      <alignment horizontal="center" vertical="center" wrapText="1"/>
    </xf>
    <xf numFmtId="0" fontId="0" fillId="38" borderId="37" xfId="0" applyNumberFormat="1" applyFont="1" applyFill="1" applyBorder="1" applyAlignment="1">
      <alignment horizontal="center" vertical="center" wrapText="1"/>
    </xf>
    <xf numFmtId="0" fontId="0" fillId="38" borderId="75" xfId="0" applyFont="1" applyFill="1" applyBorder="1" applyAlignment="1">
      <alignment horizontal="center" vertical="center" wrapText="1"/>
    </xf>
    <xf numFmtId="1" fontId="0" fillId="33" borderId="19" xfId="0" applyNumberFormat="1" applyFill="1" applyBorder="1" applyAlignment="1">
      <alignment horizontal="center" vertical="top"/>
    </xf>
    <xf numFmtId="1" fontId="0" fillId="33" borderId="0" xfId="0" applyNumberFormat="1" applyFill="1" applyBorder="1" applyAlignment="1">
      <alignment horizontal="center" vertical="top"/>
    </xf>
    <xf numFmtId="1" fontId="0" fillId="33" borderId="17" xfId="0" applyNumberFormat="1" applyFill="1" applyBorder="1" applyAlignment="1">
      <alignment horizontal="center" vertical="top"/>
    </xf>
    <xf numFmtId="0" fontId="19" fillId="0" borderId="1" xfId="43" applyFont="1" applyBorder="1" applyAlignment="1">
      <alignment horizontal="center" vertical="center"/>
    </xf>
    <xf numFmtId="0" fontId="19" fillId="0" borderId="75" xfId="43" applyFont="1" applyBorder="1" applyAlignment="1">
      <alignment horizontal="center" vertical="center"/>
    </xf>
    <xf numFmtId="0" fontId="19" fillId="0" borderId="2" xfId="43" applyFont="1" applyBorder="1" applyAlignment="1">
      <alignment horizontal="center" vertical="center"/>
    </xf>
    <xf numFmtId="0" fontId="0" fillId="38" borderId="26" xfId="0" applyFill="1" applyBorder="1" applyAlignment="1">
      <alignment horizontal="center" vertical="center"/>
    </xf>
    <xf numFmtId="0" fontId="0" fillId="38" borderId="31" xfId="0" applyFill="1" applyBorder="1" applyAlignment="1">
      <alignment horizontal="center" vertical="top"/>
    </xf>
    <xf numFmtId="0" fontId="1" fillId="37" borderId="5" xfId="0" applyNumberFormat="1" applyFont="1" applyFill="1" applyBorder="1" applyAlignment="1">
      <alignment horizontal="center" vertical="center" wrapText="1"/>
    </xf>
    <xf numFmtId="0" fontId="30" fillId="33" borderId="40" xfId="0" applyFont="1" applyFill="1" applyBorder="1" applyAlignment="1">
      <alignment horizontal="left" vertical="center"/>
    </xf>
    <xf numFmtId="0" fontId="30" fillId="33" borderId="46" xfId="0" applyFont="1" applyFill="1" applyBorder="1" applyAlignment="1">
      <alignment horizontal="left" vertical="center"/>
    </xf>
    <xf numFmtId="0" fontId="30" fillId="33" borderId="38" xfId="0" applyFont="1" applyFill="1" applyBorder="1" applyAlignment="1">
      <alignment horizontal="left" vertical="center"/>
    </xf>
    <xf numFmtId="0" fontId="31" fillId="38" borderId="25" xfId="0" applyNumberFormat="1" applyFont="1" applyFill="1" applyBorder="1" applyAlignment="1">
      <alignment horizontal="center" vertical="center" wrapText="1"/>
    </xf>
    <xf numFmtId="0" fontId="31" fillId="38" borderId="26" xfId="0" applyNumberFormat="1" applyFont="1" applyFill="1" applyBorder="1" applyAlignment="1">
      <alignment horizontal="center" vertical="center" wrapText="1"/>
    </xf>
    <xf numFmtId="0" fontId="31" fillId="38" borderId="37" xfId="0" applyNumberFormat="1" applyFont="1" applyFill="1" applyBorder="1" applyAlignment="1">
      <alignment horizontal="center" vertical="center" wrapText="1"/>
    </xf>
    <xf numFmtId="0" fontId="31" fillId="38" borderId="79" xfId="0" applyNumberFormat="1" applyFont="1" applyFill="1" applyBorder="1" applyAlignment="1">
      <alignment horizontal="center" vertical="center" wrapText="1"/>
    </xf>
    <xf numFmtId="0" fontId="31" fillId="38" borderId="32" xfId="0" applyNumberFormat="1" applyFont="1" applyFill="1" applyBorder="1" applyAlignment="1">
      <alignment horizontal="center" vertical="center" wrapText="1"/>
    </xf>
    <xf numFmtId="0" fontId="31" fillId="38" borderId="31" xfId="0" applyNumberFormat="1" applyFont="1" applyFill="1" applyBorder="1" applyAlignment="1">
      <alignment horizontal="center" vertical="center" wrapText="1"/>
    </xf>
    <xf numFmtId="0" fontId="31" fillId="37" borderId="20" xfId="0" applyFont="1" applyFill="1" applyBorder="1" applyAlignment="1">
      <alignment horizontal="center" vertical="center" wrapText="1"/>
    </xf>
    <xf numFmtId="0" fontId="1" fillId="37" borderId="29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left" vertical="center" wrapText="1"/>
    </xf>
    <xf numFmtId="0" fontId="0" fillId="0" borderId="23" xfId="0" applyFont="1" applyFill="1" applyBorder="1" applyAlignment="1">
      <alignment horizontal="left" vertical="center" wrapText="1"/>
    </xf>
    <xf numFmtId="0" fontId="0" fillId="38" borderId="74" xfId="0" applyNumberFormat="1" applyFont="1" applyFill="1" applyBorder="1" applyAlignment="1">
      <alignment horizontal="center" vertical="center" wrapText="1"/>
    </xf>
    <xf numFmtId="0" fontId="0" fillId="38" borderId="68" xfId="0" applyNumberFormat="1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left" vertical="center" wrapText="1"/>
    </xf>
    <xf numFmtId="0" fontId="16" fillId="36" borderId="1" xfId="0" applyFont="1" applyFill="1" applyBorder="1" applyAlignment="1">
      <alignment horizontal="left" vertical="top"/>
    </xf>
    <xf numFmtId="0" fontId="0" fillId="37" borderId="1" xfId="0" applyFill="1" applyBorder="1"/>
    <xf numFmtId="0" fontId="16" fillId="36" borderId="1" xfId="0" applyFont="1" applyFill="1" applyBorder="1" applyAlignment="1">
      <alignment horizontal="center" vertical="center"/>
    </xf>
    <xf numFmtId="0" fontId="16" fillId="36" borderId="1" xfId="0" applyFont="1" applyFill="1" applyBorder="1" applyAlignment="1">
      <alignment horizontal="center" vertical="center" wrapText="1"/>
    </xf>
    <xf numFmtId="0" fontId="1" fillId="37" borderId="1" xfId="0" applyFont="1" applyFill="1" applyBorder="1" applyAlignment="1">
      <alignment horizontal="center" vertical="center"/>
    </xf>
    <xf numFmtId="0" fontId="1" fillId="37" borderId="75" xfId="0" applyFont="1" applyFill="1" applyBorder="1" applyAlignment="1">
      <alignment horizontal="center" vertical="center"/>
    </xf>
    <xf numFmtId="0" fontId="1" fillId="37" borderId="21" xfId="0" applyFont="1" applyFill="1" applyBorder="1" applyAlignment="1">
      <alignment horizontal="center" vertical="center"/>
    </xf>
    <xf numFmtId="0" fontId="16" fillId="36" borderId="2" xfId="0" applyFont="1" applyFill="1" applyBorder="1" applyAlignment="1">
      <alignment horizontal="center" vertical="center"/>
    </xf>
    <xf numFmtId="9" fontId="1" fillId="37" borderId="1" xfId="1" applyFont="1" applyFill="1" applyBorder="1" applyAlignment="1">
      <alignment horizontal="center" vertical="center"/>
    </xf>
    <xf numFmtId="9" fontId="1" fillId="37" borderId="75" xfId="1" applyFont="1" applyFill="1" applyBorder="1" applyAlignment="1">
      <alignment horizontal="center" vertical="center"/>
    </xf>
    <xf numFmtId="9" fontId="1" fillId="37" borderId="2" xfId="1" applyFont="1" applyFill="1" applyBorder="1" applyAlignment="1">
      <alignment horizontal="center" vertical="center"/>
    </xf>
    <xf numFmtId="0" fontId="1" fillId="38" borderId="1" xfId="0" applyFont="1" applyFill="1" applyBorder="1" applyAlignment="1">
      <alignment horizontal="center" vertical="center"/>
    </xf>
    <xf numFmtId="0" fontId="1" fillId="38" borderId="75" xfId="0" applyFont="1" applyFill="1" applyBorder="1" applyAlignment="1">
      <alignment horizontal="center" vertical="center"/>
    </xf>
    <xf numFmtId="0" fontId="1" fillId="38" borderId="2" xfId="0" applyFont="1" applyFill="1" applyBorder="1" applyAlignment="1">
      <alignment horizontal="center" vertical="center"/>
    </xf>
    <xf numFmtId="0" fontId="1" fillId="38" borderId="21" xfId="0" applyFont="1" applyFill="1" applyBorder="1" applyAlignment="1">
      <alignment horizontal="center" vertical="center"/>
    </xf>
    <xf numFmtId="0" fontId="1" fillId="39" borderId="1" xfId="0" applyFont="1" applyFill="1" applyBorder="1" applyAlignment="1">
      <alignment horizontal="center" vertical="center"/>
    </xf>
    <xf numFmtId="0" fontId="1" fillId="39" borderId="75" xfId="0" applyFont="1" applyFill="1" applyBorder="1" applyAlignment="1">
      <alignment horizontal="center" vertical="center"/>
    </xf>
    <xf numFmtId="0" fontId="1" fillId="39" borderId="2" xfId="0" applyFont="1" applyFill="1" applyBorder="1" applyAlignment="1">
      <alignment horizontal="center" vertical="center"/>
    </xf>
    <xf numFmtId="0" fontId="0" fillId="38" borderId="79" xfId="0" applyNumberFormat="1" applyFill="1" applyBorder="1" applyAlignment="1">
      <alignment horizontal="center" vertical="center" wrapText="1"/>
    </xf>
    <xf numFmtId="0" fontId="0" fillId="37" borderId="55" xfId="0" applyFill="1" applyBorder="1" applyAlignment="1">
      <alignment horizontal="center" vertical="center" wrapText="1"/>
    </xf>
    <xf numFmtId="0" fontId="34" fillId="37" borderId="19" xfId="0" applyNumberFormat="1" applyFont="1" applyFill="1" applyBorder="1" applyAlignment="1">
      <alignment horizontal="center" vertical="center" wrapText="1"/>
    </xf>
    <xf numFmtId="0" fontId="35" fillId="0" borderId="0" xfId="0" applyNumberFormat="1" applyFont="1" applyFill="1" applyAlignment="1">
      <alignment vertical="center"/>
    </xf>
    <xf numFmtId="9" fontId="35" fillId="0" borderId="0" xfId="1" applyNumberFormat="1" applyFont="1" applyFill="1" applyAlignment="1">
      <alignment vertical="center"/>
    </xf>
    <xf numFmtId="166" fontId="35" fillId="0" borderId="0" xfId="0" applyNumberFormat="1" applyFont="1" applyFill="1" applyAlignment="1">
      <alignment vertical="center"/>
    </xf>
    <xf numFmtId="0" fontId="1" fillId="0" borderId="23" xfId="0" applyFont="1" applyFill="1" applyBorder="1" applyAlignment="1">
      <alignment horizontal="left" vertical="center" wrapText="1"/>
    </xf>
    <xf numFmtId="165" fontId="0" fillId="0" borderId="75" xfId="1" applyNumberFormat="1" applyFont="1" applyFill="1" applyBorder="1" applyAlignment="1">
      <alignment horizontal="center" vertical="center"/>
    </xf>
    <xf numFmtId="0" fontId="0" fillId="37" borderId="27" xfId="0" applyNumberFormat="1" applyFont="1" applyFill="1" applyBorder="1" applyAlignment="1">
      <alignment horizontal="center" vertical="center" wrapText="1"/>
    </xf>
    <xf numFmtId="0" fontId="1" fillId="39" borderId="1" xfId="0" applyNumberFormat="1" applyFont="1" applyFill="1" applyBorder="1" applyAlignment="1">
      <alignment horizontal="center" vertical="center" wrapText="1"/>
    </xf>
    <xf numFmtId="0" fontId="1" fillId="39" borderId="75" xfId="0" applyNumberFormat="1" applyFont="1" applyFill="1" applyBorder="1" applyAlignment="1">
      <alignment horizontal="center" vertical="center" wrapText="1"/>
    </xf>
    <xf numFmtId="0" fontId="1" fillId="39" borderId="2" xfId="0" applyNumberFormat="1" applyFont="1" applyFill="1" applyBorder="1" applyAlignment="1">
      <alignment horizontal="center" vertical="center" wrapText="1"/>
    </xf>
    <xf numFmtId="0" fontId="0" fillId="39" borderId="2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center" wrapText="1"/>
    </xf>
    <xf numFmtId="0" fontId="0" fillId="39" borderId="75" xfId="0" applyFont="1" applyFill="1" applyBorder="1" applyAlignment="1">
      <alignment horizontal="center" vertical="center" wrapText="1"/>
    </xf>
    <xf numFmtId="0" fontId="0" fillId="39" borderId="2" xfId="0" applyFont="1" applyFill="1" applyBorder="1" applyAlignment="1">
      <alignment horizontal="center" vertical="center" wrapText="1"/>
    </xf>
    <xf numFmtId="0" fontId="0" fillId="39" borderId="3" xfId="0" applyFont="1" applyFill="1" applyBorder="1" applyAlignment="1">
      <alignment horizontal="center" vertical="center" wrapText="1"/>
    </xf>
    <xf numFmtId="0" fontId="0" fillId="37" borderId="44" xfId="0" applyNumberFormat="1" applyFont="1" applyFill="1" applyBorder="1" applyAlignment="1">
      <alignment vertical="center"/>
    </xf>
    <xf numFmtId="0" fontId="16" fillId="35" borderId="47" xfId="0" applyFont="1" applyFill="1" applyBorder="1" applyAlignment="1">
      <alignment vertical="center"/>
    </xf>
    <xf numFmtId="0" fontId="16" fillId="40" borderId="44" xfId="0" applyFont="1" applyFill="1" applyBorder="1" applyAlignment="1">
      <alignment vertical="center"/>
    </xf>
    <xf numFmtId="0" fontId="16" fillId="35" borderId="41" xfId="0" applyFont="1" applyFill="1" applyBorder="1" applyAlignment="1">
      <alignment vertical="center"/>
    </xf>
    <xf numFmtId="0" fontId="0" fillId="0" borderId="17" xfId="0" applyBorder="1" applyAlignment="1">
      <alignment horizontal="center" vertical="center" wrapText="1"/>
    </xf>
    <xf numFmtId="0" fontId="0" fillId="37" borderId="18" xfId="0" applyFill="1" applyBorder="1" applyAlignment="1">
      <alignment horizontal="center" vertical="center" wrapText="1"/>
    </xf>
    <xf numFmtId="0" fontId="0" fillId="38" borderId="36" xfId="0" applyFill="1" applyBorder="1" applyAlignment="1">
      <alignment horizontal="center" vertical="center" wrapText="1"/>
    </xf>
    <xf numFmtId="0" fontId="0" fillId="38" borderId="87" xfId="0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37" borderId="0" xfId="0" applyFill="1" applyAlignment="1">
      <alignment horizontal="center" vertical="center"/>
    </xf>
    <xf numFmtId="166" fontId="0" fillId="37" borderId="0" xfId="0" applyNumberFormat="1" applyFill="1" applyAlignment="1">
      <alignment horizontal="center" vertical="center"/>
    </xf>
    <xf numFmtId="0" fontId="0" fillId="38" borderId="33" xfId="0" applyFill="1" applyBorder="1" applyAlignment="1">
      <alignment horizontal="center" vertical="center" wrapText="1"/>
    </xf>
    <xf numFmtId="0" fontId="1" fillId="38" borderId="1" xfId="0" applyFont="1" applyFill="1" applyBorder="1" applyAlignment="1">
      <alignment horizontal="center" vertical="center" wrapText="1"/>
    </xf>
    <xf numFmtId="0" fontId="0" fillId="38" borderId="37" xfId="0" applyFill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27" fillId="0" borderId="23" xfId="0" applyFont="1" applyBorder="1" applyAlignment="1">
      <alignment vertical="center" wrapText="1"/>
    </xf>
    <xf numFmtId="0" fontId="0" fillId="38" borderId="34" xfId="0" applyFill="1" applyBorder="1" applyAlignment="1">
      <alignment horizontal="center" vertical="center" wrapText="1"/>
    </xf>
    <xf numFmtId="0" fontId="1" fillId="38" borderId="3" xfId="0" applyFont="1" applyFill="1" applyBorder="1" applyAlignment="1">
      <alignment horizontal="center" vertical="center" wrapText="1"/>
    </xf>
    <xf numFmtId="0" fontId="0" fillId="38" borderId="43" xfId="0" applyFill="1" applyBorder="1" applyAlignment="1">
      <alignment horizontal="center" vertical="center" wrapText="1"/>
    </xf>
    <xf numFmtId="0" fontId="0" fillId="38" borderId="4" xfId="0" applyFill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38" borderId="72" xfId="0" applyFill="1" applyBorder="1" applyAlignment="1">
      <alignment horizontal="center" vertical="center" wrapText="1"/>
    </xf>
    <xf numFmtId="0" fontId="0" fillId="38" borderId="59" xfId="0" applyFill="1" applyBorder="1" applyAlignment="1">
      <alignment horizontal="center" vertical="center" wrapText="1"/>
    </xf>
    <xf numFmtId="0" fontId="1" fillId="38" borderId="57" xfId="0" applyFont="1" applyFill="1" applyBorder="1" applyAlignment="1">
      <alignment horizontal="center" vertical="center" wrapText="1"/>
    </xf>
    <xf numFmtId="0" fontId="0" fillId="38" borderId="81" xfId="0" applyFill="1" applyBorder="1" applyAlignment="1">
      <alignment horizontal="center" vertical="center" wrapText="1"/>
    </xf>
    <xf numFmtId="0" fontId="0" fillId="0" borderId="23" xfId="0" applyBorder="1" applyAlignment="1">
      <alignment vertical="center" wrapText="1"/>
    </xf>
    <xf numFmtId="0" fontId="0" fillId="38" borderId="73" xfId="0" applyFill="1" applyBorder="1" applyAlignment="1">
      <alignment horizontal="center" vertical="center" wrapText="1"/>
    </xf>
    <xf numFmtId="0" fontId="0" fillId="38" borderId="84" xfId="0" applyFill="1" applyBorder="1" applyAlignment="1">
      <alignment horizontal="center" vertical="center" wrapText="1"/>
    </xf>
    <xf numFmtId="0" fontId="0" fillId="38" borderId="60" xfId="0" applyFill="1" applyBorder="1" applyAlignment="1">
      <alignment horizontal="center" vertical="center" wrapText="1"/>
    </xf>
    <xf numFmtId="0" fontId="1" fillId="38" borderId="2" xfId="0" applyFont="1" applyFill="1" applyBorder="1" applyAlignment="1">
      <alignment horizontal="center" vertical="center" wrapText="1"/>
    </xf>
    <xf numFmtId="0" fontId="0" fillId="38" borderId="79" xfId="0" applyFill="1" applyBorder="1" applyAlignment="1">
      <alignment horizontal="center" vertical="center" wrapText="1"/>
    </xf>
    <xf numFmtId="0" fontId="1" fillId="37" borderId="5" xfId="0" applyFont="1" applyFill="1" applyBorder="1" applyAlignment="1">
      <alignment horizontal="center" vertical="center" wrapText="1"/>
    </xf>
    <xf numFmtId="0" fontId="0" fillId="38" borderId="68" xfId="0" applyFill="1" applyBorder="1" applyAlignment="1">
      <alignment horizontal="center" vertical="center" wrapText="1"/>
    </xf>
    <xf numFmtId="0" fontId="3" fillId="38" borderId="1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3" xfId="0" applyBorder="1"/>
    <xf numFmtId="0" fontId="0" fillId="38" borderId="67" xfId="0" applyFill="1" applyBorder="1" applyAlignment="1">
      <alignment horizontal="center" vertical="center" wrapText="1"/>
    </xf>
    <xf numFmtId="0" fontId="0" fillId="0" borderId="23" xfId="0" applyBorder="1" applyAlignment="1">
      <alignment horizontal="left" vertical="center"/>
    </xf>
    <xf numFmtId="0" fontId="0" fillId="37" borderId="29" xfId="0" applyFill="1" applyBorder="1" applyAlignment="1">
      <alignment horizontal="center" vertical="center" wrapText="1"/>
    </xf>
    <xf numFmtId="0" fontId="1" fillId="37" borderId="27" xfId="0" applyFont="1" applyFill="1" applyBorder="1" applyAlignment="1">
      <alignment horizontal="center" vertical="center" wrapText="1"/>
    </xf>
    <xf numFmtId="0" fontId="0" fillId="38" borderId="35" xfId="0" applyFill="1" applyBorder="1" applyAlignment="1">
      <alignment horizontal="center" vertical="center" wrapText="1"/>
    </xf>
    <xf numFmtId="0" fontId="0" fillId="0" borderId="6" xfId="0" applyBorder="1"/>
    <xf numFmtId="165" fontId="0" fillId="0" borderId="80" xfId="1" applyNumberFormat="1" applyFont="1" applyFill="1" applyBorder="1" applyAlignment="1">
      <alignment horizontal="center" vertical="center"/>
    </xf>
    <xf numFmtId="0" fontId="0" fillId="0" borderId="23" xfId="0" applyFont="1" applyBorder="1" applyAlignment="1">
      <alignment horizontal="center" vertical="center" wrapText="1"/>
    </xf>
    <xf numFmtId="0" fontId="29" fillId="0" borderId="0" xfId="0" applyFont="1" applyFill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1" fillId="37" borderId="16" xfId="0" applyFont="1" applyFill="1" applyBorder="1" applyAlignment="1">
      <alignment horizontal="center" vertical="center"/>
    </xf>
    <xf numFmtId="0" fontId="1" fillId="37" borderId="17" xfId="0" applyFont="1" applyFill="1" applyBorder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14" fontId="0" fillId="33" borderId="40" xfId="0" applyNumberFormat="1" applyFill="1" applyBorder="1" applyAlignment="1">
      <alignment vertical="center"/>
    </xf>
    <xf numFmtId="14" fontId="0" fillId="33" borderId="46" xfId="0" applyNumberFormat="1" applyFill="1" applyBorder="1" applyAlignment="1">
      <alignment vertical="center"/>
    </xf>
    <xf numFmtId="14" fontId="0" fillId="33" borderId="38" xfId="0" applyNumberFormat="1" applyFill="1" applyBorder="1" applyAlignment="1">
      <alignment vertical="center"/>
    </xf>
    <xf numFmtId="0" fontId="19" fillId="0" borderId="82" xfId="43" applyFont="1" applyBorder="1" applyAlignment="1">
      <alignment horizontal="center" vertical="center"/>
    </xf>
    <xf numFmtId="0" fontId="1" fillId="37" borderId="58" xfId="0" applyFont="1" applyFill="1" applyBorder="1" applyAlignment="1">
      <alignment horizontal="center" vertical="center" wrapText="1"/>
    </xf>
    <xf numFmtId="0" fontId="0" fillId="0" borderId="17" xfId="0" applyBorder="1" applyAlignment="1">
      <alignment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vertical="center"/>
    </xf>
    <xf numFmtId="9" fontId="1" fillId="0" borderId="0" xfId="1" applyNumberFormat="1" applyFont="1" applyFill="1" applyAlignment="1">
      <alignment vertical="center"/>
    </xf>
    <xf numFmtId="166" fontId="1" fillId="0" borderId="0" xfId="0" applyNumberFormat="1" applyFont="1" applyFill="1" applyAlignment="1">
      <alignment vertical="center"/>
    </xf>
    <xf numFmtId="0" fontId="1" fillId="37" borderId="5" xfId="0" applyFont="1" applyFill="1" applyBorder="1" applyAlignment="1">
      <alignment horizontal="center" vertical="center"/>
    </xf>
    <xf numFmtId="0" fontId="1" fillId="37" borderId="5" xfId="0" applyFont="1" applyFill="1" applyBorder="1" applyAlignment="1">
      <alignment horizontal="center"/>
    </xf>
    <xf numFmtId="10" fontId="1" fillId="37" borderId="5" xfId="1" applyNumberFormat="1" applyFont="1" applyFill="1" applyBorder="1" applyAlignment="1">
      <alignment horizontal="center"/>
    </xf>
    <xf numFmtId="0" fontId="1" fillId="33" borderId="5" xfId="0" applyFont="1" applyFill="1" applyBorder="1" applyAlignment="1">
      <alignment horizontal="center" vertical="center"/>
    </xf>
    <xf numFmtId="0" fontId="1" fillId="37" borderId="5" xfId="0" applyNumberFormat="1" applyFont="1" applyFill="1" applyBorder="1" applyAlignment="1">
      <alignment horizontal="center"/>
    </xf>
    <xf numFmtId="0" fontId="1" fillId="37" borderId="5" xfId="0" applyNumberFormat="1" applyFont="1" applyFill="1" applyBorder="1" applyAlignment="1">
      <alignment horizontal="center" vertical="center"/>
    </xf>
    <xf numFmtId="10" fontId="1" fillId="37" borderId="5" xfId="1" applyNumberFormat="1" applyFont="1" applyFill="1" applyBorder="1" applyAlignment="1">
      <alignment horizontal="center" vertical="center"/>
    </xf>
    <xf numFmtId="0" fontId="27" fillId="0" borderId="23" xfId="0" applyFont="1" applyFill="1" applyBorder="1" applyAlignment="1">
      <alignment horizontal="left" vertical="center" wrapText="1"/>
    </xf>
    <xf numFmtId="0" fontId="1" fillId="33" borderId="5" xfId="0" applyNumberFormat="1" applyFont="1" applyFill="1" applyBorder="1" applyAlignment="1">
      <alignment horizontal="center" vertical="center"/>
    </xf>
    <xf numFmtId="10" fontId="1" fillId="33" borderId="5" xfId="1" applyNumberFormat="1" applyFont="1" applyFill="1" applyBorder="1" applyAlignment="1">
      <alignment horizontal="center" vertical="center"/>
    </xf>
    <xf numFmtId="0" fontId="0" fillId="0" borderId="17" xfId="0" applyFont="1" applyBorder="1" applyAlignment="1">
      <alignment horizontal="center" vertical="center" wrapText="1"/>
    </xf>
    <xf numFmtId="166" fontId="29" fillId="0" borderId="0" xfId="0" applyNumberFormat="1" applyFont="1" applyFill="1" applyAlignment="1">
      <alignment horizontal="center" vertical="center"/>
    </xf>
    <xf numFmtId="0" fontId="29" fillId="0" borderId="0" xfId="0" applyNumberFormat="1" applyFont="1" applyFill="1" applyAlignment="1">
      <alignment horizontal="center" vertical="center"/>
    </xf>
    <xf numFmtId="0" fontId="35" fillId="0" borderId="0" xfId="0" applyNumberFormat="1" applyFont="1" applyFill="1" applyAlignment="1">
      <alignment horizontal="center" vertical="center"/>
    </xf>
    <xf numFmtId="0" fontId="31" fillId="38" borderId="1" xfId="0" applyFont="1" applyFill="1" applyBorder="1" applyAlignment="1">
      <alignment horizontal="center" vertical="center" wrapText="1"/>
    </xf>
    <xf numFmtId="0" fontId="31" fillId="38" borderId="31" xfId="0" applyFont="1" applyFill="1" applyBorder="1" applyAlignment="1">
      <alignment horizontal="center" vertical="top"/>
    </xf>
    <xf numFmtId="165" fontId="0" fillId="0" borderId="5" xfId="1" applyNumberFormat="1" applyFont="1" applyFill="1" applyBorder="1" applyAlignment="1">
      <alignment horizontal="center" vertical="center"/>
    </xf>
    <xf numFmtId="0" fontId="0" fillId="38" borderId="78" xfId="0" applyFill="1" applyBorder="1" applyAlignment="1">
      <alignment horizontal="center" vertical="center" wrapText="1"/>
    </xf>
    <xf numFmtId="0" fontId="0" fillId="38" borderId="83" xfId="0" applyFill="1" applyBorder="1" applyAlignment="1">
      <alignment horizontal="center" vertical="center" wrapText="1"/>
    </xf>
    <xf numFmtId="0" fontId="0" fillId="38" borderId="35" xfId="0" applyNumberFormat="1" applyFill="1" applyBorder="1" applyAlignment="1">
      <alignment horizontal="center" vertical="center" wrapText="1"/>
    </xf>
    <xf numFmtId="0" fontId="1" fillId="38" borderId="76" xfId="0" applyNumberFormat="1" applyFont="1" applyFill="1" applyBorder="1" applyAlignment="1">
      <alignment horizontal="center" vertical="center" wrapText="1"/>
    </xf>
    <xf numFmtId="0" fontId="1" fillId="38" borderId="21" xfId="0" applyNumberFormat="1" applyFont="1" applyFill="1" applyBorder="1" applyAlignment="1">
      <alignment horizontal="center" vertical="center" wrapText="1"/>
    </xf>
    <xf numFmtId="0" fontId="0" fillId="38" borderId="71" xfId="0" applyFill="1" applyBorder="1" applyAlignment="1">
      <alignment horizontal="center" vertical="center" wrapText="1"/>
    </xf>
    <xf numFmtId="0" fontId="1" fillId="38" borderId="76" xfId="0" applyFont="1" applyFill="1" applyBorder="1" applyAlignment="1">
      <alignment horizontal="center" vertical="center" wrapText="1"/>
    </xf>
    <xf numFmtId="0" fontId="1" fillId="38" borderId="21" xfId="0" applyFont="1" applyFill="1" applyBorder="1" applyAlignment="1">
      <alignment horizontal="center" vertical="center" wrapText="1"/>
    </xf>
    <xf numFmtId="0" fontId="0" fillId="38" borderId="35" xfId="0" applyNumberFormat="1" applyFont="1" applyFill="1" applyBorder="1" applyAlignment="1">
      <alignment horizontal="center" vertical="center" wrapText="1"/>
    </xf>
    <xf numFmtId="165" fontId="0" fillId="0" borderId="21" xfId="1" applyNumberFormat="1" applyFont="1" applyFill="1" applyBorder="1" applyAlignment="1">
      <alignment horizontal="center" vertical="center"/>
    </xf>
    <xf numFmtId="0" fontId="1" fillId="38" borderId="69" xfId="0" applyNumberFormat="1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23" xfId="0" applyFont="1" applyFill="1" applyBorder="1" applyAlignment="1">
      <alignment horizontal="center" vertical="center" wrapText="1"/>
    </xf>
    <xf numFmtId="0" fontId="0" fillId="39" borderId="37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center" vertical="center" wrapText="1"/>
    </xf>
    <xf numFmtId="0" fontId="31" fillId="41" borderId="79" xfId="0" applyFont="1" applyFill="1" applyBorder="1" applyAlignment="1">
      <alignment horizontal="center" vertical="center"/>
    </xf>
    <xf numFmtId="0" fontId="37" fillId="0" borderId="22" xfId="0" applyFont="1" applyFill="1" applyBorder="1" applyAlignment="1">
      <alignment horizontal="center" vertical="center" wrapText="1"/>
    </xf>
    <xf numFmtId="0" fontId="41" fillId="0" borderId="22" xfId="0" applyFont="1" applyFill="1" applyBorder="1" applyAlignment="1">
      <alignment horizontal="center" vertical="center" wrapText="1"/>
    </xf>
    <xf numFmtId="0" fontId="41" fillId="0" borderId="23" xfId="0" applyFont="1" applyFill="1" applyBorder="1" applyAlignment="1">
      <alignment horizontal="center" vertical="center" wrapText="1"/>
    </xf>
    <xf numFmtId="0" fontId="41" fillId="33" borderId="27" xfId="0" applyNumberFormat="1" applyFont="1" applyFill="1" applyBorder="1" applyAlignment="1">
      <alignment horizontal="center" vertical="center" wrapText="1"/>
    </xf>
    <xf numFmtId="0" fontId="41" fillId="33" borderId="27" xfId="0" applyFont="1" applyFill="1" applyBorder="1" applyAlignment="1">
      <alignment horizontal="center" wrapText="1"/>
    </xf>
    <xf numFmtId="0" fontId="43" fillId="33" borderId="27" xfId="0" applyFont="1" applyFill="1" applyBorder="1" applyAlignment="1">
      <alignment horizontal="center" wrapText="1"/>
    </xf>
    <xf numFmtId="0" fontId="42" fillId="38" borderId="33" xfId="0" applyNumberFormat="1" applyFont="1" applyFill="1" applyBorder="1" applyAlignment="1">
      <alignment horizontal="center" vertical="center" wrapText="1"/>
    </xf>
    <xf numFmtId="0" fontId="41" fillId="33" borderId="0" xfId="0" applyNumberFormat="1" applyFont="1" applyFill="1" applyBorder="1" applyAlignment="1">
      <alignment horizontal="center" vertical="center" wrapText="1"/>
    </xf>
    <xf numFmtId="0" fontId="41" fillId="33" borderId="0" xfId="0" applyFont="1" applyFill="1" applyBorder="1" applyAlignment="1">
      <alignment horizontal="center" wrapText="1"/>
    </xf>
    <xf numFmtId="0" fontId="43" fillId="33" borderId="0" xfId="0" applyFont="1" applyFill="1" applyBorder="1" applyAlignment="1">
      <alignment horizontal="center" wrapText="1"/>
    </xf>
    <xf numFmtId="0" fontId="45" fillId="33" borderId="17" xfId="0" applyFont="1" applyFill="1" applyBorder="1" applyAlignment="1">
      <alignment horizontal="center" vertical="center"/>
    </xf>
    <xf numFmtId="0" fontId="42" fillId="38" borderId="34" xfId="0" applyNumberFormat="1" applyFont="1" applyFill="1" applyBorder="1" applyAlignment="1">
      <alignment horizontal="center" vertical="center" wrapText="1"/>
    </xf>
    <xf numFmtId="0" fontId="42" fillId="38" borderId="77" xfId="0" applyNumberFormat="1" applyFont="1" applyFill="1" applyBorder="1" applyAlignment="1">
      <alignment horizontal="center" vertical="center" wrapText="1"/>
    </xf>
    <xf numFmtId="0" fontId="41" fillId="0" borderId="6" xfId="0" applyFont="1" applyFill="1" applyBorder="1" applyAlignment="1">
      <alignment horizontal="left" vertical="center" wrapText="1"/>
    </xf>
    <xf numFmtId="0" fontId="43" fillId="33" borderId="6" xfId="0" applyNumberFormat="1" applyFont="1" applyFill="1" applyBorder="1" applyAlignment="1">
      <alignment horizontal="center" vertical="top" wrapText="1"/>
    </xf>
    <xf numFmtId="0" fontId="41" fillId="0" borderId="0" xfId="0" applyFont="1" applyAlignment="1"/>
    <xf numFmtId="0" fontId="41" fillId="0" borderId="0" xfId="0" applyFont="1" applyAlignment="1">
      <alignment horizontal="center"/>
    </xf>
    <xf numFmtId="0" fontId="41" fillId="38" borderId="90" xfId="0" applyNumberFormat="1" applyFont="1" applyFill="1" applyBorder="1" applyAlignment="1">
      <alignment horizontal="center" vertical="center" wrapText="1"/>
    </xf>
    <xf numFmtId="0" fontId="41" fillId="38" borderId="34" xfId="0" applyNumberFormat="1" applyFont="1" applyFill="1" applyBorder="1" applyAlignment="1">
      <alignment horizontal="center" vertical="center" wrapText="1"/>
    </xf>
    <xf numFmtId="0" fontId="41" fillId="38" borderId="77" xfId="0" applyNumberFormat="1" applyFont="1" applyFill="1" applyBorder="1" applyAlignment="1">
      <alignment horizontal="center" vertical="center" wrapText="1"/>
    </xf>
    <xf numFmtId="165" fontId="43" fillId="0" borderId="6" xfId="1" applyNumberFormat="1" applyFont="1" applyBorder="1" applyAlignment="1">
      <alignment horizontal="center" vertical="center"/>
    </xf>
    <xf numFmtId="165" fontId="43" fillId="0" borderId="82" xfId="1" applyNumberFormat="1" applyFont="1" applyBorder="1" applyAlignment="1">
      <alignment horizontal="center" vertical="center"/>
    </xf>
    <xf numFmtId="0" fontId="43" fillId="0" borderId="6" xfId="0" applyNumberFormat="1" applyFont="1" applyFill="1" applyBorder="1" applyAlignment="1">
      <alignment horizontal="center" vertical="top" wrapText="1"/>
    </xf>
    <xf numFmtId="0" fontId="36" fillId="0" borderId="5" xfId="0" applyFont="1" applyFill="1" applyBorder="1" applyAlignment="1">
      <alignment horizontal="center" vertical="center"/>
    </xf>
    <xf numFmtId="0" fontId="36" fillId="0" borderId="5" xfId="0" applyNumberFormat="1" applyFont="1" applyFill="1" applyBorder="1" applyAlignment="1">
      <alignment horizontal="center" vertical="center"/>
    </xf>
    <xf numFmtId="10" fontId="36" fillId="0" borderId="5" xfId="1" applyNumberFormat="1" applyFont="1" applyFill="1" applyBorder="1" applyAlignment="1">
      <alignment horizontal="center" vertical="center"/>
    </xf>
    <xf numFmtId="166" fontId="36" fillId="0" borderId="5" xfId="0" applyNumberFormat="1" applyFont="1" applyFill="1" applyBorder="1" applyAlignment="1">
      <alignment horizontal="center" vertical="center"/>
    </xf>
    <xf numFmtId="0" fontId="36" fillId="0" borderId="91" xfId="0" applyNumberFormat="1" applyFont="1" applyFill="1" applyBorder="1" applyAlignment="1">
      <alignment horizontal="center" vertical="center" wrapText="1"/>
    </xf>
    <xf numFmtId="0" fontId="36" fillId="0" borderId="5" xfId="0" applyFont="1" applyFill="1" applyBorder="1" applyAlignment="1">
      <alignment horizontal="center" vertical="center" wrapText="1"/>
    </xf>
    <xf numFmtId="165" fontId="37" fillId="0" borderId="5" xfId="1" applyNumberFormat="1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0" fontId="44" fillId="38" borderId="89" xfId="0" applyFont="1" applyFill="1" applyBorder="1" applyAlignment="1">
      <alignment horizontal="center" vertical="center"/>
    </xf>
    <xf numFmtId="0" fontId="44" fillId="38" borderId="88" xfId="0" applyFont="1" applyFill="1" applyBorder="1" applyAlignment="1">
      <alignment horizontal="center" vertical="center"/>
    </xf>
    <xf numFmtId="0" fontId="44" fillId="38" borderId="92" xfId="0" applyFont="1" applyFill="1" applyBorder="1" applyAlignment="1">
      <alignment horizontal="center" vertical="center"/>
    </xf>
    <xf numFmtId="0" fontId="45" fillId="33" borderId="27" xfId="0" applyFont="1" applyFill="1" applyBorder="1" applyAlignment="1">
      <alignment horizontal="center" vertical="center"/>
    </xf>
    <xf numFmtId="0" fontId="39" fillId="38" borderId="89" xfId="0" applyFont="1" applyFill="1" applyBorder="1" applyAlignment="1">
      <alignment horizontal="center" vertical="center"/>
    </xf>
    <xf numFmtId="0" fontId="39" fillId="38" borderId="88" xfId="0" applyFont="1" applyFill="1" applyBorder="1" applyAlignment="1">
      <alignment horizontal="center" vertical="center"/>
    </xf>
    <xf numFmtId="0" fontId="40" fillId="38" borderId="88" xfId="0" applyFont="1" applyFill="1" applyBorder="1" applyAlignment="1">
      <alignment horizontal="center" vertical="center"/>
    </xf>
    <xf numFmtId="0" fontId="39" fillId="38" borderId="92" xfId="0" applyFont="1" applyFill="1" applyBorder="1" applyAlignment="1">
      <alignment horizontal="center" vertical="center"/>
    </xf>
    <xf numFmtId="0" fontId="25" fillId="36" borderId="5" xfId="0" applyFont="1" applyFill="1" applyBorder="1" applyAlignment="1">
      <alignment horizontal="center" vertical="center" wrapText="1"/>
    </xf>
    <xf numFmtId="166" fontId="25" fillId="36" borderId="5" xfId="0" applyNumberFormat="1" applyFont="1" applyFill="1" applyBorder="1" applyAlignment="1">
      <alignment horizontal="center" vertical="center" wrapText="1"/>
    </xf>
    <xf numFmtId="164" fontId="25" fillId="36" borderId="27" xfId="0" applyNumberFormat="1" applyFont="1" applyFill="1" applyBorder="1" applyAlignment="1">
      <alignment horizontal="centerContinuous" vertical="center" wrapText="1"/>
    </xf>
    <xf numFmtId="0" fontId="25" fillId="36" borderId="5" xfId="0" applyFont="1" applyFill="1" applyBorder="1" applyAlignment="1">
      <alignment horizontal="center" vertical="center"/>
    </xf>
    <xf numFmtId="9" fontId="1" fillId="34" borderId="0" xfId="1" applyNumberFormat="1" applyFont="1" applyFill="1" applyBorder="1" applyAlignment="1">
      <alignment vertical="center"/>
    </xf>
    <xf numFmtId="0" fontId="41" fillId="38" borderId="89" xfId="0" applyFont="1" applyFill="1" applyBorder="1" applyAlignment="1">
      <alignment horizontal="center" vertical="center"/>
    </xf>
    <xf numFmtId="0" fontId="41" fillId="38" borderId="88" xfId="0" applyFont="1" applyFill="1" applyBorder="1" applyAlignment="1">
      <alignment horizontal="center" vertical="center"/>
    </xf>
    <xf numFmtId="0" fontId="41" fillId="38" borderId="92" xfId="0" applyFont="1" applyFill="1" applyBorder="1" applyAlignment="1">
      <alignment horizontal="center" vertical="center"/>
    </xf>
    <xf numFmtId="0" fontId="43" fillId="0" borderId="88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vertical="center" wrapText="1"/>
    </xf>
    <xf numFmtId="0" fontId="0" fillId="41" borderId="37" xfId="0" applyFont="1" applyFill="1" applyBorder="1" applyAlignment="1">
      <alignment horizontal="center" vertical="center"/>
    </xf>
    <xf numFmtId="0" fontId="42" fillId="38" borderId="93" xfId="0" applyNumberFormat="1" applyFont="1" applyFill="1" applyBorder="1" applyAlignment="1">
      <alignment horizontal="center" vertical="center" wrapText="1"/>
    </xf>
    <xf numFmtId="0" fontId="41" fillId="38" borderId="60" xfId="0" applyNumberFormat="1" applyFont="1" applyFill="1" applyBorder="1" applyAlignment="1">
      <alignment horizontal="center" vertical="center" wrapText="1"/>
    </xf>
    <xf numFmtId="0" fontId="42" fillId="38" borderId="60" xfId="0" applyNumberFormat="1" applyFont="1" applyFill="1" applyBorder="1" applyAlignment="1">
      <alignment horizontal="center" vertical="center" wrapText="1"/>
    </xf>
    <xf numFmtId="0" fontId="41" fillId="38" borderId="88" xfId="0" applyNumberFormat="1" applyFont="1" applyFill="1" applyBorder="1" applyAlignment="1">
      <alignment horizontal="center" vertical="center" wrapText="1"/>
    </xf>
    <xf numFmtId="0" fontId="47" fillId="0" borderId="0" xfId="0" applyNumberFormat="1" applyFont="1" applyFill="1" applyAlignment="1">
      <alignment horizontal="center" vertical="center"/>
    </xf>
    <xf numFmtId="0" fontId="47" fillId="0" borderId="0" xfId="0" applyNumberFormat="1" applyFont="1" applyFill="1" applyAlignment="1">
      <alignment vertical="center"/>
    </xf>
    <xf numFmtId="9" fontId="47" fillId="0" borderId="0" xfId="1" applyNumberFormat="1" applyFont="1" applyFill="1" applyAlignment="1">
      <alignment vertical="center"/>
    </xf>
    <xf numFmtId="166" fontId="47" fillId="0" borderId="0" xfId="0" applyNumberFormat="1" applyFont="1" applyFill="1" applyAlignment="1">
      <alignment vertical="center"/>
    </xf>
    <xf numFmtId="0" fontId="47" fillId="0" borderId="0" xfId="0" applyFont="1" applyFill="1" applyAlignment="1">
      <alignment horizontal="center" vertical="center"/>
    </xf>
    <xf numFmtId="0" fontId="41" fillId="39" borderId="89" xfId="0" applyNumberFormat="1" applyFont="1" applyFill="1" applyBorder="1" applyAlignment="1">
      <alignment horizontal="center" vertical="center" wrapText="1"/>
    </xf>
    <xf numFmtId="0" fontId="42" fillId="38" borderId="94" xfId="0" applyNumberFormat="1" applyFont="1" applyFill="1" applyBorder="1" applyAlignment="1">
      <alignment horizontal="center" vertical="center" wrapText="1"/>
    </xf>
    <xf numFmtId="0" fontId="41" fillId="39" borderId="88" xfId="0" applyNumberFormat="1" applyFont="1" applyFill="1" applyBorder="1" applyAlignment="1">
      <alignment horizontal="center" vertical="center" wrapText="1"/>
    </xf>
    <xf numFmtId="0" fontId="41" fillId="38" borderId="4" xfId="0" applyNumberFormat="1" applyFont="1" applyFill="1" applyBorder="1" applyAlignment="1">
      <alignment horizontal="center" vertical="center" wrapText="1"/>
    </xf>
    <xf numFmtId="0" fontId="42" fillId="38" borderId="4" xfId="0" applyNumberFormat="1" applyFont="1" applyFill="1" applyBorder="1" applyAlignment="1">
      <alignment horizontal="center" vertical="center" wrapText="1"/>
    </xf>
    <xf numFmtId="0" fontId="41" fillId="38" borderId="72" xfId="0" applyNumberFormat="1" applyFont="1" applyFill="1" applyBorder="1" applyAlignment="1">
      <alignment horizontal="center" vertical="center" wrapText="1"/>
    </xf>
    <xf numFmtId="0" fontId="44" fillId="38" borderId="26" xfId="0" applyFont="1" applyFill="1" applyBorder="1" applyAlignment="1">
      <alignment horizontal="left" vertical="center"/>
    </xf>
    <xf numFmtId="0" fontId="41" fillId="38" borderId="66" xfId="0" applyNumberFormat="1" applyFont="1" applyFill="1" applyBorder="1" applyAlignment="1">
      <alignment horizontal="center" vertical="center" wrapText="1"/>
    </xf>
    <xf numFmtId="0" fontId="44" fillId="38" borderId="31" xfId="0" applyFont="1" applyFill="1" applyBorder="1" applyAlignment="1">
      <alignment horizontal="left" vertical="center"/>
    </xf>
    <xf numFmtId="0" fontId="44" fillId="38" borderId="90" xfId="0" applyFont="1" applyFill="1" applyBorder="1" applyAlignment="1">
      <alignment horizontal="center" vertical="center"/>
    </xf>
    <xf numFmtId="0" fontId="41" fillId="38" borderId="92" xfId="0" applyNumberFormat="1" applyFont="1" applyFill="1" applyBorder="1" applyAlignment="1">
      <alignment horizontal="center" vertical="center" wrapText="1"/>
    </xf>
    <xf numFmtId="0" fontId="41" fillId="38" borderId="89" xfId="0" applyNumberFormat="1" applyFont="1" applyFill="1" applyBorder="1" applyAlignment="1">
      <alignment horizontal="center" vertical="center" wrapText="1"/>
    </xf>
    <xf numFmtId="0" fontId="41" fillId="38" borderId="95" xfId="0" applyFont="1" applyFill="1" applyBorder="1" applyAlignment="1">
      <alignment horizontal="left" vertical="center"/>
    </xf>
    <xf numFmtId="0" fontId="41" fillId="0" borderId="17" xfId="0" applyFont="1" applyFill="1" applyBorder="1" applyAlignment="1">
      <alignment horizontal="center" vertical="center" wrapText="1"/>
    </xf>
    <xf numFmtId="0" fontId="41" fillId="38" borderId="68" xfId="0" applyFont="1" applyFill="1" applyBorder="1" applyAlignment="1">
      <alignment horizontal="left" vertical="center"/>
    </xf>
    <xf numFmtId="0" fontId="44" fillId="38" borderId="85" xfId="0" applyFont="1" applyFill="1" applyBorder="1" applyAlignment="1">
      <alignment horizontal="left" vertical="center"/>
    </xf>
    <xf numFmtId="0" fontId="41" fillId="0" borderId="17" xfId="0" applyFont="1" applyFill="1" applyBorder="1" applyAlignment="1">
      <alignment horizontal="left" vertical="center" wrapText="1"/>
    </xf>
    <xf numFmtId="0" fontId="41" fillId="38" borderId="85" xfId="0" applyFont="1" applyFill="1" applyBorder="1" applyAlignment="1">
      <alignment horizontal="left" vertical="center"/>
    </xf>
    <xf numFmtId="0" fontId="44" fillId="38" borderId="68" xfId="0" applyFont="1" applyFill="1" applyBorder="1" applyAlignment="1">
      <alignment horizontal="left" vertical="center"/>
    </xf>
    <xf numFmtId="0" fontId="41" fillId="38" borderId="97" xfId="0" applyNumberFormat="1" applyFont="1" applyFill="1" applyBorder="1" applyAlignment="1">
      <alignment horizontal="center" vertical="center" wrapText="1"/>
    </xf>
    <xf numFmtId="0" fontId="41" fillId="38" borderId="98" xfId="0" applyFont="1" applyFill="1" applyBorder="1" applyAlignment="1">
      <alignment horizontal="center" wrapText="1"/>
    </xf>
    <xf numFmtId="0" fontId="41" fillId="38" borderId="28" xfId="0" applyFont="1" applyFill="1" applyBorder="1" applyAlignment="1">
      <alignment horizontal="left" vertical="center"/>
    </xf>
    <xf numFmtId="0" fontId="45" fillId="33" borderId="19" xfId="0" applyFont="1" applyFill="1" applyBorder="1" applyAlignment="1">
      <alignment horizontal="center" vertical="center"/>
    </xf>
    <xf numFmtId="0" fontId="42" fillId="38" borderId="99" xfId="0" applyNumberFormat="1" applyFont="1" applyFill="1" applyBorder="1" applyAlignment="1">
      <alignment horizontal="center" vertical="center" wrapText="1"/>
    </xf>
    <xf numFmtId="0" fontId="41" fillId="38" borderId="99" xfId="0" applyNumberFormat="1" applyFont="1" applyFill="1" applyBorder="1" applyAlignment="1">
      <alignment horizontal="center" vertical="center" wrapText="1"/>
    </xf>
    <xf numFmtId="0" fontId="41" fillId="38" borderId="18" xfId="0" applyNumberFormat="1" applyFont="1" applyFill="1" applyBorder="1" applyAlignment="1">
      <alignment horizontal="center" vertical="center" wrapText="1"/>
    </xf>
    <xf numFmtId="0" fontId="46" fillId="0" borderId="89" xfId="0" applyFont="1" applyFill="1" applyBorder="1" applyAlignment="1">
      <alignment horizontal="center" vertical="center" wrapText="1"/>
    </xf>
    <xf numFmtId="165" fontId="43" fillId="0" borderId="94" xfId="1" applyNumberFormat="1" applyFont="1" applyBorder="1" applyAlignment="1">
      <alignment horizontal="center" vertical="center"/>
    </xf>
    <xf numFmtId="0" fontId="44" fillId="38" borderId="25" xfId="0" applyFont="1" applyFill="1" applyBorder="1" applyAlignment="1">
      <alignment horizontal="left" vertical="center"/>
    </xf>
    <xf numFmtId="0" fontId="41" fillId="38" borderId="67" xfId="0" applyFont="1" applyFill="1" applyBorder="1" applyAlignment="1">
      <alignment horizontal="center" wrapText="1"/>
    </xf>
    <xf numFmtId="0" fontId="46" fillId="0" borderId="88" xfId="0" applyFont="1" applyFill="1" applyBorder="1" applyAlignment="1">
      <alignment horizontal="center" vertical="center" wrapText="1"/>
    </xf>
    <xf numFmtId="165" fontId="43" fillId="0" borderId="4" xfId="1" applyNumberFormat="1" applyFont="1" applyBorder="1" applyAlignment="1">
      <alignment horizontal="center" vertical="center"/>
    </xf>
    <xf numFmtId="0" fontId="41" fillId="38" borderId="67" xfId="0" applyNumberFormat="1" applyFont="1" applyFill="1" applyBorder="1" applyAlignment="1">
      <alignment horizontal="center" vertical="center" wrapText="1"/>
    </xf>
    <xf numFmtId="0" fontId="41" fillId="38" borderId="97" xfId="0" applyFont="1" applyFill="1" applyBorder="1" applyAlignment="1">
      <alignment horizontal="center" wrapText="1"/>
    </xf>
    <xf numFmtId="0" fontId="46" fillId="0" borderId="92" xfId="0" applyFont="1" applyFill="1" applyBorder="1" applyAlignment="1">
      <alignment horizontal="center" vertical="center" wrapText="1"/>
    </xf>
    <xf numFmtId="0" fontId="44" fillId="38" borderId="28" xfId="0" applyFont="1" applyFill="1" applyBorder="1" applyAlignment="1">
      <alignment horizontal="left" vertical="center"/>
    </xf>
    <xf numFmtId="0" fontId="41" fillId="38" borderId="74" xfId="0" applyFont="1" applyFill="1" applyBorder="1" applyAlignment="1">
      <alignment horizontal="left" vertical="center"/>
    </xf>
    <xf numFmtId="0" fontId="39" fillId="38" borderId="96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 wrapText="1"/>
    </xf>
    <xf numFmtId="0" fontId="0" fillId="37" borderId="0" xfId="0" applyNumberFormat="1" applyFont="1" applyFill="1" applyBorder="1" applyAlignment="1">
      <alignment vertical="center"/>
    </xf>
    <xf numFmtId="0" fontId="48" fillId="0" borderId="0" xfId="0" applyFont="1" applyFill="1" applyAlignment="1">
      <alignment horizontal="center" vertical="center"/>
    </xf>
    <xf numFmtId="0" fontId="48" fillId="0" borderId="0" xfId="0" applyNumberFormat="1" applyFont="1" applyFill="1" applyAlignment="1">
      <alignment vertical="center"/>
    </xf>
    <xf numFmtId="9" fontId="48" fillId="0" borderId="0" xfId="1" applyNumberFormat="1" applyFont="1" applyFill="1" applyAlignment="1">
      <alignment vertical="center"/>
    </xf>
    <xf numFmtId="166" fontId="48" fillId="0" borderId="0" xfId="0" applyNumberFormat="1" applyFont="1" applyFill="1" applyAlignment="1">
      <alignment vertical="center"/>
    </xf>
    <xf numFmtId="0" fontId="31" fillId="38" borderId="68" xfId="0" applyNumberFormat="1" applyFont="1" applyFill="1" applyBorder="1" applyAlignment="1">
      <alignment horizontal="center" vertical="center" wrapText="1"/>
    </xf>
    <xf numFmtId="0" fontId="0" fillId="0" borderId="100" xfId="0" applyFont="1" applyBorder="1" applyAlignment="1">
      <alignment horizontal="center" vertical="center" wrapText="1"/>
    </xf>
    <xf numFmtId="0" fontId="1" fillId="37" borderId="0" xfId="0" applyFont="1" applyFill="1" applyBorder="1" applyAlignment="1">
      <alignment horizontal="center" vertical="center"/>
    </xf>
    <xf numFmtId="0" fontId="1" fillId="37" borderId="0" xfId="0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9" fontId="1" fillId="0" borderId="0" xfId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9" fontId="1" fillId="0" borderId="1" xfId="1" applyFont="1" applyFill="1" applyBorder="1" applyAlignment="1">
      <alignment horizontal="center" vertical="center"/>
    </xf>
    <xf numFmtId="0" fontId="0" fillId="38" borderId="70" xfId="0" applyNumberFormat="1" applyFont="1" applyFill="1" applyBorder="1" applyAlignment="1">
      <alignment horizontal="center" vertical="center" wrapText="1"/>
    </xf>
    <xf numFmtId="0" fontId="0" fillId="0" borderId="37" xfId="0" applyNumberFormat="1" applyFont="1" applyFill="1" applyBorder="1" applyAlignment="1">
      <alignment horizontal="center" vertical="center"/>
    </xf>
    <xf numFmtId="0" fontId="1" fillId="0" borderId="37" xfId="0" applyNumberFormat="1" applyFont="1" applyFill="1" applyBorder="1" applyAlignment="1">
      <alignment horizontal="center" vertical="center"/>
    </xf>
    <xf numFmtId="9" fontId="1" fillId="0" borderId="79" xfId="1" applyFont="1" applyFill="1" applyBorder="1" applyAlignment="1">
      <alignment horizontal="center" vertical="center"/>
    </xf>
    <xf numFmtId="0" fontId="41" fillId="0" borderId="23" xfId="0" applyFont="1" applyFill="1" applyBorder="1" applyAlignment="1">
      <alignment horizontal="left" vertical="center" wrapText="1"/>
    </xf>
    <xf numFmtId="0" fontId="0" fillId="0" borderId="37" xfId="0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0" fillId="38" borderId="32" xfId="0" applyFill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29" fillId="0" borderId="0" xfId="0" applyFont="1" applyFill="1" applyAlignment="1"/>
    <xf numFmtId="0" fontId="29" fillId="0" borderId="0" xfId="0" applyFont="1" applyFill="1" applyAlignment="1">
      <alignment vertical="center"/>
    </xf>
    <xf numFmtId="0" fontId="41" fillId="39" borderId="90" xfId="0" applyNumberFormat="1" applyFont="1" applyFill="1" applyBorder="1" applyAlignment="1">
      <alignment horizontal="center" vertical="center" wrapText="1"/>
    </xf>
    <xf numFmtId="0" fontId="41" fillId="39" borderId="23" xfId="0" applyNumberFormat="1" applyFont="1" applyFill="1" applyBorder="1" applyAlignment="1">
      <alignment horizontal="center" vertical="center" wrapText="1"/>
    </xf>
    <xf numFmtId="0" fontId="41" fillId="38" borderId="93" xfId="0" applyFont="1" applyFill="1" applyBorder="1" applyAlignment="1">
      <alignment horizontal="center" wrapText="1"/>
    </xf>
    <xf numFmtId="0" fontId="41" fillId="38" borderId="60" xfId="0" applyFont="1" applyFill="1" applyBorder="1" applyAlignment="1">
      <alignment horizontal="center" vertical="center" wrapText="1"/>
    </xf>
    <xf numFmtId="0" fontId="41" fillId="38" borderId="60" xfId="0" applyFont="1" applyFill="1" applyBorder="1" applyAlignment="1">
      <alignment horizontal="center" wrapText="1"/>
    </xf>
    <xf numFmtId="0" fontId="41" fillId="38" borderId="16" xfId="0" applyFont="1" applyFill="1" applyBorder="1" applyAlignment="1">
      <alignment horizontal="center" wrapText="1"/>
    </xf>
    <xf numFmtId="165" fontId="43" fillId="0" borderId="20" xfId="1" applyNumberFormat="1" applyFont="1" applyBorder="1" applyAlignment="1">
      <alignment horizontal="center" vertical="center"/>
    </xf>
    <xf numFmtId="165" fontId="43" fillId="0" borderId="26" xfId="1" applyNumberFormat="1" applyFont="1" applyBorder="1" applyAlignment="1">
      <alignment horizontal="center" vertical="center"/>
    </xf>
    <xf numFmtId="165" fontId="43" fillId="0" borderId="32" xfId="1" applyNumberFormat="1" applyFont="1" applyBorder="1" applyAlignment="1">
      <alignment horizontal="center" vertical="center"/>
    </xf>
    <xf numFmtId="165" fontId="43" fillId="0" borderId="31" xfId="1" applyNumberFormat="1" applyFont="1" applyBorder="1" applyAlignment="1">
      <alignment horizontal="center" vertical="center"/>
    </xf>
    <xf numFmtId="0" fontId="36" fillId="0" borderId="22" xfId="0" applyFont="1" applyFill="1" applyBorder="1" applyAlignment="1">
      <alignment horizontal="center" wrapText="1"/>
    </xf>
    <xf numFmtId="0" fontId="43" fillId="0" borderId="89" xfId="0" applyFont="1" applyFill="1" applyBorder="1" applyAlignment="1">
      <alignment horizontal="center" vertical="center" wrapText="1"/>
    </xf>
    <xf numFmtId="0" fontId="43" fillId="0" borderId="92" xfId="0" applyFont="1" applyFill="1" applyBorder="1" applyAlignment="1">
      <alignment horizontal="center" vertical="center" wrapText="1"/>
    </xf>
    <xf numFmtId="0" fontId="41" fillId="38" borderId="95" xfId="0" applyFont="1" applyFill="1" applyBorder="1" applyAlignment="1">
      <alignment horizontal="center" wrapText="1"/>
    </xf>
    <xf numFmtId="0" fontId="41" fillId="38" borderId="68" xfId="0" applyFont="1" applyFill="1" applyBorder="1" applyAlignment="1">
      <alignment horizontal="center" wrapText="1"/>
    </xf>
    <xf numFmtId="165" fontId="43" fillId="0" borderId="25" xfId="1" applyNumberFormat="1" applyFont="1" applyBorder="1" applyAlignment="1">
      <alignment horizontal="center" vertical="center"/>
    </xf>
    <xf numFmtId="165" fontId="43" fillId="0" borderId="28" xfId="1" applyNumberFormat="1" applyFont="1" applyBorder="1" applyAlignment="1">
      <alignment horizontal="center" vertical="center"/>
    </xf>
    <xf numFmtId="0" fontId="1" fillId="38" borderId="71" xfId="0" applyFont="1" applyFill="1" applyBorder="1" applyAlignment="1">
      <alignment horizontal="center" vertical="center" wrapText="1"/>
    </xf>
    <xf numFmtId="0" fontId="1" fillId="38" borderId="83" xfId="0" applyFont="1" applyFill="1" applyBorder="1" applyAlignment="1">
      <alignment horizontal="center" vertical="center" wrapText="1"/>
    </xf>
    <xf numFmtId="0" fontId="0" fillId="38" borderId="4" xfId="0" applyFill="1" applyBorder="1" applyAlignment="1">
      <alignment horizontal="center" vertical="top" wrapText="1"/>
    </xf>
    <xf numFmtId="165" fontId="0" fillId="0" borderId="89" xfId="1" applyNumberFormat="1" applyFont="1" applyBorder="1" applyAlignment="1">
      <alignment horizontal="center" vertical="center"/>
    </xf>
    <xf numFmtId="165" fontId="0" fillId="0" borderId="88" xfId="1" applyNumberFormat="1" applyFont="1" applyBorder="1" applyAlignment="1">
      <alignment horizontal="center" vertical="center"/>
    </xf>
    <xf numFmtId="165" fontId="0" fillId="0" borderId="92" xfId="1" applyNumberFormat="1" applyFont="1" applyBorder="1" applyAlignment="1">
      <alignment horizontal="center" vertical="center"/>
    </xf>
    <xf numFmtId="0" fontId="0" fillId="37" borderId="0" xfId="0" applyFill="1" applyBorder="1" applyAlignment="1">
      <alignment horizontal="center" vertical="center" wrapText="1"/>
    </xf>
    <xf numFmtId="165" fontId="0" fillId="0" borderId="6" xfId="1" applyNumberFormat="1" applyFont="1" applyBorder="1" applyAlignment="1">
      <alignment horizontal="center" vertical="center"/>
    </xf>
    <xf numFmtId="0" fontId="0" fillId="38" borderId="70" xfId="0" applyFill="1" applyBorder="1" applyAlignment="1">
      <alignment horizontal="center" vertical="center"/>
    </xf>
    <xf numFmtId="0" fontId="0" fillId="38" borderId="4" xfId="0" applyFont="1" applyFill="1" applyBorder="1" applyAlignment="1">
      <alignment horizontal="center" vertical="center" wrapText="1"/>
    </xf>
    <xf numFmtId="0" fontId="0" fillId="38" borderId="4" xfId="0" applyFill="1" applyBorder="1" applyAlignment="1">
      <alignment horizontal="center" vertical="top"/>
    </xf>
    <xf numFmtId="0" fontId="0" fillId="38" borderId="4" xfId="0" applyFill="1" applyBorder="1" applyAlignment="1">
      <alignment horizontal="center" vertical="center"/>
    </xf>
    <xf numFmtId="0" fontId="0" fillId="39" borderId="26" xfId="0" applyFont="1" applyFill="1" applyBorder="1" applyAlignment="1">
      <alignment horizontal="center" vertical="center" wrapText="1"/>
    </xf>
    <xf numFmtId="0" fontId="0" fillId="38" borderId="94" xfId="0" applyNumberFormat="1" applyFont="1" applyFill="1" applyBorder="1" applyAlignment="1">
      <alignment horizontal="center" vertical="center" wrapText="1"/>
    </xf>
    <xf numFmtId="166" fontId="0" fillId="37" borderId="20" xfId="0" applyNumberFormat="1" applyFont="1" applyFill="1" applyBorder="1" applyAlignment="1">
      <alignment horizontal="center" vertical="center"/>
    </xf>
    <xf numFmtId="9" fontId="1" fillId="0" borderId="37" xfId="1" applyFont="1" applyFill="1" applyBorder="1" applyAlignment="1">
      <alignment horizontal="center" vertical="center"/>
    </xf>
    <xf numFmtId="0" fontId="18" fillId="36" borderId="5" xfId="0" applyFont="1" applyFill="1" applyBorder="1" applyAlignment="1">
      <alignment horizontal="center" vertical="center" wrapText="1"/>
    </xf>
    <xf numFmtId="0" fontId="18" fillId="36" borderId="5" xfId="0" applyFont="1" applyFill="1" applyBorder="1" applyAlignment="1">
      <alignment horizontal="center" vertical="center"/>
    </xf>
    <xf numFmtId="164" fontId="18" fillId="36" borderId="5" xfId="0" applyNumberFormat="1" applyFont="1" applyFill="1" applyBorder="1" applyAlignment="1">
      <alignment horizontal="center" vertical="center"/>
    </xf>
    <xf numFmtId="166" fontId="18" fillId="36" borderId="5" xfId="0" applyNumberFormat="1" applyFont="1" applyFill="1" applyBorder="1" applyAlignment="1">
      <alignment horizontal="center" vertical="center"/>
    </xf>
    <xf numFmtId="164" fontId="49" fillId="36" borderId="5" xfId="0" applyNumberFormat="1" applyFont="1" applyFill="1" applyBorder="1" applyAlignment="1">
      <alignment horizontal="center" vertical="center" wrapText="1"/>
    </xf>
    <xf numFmtId="164" fontId="18" fillId="36" borderId="5" xfId="0" applyNumberFormat="1" applyFont="1" applyFill="1" applyBorder="1" applyAlignment="1">
      <alignment horizontal="center" vertical="center" wrapText="1"/>
    </xf>
    <xf numFmtId="0" fontId="18" fillId="36" borderId="24" xfId="0" applyFont="1" applyFill="1" applyBorder="1" applyAlignment="1">
      <alignment horizontal="center" vertical="center"/>
    </xf>
    <xf numFmtId="0" fontId="18" fillId="36" borderId="30" xfId="0" applyFont="1" applyFill="1" applyBorder="1" applyAlignment="1">
      <alignment horizontal="center" vertical="center"/>
    </xf>
    <xf numFmtId="0" fontId="0" fillId="37" borderId="29" xfId="0" applyFont="1" applyFill="1" applyBorder="1" applyAlignment="1">
      <alignment horizontal="center"/>
    </xf>
    <xf numFmtId="0" fontId="0" fillId="37" borderId="5" xfId="0" applyFont="1" applyFill="1" applyBorder="1" applyAlignment="1">
      <alignment horizontal="center"/>
    </xf>
    <xf numFmtId="10" fontId="4" fillId="37" borderId="5" xfId="1" applyNumberFormat="1" applyFont="1" applyFill="1" applyBorder="1" applyAlignment="1">
      <alignment horizontal="center"/>
    </xf>
    <xf numFmtId="166" fontId="0" fillId="37" borderId="27" xfId="0" applyNumberFormat="1" applyFont="1" applyFill="1" applyBorder="1" applyAlignment="1">
      <alignment horizontal="center" vertical="center"/>
    </xf>
    <xf numFmtId="0" fontId="0" fillId="37" borderId="20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 wrapText="1"/>
    </xf>
    <xf numFmtId="0" fontId="0" fillId="37" borderId="0" xfId="0" applyFont="1" applyFill="1" applyAlignment="1">
      <alignment horizontal="center" vertical="center"/>
    </xf>
    <xf numFmtId="166" fontId="0" fillId="37" borderId="0" xfId="0" applyNumberFormat="1" applyFont="1" applyFill="1" applyAlignment="1">
      <alignment horizontal="center" vertical="center"/>
    </xf>
    <xf numFmtId="0" fontId="0" fillId="38" borderId="36" xfId="0" applyFont="1" applyFill="1" applyBorder="1" applyAlignment="1">
      <alignment horizontal="center" vertical="center" wrapText="1"/>
    </xf>
    <xf numFmtId="0" fontId="0" fillId="38" borderId="71" xfId="0" applyFont="1" applyFill="1" applyBorder="1" applyAlignment="1">
      <alignment horizontal="center" vertical="center" wrapText="1"/>
    </xf>
    <xf numFmtId="165" fontId="4" fillId="0" borderId="89" xfId="1" applyNumberFormat="1" applyFont="1" applyBorder="1" applyAlignment="1">
      <alignment horizontal="center" vertical="center"/>
    </xf>
    <xf numFmtId="0" fontId="0" fillId="38" borderId="25" xfId="0" applyFont="1" applyFill="1" applyBorder="1" applyAlignment="1">
      <alignment horizontal="center" vertical="top"/>
    </xf>
    <xf numFmtId="0" fontId="0" fillId="38" borderId="33" xfId="0" applyFont="1" applyFill="1" applyBorder="1" applyAlignment="1">
      <alignment horizontal="center" vertical="center" wrapText="1"/>
    </xf>
    <xf numFmtId="0" fontId="0" fillId="38" borderId="83" xfId="0" applyFont="1" applyFill="1" applyBorder="1" applyAlignment="1">
      <alignment horizontal="center" vertical="center" wrapText="1"/>
    </xf>
    <xf numFmtId="165" fontId="4" fillId="0" borderId="88" xfId="1" applyNumberFormat="1" applyFont="1" applyBorder="1" applyAlignment="1">
      <alignment horizontal="center" vertical="center"/>
    </xf>
    <xf numFmtId="0" fontId="0" fillId="38" borderId="26" xfId="0" applyFont="1" applyFill="1" applyBorder="1" applyAlignment="1">
      <alignment horizontal="center" vertical="center"/>
    </xf>
    <xf numFmtId="0" fontId="0" fillId="38" borderId="26" xfId="0" applyFont="1" applyFill="1" applyBorder="1" applyAlignment="1">
      <alignment horizontal="center" vertical="top"/>
    </xf>
    <xf numFmtId="0" fontId="0" fillId="0" borderId="23" xfId="0" applyFont="1" applyBorder="1" applyAlignment="1">
      <alignment vertical="center" wrapText="1"/>
    </xf>
    <xf numFmtId="0" fontId="0" fillId="38" borderId="4" xfId="0" applyFont="1" applyFill="1" applyBorder="1" applyAlignment="1">
      <alignment horizontal="center" vertical="top" wrapText="1"/>
    </xf>
    <xf numFmtId="0" fontId="0" fillId="0" borderId="23" xfId="0" applyFont="1" applyBorder="1" applyAlignment="1">
      <alignment horizontal="center"/>
    </xf>
    <xf numFmtId="0" fontId="0" fillId="0" borderId="23" xfId="0" applyFont="1" applyBorder="1" applyAlignment="1">
      <alignment horizontal="center" vertical="center"/>
    </xf>
    <xf numFmtId="0" fontId="0" fillId="38" borderId="60" xfId="0" applyFont="1" applyFill="1" applyBorder="1" applyAlignment="1">
      <alignment horizontal="center" vertical="center" wrapText="1"/>
    </xf>
    <xf numFmtId="0" fontId="0" fillId="0" borderId="23" xfId="0" applyFont="1" applyBorder="1"/>
    <xf numFmtId="0" fontId="0" fillId="37" borderId="17" xfId="0" applyFont="1" applyFill="1" applyBorder="1" applyAlignment="1">
      <alignment horizontal="center" vertical="center"/>
    </xf>
    <xf numFmtId="0" fontId="0" fillId="38" borderId="67" xfId="0" applyFont="1" applyFill="1" applyBorder="1" applyAlignment="1">
      <alignment horizontal="center" vertical="center" wrapText="1"/>
    </xf>
    <xf numFmtId="0" fontId="0" fillId="38" borderId="68" xfId="0" applyFont="1" applyFill="1" applyBorder="1" applyAlignment="1">
      <alignment horizontal="center" vertical="center" wrapText="1"/>
    </xf>
    <xf numFmtId="0" fontId="0" fillId="0" borderId="23" xfId="0" applyFont="1" applyBorder="1" applyAlignment="1">
      <alignment horizontal="left" vertical="center"/>
    </xf>
    <xf numFmtId="0" fontId="0" fillId="0" borderId="23" xfId="0" applyFont="1" applyBorder="1" applyAlignment="1">
      <alignment horizontal="left"/>
    </xf>
    <xf numFmtId="0" fontId="0" fillId="38" borderId="31" xfId="0" applyFont="1" applyFill="1" applyBorder="1" applyAlignment="1">
      <alignment horizontal="center" vertical="top"/>
    </xf>
    <xf numFmtId="0" fontId="0" fillId="38" borderId="34" xfId="0" applyFont="1" applyFill="1" applyBorder="1" applyAlignment="1">
      <alignment horizontal="center" vertical="center" wrapText="1"/>
    </xf>
    <xf numFmtId="165" fontId="4" fillId="0" borderId="92" xfId="1" applyNumberFormat="1" applyFont="1" applyBorder="1" applyAlignment="1">
      <alignment horizontal="center" vertical="center"/>
    </xf>
    <xf numFmtId="0" fontId="0" fillId="37" borderId="29" xfId="0" applyFont="1" applyFill="1" applyBorder="1" applyAlignment="1">
      <alignment horizontal="center" vertical="center" wrapText="1"/>
    </xf>
    <xf numFmtId="0" fontId="0" fillId="37" borderId="0" xfId="0" applyFont="1" applyFill="1" applyBorder="1" applyAlignment="1">
      <alignment horizontal="center" vertical="center" wrapText="1"/>
    </xf>
    <xf numFmtId="0" fontId="0" fillId="33" borderId="30" xfId="0" applyFont="1" applyFill="1" applyBorder="1" applyAlignment="1">
      <alignment horizontal="center" vertical="top"/>
    </xf>
    <xf numFmtId="0" fontId="0" fillId="38" borderId="35" xfId="0" applyFont="1" applyFill="1" applyBorder="1" applyAlignment="1">
      <alignment horizontal="center" vertical="center" wrapText="1"/>
    </xf>
    <xf numFmtId="0" fontId="0" fillId="38" borderId="70" xfId="0" applyFont="1" applyFill="1" applyBorder="1" applyAlignment="1">
      <alignment horizontal="center" vertical="center"/>
    </xf>
    <xf numFmtId="0" fontId="0" fillId="38" borderId="4" xfId="0" applyFont="1" applyFill="1" applyBorder="1" applyAlignment="1">
      <alignment horizontal="center" vertical="top"/>
    </xf>
    <xf numFmtId="0" fontId="0" fillId="38" borderId="4" xfId="0" applyFont="1" applyFill="1" applyBorder="1" applyAlignment="1">
      <alignment horizontal="center" vertical="center"/>
    </xf>
    <xf numFmtId="0" fontId="0" fillId="38" borderId="28" xfId="0" applyFont="1" applyFill="1" applyBorder="1" applyAlignment="1">
      <alignment horizontal="center" vertical="top" wrapText="1"/>
    </xf>
    <xf numFmtId="0" fontId="0" fillId="0" borderId="6" xfId="0" applyFont="1" applyBorder="1"/>
    <xf numFmtId="166" fontId="18" fillId="36" borderId="6" xfId="0" applyNumberFormat="1" applyFont="1" applyFill="1" applyBorder="1" applyAlignment="1">
      <alignment horizontal="center" vertical="center"/>
    </xf>
    <xf numFmtId="165" fontId="4" fillId="0" borderId="6" xfId="1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7" fillId="38" borderId="1" xfId="0" applyFont="1" applyFill="1" applyBorder="1" applyAlignment="1">
      <alignment horizontal="center" vertical="center"/>
    </xf>
    <xf numFmtId="0" fontId="2" fillId="38" borderId="33" xfId="0" applyFont="1" applyFill="1" applyBorder="1" applyAlignment="1">
      <alignment horizontal="center" vertical="center" wrapText="1"/>
    </xf>
    <xf numFmtId="0" fontId="3" fillId="38" borderId="4" xfId="0" applyFont="1" applyFill="1" applyBorder="1" applyAlignment="1">
      <alignment horizontal="center" vertical="center" wrapText="1"/>
    </xf>
    <xf numFmtId="0" fontId="3" fillId="38" borderId="33" xfId="0" applyFont="1" applyFill="1" applyBorder="1" applyAlignment="1">
      <alignment horizontal="center" vertical="center" wrapText="1"/>
    </xf>
    <xf numFmtId="0" fontId="0" fillId="0" borderId="17" xfId="0" applyFont="1" applyFill="1" applyBorder="1" applyAlignment="1">
      <alignment horizontal="center" vertical="center" wrapText="1"/>
    </xf>
    <xf numFmtId="0" fontId="1" fillId="42" borderId="16" xfId="0" applyFont="1" applyFill="1" applyBorder="1" applyAlignment="1">
      <alignment horizontal="center" vertical="center"/>
    </xf>
    <xf numFmtId="0" fontId="1" fillId="42" borderId="0" xfId="0" applyFont="1" applyFill="1" applyBorder="1" applyAlignment="1">
      <alignment horizontal="center" vertical="center"/>
    </xf>
    <xf numFmtId="0" fontId="1" fillId="42" borderId="17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16" fillId="43" borderId="16" xfId="0" applyFont="1" applyFill="1" applyBorder="1" applyAlignment="1">
      <alignment horizontal="left" vertical="center"/>
    </xf>
    <xf numFmtId="0" fontId="16" fillId="43" borderId="0" xfId="0" applyFont="1" applyFill="1" applyBorder="1" applyAlignment="1">
      <alignment horizontal="left" vertical="center"/>
    </xf>
    <xf numFmtId="0" fontId="24" fillId="35" borderId="0" xfId="0" applyFont="1" applyFill="1" applyBorder="1" applyAlignment="1">
      <alignment horizontal="center" vertical="center"/>
    </xf>
    <xf numFmtId="0" fontId="23" fillId="35" borderId="42" xfId="0" applyFont="1" applyFill="1" applyBorder="1" applyAlignment="1">
      <alignment horizontal="center" vertical="center"/>
    </xf>
    <xf numFmtId="0" fontId="23" fillId="35" borderId="48" xfId="0" applyFont="1" applyFill="1" applyBorder="1" applyAlignment="1">
      <alignment horizontal="center" vertical="center"/>
    </xf>
    <xf numFmtId="0" fontId="16" fillId="35" borderId="41" xfId="0" applyFont="1" applyFill="1" applyBorder="1" applyAlignment="1">
      <alignment horizontal="left" vertical="center"/>
    </xf>
    <xf numFmtId="0" fontId="16" fillId="35" borderId="49" xfId="0" applyFont="1" applyFill="1" applyBorder="1" applyAlignment="1">
      <alignment horizontal="left" vertical="center"/>
    </xf>
    <xf numFmtId="0" fontId="16" fillId="35" borderId="39" xfId="0" applyFont="1" applyFill="1" applyBorder="1" applyAlignment="1">
      <alignment horizontal="left" vertical="center"/>
    </xf>
    <xf numFmtId="0" fontId="1" fillId="34" borderId="51" xfId="0" applyFont="1" applyFill="1" applyBorder="1" applyAlignment="1">
      <alignment horizontal="right" vertical="center"/>
    </xf>
    <xf numFmtId="0" fontId="1" fillId="34" borderId="52" xfId="0" applyFont="1" applyFill="1" applyBorder="1" applyAlignment="1">
      <alignment horizontal="right" vertical="center"/>
    </xf>
    <xf numFmtId="0" fontId="1" fillId="34" borderId="53" xfId="0" applyFont="1" applyFill="1" applyBorder="1" applyAlignment="1">
      <alignment horizontal="right" vertical="center"/>
    </xf>
    <xf numFmtId="0" fontId="23" fillId="35" borderId="40" xfId="0" applyFont="1" applyFill="1" applyBorder="1" applyAlignment="1">
      <alignment horizontal="center" vertical="center"/>
    </xf>
    <xf numFmtId="0" fontId="23" fillId="35" borderId="46" xfId="0" applyFont="1" applyFill="1" applyBorder="1" applyAlignment="1">
      <alignment horizontal="center" vertical="center"/>
    </xf>
    <xf numFmtId="0" fontId="23" fillId="35" borderId="38" xfId="0" applyFont="1" applyFill="1" applyBorder="1" applyAlignment="1">
      <alignment horizontal="center" vertical="center"/>
    </xf>
    <xf numFmtId="0" fontId="1" fillId="34" borderId="0" xfId="0" applyFont="1" applyFill="1" applyBorder="1" applyAlignment="1">
      <alignment horizontal="right" vertical="center"/>
    </xf>
    <xf numFmtId="0" fontId="16" fillId="36" borderId="93" xfId="0" applyFont="1" applyFill="1" applyBorder="1" applyAlignment="1">
      <alignment horizontal="center" vertical="center"/>
    </xf>
    <xf numFmtId="0" fontId="16" fillId="36" borderId="95" xfId="0" applyFont="1" applyFill="1" applyBorder="1" applyAlignment="1">
      <alignment horizontal="center" vertical="center"/>
    </xf>
    <xf numFmtId="0" fontId="16" fillId="36" borderId="25" xfId="0" applyFont="1" applyFill="1" applyBorder="1" applyAlignment="1">
      <alignment horizontal="center" vertical="center"/>
    </xf>
    <xf numFmtId="0" fontId="0" fillId="0" borderId="83" xfId="0" applyFont="1" applyFill="1" applyBorder="1" applyAlignment="1">
      <alignment horizontal="left" vertical="center"/>
    </xf>
    <xf numFmtId="0" fontId="0" fillId="0" borderId="68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1" fillId="34" borderId="101" xfId="0" applyFont="1" applyFill="1" applyBorder="1" applyAlignment="1">
      <alignment horizontal="right" vertical="center"/>
    </xf>
    <xf numFmtId="0" fontId="16" fillId="36" borderId="18" xfId="0" applyFont="1" applyFill="1" applyBorder="1" applyAlignment="1">
      <alignment horizontal="center" vertical="center" wrapText="1"/>
    </xf>
    <xf numFmtId="0" fontId="16" fillId="36" borderId="19" xfId="0" applyFont="1" applyFill="1" applyBorder="1" applyAlignment="1">
      <alignment horizontal="center" vertical="center" wrapText="1"/>
    </xf>
    <xf numFmtId="0" fontId="16" fillId="36" borderId="20" xfId="0" applyFont="1" applyFill="1" applyBorder="1" applyAlignment="1">
      <alignment horizontal="center" vertical="center" wrapText="1"/>
    </xf>
    <xf numFmtId="0" fontId="0" fillId="0" borderId="33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77" xfId="0" applyFont="1" applyFill="1" applyBorder="1" applyAlignment="1">
      <alignment horizontal="left" vertical="center"/>
    </xf>
    <xf numFmtId="0" fontId="0" fillId="0" borderId="75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6" fillId="35" borderId="47" xfId="0" applyFont="1" applyFill="1" applyBorder="1" applyAlignment="1">
      <alignment vertical="center"/>
    </xf>
    <xf numFmtId="0" fontId="32" fillId="36" borderId="1" xfId="0" applyFont="1" applyFill="1" applyBorder="1" applyAlignment="1">
      <alignment horizontal="center" vertical="center" wrapText="1"/>
    </xf>
    <xf numFmtId="0" fontId="32" fillId="36" borderId="1" xfId="0" applyFont="1" applyFill="1" applyBorder="1" applyAlignment="1">
      <alignment horizontal="center" vertical="center"/>
    </xf>
    <xf numFmtId="0" fontId="32" fillId="36" borderId="75" xfId="0" applyFont="1" applyFill="1" applyBorder="1" applyAlignment="1">
      <alignment horizontal="center" vertical="center"/>
    </xf>
    <xf numFmtId="0" fontId="32" fillId="36" borderId="2" xfId="0" applyFont="1" applyFill="1" applyBorder="1" applyAlignment="1">
      <alignment horizontal="center" vertical="center" wrapText="1"/>
    </xf>
    <xf numFmtId="0" fontId="32" fillId="36" borderId="19" xfId="0" applyFont="1" applyFill="1" applyBorder="1" applyAlignment="1">
      <alignment horizontal="center" vertical="center" wrapText="1"/>
    </xf>
    <xf numFmtId="0" fontId="32" fillId="36" borderId="0" xfId="0" applyFont="1" applyFill="1" applyBorder="1" applyAlignment="1">
      <alignment horizontal="center" vertical="center"/>
    </xf>
    <xf numFmtId="0" fontId="32" fillId="36" borderId="55" xfId="0" applyFont="1" applyFill="1" applyBorder="1" applyAlignment="1">
      <alignment horizontal="center" vertical="center"/>
    </xf>
    <xf numFmtId="0" fontId="16" fillId="36" borderId="0" xfId="0" applyFont="1" applyFill="1" applyAlignment="1">
      <alignment horizontal="center"/>
    </xf>
    <xf numFmtId="0" fontId="1" fillId="37" borderId="86" xfId="0" applyFont="1" applyFill="1" applyBorder="1" applyAlignment="1">
      <alignment horizontal="center" vertical="center"/>
    </xf>
    <xf numFmtId="0" fontId="1" fillId="37" borderId="85" xfId="0" applyFont="1" applyFill="1" applyBorder="1" applyAlignment="1">
      <alignment horizontal="center" vertical="center"/>
    </xf>
    <xf numFmtId="0" fontId="1" fillId="37" borderId="72" xfId="0" applyFont="1" applyFill="1" applyBorder="1" applyAlignment="1">
      <alignment horizontal="center" vertical="center"/>
    </xf>
    <xf numFmtId="0" fontId="1" fillId="37" borderId="76" xfId="0" applyFont="1" applyFill="1" applyBorder="1" applyAlignment="1">
      <alignment horizontal="center" vertical="center"/>
    </xf>
    <xf numFmtId="0" fontId="1" fillId="37" borderId="0" xfId="0" applyFont="1" applyFill="1" applyBorder="1" applyAlignment="1">
      <alignment horizontal="center" vertical="center"/>
    </xf>
    <xf numFmtId="0" fontId="1" fillId="37" borderId="66" xfId="0" applyFont="1" applyFill="1" applyBorder="1" applyAlignment="1">
      <alignment horizontal="center" vertical="center"/>
    </xf>
    <xf numFmtId="0" fontId="1" fillId="37" borderId="71" xfId="0" applyFont="1" applyFill="1" applyBorder="1" applyAlignment="1">
      <alignment horizontal="center" vertical="center"/>
    </xf>
    <xf numFmtId="0" fontId="1" fillId="37" borderId="74" xfId="0" applyFont="1" applyFill="1" applyBorder="1" applyAlignment="1">
      <alignment horizontal="center" vertical="center"/>
    </xf>
    <xf numFmtId="0" fontId="1" fillId="37" borderId="70" xfId="0" applyFont="1" applyFill="1" applyBorder="1" applyAlignment="1">
      <alignment horizontal="center" vertical="center"/>
    </xf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 xr:uid="{00000000-0005-0000-0000-000025000000}"/>
    <cellStyle name="Normal 3" xfId="44" xr:uid="{00000000-0005-0000-0000-000026000000}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58"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ddmmmyy"/>
      <fill>
        <patternFill patternType="none">
          <fgColor rgb="FF000000"/>
          <bgColor auto="1"/>
        </patternFill>
      </fill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rgb="FF000000"/>
          <bgColor auto="1"/>
        </patternFill>
      </fill>
      <alignment vertical="center" textRotation="0" indent="0" justifyLastLine="0" shrinkToFit="0" readingOrder="0"/>
    </dxf>
    <dxf>
      <border>
        <bottom style="thin">
          <color rgb="FFFFFFFF"/>
        </bottom>
      </border>
    </dxf>
    <dxf>
      <fill>
        <patternFill patternType="solid">
          <fgColor indexed="64"/>
          <bgColor rgb="FF006478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ddmmmyy"/>
      <fill>
        <patternFill patternType="none">
          <fgColor rgb="FF000000"/>
          <bgColor auto="1"/>
        </patternFill>
      </fill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rgb="FF000000"/>
          <bgColor auto="1"/>
        </patternFill>
      </fill>
      <alignment vertical="center" textRotation="0" indent="0" justifyLastLine="0" shrinkToFit="0" readingOrder="0"/>
    </dxf>
    <dxf>
      <border>
        <bottom style="thin">
          <color rgb="FFFFFFFF"/>
        </bottom>
      </border>
    </dxf>
    <dxf>
      <fill>
        <patternFill patternType="solid">
          <fgColor indexed="64"/>
          <bgColor rgb="FF006478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ddmmm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rgb="FF000000"/>
          <bgColor rgb="FFFFFFFF"/>
        </patternFill>
      </fill>
      <alignment horizontal="general" vertical="center" textRotation="0" wrapText="0" indent="0" justifyLastLine="0" shrinkToFit="0" readingOrder="0"/>
    </dxf>
    <dxf>
      <border>
        <bottom style="thin">
          <color rgb="FFFFFFFF"/>
        </bottom>
      </border>
    </dxf>
    <dxf>
      <fill>
        <patternFill patternType="solid">
          <fgColor indexed="64"/>
          <bgColor rgb="FF006478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ddmmm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rgb="FF000000"/>
          <bgColor rgb="FFFFFFFF"/>
        </patternFill>
      </fill>
      <alignment horizontal="general" vertical="center" textRotation="0" wrapText="0" indent="0" justifyLastLine="0" shrinkToFit="0" readingOrder="0"/>
    </dxf>
    <dxf>
      <border>
        <bottom style="thin">
          <color rgb="FFFFFFFF"/>
        </bottom>
      </border>
    </dxf>
    <dxf>
      <fill>
        <patternFill patternType="solid">
          <fgColor indexed="64"/>
          <bgColor rgb="FF006478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ddmmm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>
        <bottom style="thin">
          <color theme="0"/>
        </bottom>
      </border>
    </dxf>
    <dxf>
      <fill>
        <patternFill patternType="solid">
          <fgColor indexed="64"/>
          <bgColor rgb="FF006478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ddmmm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0" indent="0" justifyLastLine="0" shrinkToFit="0" readingOrder="0"/>
    </dxf>
    <dxf>
      <border>
        <bottom style="thin">
          <color rgb="FFFFFFFF"/>
        </bottom>
      </border>
    </dxf>
    <dxf>
      <fill>
        <patternFill patternType="solid">
          <fgColor indexed="64"/>
          <bgColor rgb="FF006478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ddmmm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0" indent="0" justifyLastLine="0" shrinkToFit="0" readingOrder="0"/>
    </dxf>
    <dxf>
      <border>
        <bottom style="thin">
          <color rgb="FFFFFFFF"/>
        </bottom>
      </border>
    </dxf>
    <dxf>
      <fill>
        <patternFill patternType="solid">
          <fgColor indexed="64"/>
          <bgColor rgb="FF006478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ddmmm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0" indent="0" justifyLastLine="0" shrinkToFit="0" readingOrder="0"/>
    </dxf>
    <dxf>
      <border>
        <bottom style="thin">
          <color rgb="FFFFFFFF"/>
        </bottom>
      </border>
    </dxf>
    <dxf>
      <fill>
        <patternFill patternType="solid">
          <fgColor indexed="64"/>
          <bgColor rgb="FF006478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ddmmm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0" indent="0" justifyLastLine="0" shrinkToFit="0" readingOrder="0"/>
    </dxf>
    <dxf>
      <border>
        <bottom style="thin">
          <color rgb="FFFFFFFF"/>
        </bottom>
      </border>
    </dxf>
    <dxf>
      <fill>
        <patternFill patternType="solid">
          <fgColor indexed="64"/>
          <bgColor rgb="FF006478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ddmmm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>
        <bottom style="thin">
          <color theme="0"/>
        </bottom>
      </border>
    </dxf>
    <dxf>
      <fill>
        <patternFill patternType="solid">
          <fgColor indexed="64"/>
          <bgColor rgb="FF006478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DBD3E5"/>
      <color rgb="FFD8CFE3"/>
      <color rgb="FF006478"/>
      <color rgb="FF006464"/>
      <color rgb="FFD6ECF2"/>
      <color rgb="FFCB716F"/>
      <color rgb="FFBF504D"/>
      <color rgb="FFDCDCDC"/>
      <color rgb="FF007D7D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overlay val="0"/>
      <c:txPr>
        <a:bodyPr/>
        <a:lstStyle/>
        <a:p>
          <a:pPr>
            <a:defRPr sz="18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333952044048591E-2"/>
          <c:y val="0.15686810380357119"/>
          <c:w val="0.94363635706743765"/>
          <c:h val="0.7497375673254294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'EB210 Graph'!$D$22</c:f>
              <c:strCache>
                <c:ptCount val="1"/>
                <c:pt idx="0">
                  <c:v>Yield %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'EB210 Graph'!$A$23:$A$24</c:f>
              <c:numCache>
                <c:formatCode>General</c:formatCode>
                <c:ptCount val="2"/>
              </c:numCache>
            </c:numRef>
          </c:cat>
          <c:val>
            <c:numRef>
              <c:f>'EB210 Graph'!$D$23:$D$24</c:f>
              <c:numCache>
                <c:formatCode>0%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B7-4B14-97B3-9AAA2F83F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462224"/>
        <c:axId val="237462784"/>
      </c:barChart>
      <c:catAx>
        <c:axId val="23746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7462784"/>
        <c:crosses val="autoZero"/>
        <c:auto val="1"/>
        <c:lblAlgn val="ctr"/>
        <c:lblOffset val="100"/>
        <c:noMultiLvlLbl val="0"/>
      </c:catAx>
      <c:valAx>
        <c:axId val="237462784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7462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5 Scrap (Last 3 S/O)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effectLst>
              <a:outerShdw blurRad="50800" dist="20000" dir="5400000" rotWithShape="0">
                <a:srgbClr val="000000">
                  <a:alpha val="38000"/>
                </a:srgbClr>
              </a:outerShdw>
            </a:effectLst>
          </c:spPr>
          <c:explosion val="6"/>
          <c:dPt>
            <c:idx val="0"/>
            <c:bubble3D val="0"/>
            <c:explosion val="0"/>
            <c:extLst>
              <c:ext xmlns:c16="http://schemas.microsoft.com/office/drawing/2014/chart" uri="{C3380CC4-5D6E-409C-BE32-E72D297353CC}">
                <c16:uniqueId val="{00000001-4B84-4F04-9568-09B2AB287D1E}"/>
              </c:ext>
            </c:extLst>
          </c:dPt>
          <c:dPt>
            <c:idx val="1"/>
            <c:bubble3D val="0"/>
            <c:explosion val="2"/>
            <c:spPr>
              <a:solidFill>
                <a:srgbClr val="CB716F"/>
              </a:solidFill>
              <a:effectLst>
                <a:outerShdw blurRad="508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B84-4F04-9568-09B2AB287D1E}"/>
              </c:ext>
            </c:extLst>
          </c:dPt>
          <c:dPt>
            <c:idx val="2"/>
            <c:bubble3D val="0"/>
            <c:explosion val="3"/>
            <c:extLst>
              <c:ext xmlns:c16="http://schemas.microsoft.com/office/drawing/2014/chart" uri="{C3380CC4-5D6E-409C-BE32-E72D297353CC}">
                <c16:uniqueId val="{00000005-4B84-4F04-9568-09B2AB287D1E}"/>
              </c:ext>
            </c:extLst>
          </c:dPt>
          <c:dPt>
            <c:idx val="3"/>
            <c:bubble3D val="0"/>
            <c:explosion val="3"/>
            <c:extLst>
              <c:ext xmlns:c16="http://schemas.microsoft.com/office/drawing/2014/chart" uri="{C3380CC4-5D6E-409C-BE32-E72D297353CC}">
                <c16:uniqueId val="{00000007-4B84-4F04-9568-09B2AB287D1E}"/>
              </c:ext>
            </c:extLst>
          </c:dPt>
          <c:dPt>
            <c:idx val="4"/>
            <c:bubble3D val="0"/>
            <c:explosion val="2"/>
            <c:extLst>
              <c:ext xmlns:c16="http://schemas.microsoft.com/office/drawing/2014/chart" uri="{C3380CC4-5D6E-409C-BE32-E72D297353CC}">
                <c16:uniqueId val="{00000009-4B84-4F04-9568-09B2AB287D1E}"/>
              </c:ext>
            </c:extLst>
          </c:dPt>
          <c:dLbls>
            <c:dLbl>
              <c:idx val="0"/>
              <c:layout>
                <c:manualLayout>
                  <c:x val="5.9617902513078962E-2"/>
                  <c:y val="0.2104341179237602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B84-4F04-9568-09B2AB287D1E}"/>
                </c:ext>
              </c:extLst>
            </c:dLbl>
            <c:dLbl>
              <c:idx val="1"/>
              <c:layout>
                <c:manualLayout>
                  <c:x val="0.12819002443663119"/>
                  <c:y val="-1.723264523365838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B84-4F04-9568-09B2AB287D1E}"/>
                </c:ext>
              </c:extLst>
            </c:dLbl>
            <c:dLbl>
              <c:idx val="2"/>
              <c:layout>
                <c:manualLayout>
                  <c:x val="-6.6654156766915204E-2"/>
                  <c:y val="0.1897752971613626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B84-4F04-9568-09B2AB287D1E}"/>
                </c:ext>
              </c:extLst>
            </c:dLbl>
            <c:dLbl>
              <c:idx val="3"/>
              <c:layout>
                <c:manualLayout>
                  <c:x val="-0.11435144164837215"/>
                  <c:y val="5.54208202920051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B84-4F04-9568-09B2AB287D1E}"/>
                </c:ext>
              </c:extLst>
            </c:dLbl>
            <c:dLbl>
              <c:idx val="4"/>
              <c:layout>
                <c:manualLayout>
                  <c:x val="0.14849789495070354"/>
                  <c:y val="2.83144573299802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521891383971147"/>
                      <c:h val="0.15744893528485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4B84-4F04-9568-09B2AB287D1E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'EB214 Graphs'!$O$5:$O$9</c:f>
              <c:strCache>
                <c:ptCount val="5"/>
                <c:pt idx="0">
                  <c:v>Damaged Harness</c:v>
                </c:pt>
                <c:pt idx="1">
                  <c:v>Continuity Fail</c:v>
                </c:pt>
                <c:pt idx="2">
                  <c:v>Rough Actuation of Jaw</c:v>
                </c:pt>
                <c:pt idx="3">
                  <c:v>Misassembled</c:v>
                </c:pt>
                <c:pt idx="4">
                  <c:v>0.003 Jaw Gap Fail</c:v>
                </c:pt>
              </c:strCache>
            </c:strRef>
          </c:cat>
          <c:val>
            <c:numRef>
              <c:f>'EB214 Graphs'!$R$5:$R$9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B84-4F04-9568-09B2AB287D1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'EB215 Graphs'!$D$22</c:f>
              <c:strCache>
                <c:ptCount val="1"/>
                <c:pt idx="0">
                  <c:v>Yield %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'EB215 Graphs'!$A$23:$A$32</c:f>
              <c:numCache>
                <c:formatCode>General</c:formatCode>
                <c:ptCount val="10"/>
                <c:pt idx="0">
                  <c:v>1525473</c:v>
                </c:pt>
                <c:pt idx="1">
                  <c:v>1525474</c:v>
                </c:pt>
                <c:pt idx="2">
                  <c:v>1527169</c:v>
                </c:pt>
                <c:pt idx="3">
                  <c:v>1528992</c:v>
                </c:pt>
              </c:numCache>
            </c:numRef>
          </c:cat>
          <c:val>
            <c:numRef>
              <c:f>'EB215 Graphs'!$D$23:$D$32</c:f>
              <c:numCache>
                <c:formatCode>0%</c:formatCode>
                <c:ptCount val="10"/>
                <c:pt idx="0">
                  <c:v>0.92261904761904767</c:v>
                </c:pt>
                <c:pt idx="1">
                  <c:v>0.94693877551020411</c:v>
                </c:pt>
                <c:pt idx="2">
                  <c:v>0.75019952114924182</c:v>
                </c:pt>
                <c:pt idx="3">
                  <c:v>0.92964071856287422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7-4528-AD28-7FF0197C5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301584"/>
        <c:axId val="261302144"/>
      </c:barChart>
      <c:catAx>
        <c:axId val="26130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1302144"/>
        <c:crosses val="autoZero"/>
        <c:auto val="1"/>
        <c:lblAlgn val="ctr"/>
        <c:lblOffset val="100"/>
        <c:noMultiLvlLbl val="0"/>
      </c:catAx>
      <c:valAx>
        <c:axId val="261302144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61301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5 Scrap (Last 3 S/O)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effectLst>
              <a:outerShdw blurRad="50800" dist="20000" dir="5400000" rotWithShape="0">
                <a:srgbClr val="000000">
                  <a:alpha val="38000"/>
                </a:srgbClr>
              </a:outerShdw>
            </a:effectLst>
          </c:spPr>
          <c:explosion val="6"/>
          <c:dPt>
            <c:idx val="0"/>
            <c:bubble3D val="0"/>
            <c:explosion val="0"/>
            <c:extLst>
              <c:ext xmlns:c16="http://schemas.microsoft.com/office/drawing/2014/chart" uri="{C3380CC4-5D6E-409C-BE32-E72D297353CC}">
                <c16:uniqueId val="{00000000-0D7B-4182-A250-65DCF45FEA83}"/>
              </c:ext>
            </c:extLst>
          </c:dPt>
          <c:dPt>
            <c:idx val="1"/>
            <c:bubble3D val="0"/>
            <c:explosion val="2"/>
            <c:spPr>
              <a:solidFill>
                <a:srgbClr val="CB716F"/>
              </a:solidFill>
              <a:effectLst>
                <a:outerShdw blurRad="508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D7B-4182-A250-65DCF45FEA83}"/>
              </c:ext>
            </c:extLst>
          </c:dPt>
          <c:dPt>
            <c:idx val="2"/>
            <c:bubble3D val="0"/>
            <c:explosion val="3"/>
            <c:extLst>
              <c:ext xmlns:c16="http://schemas.microsoft.com/office/drawing/2014/chart" uri="{C3380CC4-5D6E-409C-BE32-E72D297353CC}">
                <c16:uniqueId val="{00000003-0D7B-4182-A250-65DCF45FEA83}"/>
              </c:ext>
            </c:extLst>
          </c:dPt>
          <c:dPt>
            <c:idx val="3"/>
            <c:bubble3D val="0"/>
            <c:explosion val="3"/>
            <c:extLst>
              <c:ext xmlns:c16="http://schemas.microsoft.com/office/drawing/2014/chart" uri="{C3380CC4-5D6E-409C-BE32-E72D297353CC}">
                <c16:uniqueId val="{00000004-0D7B-4182-A250-65DCF45FEA83}"/>
              </c:ext>
            </c:extLst>
          </c:dPt>
          <c:dPt>
            <c:idx val="4"/>
            <c:bubble3D val="0"/>
            <c:explosion val="2"/>
            <c:extLst>
              <c:ext xmlns:c16="http://schemas.microsoft.com/office/drawing/2014/chart" uri="{C3380CC4-5D6E-409C-BE32-E72D297353CC}">
                <c16:uniqueId val="{00000005-0D7B-4182-A250-65DCF45FEA83}"/>
              </c:ext>
            </c:extLst>
          </c:dPt>
          <c:dLbls>
            <c:dLbl>
              <c:idx val="0"/>
              <c:layout>
                <c:manualLayout>
                  <c:x val="3.6324092938208617E-2"/>
                  <c:y val="2.087502035351793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D7B-4182-A250-65DCF45FEA83}"/>
                </c:ext>
              </c:extLst>
            </c:dLbl>
            <c:dLbl>
              <c:idx val="1"/>
              <c:layout>
                <c:manualLayout>
                  <c:x val="-0.14775202745029434"/>
                  <c:y val="0.1691842900302114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D7B-4182-A250-65DCF45FEA83}"/>
                </c:ext>
              </c:extLst>
            </c:dLbl>
            <c:dLbl>
              <c:idx val="2"/>
              <c:layout>
                <c:manualLayout>
                  <c:x val="-7.3821482789952195E-2"/>
                  <c:y val="6.53490972238742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D7B-4182-A250-65DCF45FEA83}"/>
                </c:ext>
              </c:extLst>
            </c:dLbl>
            <c:dLbl>
              <c:idx val="3"/>
              <c:layout>
                <c:manualLayout>
                  <c:x val="-9.6433126590779572E-2"/>
                  <c:y val="-2.476421565129132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D7B-4182-A250-65DCF45FEA83}"/>
                </c:ext>
              </c:extLst>
            </c:dLbl>
            <c:dLbl>
              <c:idx val="4"/>
              <c:layout>
                <c:manualLayout>
                  <c:x val="0.24884038872867426"/>
                  <c:y val="4.151897931187604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D7B-4182-A250-65DCF45FEA83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'EB215 Graphs'!$O$5:$O$9</c:f>
              <c:strCache>
                <c:ptCount val="5"/>
                <c:pt idx="0">
                  <c:v>0.006 Jaw Gap Fail</c:v>
                </c:pt>
                <c:pt idx="1">
                  <c:v>Low Jaw Force</c:v>
                </c:pt>
                <c:pt idx="2">
                  <c:v>Jaw Short</c:v>
                </c:pt>
                <c:pt idx="3">
                  <c:v>Insulation Damage</c:v>
                </c:pt>
                <c:pt idx="4">
                  <c:v>Incorrect Insulation Orientation</c:v>
                </c:pt>
              </c:strCache>
            </c:strRef>
          </c:cat>
          <c:val>
            <c:numRef>
              <c:f>'EB215 Graphs'!$R$5:$R$9</c:f>
              <c:numCache>
                <c:formatCode>General</c:formatCode>
                <c:ptCount val="5"/>
                <c:pt idx="0">
                  <c:v>668</c:v>
                </c:pt>
                <c:pt idx="1">
                  <c:v>36</c:v>
                </c:pt>
                <c:pt idx="2">
                  <c:v>14</c:v>
                </c:pt>
                <c:pt idx="3">
                  <c:v>13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7B-4182-A250-65DCF45FEA8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overlay val="0"/>
      <c:txPr>
        <a:bodyPr/>
        <a:lstStyle/>
        <a:p>
          <a:pPr>
            <a:defRPr sz="18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'EB216 Graphs'!$D$22</c:f>
              <c:strCache>
                <c:ptCount val="1"/>
                <c:pt idx="0">
                  <c:v>Yield %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'EB216 Graphs'!$A$23:$A$25</c:f>
              <c:numCache>
                <c:formatCode>General</c:formatCode>
                <c:ptCount val="3"/>
              </c:numCache>
            </c:numRef>
          </c:cat>
          <c:val>
            <c:numRef>
              <c:f>'EB216 Graphs'!$D$23:$D$25</c:f>
              <c:numCache>
                <c:formatCode>0%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10-4986-AF52-543D31C4A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306064"/>
        <c:axId val="261306624"/>
      </c:barChart>
      <c:catAx>
        <c:axId val="26130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1306624"/>
        <c:crosses val="autoZero"/>
        <c:auto val="1"/>
        <c:lblAlgn val="ctr"/>
        <c:lblOffset val="100"/>
        <c:noMultiLvlLbl val="0"/>
      </c:catAx>
      <c:valAx>
        <c:axId val="261306624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61306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5 Scrap (Last 3 S/O)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effectLst>
              <a:outerShdw blurRad="50800" dist="20000" dir="5400000" rotWithShape="0">
                <a:srgbClr val="000000">
                  <a:alpha val="38000"/>
                </a:srgbClr>
              </a:outerShdw>
            </a:effectLst>
          </c:spPr>
          <c:explosion val="6"/>
          <c:dPt>
            <c:idx val="0"/>
            <c:bubble3D val="0"/>
            <c:explosion val="0"/>
            <c:extLst>
              <c:ext xmlns:c16="http://schemas.microsoft.com/office/drawing/2014/chart" uri="{C3380CC4-5D6E-409C-BE32-E72D297353CC}">
                <c16:uniqueId val="{00000000-E0D7-4E6C-8D98-3CD80FE4F3FB}"/>
              </c:ext>
            </c:extLst>
          </c:dPt>
          <c:dPt>
            <c:idx val="1"/>
            <c:bubble3D val="0"/>
            <c:explosion val="2"/>
            <c:spPr>
              <a:solidFill>
                <a:srgbClr val="CB716F"/>
              </a:solidFill>
              <a:effectLst>
                <a:outerShdw blurRad="508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0D7-4E6C-8D98-3CD80FE4F3FB}"/>
              </c:ext>
            </c:extLst>
          </c:dPt>
          <c:dPt>
            <c:idx val="2"/>
            <c:bubble3D val="0"/>
            <c:explosion val="3"/>
            <c:extLst>
              <c:ext xmlns:c16="http://schemas.microsoft.com/office/drawing/2014/chart" uri="{C3380CC4-5D6E-409C-BE32-E72D297353CC}">
                <c16:uniqueId val="{00000003-E0D7-4E6C-8D98-3CD80FE4F3FB}"/>
              </c:ext>
            </c:extLst>
          </c:dPt>
          <c:dPt>
            <c:idx val="3"/>
            <c:bubble3D val="0"/>
            <c:explosion val="3"/>
            <c:extLst>
              <c:ext xmlns:c16="http://schemas.microsoft.com/office/drawing/2014/chart" uri="{C3380CC4-5D6E-409C-BE32-E72D297353CC}">
                <c16:uniqueId val="{00000004-E0D7-4E6C-8D98-3CD80FE4F3FB}"/>
              </c:ext>
            </c:extLst>
          </c:dPt>
          <c:dPt>
            <c:idx val="4"/>
            <c:bubble3D val="0"/>
            <c:explosion val="2"/>
            <c:extLst>
              <c:ext xmlns:c16="http://schemas.microsoft.com/office/drawing/2014/chart" uri="{C3380CC4-5D6E-409C-BE32-E72D297353CC}">
                <c16:uniqueId val="{00000005-E0D7-4E6C-8D98-3CD80FE4F3FB}"/>
              </c:ext>
            </c:extLst>
          </c:dPt>
          <c:dLbls>
            <c:dLbl>
              <c:idx val="0"/>
              <c:layout>
                <c:manualLayout>
                  <c:x val="5.9617902513078962E-2"/>
                  <c:y val="1.500487260235008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0D7-4E6C-8D98-3CD80FE4F3FB}"/>
                </c:ext>
              </c:extLst>
            </c:dLbl>
            <c:dLbl>
              <c:idx val="1"/>
              <c:layout>
                <c:manualLayout>
                  <c:x val="5.1455475103418309E-2"/>
                  <c:y val="-3.932586009283369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0D7-4E6C-8D98-3CD80FE4F3FB}"/>
                </c:ext>
              </c:extLst>
            </c:dLbl>
            <c:dLbl>
              <c:idx val="2"/>
              <c:layout>
                <c:manualLayout>
                  <c:x val="-5.7827764076459003E-2"/>
                  <c:y val="5.572372632209427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0D7-4E6C-8D98-3CD80FE4F3FB}"/>
                </c:ext>
              </c:extLst>
            </c:dLbl>
            <c:dLbl>
              <c:idx val="3"/>
              <c:layout>
                <c:manualLayout>
                  <c:x val="-5.0567883607140235E-2"/>
                  <c:y val="0.1969893820177748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0D7-4E6C-8D98-3CD80FE4F3FB}"/>
                </c:ext>
              </c:extLst>
            </c:dLbl>
            <c:dLbl>
              <c:idx val="4"/>
              <c:layout>
                <c:manualLayout>
                  <c:x val="-9.6393198376911057E-2"/>
                  <c:y val="5.458862894303675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0D7-4E6C-8D98-3CD80FE4F3FB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'EB216 Graphs'!$O$5:$O$9</c:f>
              <c:strCache>
                <c:ptCount val="5"/>
                <c:pt idx="0">
                  <c:v>Insulation Damage</c:v>
                </c:pt>
                <c:pt idx="1">
                  <c:v>High Jaw Force</c:v>
                </c:pt>
                <c:pt idx="2">
                  <c:v>Continuity Fail</c:v>
                </c:pt>
                <c:pt idx="3">
                  <c:v>0.003 Jaw Gap Fail</c:v>
                </c:pt>
                <c:pt idx="4">
                  <c:v>Rough Actuation of Jaw</c:v>
                </c:pt>
              </c:strCache>
            </c:strRef>
          </c:cat>
          <c:val>
            <c:numRef>
              <c:f>'EB216 Graphs'!$R$5:$R$9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D7-4E6C-8D98-3CD80FE4F3F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overlay val="0"/>
      <c:txPr>
        <a:bodyPr/>
        <a:lstStyle/>
        <a:p>
          <a:pPr>
            <a:defRPr sz="18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'EB217 Graphs'!$D$22</c:f>
              <c:strCache>
                <c:ptCount val="1"/>
                <c:pt idx="0">
                  <c:v>Yield %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'EB217 Graphs'!$A$23:$A$27</c:f>
              <c:numCache>
                <c:formatCode>General</c:formatCode>
                <c:ptCount val="5"/>
                <c:pt idx="0">
                  <c:v>1528174</c:v>
                </c:pt>
              </c:numCache>
            </c:numRef>
          </c:cat>
          <c:val>
            <c:numRef>
              <c:f>'EB217 Graphs'!$D$23:$D$27</c:f>
              <c:numCache>
                <c:formatCode>0%</c:formatCode>
                <c:ptCount val="5"/>
                <c:pt idx="0">
                  <c:v>0.97267292912040992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6C-42FD-B52D-B5F9388CF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503312"/>
        <c:axId val="278503872"/>
      </c:barChart>
      <c:catAx>
        <c:axId val="27850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8503872"/>
        <c:crosses val="autoZero"/>
        <c:auto val="1"/>
        <c:lblAlgn val="ctr"/>
        <c:lblOffset val="100"/>
        <c:noMultiLvlLbl val="0"/>
      </c:catAx>
      <c:valAx>
        <c:axId val="278503872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78503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5 Scrap (Last 3 S/O)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effectLst>
              <a:outerShdw blurRad="50800" dist="20000" dir="5400000" rotWithShape="0">
                <a:srgbClr val="000000">
                  <a:alpha val="38000"/>
                </a:srgbClr>
              </a:outerShdw>
            </a:effectLst>
          </c:spPr>
          <c:explosion val="6"/>
          <c:dPt>
            <c:idx val="0"/>
            <c:bubble3D val="0"/>
            <c:explosion val="0"/>
            <c:extLst>
              <c:ext xmlns:c16="http://schemas.microsoft.com/office/drawing/2014/chart" uri="{C3380CC4-5D6E-409C-BE32-E72D297353CC}">
                <c16:uniqueId val="{00000000-DAE0-4A4E-A63D-92144827A623}"/>
              </c:ext>
            </c:extLst>
          </c:dPt>
          <c:dPt>
            <c:idx val="1"/>
            <c:bubble3D val="0"/>
            <c:explosion val="2"/>
            <c:spPr>
              <a:solidFill>
                <a:srgbClr val="CB716F"/>
              </a:solidFill>
              <a:effectLst>
                <a:outerShdw blurRad="508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AE0-4A4E-A63D-92144827A623}"/>
              </c:ext>
            </c:extLst>
          </c:dPt>
          <c:dPt>
            <c:idx val="2"/>
            <c:bubble3D val="0"/>
            <c:explosion val="3"/>
            <c:extLst>
              <c:ext xmlns:c16="http://schemas.microsoft.com/office/drawing/2014/chart" uri="{C3380CC4-5D6E-409C-BE32-E72D297353CC}">
                <c16:uniqueId val="{00000003-DAE0-4A4E-A63D-92144827A623}"/>
              </c:ext>
            </c:extLst>
          </c:dPt>
          <c:dPt>
            <c:idx val="3"/>
            <c:bubble3D val="0"/>
            <c:explosion val="3"/>
            <c:extLst>
              <c:ext xmlns:c16="http://schemas.microsoft.com/office/drawing/2014/chart" uri="{C3380CC4-5D6E-409C-BE32-E72D297353CC}">
                <c16:uniqueId val="{00000004-DAE0-4A4E-A63D-92144827A623}"/>
              </c:ext>
            </c:extLst>
          </c:dPt>
          <c:dPt>
            <c:idx val="4"/>
            <c:bubble3D val="0"/>
            <c:explosion val="2"/>
            <c:extLst>
              <c:ext xmlns:c16="http://schemas.microsoft.com/office/drawing/2014/chart" uri="{C3380CC4-5D6E-409C-BE32-E72D297353CC}">
                <c16:uniqueId val="{00000005-DAE0-4A4E-A63D-92144827A623}"/>
              </c:ext>
            </c:extLst>
          </c:dPt>
          <c:dLbls>
            <c:dLbl>
              <c:idx val="0"/>
              <c:layout>
                <c:manualLayout>
                  <c:x val="4.2120879492982231E-2"/>
                  <c:y val="9.409240867300362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AE0-4A4E-A63D-92144827A623}"/>
                </c:ext>
              </c:extLst>
            </c:dLbl>
            <c:dLbl>
              <c:idx val="1"/>
              <c:layout>
                <c:manualLayout>
                  <c:x val="9.9290462941538329E-2"/>
                  <c:y val="-1.120725524170828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AE0-4A4E-A63D-92144827A623}"/>
                </c:ext>
              </c:extLst>
            </c:dLbl>
            <c:dLbl>
              <c:idx val="2"/>
              <c:layout>
                <c:manualLayout>
                  <c:x val="-5.2537064105241178E-2"/>
                  <c:y val="3.93074622229457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AE0-4A4E-A63D-92144827A623}"/>
                </c:ext>
              </c:extLst>
            </c:dLbl>
            <c:dLbl>
              <c:idx val="3"/>
              <c:layout>
                <c:manualLayout>
                  <c:x val="-6.0882766249231099E-2"/>
                  <c:y val="0.1676711279484678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AE0-4A4E-A63D-92144827A623}"/>
                </c:ext>
              </c:extLst>
            </c:dLbl>
            <c:dLbl>
              <c:idx val="4"/>
              <c:layout>
                <c:manualLayout>
                  <c:x val="-0.10077570784398933"/>
                  <c:y val="7.74311029571710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AE0-4A4E-A63D-92144827A623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'EB217 Graphs'!$O$5:$O$9</c:f>
              <c:strCache>
                <c:ptCount val="5"/>
                <c:pt idx="0">
                  <c:v>Low Jaw Force</c:v>
                </c:pt>
                <c:pt idx="1">
                  <c:v>Stuck Blade</c:v>
                </c:pt>
                <c:pt idx="2">
                  <c:v>Jaw Short</c:v>
                </c:pt>
                <c:pt idx="3">
                  <c:v>0.003 Jaw Gap Fail</c:v>
                </c:pt>
                <c:pt idx="4">
                  <c:v>Incorrect Insulation Orientation</c:v>
                </c:pt>
              </c:strCache>
            </c:strRef>
          </c:cat>
          <c:val>
            <c:numRef>
              <c:f>'EB217 Graphs'!$R$5:$R$9</c:f>
              <c:numCache>
                <c:formatCode>General</c:formatCode>
                <c:ptCount val="5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E0-4A4E-A63D-92144827A62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5 Scrap (Last 3 S/O)</a:t>
            </a:r>
          </a:p>
        </c:rich>
      </c:tx>
      <c:layout>
        <c:manualLayout>
          <c:xMode val="edge"/>
          <c:yMode val="edge"/>
          <c:x val="0.31019733890691598"/>
          <c:y val="2.8198211966921499E-2"/>
        </c:manualLayout>
      </c:layout>
      <c:overlay val="0"/>
    </c:title>
    <c:autoTitleDeleted val="0"/>
    <c:plotArea>
      <c:layout/>
      <c:pieChart>
        <c:varyColors val="1"/>
        <c:ser>
          <c:idx val="1"/>
          <c:order val="0"/>
          <c:tx>
            <c:v>Names</c:v>
          </c:tx>
          <c:dPt>
            <c:idx val="1"/>
            <c:bubble3D val="0"/>
            <c:spPr>
              <a:solidFill>
                <a:srgbClr val="CB716F"/>
              </a:solidFill>
            </c:spPr>
            <c:extLst>
              <c:ext xmlns:c16="http://schemas.microsoft.com/office/drawing/2014/chart" uri="{C3380CC4-5D6E-409C-BE32-E72D297353CC}">
                <c16:uniqueId val="{00000001-7CD8-40E0-9810-D1B491C63AB7}"/>
              </c:ext>
            </c:extLst>
          </c:dPt>
          <c:dLbls>
            <c:dLbl>
              <c:idx val="0"/>
              <c:layout>
                <c:manualLayout>
                  <c:x val="5.0862834008097088E-2"/>
                  <c:y val="-0.1219688699182593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CD8-40E0-9810-D1B491C63AB7}"/>
                </c:ext>
              </c:extLst>
            </c:dLbl>
            <c:dLbl>
              <c:idx val="1"/>
              <c:layout>
                <c:manualLayout>
                  <c:x val="-4.0609068825910928E-2"/>
                  <c:y val="0.2244843209993693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CD8-40E0-9810-D1B491C63AB7}"/>
                </c:ext>
              </c:extLst>
            </c:dLbl>
            <c:dLbl>
              <c:idx val="2"/>
              <c:layout>
                <c:manualLayout>
                  <c:x val="-7.4163076923076957E-2"/>
                  <c:y val="0.1743174296576578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CD8-40E0-9810-D1B491C63AB7}"/>
                </c:ext>
              </c:extLst>
            </c:dLbl>
            <c:dLbl>
              <c:idx val="3"/>
              <c:layout>
                <c:manualLayout>
                  <c:x val="-3.7158380566801617E-2"/>
                  <c:y val="6.114185019213527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CD8-40E0-9810-D1B491C63AB7}"/>
                </c:ext>
              </c:extLst>
            </c:dLbl>
            <c:dLbl>
              <c:idx val="4"/>
              <c:layout>
                <c:manualLayout>
                  <c:x val="0.16334655870445344"/>
                  <c:y val="4.015817792089505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CD8-40E0-9810-D1B491C63AB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'EB230 Graphs'!$O$5:$O$9</c:f>
              <c:strCache>
                <c:ptCount val="5"/>
                <c:pt idx="0">
                  <c:v>Stuck Blade</c:v>
                </c:pt>
                <c:pt idx="1">
                  <c:v>Front Stop not Touching</c:v>
                </c:pt>
                <c:pt idx="2">
                  <c:v>Exposed Wire</c:v>
                </c:pt>
                <c:pt idx="3">
                  <c:v>Jaw Isolation</c:v>
                </c:pt>
                <c:pt idx="4">
                  <c:v>Damaged Harness</c:v>
                </c:pt>
              </c:strCache>
            </c:strRef>
          </c:cat>
          <c:val>
            <c:numRef>
              <c:f>'EB230 Graphs'!$R$5:$R$9</c:f>
              <c:numCache>
                <c:formatCode>General</c:formatCode>
                <c:ptCount val="5"/>
                <c:pt idx="0">
                  <c:v>65</c:v>
                </c:pt>
                <c:pt idx="1">
                  <c:v>46</c:v>
                </c:pt>
                <c:pt idx="2">
                  <c:v>24</c:v>
                </c:pt>
                <c:pt idx="3">
                  <c:v>10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D8-40E0-9810-D1B491C63AB7}"/>
            </c:ext>
          </c:extLst>
        </c:ser>
        <c:ser>
          <c:idx val="0"/>
          <c:order val="1"/>
          <c:tx>
            <c:v>Names</c:v>
          </c:tx>
          <c:explosion val="4"/>
          <c:dPt>
            <c:idx val="1"/>
            <c:bubble3D val="0"/>
            <c:spPr>
              <a:solidFill>
                <a:srgbClr val="CB716F"/>
              </a:solidFill>
            </c:spPr>
            <c:extLst>
              <c:ext xmlns:c16="http://schemas.microsoft.com/office/drawing/2014/chart" uri="{C3380CC4-5D6E-409C-BE32-E72D297353CC}">
                <c16:uniqueId val="{00000008-7CD8-40E0-9810-D1B491C63AB7}"/>
              </c:ext>
            </c:extLst>
          </c:dPt>
          <c:dPt>
            <c:idx val="4"/>
            <c:bubble3D val="0"/>
            <c:explosion val="2"/>
            <c:extLst>
              <c:ext xmlns:c16="http://schemas.microsoft.com/office/drawing/2014/chart" uri="{C3380CC4-5D6E-409C-BE32-E72D297353CC}">
                <c16:uniqueId val="{00000009-7CD8-40E0-9810-D1B491C63AB7}"/>
              </c:ext>
            </c:extLst>
          </c:dPt>
          <c:dLbls>
            <c:dLbl>
              <c:idx val="0"/>
              <c:layout>
                <c:manualLayout>
                  <c:x val="8.1977107085985709E-3"/>
                  <c:y val="0.1466004197336063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CD8-40E0-9810-D1B491C63AB7}"/>
                </c:ext>
              </c:extLst>
            </c:dLbl>
            <c:dLbl>
              <c:idx val="1"/>
              <c:layout>
                <c:manualLayout>
                  <c:x val="-4.098855354299244E-2"/>
                  <c:y val="-5.638921656682417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CD8-40E0-9810-D1B491C63AB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CD8-40E0-9810-D1B491C63AB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CD8-40E0-9810-D1B491C63AB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CD8-40E0-9810-D1B491C63AB7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'EB230 Graphs'!$O$5:$O$9</c:f>
              <c:strCache>
                <c:ptCount val="5"/>
                <c:pt idx="0">
                  <c:v>Stuck Blade</c:v>
                </c:pt>
                <c:pt idx="1">
                  <c:v>Front Stop not Touching</c:v>
                </c:pt>
                <c:pt idx="2">
                  <c:v>Exposed Wire</c:v>
                </c:pt>
                <c:pt idx="3">
                  <c:v>Jaw Isolation</c:v>
                </c:pt>
                <c:pt idx="4">
                  <c:v>Damaged Harness</c:v>
                </c:pt>
              </c:strCache>
            </c:strRef>
          </c:cat>
          <c:val>
            <c:numRef>
              <c:f>'EB230 Graphs'!$R$5:$R$9</c:f>
              <c:numCache>
                <c:formatCode>General</c:formatCode>
                <c:ptCount val="5"/>
                <c:pt idx="0">
                  <c:v>65</c:v>
                </c:pt>
                <c:pt idx="1">
                  <c:v>46</c:v>
                </c:pt>
                <c:pt idx="2">
                  <c:v>24</c:v>
                </c:pt>
                <c:pt idx="3">
                  <c:v>10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CD8-40E0-9810-D1B491C63AB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Yield %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9835885748205071E-2"/>
          <c:y val="0.16432414819511593"/>
          <c:w val="0.93743003147925419"/>
          <c:h val="0.74973771425384328"/>
        </c:manualLayout>
      </c:layout>
      <c:barChart>
        <c:barDir val="col"/>
        <c:grouping val="clustered"/>
        <c:varyColors val="0"/>
        <c:ser>
          <c:idx val="0"/>
          <c:order val="0"/>
          <c:spPr>
            <a:ln>
              <a:solidFill>
                <a:schemeClr val="accent6"/>
              </a:solidFill>
            </a:ln>
          </c:spPr>
          <c:invertIfNegative val="0"/>
          <c:dLbls>
            <c:dLbl>
              <c:idx val="0"/>
              <c:layout>
                <c:manualLayout>
                  <c:x val="2.9239766081872154E-3"/>
                  <c:y val="-2.51665135122445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F2-4A63-A8C6-3905D3333078}"/>
                </c:ext>
              </c:extLst>
            </c:dLbl>
            <c:dLbl>
              <c:idx val="1"/>
              <c:layout>
                <c:manualLayout>
                  <c:x val="2.9239766081872154E-3"/>
                  <c:y val="-3.62776213830208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F2-4A63-A8C6-3905D3333078}"/>
                </c:ext>
              </c:extLst>
            </c:dLbl>
            <c:dLbl>
              <c:idx val="2"/>
              <c:layout>
                <c:manualLayout>
                  <c:x val="-5.8479532163742704E-3"/>
                  <c:y val="-4.368502663020510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F2-4A63-A8C6-3905D3333078}"/>
                </c:ext>
              </c:extLst>
            </c:dLbl>
            <c:dLbl>
              <c:idx val="3"/>
              <c:layout>
                <c:manualLayout>
                  <c:x val="0"/>
                  <c:y val="-1.035170301787612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1F2-4A63-A8C6-3905D3333078}"/>
                </c:ext>
              </c:extLst>
            </c:dLbl>
            <c:dLbl>
              <c:idx val="4"/>
              <c:layout>
                <c:manualLayout>
                  <c:x val="-1.4619883040935741E-3"/>
                  <c:y val="-3.998132400661329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1F2-4A63-A8C6-3905D3333078}"/>
                </c:ext>
              </c:extLst>
            </c:dLbl>
            <c:dLbl>
              <c:idx val="5"/>
              <c:layout>
                <c:manualLayout>
                  <c:x val="0"/>
                  <c:y val="-3.257391875943001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1F2-4A63-A8C6-3905D3333078}"/>
                </c:ext>
              </c:extLst>
            </c:dLbl>
            <c:dLbl>
              <c:idx val="6"/>
              <c:layout>
                <c:manualLayout>
                  <c:x val="0"/>
                  <c:y val="7.5940485290030993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1F2-4A63-A8C6-3905D3333078}"/>
                </c:ext>
              </c:extLst>
            </c:dLbl>
            <c:dLbl>
              <c:idx val="7"/>
              <c:layout>
                <c:manualLayout>
                  <c:x val="0"/>
                  <c:y val="-2.944297770691892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1F2-4A63-A8C6-3905D3333078}"/>
                </c:ext>
              </c:extLst>
            </c:dLbl>
            <c:dLbl>
              <c:idx val="8"/>
              <c:layout>
                <c:manualLayout>
                  <c:x val="0"/>
                  <c:y val="-4.368502663020510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1F2-4A63-A8C6-3905D3333078}"/>
                </c:ext>
              </c:extLst>
            </c:dLbl>
            <c:dLbl>
              <c:idx val="9"/>
              <c:layout>
                <c:manualLayout>
                  <c:x val="0"/>
                  <c:y val="-3.257391875943001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1F2-4A63-A8C6-3905D3333078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'EB230 Graphs'!$A$23:$A$25</c:f>
              <c:numCache>
                <c:formatCode>General</c:formatCode>
                <c:ptCount val="3"/>
                <c:pt idx="0">
                  <c:v>1526067</c:v>
                </c:pt>
                <c:pt idx="1">
                  <c:v>1528058</c:v>
                </c:pt>
                <c:pt idx="2">
                  <c:v>1529061</c:v>
                </c:pt>
              </c:numCache>
            </c:numRef>
          </c:cat>
          <c:val>
            <c:numRef>
              <c:f>'EB230 Graphs'!$D$23:$D$25</c:f>
              <c:numCache>
                <c:formatCode>0%</c:formatCode>
                <c:ptCount val="3"/>
                <c:pt idx="0">
                  <c:v>0.89200968523002422</c:v>
                </c:pt>
                <c:pt idx="1">
                  <c:v>0.94313524590163933</c:v>
                </c:pt>
                <c:pt idx="2">
                  <c:v>0.94478527607361962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F2-4A63-A8C6-3905D3333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248713808"/>
        <c:axId val="248714368"/>
      </c:barChart>
      <c:catAx>
        <c:axId val="24871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48714368"/>
        <c:crosses val="autoZero"/>
        <c:auto val="1"/>
        <c:lblAlgn val="ctr"/>
        <c:lblOffset val="100"/>
        <c:noMultiLvlLbl val="0"/>
      </c:catAx>
      <c:valAx>
        <c:axId val="248714368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248713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021" l="0.70000000000000062" r="0.70000000000000062" t="0.75000000000001021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5 Scrap (Last 3 S/O)</a:t>
            </a:r>
          </a:p>
        </c:rich>
      </c:tx>
      <c:layout>
        <c:manualLayout>
          <c:xMode val="edge"/>
          <c:yMode val="edge"/>
          <c:x val="0.32345168181533657"/>
          <c:y val="2.222223194323357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explosion val="5"/>
          <c:dPt>
            <c:idx val="0"/>
            <c:bubble3D val="0"/>
            <c:explosion val="1"/>
            <c:extLst>
              <c:ext xmlns:c16="http://schemas.microsoft.com/office/drawing/2014/chart" uri="{C3380CC4-5D6E-409C-BE32-E72D297353CC}">
                <c16:uniqueId val="{00000000-07C9-4C0B-A114-B07B9D4CA811}"/>
              </c:ext>
            </c:extLst>
          </c:dPt>
          <c:dPt>
            <c:idx val="1"/>
            <c:bubble3D val="0"/>
            <c:spPr>
              <a:solidFill>
                <a:srgbClr val="CB716F"/>
              </a:solidFill>
            </c:spPr>
            <c:extLst>
              <c:ext xmlns:c16="http://schemas.microsoft.com/office/drawing/2014/chart" uri="{C3380CC4-5D6E-409C-BE32-E72D297353CC}">
                <c16:uniqueId val="{00000002-07C9-4C0B-A114-B07B9D4CA811}"/>
              </c:ext>
            </c:extLst>
          </c:dPt>
          <c:dPt>
            <c:idx val="2"/>
            <c:bubble3D val="0"/>
            <c:explosion val="2"/>
            <c:extLst>
              <c:ext xmlns:c16="http://schemas.microsoft.com/office/drawing/2014/chart" uri="{C3380CC4-5D6E-409C-BE32-E72D297353CC}">
                <c16:uniqueId val="{00000003-07C9-4C0B-A114-B07B9D4CA811}"/>
              </c:ext>
            </c:extLst>
          </c:dPt>
          <c:dPt>
            <c:idx val="3"/>
            <c:bubble3D val="0"/>
            <c:explosion val="1"/>
            <c:extLst>
              <c:ext xmlns:c16="http://schemas.microsoft.com/office/drawing/2014/chart" uri="{C3380CC4-5D6E-409C-BE32-E72D297353CC}">
                <c16:uniqueId val="{00000004-07C9-4C0B-A114-B07B9D4CA811}"/>
              </c:ext>
            </c:extLst>
          </c:dPt>
          <c:dPt>
            <c:idx val="4"/>
            <c:bubble3D val="0"/>
            <c:explosion val="2"/>
            <c:extLst>
              <c:ext xmlns:c16="http://schemas.microsoft.com/office/drawing/2014/chart" uri="{C3380CC4-5D6E-409C-BE32-E72D297353CC}">
                <c16:uniqueId val="{00000005-07C9-4C0B-A114-B07B9D4CA811}"/>
              </c:ext>
            </c:extLst>
          </c:dPt>
          <c:dLbls>
            <c:dLbl>
              <c:idx val="0"/>
              <c:layout>
                <c:manualLayout>
                  <c:x val="9.2582117308554007E-2"/>
                  <c:y val="-5.917621298549961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7C9-4C0B-A114-B07B9D4CA811}"/>
                </c:ext>
              </c:extLst>
            </c:dLbl>
            <c:dLbl>
              <c:idx val="1"/>
              <c:layout>
                <c:manualLayout>
                  <c:x val="-1.693581405717021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7C9-4C0B-A114-B07B9D4CA811}"/>
                </c:ext>
              </c:extLst>
            </c:dLbl>
            <c:dLbl>
              <c:idx val="2"/>
              <c:layout>
                <c:manualLayout>
                  <c:x val="-6.3393334877423629E-2"/>
                  <c:y val="0.2006287086902633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7C9-4C0B-A114-B07B9D4CA811}"/>
                </c:ext>
              </c:extLst>
            </c:dLbl>
            <c:dLbl>
              <c:idx val="3"/>
              <c:layout>
                <c:manualLayout>
                  <c:x val="-6.5859101010885199E-2"/>
                  <c:y val="8.034791764925250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7C9-4C0B-A114-B07B9D4CA811}"/>
                </c:ext>
              </c:extLst>
            </c:dLbl>
            <c:dLbl>
              <c:idx val="4"/>
              <c:layout>
                <c:manualLayout>
                  <c:x val="-7.994468334176788E-2"/>
                  <c:y val="2.229543938126697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7C9-4C0B-A114-B07B9D4CA811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'EB240 Graphs'!$O$5:$O$9</c:f>
              <c:strCache>
                <c:ptCount val="5"/>
                <c:pt idx="0">
                  <c:v>Rough Jaw Actuation</c:v>
                </c:pt>
                <c:pt idx="1">
                  <c:v>0.006 Jaw Gap Fail</c:v>
                </c:pt>
                <c:pt idx="2">
                  <c:v>Stuck Blade</c:v>
                </c:pt>
                <c:pt idx="3">
                  <c:v>Damaged Harness</c:v>
                </c:pt>
                <c:pt idx="4">
                  <c:v>Misassembled</c:v>
                </c:pt>
              </c:strCache>
            </c:strRef>
          </c:cat>
          <c:val>
            <c:numRef>
              <c:f>'EB240 Graphs'!$R$5:$R$9</c:f>
              <c:numCache>
                <c:formatCode>General</c:formatCode>
                <c:ptCount val="5"/>
                <c:pt idx="0">
                  <c:v>36</c:v>
                </c:pt>
                <c:pt idx="1">
                  <c:v>18</c:v>
                </c:pt>
                <c:pt idx="2">
                  <c:v>16</c:v>
                </c:pt>
                <c:pt idx="3">
                  <c:v>6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C9-4C0B-A114-B07B9D4CA811}"/>
            </c:ext>
          </c:extLst>
        </c:ser>
        <c:dLbls>
          <c:dLblPos val="bestFit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5 Scrap (Last 3 S/O)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effectLst>
              <a:outerShdw blurRad="50800" dist="20000" dir="5400000" rotWithShape="0">
                <a:srgbClr val="000000">
                  <a:alpha val="38000"/>
                </a:srgbClr>
              </a:outerShdw>
            </a:effectLst>
          </c:spPr>
          <c:explosion val="6"/>
          <c:dPt>
            <c:idx val="0"/>
            <c:bubble3D val="0"/>
            <c:explosion val="0"/>
            <c:extLst>
              <c:ext xmlns:c16="http://schemas.microsoft.com/office/drawing/2014/chart" uri="{C3380CC4-5D6E-409C-BE32-E72D297353CC}">
                <c16:uniqueId val="{00000000-EEBA-4B9A-AA7A-DEA8AF1A8D90}"/>
              </c:ext>
            </c:extLst>
          </c:dPt>
          <c:dPt>
            <c:idx val="1"/>
            <c:bubble3D val="0"/>
            <c:explosion val="2"/>
            <c:spPr>
              <a:solidFill>
                <a:srgbClr val="CB716F"/>
              </a:solidFill>
              <a:effectLst>
                <a:outerShdw blurRad="508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EBA-4B9A-AA7A-DEA8AF1A8D90}"/>
              </c:ext>
            </c:extLst>
          </c:dPt>
          <c:dPt>
            <c:idx val="2"/>
            <c:bubble3D val="0"/>
            <c:explosion val="3"/>
            <c:extLst>
              <c:ext xmlns:c16="http://schemas.microsoft.com/office/drawing/2014/chart" uri="{C3380CC4-5D6E-409C-BE32-E72D297353CC}">
                <c16:uniqueId val="{00000003-EEBA-4B9A-AA7A-DEA8AF1A8D90}"/>
              </c:ext>
            </c:extLst>
          </c:dPt>
          <c:dPt>
            <c:idx val="3"/>
            <c:bubble3D val="0"/>
            <c:explosion val="3"/>
            <c:extLst>
              <c:ext xmlns:c16="http://schemas.microsoft.com/office/drawing/2014/chart" uri="{C3380CC4-5D6E-409C-BE32-E72D297353CC}">
                <c16:uniqueId val="{00000004-EEBA-4B9A-AA7A-DEA8AF1A8D90}"/>
              </c:ext>
            </c:extLst>
          </c:dPt>
          <c:dPt>
            <c:idx val="4"/>
            <c:bubble3D val="0"/>
            <c:explosion val="2"/>
            <c:extLst>
              <c:ext xmlns:c16="http://schemas.microsoft.com/office/drawing/2014/chart" uri="{C3380CC4-5D6E-409C-BE32-E72D297353CC}">
                <c16:uniqueId val="{00000005-EEBA-4B9A-AA7A-DEA8AF1A8D90}"/>
              </c:ext>
            </c:extLst>
          </c:dPt>
          <c:dLbls>
            <c:dLbl>
              <c:idx val="0"/>
              <c:layout>
                <c:manualLayout>
                  <c:x val="3.7351118763660859E-2"/>
                  <c:y val="2.0265232172627656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EBA-4B9A-AA7A-DEA8AF1A8D90}"/>
                </c:ext>
              </c:extLst>
            </c:dLbl>
            <c:dLbl>
              <c:idx val="1"/>
              <c:layout>
                <c:manualLayout>
                  <c:x val="-5.1092953175055328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EBA-4B9A-AA7A-DEA8AF1A8D90}"/>
                </c:ext>
              </c:extLst>
            </c:dLbl>
            <c:dLbl>
              <c:idx val="2"/>
              <c:layout>
                <c:manualLayout>
                  <c:x val="-4.9224504553948167E-2"/>
                  <c:y val="0.1002960578284317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EBA-4B9A-AA7A-DEA8AF1A8D90}"/>
                </c:ext>
              </c:extLst>
            </c:dLbl>
            <c:dLbl>
              <c:idx val="3"/>
              <c:layout>
                <c:manualLayout>
                  <c:x val="-0.10492566973712104"/>
                  <c:y val="0.1134927181563057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EBA-4B9A-AA7A-DEA8AF1A8D90}"/>
                </c:ext>
              </c:extLst>
            </c:dLbl>
            <c:dLbl>
              <c:idx val="4"/>
              <c:layout>
                <c:manualLayout>
                  <c:x val="-0.11437053623392959"/>
                  <c:y val="4.943110221311708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204865529618236"/>
                      <c:h val="0.193381622991827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EEBA-4B9A-AA7A-DEA8AF1A8D90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'EB210 Graph'!$O$5:$O$9</c:f>
              <c:strCache>
                <c:ptCount val="5"/>
                <c:pt idx="0">
                  <c:v>Rough Actuation of Jaw</c:v>
                </c:pt>
                <c:pt idx="1">
                  <c:v>Insulation Damage</c:v>
                </c:pt>
                <c:pt idx="2">
                  <c:v>Stuck Blade</c:v>
                </c:pt>
                <c:pt idx="3">
                  <c:v>0.003 Jaw Gap Fail</c:v>
                </c:pt>
                <c:pt idx="4">
                  <c:v>Incorrect Insulation Orientation</c:v>
                </c:pt>
              </c:strCache>
            </c:strRef>
          </c:cat>
          <c:val>
            <c:numRef>
              <c:f>'EB210 Graph'!$R$5:$R$9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BA-4B9A-AA7A-DEA8AF1A8D9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Yield %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2441626098458455E-2"/>
          <c:y val="0.15415417101410475"/>
          <c:w val="0.93735964832063834"/>
          <c:h val="0.74808025703147341"/>
        </c:manualLayout>
      </c:layout>
      <c:barChart>
        <c:barDir val="col"/>
        <c:grouping val="clustered"/>
        <c:varyColors val="0"/>
        <c:ser>
          <c:idx val="0"/>
          <c:order val="0"/>
          <c:spPr>
            <a:ln>
              <a:solidFill>
                <a:schemeClr val="accent6"/>
              </a:solidFill>
            </a:ln>
          </c:spPr>
          <c:invertIfNegative val="0"/>
          <c:dLbls>
            <c:dLbl>
              <c:idx val="0"/>
              <c:layout>
                <c:manualLayout>
                  <c:x val="2.9239766081872154E-3"/>
                  <c:y val="-2.51665135122445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6E4-4A82-A1F4-1D0BBD4CBDBA}"/>
                </c:ext>
              </c:extLst>
            </c:dLbl>
            <c:dLbl>
              <c:idx val="1"/>
              <c:layout>
                <c:manualLayout>
                  <c:x val="2.9239766081872154E-3"/>
                  <c:y val="-3.62776213830208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6E4-4A82-A1F4-1D0BBD4CBDBA}"/>
                </c:ext>
              </c:extLst>
            </c:dLbl>
            <c:dLbl>
              <c:idx val="2"/>
              <c:layout>
                <c:manualLayout>
                  <c:x val="-5.8479532163742704E-3"/>
                  <c:y val="-4.368502663020510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6E4-4A82-A1F4-1D0BBD4CBDBA}"/>
                </c:ext>
              </c:extLst>
            </c:dLbl>
            <c:dLbl>
              <c:idx val="3"/>
              <c:layout>
                <c:manualLayout>
                  <c:x val="0"/>
                  <c:y val="-1.035170301787612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6E4-4A82-A1F4-1D0BBD4CBDBA}"/>
                </c:ext>
              </c:extLst>
            </c:dLbl>
            <c:dLbl>
              <c:idx val="4"/>
              <c:layout>
                <c:manualLayout>
                  <c:x val="-1.4619883040935741E-3"/>
                  <c:y val="-3.998132400661329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6E4-4A82-A1F4-1D0BBD4CBDBA}"/>
                </c:ext>
              </c:extLst>
            </c:dLbl>
            <c:dLbl>
              <c:idx val="5"/>
              <c:layout>
                <c:manualLayout>
                  <c:x val="0"/>
                  <c:y val="-3.257391875943001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6E4-4A82-A1F4-1D0BBD4CBDBA}"/>
                </c:ext>
              </c:extLst>
            </c:dLbl>
            <c:dLbl>
              <c:idx val="6"/>
              <c:layout>
                <c:manualLayout>
                  <c:x val="0"/>
                  <c:y val="7.5940485290030993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6E4-4A82-A1F4-1D0BBD4CBDBA}"/>
                </c:ext>
              </c:extLst>
            </c:dLbl>
            <c:dLbl>
              <c:idx val="7"/>
              <c:layout>
                <c:manualLayout>
                  <c:x val="0"/>
                  <c:y val="-2.944297770691892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6E4-4A82-A1F4-1D0BBD4CBDBA}"/>
                </c:ext>
              </c:extLst>
            </c:dLbl>
            <c:dLbl>
              <c:idx val="8"/>
              <c:layout>
                <c:manualLayout>
                  <c:x val="0"/>
                  <c:y val="-4.368502663020510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6E4-4A82-A1F4-1D0BBD4CBDBA}"/>
                </c:ext>
              </c:extLst>
            </c:dLbl>
            <c:dLbl>
              <c:idx val="9"/>
              <c:layout>
                <c:manualLayout>
                  <c:x val="0"/>
                  <c:y val="-3.257391875943001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6E4-4A82-A1F4-1D0BBD4CBDBA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'EB240 Graphs'!$A$23:$A$26</c:f>
              <c:numCache>
                <c:formatCode>General</c:formatCode>
                <c:ptCount val="4"/>
                <c:pt idx="0">
                  <c:v>1527167</c:v>
                </c:pt>
                <c:pt idx="1">
                  <c:v>1528175</c:v>
                </c:pt>
                <c:pt idx="2">
                  <c:v>1527168</c:v>
                </c:pt>
                <c:pt idx="3">
                  <c:v>1530362</c:v>
                </c:pt>
              </c:numCache>
            </c:numRef>
          </c:cat>
          <c:val>
            <c:numRef>
              <c:f>'EB240 Graphs'!$D$23:$D$26</c:f>
              <c:numCache>
                <c:formatCode>0%</c:formatCode>
                <c:ptCount val="4"/>
                <c:pt idx="0">
                  <c:v>0.93103448275862066</c:v>
                </c:pt>
                <c:pt idx="1">
                  <c:v>0.95966386554621852</c:v>
                </c:pt>
                <c:pt idx="2">
                  <c:v>0.91247974068071314</c:v>
                </c:pt>
                <c:pt idx="3">
                  <c:v>0.93574958813838549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6E4-4A82-A1F4-1D0BBD4CB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248718288"/>
        <c:axId val="248718848"/>
      </c:barChart>
      <c:catAx>
        <c:axId val="24871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48718848"/>
        <c:crosses val="autoZero"/>
        <c:auto val="1"/>
        <c:lblAlgn val="ctr"/>
        <c:lblOffset val="100"/>
        <c:noMultiLvlLbl val="0"/>
      </c:catAx>
      <c:valAx>
        <c:axId val="248718848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248718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021" l="0.70000000000000062" r="0.70000000000000062" t="0.7500000000000102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overlay val="0"/>
      <c:txPr>
        <a:bodyPr/>
        <a:lstStyle/>
        <a:p>
          <a:pPr>
            <a:defRPr sz="18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333952044048591E-2"/>
          <c:y val="0.15686810380357119"/>
          <c:w val="0.94363635706743765"/>
          <c:h val="0.7497375673254294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'EB211 Graph'!$D$22</c:f>
              <c:strCache>
                <c:ptCount val="1"/>
                <c:pt idx="0">
                  <c:v>Yield %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'EB211 Graph'!$A$23</c:f>
              <c:numCache>
                <c:formatCode>General</c:formatCode>
                <c:ptCount val="1"/>
                <c:pt idx="0">
                  <c:v>1523580</c:v>
                </c:pt>
              </c:numCache>
            </c:numRef>
          </c:cat>
          <c:val>
            <c:numRef>
              <c:f>'EB211 Graph'!$D$23</c:f>
              <c:numCache>
                <c:formatCode>0%</c:formatCode>
                <c:ptCount val="1"/>
                <c:pt idx="0">
                  <c:v>0.95205479452054798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D6-4EA7-A937-4CCF4A54A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462224"/>
        <c:axId val="237462784"/>
      </c:barChart>
      <c:catAx>
        <c:axId val="23746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7462784"/>
        <c:crosses val="autoZero"/>
        <c:auto val="1"/>
        <c:lblAlgn val="ctr"/>
        <c:lblOffset val="100"/>
        <c:noMultiLvlLbl val="0"/>
      </c:catAx>
      <c:valAx>
        <c:axId val="237462784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7462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5 Scrap (Last 3 S/O)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effectLst>
              <a:outerShdw blurRad="50800" dist="20000" dir="5400000" rotWithShape="0">
                <a:srgbClr val="000000">
                  <a:alpha val="38000"/>
                </a:srgbClr>
              </a:outerShdw>
            </a:effectLst>
          </c:spPr>
          <c:explosion val="6"/>
          <c:dPt>
            <c:idx val="0"/>
            <c:bubble3D val="0"/>
            <c:explosion val="0"/>
            <c:extLst>
              <c:ext xmlns:c16="http://schemas.microsoft.com/office/drawing/2014/chart" uri="{C3380CC4-5D6E-409C-BE32-E72D297353CC}">
                <c16:uniqueId val="{00000001-8B7C-4EA0-BEDD-6B63F103D057}"/>
              </c:ext>
            </c:extLst>
          </c:dPt>
          <c:dPt>
            <c:idx val="1"/>
            <c:bubble3D val="0"/>
            <c:explosion val="2"/>
            <c:spPr>
              <a:solidFill>
                <a:srgbClr val="CB716F"/>
              </a:solidFill>
              <a:effectLst>
                <a:outerShdw blurRad="508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B7C-4EA0-BEDD-6B63F103D057}"/>
              </c:ext>
            </c:extLst>
          </c:dPt>
          <c:dPt>
            <c:idx val="2"/>
            <c:bubble3D val="0"/>
            <c:explosion val="3"/>
            <c:extLst>
              <c:ext xmlns:c16="http://schemas.microsoft.com/office/drawing/2014/chart" uri="{C3380CC4-5D6E-409C-BE32-E72D297353CC}">
                <c16:uniqueId val="{00000005-8B7C-4EA0-BEDD-6B63F103D057}"/>
              </c:ext>
            </c:extLst>
          </c:dPt>
          <c:dPt>
            <c:idx val="3"/>
            <c:bubble3D val="0"/>
            <c:explosion val="3"/>
            <c:extLst>
              <c:ext xmlns:c16="http://schemas.microsoft.com/office/drawing/2014/chart" uri="{C3380CC4-5D6E-409C-BE32-E72D297353CC}">
                <c16:uniqueId val="{00000007-8B7C-4EA0-BEDD-6B63F103D057}"/>
              </c:ext>
            </c:extLst>
          </c:dPt>
          <c:dPt>
            <c:idx val="4"/>
            <c:bubble3D val="0"/>
            <c:explosion val="2"/>
            <c:extLst>
              <c:ext xmlns:c16="http://schemas.microsoft.com/office/drawing/2014/chart" uri="{C3380CC4-5D6E-409C-BE32-E72D297353CC}">
                <c16:uniqueId val="{00000009-8B7C-4EA0-BEDD-6B63F103D057}"/>
              </c:ext>
            </c:extLst>
          </c:dPt>
          <c:dLbls>
            <c:dLbl>
              <c:idx val="0"/>
              <c:layout>
                <c:manualLayout>
                  <c:x val="3.7351118763660859E-2"/>
                  <c:y val="2.0265232172627656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B7C-4EA0-BEDD-6B63F103D057}"/>
                </c:ext>
              </c:extLst>
            </c:dLbl>
            <c:dLbl>
              <c:idx val="1"/>
              <c:layout>
                <c:manualLayout>
                  <c:x val="4.3531436778086484E-2"/>
                  <c:y val="-3.309733561433776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B7C-4EA0-BEDD-6B63F103D057}"/>
                </c:ext>
              </c:extLst>
            </c:dLbl>
            <c:dLbl>
              <c:idx val="2"/>
              <c:layout>
                <c:manualLayout>
                  <c:x val="-6.5292797187500529E-2"/>
                  <c:y val="0.2308644900225435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B7C-4EA0-BEDD-6B63F103D057}"/>
                </c:ext>
              </c:extLst>
            </c:dLbl>
            <c:dLbl>
              <c:idx val="3"/>
              <c:layout>
                <c:manualLayout>
                  <c:x val="-9.9569642482597642E-2"/>
                  <c:y val="7.955838726978589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469490487514525"/>
                      <c:h val="0.1311070042049357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8B7C-4EA0-BEDD-6B63F103D057}"/>
                </c:ext>
              </c:extLst>
            </c:dLbl>
            <c:dLbl>
              <c:idx val="4"/>
              <c:layout>
                <c:manualLayout>
                  <c:x val="-9.8302243600377273E-2"/>
                  <c:y val="4.271596262214735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5648655746038327E-2"/>
                      <c:h val="0.193381622991827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8B7C-4EA0-BEDD-6B63F103D057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'EB211 Graph'!$O$5:$O$9</c:f>
              <c:strCache>
                <c:ptCount val="5"/>
                <c:pt idx="0">
                  <c:v>0.003 Jaw Gap Fail</c:v>
                </c:pt>
                <c:pt idx="1">
                  <c:v>Incorrect/Missing Weld</c:v>
                </c:pt>
                <c:pt idx="2">
                  <c:v>Continuity Fail</c:v>
                </c:pt>
                <c:pt idx="3">
                  <c:v>0.006 Jaw Gap Fail</c:v>
                </c:pt>
                <c:pt idx="4">
                  <c:v>Middle Stops Not Touching</c:v>
                </c:pt>
              </c:strCache>
            </c:strRef>
          </c:cat>
          <c:val>
            <c:numRef>
              <c:f>'EB211 Graph'!$R$5:$R$9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B7C-4EA0-BEDD-6B63F103D05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9218183921903559E-2"/>
          <c:y val="9.4037865549408975E-2"/>
          <c:w val="0.94260522827028104"/>
          <c:h val="0.794969057401503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'EB212 Graphs'!$D$22</c:f>
              <c:strCache>
                <c:ptCount val="1"/>
                <c:pt idx="0">
                  <c:v>Yield %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'EB212 Graphs'!$A$23:$A$24</c:f>
              <c:numCache>
                <c:formatCode>General</c:formatCode>
                <c:ptCount val="2"/>
                <c:pt idx="0">
                  <c:v>1526573</c:v>
                </c:pt>
                <c:pt idx="1">
                  <c:v>1529652</c:v>
                </c:pt>
              </c:numCache>
            </c:numRef>
          </c:cat>
          <c:val>
            <c:numRef>
              <c:f>'EB212 Graphs'!$D$23:$D$24</c:f>
              <c:numCache>
                <c:formatCode>0%</c:formatCode>
                <c:ptCount val="2"/>
                <c:pt idx="0">
                  <c:v>0.93164556962025313</c:v>
                </c:pt>
                <c:pt idx="1">
                  <c:v>0.78609221466364321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7-45AE-BA9A-991B4728E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301584"/>
        <c:axId val="261302144"/>
      </c:barChart>
      <c:catAx>
        <c:axId val="26130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1302144"/>
        <c:crosses val="autoZero"/>
        <c:auto val="1"/>
        <c:lblAlgn val="ctr"/>
        <c:lblOffset val="100"/>
        <c:noMultiLvlLbl val="0"/>
      </c:catAx>
      <c:valAx>
        <c:axId val="261302144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61301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5 Scrap (Last 3 S/O)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effectLst>
              <a:outerShdw blurRad="50800" dist="20000" dir="5400000" rotWithShape="0">
                <a:srgbClr val="000000">
                  <a:alpha val="38000"/>
                </a:srgbClr>
              </a:outerShdw>
            </a:effectLst>
          </c:spPr>
          <c:explosion val="6"/>
          <c:dPt>
            <c:idx val="0"/>
            <c:bubble3D val="0"/>
            <c:explosion val="0"/>
            <c:extLst>
              <c:ext xmlns:c16="http://schemas.microsoft.com/office/drawing/2014/chart" uri="{C3380CC4-5D6E-409C-BE32-E72D297353CC}">
                <c16:uniqueId val="{00000001-2D11-4941-BB02-A478553FA95A}"/>
              </c:ext>
            </c:extLst>
          </c:dPt>
          <c:dPt>
            <c:idx val="1"/>
            <c:bubble3D val="0"/>
            <c:explosion val="2"/>
            <c:spPr>
              <a:solidFill>
                <a:srgbClr val="CB716F"/>
              </a:solidFill>
              <a:effectLst>
                <a:outerShdw blurRad="508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D11-4941-BB02-A478553FA95A}"/>
              </c:ext>
            </c:extLst>
          </c:dPt>
          <c:dPt>
            <c:idx val="2"/>
            <c:bubble3D val="0"/>
            <c:explosion val="3"/>
            <c:extLst>
              <c:ext xmlns:c16="http://schemas.microsoft.com/office/drawing/2014/chart" uri="{C3380CC4-5D6E-409C-BE32-E72D297353CC}">
                <c16:uniqueId val="{00000005-2D11-4941-BB02-A478553FA95A}"/>
              </c:ext>
            </c:extLst>
          </c:dPt>
          <c:dPt>
            <c:idx val="3"/>
            <c:bubble3D val="0"/>
            <c:explosion val="3"/>
            <c:extLst>
              <c:ext xmlns:c16="http://schemas.microsoft.com/office/drawing/2014/chart" uri="{C3380CC4-5D6E-409C-BE32-E72D297353CC}">
                <c16:uniqueId val="{00000007-2D11-4941-BB02-A478553FA95A}"/>
              </c:ext>
            </c:extLst>
          </c:dPt>
          <c:dPt>
            <c:idx val="4"/>
            <c:bubble3D val="0"/>
            <c:explosion val="2"/>
            <c:extLst>
              <c:ext xmlns:c16="http://schemas.microsoft.com/office/drawing/2014/chart" uri="{C3380CC4-5D6E-409C-BE32-E72D297353CC}">
                <c16:uniqueId val="{00000009-2D11-4941-BB02-A478553FA95A}"/>
              </c:ext>
            </c:extLst>
          </c:dPt>
          <c:dLbls>
            <c:dLbl>
              <c:idx val="0"/>
              <c:layout>
                <c:manualLayout>
                  <c:x val="7.3952554559153019E-2"/>
                  <c:y val="0.1150102526246719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D11-4941-BB02-A478553FA95A}"/>
                </c:ext>
              </c:extLst>
            </c:dLbl>
            <c:dLbl>
              <c:idx val="1"/>
              <c:layout>
                <c:manualLayout>
                  <c:x val="-7.4286935714164781E-2"/>
                  <c:y val="-9.548500806014995E-1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D11-4941-BB02-A478553FA95A}"/>
                </c:ext>
              </c:extLst>
            </c:dLbl>
            <c:dLbl>
              <c:idx val="2"/>
              <c:layout>
                <c:manualLayout>
                  <c:x val="-6.6654156766915204E-2"/>
                  <c:y val="6.675401902887138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D11-4941-BB02-A478553FA95A}"/>
                </c:ext>
              </c:extLst>
            </c:dLbl>
            <c:dLbl>
              <c:idx val="3"/>
              <c:layout>
                <c:manualLayout>
                  <c:x val="-4.8053675935279608E-2"/>
                  <c:y val="4.997744422572178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D11-4941-BB02-A478553FA95A}"/>
                </c:ext>
              </c:extLst>
            </c:dLbl>
            <c:dLbl>
              <c:idx val="4"/>
              <c:layout>
                <c:manualLayout>
                  <c:x val="0.23092207367108181"/>
                  <c:y val="2.218503937007873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D11-4941-BB02-A478553FA95A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'EB212 Graphs'!$O$5:$O$9</c:f>
              <c:strCache>
                <c:ptCount val="5"/>
                <c:pt idx="0">
                  <c:v>0.003 Jaw Gap Fail</c:v>
                </c:pt>
                <c:pt idx="1">
                  <c:v>Fuse Switch</c:v>
                </c:pt>
                <c:pt idx="2">
                  <c:v>Continuity Fail</c:v>
                </c:pt>
                <c:pt idx="3">
                  <c:v>Insulation Damage</c:v>
                </c:pt>
                <c:pt idx="4">
                  <c:v>Front Stops Not Touching</c:v>
                </c:pt>
              </c:strCache>
            </c:strRef>
          </c:cat>
          <c:val>
            <c:numRef>
              <c:f>'EB212 Graphs'!$R$5:$R$9</c:f>
              <c:numCache>
                <c:formatCode>General</c:formatCode>
                <c:ptCount val="5"/>
                <c:pt idx="0">
                  <c:v>148</c:v>
                </c:pt>
                <c:pt idx="1">
                  <c:v>26</c:v>
                </c:pt>
                <c:pt idx="2">
                  <c:v>39</c:v>
                </c:pt>
                <c:pt idx="3">
                  <c:v>19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D11-4941-BB02-A478553FA95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'EB213 Graphs'!$D$22</c:f>
              <c:strCache>
                <c:ptCount val="1"/>
                <c:pt idx="0">
                  <c:v>Yield %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'EB213 Graphs'!$A$23:$A$25</c:f>
              <c:numCache>
                <c:formatCode>General</c:formatCode>
                <c:ptCount val="3"/>
              </c:numCache>
            </c:numRef>
          </c:cat>
          <c:val>
            <c:numRef>
              <c:f>'EB213 Graphs'!$D$23:$D$25</c:f>
              <c:numCache>
                <c:formatCode>0%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D-43B3-A4D2-F6479D51A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301584"/>
        <c:axId val="261302144"/>
      </c:barChart>
      <c:catAx>
        <c:axId val="26130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1302144"/>
        <c:crosses val="autoZero"/>
        <c:auto val="1"/>
        <c:lblAlgn val="ctr"/>
        <c:lblOffset val="100"/>
        <c:noMultiLvlLbl val="0"/>
      </c:catAx>
      <c:valAx>
        <c:axId val="261302144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61301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5 Scrap (Last 3 S/O)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effectLst>
              <a:outerShdw blurRad="50800" dist="20000" dir="5400000" rotWithShape="0">
                <a:srgbClr val="000000">
                  <a:alpha val="38000"/>
                </a:srgbClr>
              </a:outerShdw>
            </a:effectLst>
          </c:spPr>
          <c:explosion val="6"/>
          <c:dPt>
            <c:idx val="0"/>
            <c:bubble3D val="0"/>
            <c:explosion val="0"/>
            <c:extLst>
              <c:ext xmlns:c16="http://schemas.microsoft.com/office/drawing/2014/chart" uri="{C3380CC4-5D6E-409C-BE32-E72D297353CC}">
                <c16:uniqueId val="{00000001-E597-4435-A529-8BECBB54BEAA}"/>
              </c:ext>
            </c:extLst>
          </c:dPt>
          <c:dPt>
            <c:idx val="1"/>
            <c:bubble3D val="0"/>
            <c:explosion val="2"/>
            <c:spPr>
              <a:solidFill>
                <a:srgbClr val="CB716F"/>
              </a:solidFill>
              <a:effectLst>
                <a:outerShdw blurRad="508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597-4435-A529-8BECBB54BEAA}"/>
              </c:ext>
            </c:extLst>
          </c:dPt>
          <c:dPt>
            <c:idx val="2"/>
            <c:bubble3D val="0"/>
            <c:explosion val="3"/>
            <c:extLst>
              <c:ext xmlns:c16="http://schemas.microsoft.com/office/drawing/2014/chart" uri="{C3380CC4-5D6E-409C-BE32-E72D297353CC}">
                <c16:uniqueId val="{00000005-E597-4435-A529-8BECBB54BEAA}"/>
              </c:ext>
            </c:extLst>
          </c:dPt>
          <c:dPt>
            <c:idx val="3"/>
            <c:bubble3D val="0"/>
            <c:explosion val="3"/>
            <c:extLst>
              <c:ext xmlns:c16="http://schemas.microsoft.com/office/drawing/2014/chart" uri="{C3380CC4-5D6E-409C-BE32-E72D297353CC}">
                <c16:uniqueId val="{00000007-E597-4435-A529-8BECBB54BEAA}"/>
              </c:ext>
            </c:extLst>
          </c:dPt>
          <c:dPt>
            <c:idx val="4"/>
            <c:bubble3D val="0"/>
            <c:explosion val="2"/>
            <c:extLst>
              <c:ext xmlns:c16="http://schemas.microsoft.com/office/drawing/2014/chart" uri="{C3380CC4-5D6E-409C-BE32-E72D297353CC}">
                <c16:uniqueId val="{00000009-E597-4435-A529-8BECBB54BEAA}"/>
              </c:ext>
            </c:extLst>
          </c:dPt>
          <c:dLbls>
            <c:dLbl>
              <c:idx val="0"/>
              <c:layout>
                <c:manualLayout>
                  <c:x val="5.78260710073197E-2"/>
                  <c:y val="3.236345050929025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597-4435-A529-8BECBB54BEAA}"/>
                </c:ext>
              </c:extLst>
            </c:dLbl>
            <c:dLbl>
              <c:idx val="1"/>
              <c:layout>
                <c:manualLayout>
                  <c:x val="7.9810573781131239E-2"/>
                  <c:y val="1.082897617281493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597-4435-A529-8BECBB54BEAA}"/>
                </c:ext>
              </c:extLst>
            </c:dLbl>
            <c:dLbl>
              <c:idx val="2"/>
              <c:layout>
                <c:manualLayout>
                  <c:x val="-7.5613314295711484E-2"/>
                  <c:y val="8.316583141859497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597-4435-A529-8BECBB54BEAA}"/>
                </c:ext>
              </c:extLst>
            </c:dLbl>
            <c:dLbl>
              <c:idx val="3"/>
              <c:layout>
                <c:manualLayout>
                  <c:x val="-0.1036004526138166"/>
                  <c:y val="0.1013745409150941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597-4435-A529-8BECBB54BEAA}"/>
                </c:ext>
              </c:extLst>
            </c:dLbl>
            <c:dLbl>
              <c:idx val="4"/>
              <c:layout>
                <c:manualLayout>
                  <c:x val="-2.3518000146732658E-2"/>
                  <c:y val="-6.150833137336493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597-4435-A529-8BECBB54BEAA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'EB213 Graphs'!$O$5:$O$9</c:f>
              <c:strCache>
                <c:ptCount val="5"/>
                <c:pt idx="0">
                  <c:v>Insulation Damage</c:v>
                </c:pt>
                <c:pt idx="1">
                  <c:v>0.003 Jaw Gap Fail</c:v>
                </c:pt>
                <c:pt idx="2">
                  <c:v>Damaged Harness</c:v>
                </c:pt>
                <c:pt idx="3">
                  <c:v>Continuity Fail</c:v>
                </c:pt>
                <c:pt idx="4">
                  <c:v>Stuck Blade</c:v>
                </c:pt>
              </c:strCache>
            </c:strRef>
          </c:cat>
          <c:val>
            <c:numRef>
              <c:f>'EB213 Graphs'!$R$5:$R$9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597-4435-A529-8BECBB54BEA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'EB214 Graphs'!$D$22</c:f>
              <c:strCache>
                <c:ptCount val="1"/>
                <c:pt idx="0">
                  <c:v>Yield %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'EB214 Graphs'!$A$23</c:f>
              <c:numCache>
                <c:formatCode>General</c:formatCode>
                <c:ptCount val="1"/>
              </c:numCache>
            </c:numRef>
          </c:cat>
          <c:val>
            <c:numRef>
              <c:f>'EB214 Graphs'!$D$23</c:f>
              <c:numCache>
                <c:formatCode>0%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CB-4A2A-846F-D7EE56B42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301584"/>
        <c:axId val="261302144"/>
      </c:barChart>
      <c:catAx>
        <c:axId val="26130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1302144"/>
        <c:crosses val="autoZero"/>
        <c:auto val="1"/>
        <c:lblAlgn val="ctr"/>
        <c:lblOffset val="100"/>
        <c:noMultiLvlLbl val="0"/>
      </c:catAx>
      <c:valAx>
        <c:axId val="261302144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61301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149679</xdr:rowOff>
    </xdr:from>
    <xdr:to>
      <xdr:col>13</xdr:col>
      <xdr:colOff>571499</xdr:colOff>
      <xdr:row>19</xdr:row>
      <xdr:rowOff>81643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180040</xdr:colOff>
      <xdr:row>20</xdr:row>
      <xdr:rowOff>6164</xdr:rowOff>
    </xdr:from>
    <xdr:to>
      <xdr:col>13</xdr:col>
      <xdr:colOff>530678</xdr:colOff>
      <xdr:row>31</xdr:row>
      <xdr:rowOff>457200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212914</xdr:colOff>
      <xdr:row>19</xdr:row>
      <xdr:rowOff>134470</xdr:rowOff>
    </xdr:from>
    <xdr:to>
      <xdr:col>13</xdr:col>
      <xdr:colOff>582707</xdr:colOff>
      <xdr:row>32</xdr:row>
      <xdr:rowOff>89645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22412</xdr:colOff>
      <xdr:row>1</xdr:row>
      <xdr:rowOff>190498</xdr:rowOff>
    </xdr:from>
    <xdr:to>
      <xdr:col>13</xdr:col>
      <xdr:colOff>537882</xdr:colOff>
      <xdr:row>18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149679</xdr:rowOff>
    </xdr:from>
    <xdr:to>
      <xdr:col>13</xdr:col>
      <xdr:colOff>571499</xdr:colOff>
      <xdr:row>19</xdr:row>
      <xdr:rowOff>81643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180040</xdr:colOff>
      <xdr:row>20</xdr:row>
      <xdr:rowOff>6164</xdr:rowOff>
    </xdr:from>
    <xdr:to>
      <xdr:col>13</xdr:col>
      <xdr:colOff>530678</xdr:colOff>
      <xdr:row>31</xdr:row>
      <xdr:rowOff>300718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</xdr:row>
      <xdr:rowOff>179294</xdr:rowOff>
    </xdr:from>
    <xdr:to>
      <xdr:col>13</xdr:col>
      <xdr:colOff>537882</xdr:colOff>
      <xdr:row>19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87967</xdr:colOff>
      <xdr:row>20</xdr:row>
      <xdr:rowOff>38100</xdr:rowOff>
    </xdr:from>
    <xdr:to>
      <xdr:col>13</xdr:col>
      <xdr:colOff>412937</xdr:colOff>
      <xdr:row>32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</xdr:row>
      <xdr:rowOff>179294</xdr:rowOff>
    </xdr:from>
    <xdr:to>
      <xdr:col>13</xdr:col>
      <xdr:colOff>537882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78442</xdr:colOff>
      <xdr:row>20</xdr:row>
      <xdr:rowOff>9525</xdr:rowOff>
    </xdr:from>
    <xdr:to>
      <xdr:col>13</xdr:col>
      <xdr:colOff>403412</xdr:colOff>
      <xdr:row>30</xdr:row>
      <xdr:rowOff>134470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</xdr:row>
      <xdr:rowOff>179294</xdr:rowOff>
    </xdr:from>
    <xdr:to>
      <xdr:col>13</xdr:col>
      <xdr:colOff>537882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97492</xdr:colOff>
      <xdr:row>19</xdr:row>
      <xdr:rowOff>180975</xdr:rowOff>
    </xdr:from>
    <xdr:to>
      <xdr:col>13</xdr:col>
      <xdr:colOff>422462</xdr:colOff>
      <xdr:row>30</xdr:row>
      <xdr:rowOff>105895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</xdr:row>
      <xdr:rowOff>179294</xdr:rowOff>
    </xdr:from>
    <xdr:to>
      <xdr:col>13</xdr:col>
      <xdr:colOff>537882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211792</xdr:colOff>
      <xdr:row>19</xdr:row>
      <xdr:rowOff>152399</xdr:rowOff>
    </xdr:from>
    <xdr:to>
      <xdr:col>13</xdr:col>
      <xdr:colOff>536762</xdr:colOff>
      <xdr:row>35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</xdr:row>
      <xdr:rowOff>179294</xdr:rowOff>
    </xdr:from>
    <xdr:to>
      <xdr:col>13</xdr:col>
      <xdr:colOff>537882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89646</xdr:colOff>
      <xdr:row>20</xdr:row>
      <xdr:rowOff>2055</xdr:rowOff>
    </xdr:from>
    <xdr:to>
      <xdr:col>13</xdr:col>
      <xdr:colOff>414616</xdr:colOff>
      <xdr:row>30</xdr:row>
      <xdr:rowOff>119529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190501</xdr:colOff>
      <xdr:row>0</xdr:row>
      <xdr:rowOff>646019</xdr:rowOff>
    </xdr:from>
    <xdr:to>
      <xdr:col>14</xdr:col>
      <xdr:colOff>14007</xdr:colOff>
      <xdr:row>17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100853</xdr:colOff>
      <xdr:row>19</xdr:row>
      <xdr:rowOff>31937</xdr:rowOff>
    </xdr:from>
    <xdr:to>
      <xdr:col>13</xdr:col>
      <xdr:colOff>425823</xdr:colOff>
      <xdr:row>29</xdr:row>
      <xdr:rowOff>145676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145677</xdr:colOff>
      <xdr:row>20</xdr:row>
      <xdr:rowOff>47625</xdr:rowOff>
    </xdr:from>
    <xdr:to>
      <xdr:col>13</xdr:col>
      <xdr:colOff>481852</xdr:colOff>
      <xdr:row>31</xdr:row>
      <xdr:rowOff>159682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</xdr:row>
      <xdr:rowOff>190499</xdr:rowOff>
    </xdr:from>
    <xdr:to>
      <xdr:col>13</xdr:col>
      <xdr:colOff>526676</xdr:colOff>
      <xdr:row>19</xdr:row>
      <xdr:rowOff>22413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e14117" displayName="Table14117" ref="A22:E28" totalsRowShown="0" headerRowDxfId="153" dataDxfId="151" headerRowBorderDxfId="152" headerRowCellStyle="Normal" dataCellStyle="Normal">
  <tableColumns count="5">
    <tableColumn id="1" xr3:uid="{00000000-0010-0000-0000-000001000000}" name="Shop Order" dataDxfId="150" dataCellStyle="Normal"/>
    <tableColumn id="2" xr3:uid="{00000000-0010-0000-0000-000002000000}" name="Build QTY" dataDxfId="149" dataCellStyle="Normal">
      <calculatedColumnFormula>VLOOKUP(Table14117[[#This Row],[Shop Order]],'EB210'!A:AA,4,FALSE)</calculatedColumnFormula>
    </tableColumn>
    <tableColumn id="3" xr3:uid="{00000000-0010-0000-0000-000003000000}" name="Yield" dataDxfId="148" dataCellStyle="Normal">
      <calculatedColumnFormula>VLOOKUP(Table14117[[#This Row],[Shop Order]],'EB210'!A:Y,5,FALSE)</calculatedColumnFormula>
    </tableColumn>
    <tableColumn id="4" xr3:uid="{00000000-0010-0000-0000-000004000000}" name="Yield %" dataDxfId="147" dataCellStyle="Percent">
      <calculatedColumnFormula>VLOOKUP(Table14117[[#This Row],[Shop Order]],'EB210'!A:Y,6,FALSE)</calculatedColumnFormula>
    </tableColumn>
    <tableColumn id="5" xr3:uid="{00000000-0010-0000-0000-000005000000}" name="Date" dataDxfId="146" dataCellStyle="Normal">
      <calculatedColumnFormula>VLOOKUP(Table14117[[#This Row],[Shop Order]],'EB210'!A:Y,7,FALSE)</calculatedColumnFormula>
    </tableColumn>
  </tableColumns>
  <tableStyleInfo name="TableStyleMedium1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9000000}" name="Table143611" displayName="Table143611" ref="A22:E30" totalsRowShown="0" headerRowDxfId="7" dataDxfId="5" headerRowBorderDxfId="6" headerRowCellStyle="Normal" dataCellStyle="Normal">
  <tableColumns count="5">
    <tableColumn id="1" xr3:uid="{00000000-0010-0000-0900-000001000000}" name="Shop Order" dataDxfId="4" dataCellStyle="Normal"/>
    <tableColumn id="2" xr3:uid="{00000000-0010-0000-0900-000002000000}" name="Build QTY" dataDxfId="3" dataCellStyle="Normal">
      <calculatedColumnFormula>VLOOKUP(Table143611[[#This Row],[Shop Order]],'EB240'!A:AC,4,FALSE)</calculatedColumnFormula>
    </tableColumn>
    <tableColumn id="3" xr3:uid="{00000000-0010-0000-0900-000003000000}" name="Yield" dataDxfId="2" dataCellStyle="Normal">
      <calculatedColumnFormula>VLOOKUP(Table143611[[#This Row],[Shop Order]],'EB240'!A:AC,5,FALSE)</calculatedColumnFormula>
    </tableColumn>
    <tableColumn id="4" xr3:uid="{00000000-0010-0000-0900-000004000000}" name="Yield %" dataDxfId="1" dataCellStyle="Percent">
      <calculatedColumnFormula>VLOOKUP(Table143611[[#This Row],[Shop Order]],'EB240'!A:AC,6,FALSE)</calculatedColumnFormula>
    </tableColumn>
    <tableColumn id="6" xr3:uid="{00000000-0010-0000-0900-000006000000}" name="Date" dataDxfId="0" dataCellStyle="Normal">
      <calculatedColumnFormula>VLOOKUP(Table143611[[#This Row],[Shop Order]],'EB240'!A:AC,7,FALSE)</calculatedColumnFormula>
    </tableColumn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1486" displayName="Table1486" ref="A22:E28" totalsRowShown="0" headerRowDxfId="141" dataDxfId="139" headerRowBorderDxfId="140" headerRowCellStyle="Normal" dataCellStyle="Normal">
  <tableColumns count="5">
    <tableColumn id="1" xr3:uid="{00000000-0010-0000-0100-000001000000}" name="Shop Order" dataDxfId="138" dataCellStyle="Normal"/>
    <tableColumn id="2" xr3:uid="{00000000-0010-0000-0100-000002000000}" name="Build QTY" dataDxfId="137" dataCellStyle="Normal">
      <calculatedColumnFormula>VLOOKUP(Table1486[[#This Row],[Shop Order]],'EB211'!A:AA,4,FALSE)</calculatedColumnFormula>
    </tableColumn>
    <tableColumn id="3" xr3:uid="{00000000-0010-0000-0100-000003000000}" name="Yield" dataDxfId="136" dataCellStyle="Normal">
      <calculatedColumnFormula>VLOOKUP(Table1486[[#This Row],[Shop Order]],'EB211'!A:AA,5,FALSE)</calculatedColumnFormula>
    </tableColumn>
    <tableColumn id="4" xr3:uid="{00000000-0010-0000-0100-000004000000}" name="Yield %" dataDxfId="135" dataCellStyle="Percent">
      <calculatedColumnFormula>VLOOKUP(Table1486[[#This Row],[Shop Order]],'EB211'!A:AA,6,FALSE)</calculatedColumnFormula>
    </tableColumn>
    <tableColumn id="5" xr3:uid="{00000000-0010-0000-0100-000005000000}" name="Date" dataDxfId="134" dataCellStyle="Normal">
      <calculatedColumnFormula>VLOOKUP(Table1486[[#This Row],[Shop Order]],'EB211'!A:AA,7,FALSE)</calculatedColumnFormula>
    </tableColumn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14112" displayName="Table14112" ref="A22:E28" totalsRowShown="0" headerRowDxfId="114" dataDxfId="112" headerRowBorderDxfId="113" headerRowCellStyle="Normal" dataCellStyle="Normal">
  <tableColumns count="5">
    <tableColumn id="1" xr3:uid="{00000000-0010-0000-0200-000001000000}" name="Shop Order" dataDxfId="111" dataCellStyle="Normal"/>
    <tableColumn id="2" xr3:uid="{00000000-0010-0000-0200-000002000000}" name="Build QTY" dataDxfId="110" dataCellStyle="Normal">
      <calculatedColumnFormula>VLOOKUP(Table14112[[#This Row],[Shop Order]],'EB212'!A:AA,4,FALSE)</calculatedColumnFormula>
    </tableColumn>
    <tableColumn id="3" xr3:uid="{00000000-0010-0000-0200-000003000000}" name="Yield" dataDxfId="109" dataCellStyle="Normal">
      <calculatedColumnFormula>VLOOKUP(Table14112[[#This Row],[Shop Order]],'EB212'!A:AA,5,FALSE)</calculatedColumnFormula>
    </tableColumn>
    <tableColumn id="4" xr3:uid="{00000000-0010-0000-0200-000004000000}" name="Yield %" dataDxfId="108" dataCellStyle="Percent">
      <calculatedColumnFormula>VLOOKUP(Table14112[[#This Row],[Shop Order]],'EB212'!A:AA,6,FALSE)</calculatedColumnFormula>
    </tableColumn>
    <tableColumn id="5" xr3:uid="{00000000-0010-0000-0200-000005000000}" name="Date" dataDxfId="107" dataCellStyle="Normal">
      <calculatedColumnFormula>VLOOKUP(Table14112[[#This Row],[Shop Order]],'EB212'!A:AA,7,FALSE)</calculatedColumnFormula>
    </tableColumn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e141123" displayName="Table141123" ref="A22:E28" totalsRowShown="0" headerRowDxfId="99" dataDxfId="97" headerRowBorderDxfId="98" headerRowCellStyle="Normal" dataCellStyle="Normal">
  <tableColumns count="5">
    <tableColumn id="1" xr3:uid="{00000000-0010-0000-0300-000001000000}" name="Shop Order" dataDxfId="96" dataCellStyle="Normal"/>
    <tableColumn id="2" xr3:uid="{00000000-0010-0000-0300-000002000000}" name="Build QTY" dataDxfId="95" dataCellStyle="Normal">
      <calculatedColumnFormula>VLOOKUP(Table141123[[#This Row],[Shop Order]],'EB213'!A:AA,4,FALSE)</calculatedColumnFormula>
    </tableColumn>
    <tableColumn id="3" xr3:uid="{00000000-0010-0000-0300-000003000000}" name="Yield" dataDxfId="94" dataCellStyle="Normal">
      <calculatedColumnFormula>VLOOKUP(Table141123[[#This Row],[Shop Order]],'EB213'!A:AA,5,FALSE)</calculatedColumnFormula>
    </tableColumn>
    <tableColumn id="4" xr3:uid="{00000000-0010-0000-0300-000004000000}" name="Yield %" dataDxfId="93" dataCellStyle="Percent">
      <calculatedColumnFormula>VLOOKUP(Table141123[[#This Row],[Shop Order]],'EB213'!A:AA,6,FALSE)</calculatedColumnFormula>
    </tableColumn>
    <tableColumn id="5" xr3:uid="{00000000-0010-0000-0300-000005000000}" name="Date" dataDxfId="92" dataCellStyle="Normal">
      <calculatedColumnFormula>VLOOKUP(Table141123[[#This Row],[Shop Order]],'EB213'!A:AA,7,FALSE)</calculatedColumnFormula>
    </tableColumn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1411234" displayName="Table1411234" ref="A22:E28" totalsRowShown="0" headerRowDxfId="85" dataDxfId="83" headerRowBorderDxfId="84" headerRowCellStyle="Normal" dataCellStyle="Normal">
  <tableColumns count="5">
    <tableColumn id="1" xr3:uid="{00000000-0010-0000-0400-000001000000}" name="Shop Order" dataDxfId="82" dataCellStyle="Normal"/>
    <tableColumn id="2" xr3:uid="{00000000-0010-0000-0400-000002000000}" name="Build QTY" dataDxfId="81" dataCellStyle="Normal">
      <calculatedColumnFormula>VLOOKUP(Table1411234[[#This Row],[Shop Order]],'EB214'!A:Z,4,FALSE)</calculatedColumnFormula>
    </tableColumn>
    <tableColumn id="3" xr3:uid="{00000000-0010-0000-0400-000003000000}" name="Yield" dataDxfId="80" dataCellStyle="Normal">
      <calculatedColumnFormula>VLOOKUP(Table1411234[[#This Row],[Shop Order]],'EB214'!A:Z,5,FALSE)</calculatedColumnFormula>
    </tableColumn>
    <tableColumn id="4" xr3:uid="{00000000-0010-0000-0400-000004000000}" name="Yield %" dataDxfId="79" dataCellStyle="Percent">
      <calculatedColumnFormula>VLOOKUP(Table1411234[[#This Row],[Shop Order]],'EB214'!A:Z,6,FALSE)</calculatedColumnFormula>
    </tableColumn>
    <tableColumn id="5" xr3:uid="{00000000-0010-0000-0400-000005000000}" name="Date" dataDxfId="78" dataCellStyle="Normal">
      <calculatedColumnFormula>VLOOKUP(Table1411234[[#This Row],[Shop Order]],'EB214'!A:Z,7,FALSE)</calculatedColumnFormula>
    </tableColumn>
  </tableColumns>
  <tableStyleInfo name="TableStyleMedium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5000000}" name="Table1411" displayName="Table1411" ref="A22:E32" totalsRowShown="0" headerRowDxfId="63" dataDxfId="61" headerRowBorderDxfId="62" headerRowCellStyle="Normal" dataCellStyle="Normal">
  <tableColumns count="5">
    <tableColumn id="1" xr3:uid="{00000000-0010-0000-0500-000001000000}" name="Shop Order" dataDxfId="60" dataCellStyle="Normal"/>
    <tableColumn id="2" xr3:uid="{00000000-0010-0000-0500-000002000000}" name="Build QTY" dataDxfId="59" dataCellStyle="Normal">
      <calculatedColumnFormula>VLOOKUP(Table1411[[#This Row],[Shop Order]],'EB215'!A:Y,4,FALSE)</calculatedColumnFormula>
    </tableColumn>
    <tableColumn id="3" xr3:uid="{00000000-0010-0000-0500-000003000000}" name="Yield" dataDxfId="58" dataCellStyle="Normal">
      <calculatedColumnFormula>VLOOKUP(Table1411[[#This Row],[Shop Order]],'EB215'!A:Y,5,FALSE)</calculatedColumnFormula>
    </tableColumn>
    <tableColumn id="4" xr3:uid="{00000000-0010-0000-0500-000004000000}" name="Yield %" dataDxfId="57" dataCellStyle="Percent">
      <calculatedColumnFormula>VLOOKUP(Table1411[[#This Row],[Shop Order]],'EB215'!A:Y,6,FALSE)</calculatedColumnFormula>
    </tableColumn>
    <tableColumn id="5" xr3:uid="{00000000-0010-0000-0500-000005000000}" name="Date" dataDxfId="56" dataCellStyle="Normal">
      <calculatedColumnFormula>VLOOKUP(Table1411[[#This Row],[Shop Order]],'EB215'!A:Y,7,FALSE)</calculatedColumnFormula>
    </tableColumn>
  </tableColumns>
  <tableStyleInfo name="TableStyleMedium1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Table14312" displayName="Table14312" ref="A22:E28" totalsRowShown="0" headerRowDxfId="51" dataDxfId="49" headerRowBorderDxfId="50" headerRowCellStyle="Normal" dataCellStyle="Normal">
  <tableColumns count="5">
    <tableColumn id="1" xr3:uid="{00000000-0010-0000-0600-000001000000}" name="Shop Order" dataDxfId="48" dataCellStyle="Normal"/>
    <tableColumn id="2" xr3:uid="{00000000-0010-0000-0600-000002000000}" name="Build QTY" dataDxfId="47" dataCellStyle="Normal">
      <calculatedColumnFormula>VLOOKUP(Table14312[[#This Row],[Shop Order]],'EB216'!A:Y,4,FALSE)</calculatedColumnFormula>
    </tableColumn>
    <tableColumn id="3" xr3:uid="{00000000-0010-0000-0600-000003000000}" name="Yield" dataDxfId="46" dataCellStyle="Normal">
      <calculatedColumnFormula>VLOOKUP(Table14312[[#This Row],[Shop Order]],'EB216'!A:Y,5,FALSE)</calculatedColumnFormula>
    </tableColumn>
    <tableColumn id="4" xr3:uid="{00000000-0010-0000-0600-000004000000}" name="Yield %" dataDxfId="45" dataCellStyle="Percent">
      <calculatedColumnFormula>VLOOKUP(Table14312[[#This Row],[Shop Order]],'EB216'!A:Y,6,FALSE)</calculatedColumnFormula>
    </tableColumn>
    <tableColumn id="5" xr3:uid="{00000000-0010-0000-0600-000005000000}" name="Date" dataDxfId="44" dataCellStyle="Normal">
      <calculatedColumnFormula>VLOOKUP(Table14312[[#This Row],[Shop Order]],'EB216'!A:Y,7,FALSE)</calculatedColumnFormula>
    </tableColumn>
  </tableColumns>
  <tableStyleInfo name="TableStyleMedium1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7000000}" name="Table1435" displayName="Table1435" ref="A22:E28" totalsRowShown="0" headerRowDxfId="38" dataDxfId="36" headerRowBorderDxfId="37" headerRowCellStyle="Normal" dataCellStyle="Normal">
  <tableColumns count="5">
    <tableColumn id="1" xr3:uid="{00000000-0010-0000-0700-000001000000}" name="Shop Order" dataDxfId="35" dataCellStyle="Normal"/>
    <tableColumn id="2" xr3:uid="{00000000-0010-0000-0700-000002000000}" name="Build QTY" dataDxfId="34" dataCellStyle="Normal">
      <calculatedColumnFormula>VLOOKUP(Table1435[[#This Row],[Shop Order]],'EB217'!A:Y,4,FALSE)</calculatedColumnFormula>
    </tableColumn>
    <tableColumn id="3" xr3:uid="{00000000-0010-0000-0700-000003000000}" name="Yield" dataDxfId="33" dataCellStyle="Normal">
      <calculatedColumnFormula>VLOOKUP(Table1435[[#This Row],[Shop Order]],'EB217'!A:Y,5,FALSE)</calculatedColumnFormula>
    </tableColumn>
    <tableColumn id="4" xr3:uid="{00000000-0010-0000-0700-000004000000}" name="Yield %" dataDxfId="32" dataCellStyle="Percent">
      <calculatedColumnFormula>VLOOKUP(Table1435[[#This Row],[Shop Order]],'EB217'!A:Y,6,FALSE)</calculatedColumnFormula>
    </tableColumn>
    <tableColumn id="5" xr3:uid="{00000000-0010-0000-0700-000005000000}" name="Date" dataDxfId="31" dataCellStyle="Normal">
      <calculatedColumnFormula>VLOOKUP(Table1435[[#This Row],[Shop Order]],'EB217'!A:Y,7,FALSE)</calculatedColumnFormula>
    </tableColumn>
  </tableColumns>
  <tableStyleInfo name="TableStyleMedium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Table14310" displayName="Table14310" ref="A22:E29" totalsRowShown="0" headerRowDxfId="30" dataDxfId="28" headerRowBorderDxfId="29" headerRowCellStyle="Normal" dataCellStyle="Normal">
  <tableColumns count="5">
    <tableColumn id="1" xr3:uid="{00000000-0010-0000-0800-000001000000}" name="Shop Order" dataDxfId="27" dataCellStyle="Normal"/>
    <tableColumn id="2" xr3:uid="{00000000-0010-0000-0800-000002000000}" name="Build QTY" dataDxfId="26" dataCellStyle="Normal">
      <calculatedColumnFormula>VLOOKUP(Table14310[[#This Row],[Shop Order]],'EB230'!A:AE,5,FALSE)</calculatedColumnFormula>
    </tableColumn>
    <tableColumn id="3" xr3:uid="{00000000-0010-0000-0800-000003000000}" name="Yield" dataDxfId="25" dataCellStyle="Normal">
      <calculatedColumnFormula>VLOOKUP(Table14310[[#This Row],[Shop Order]],'EB230'!A:AE,6,FALSE)</calculatedColumnFormula>
    </tableColumn>
    <tableColumn id="4" xr3:uid="{00000000-0010-0000-0800-000004000000}" name="Yield %" dataDxfId="24" dataCellStyle="Percent">
      <calculatedColumnFormula>VLOOKUP(Table14310[[#This Row],[Shop Order]],'EB230'!A:AE,7,FALSE)</calculatedColumnFormula>
    </tableColumn>
    <tableColumn id="6" xr3:uid="{00000000-0010-0000-0800-000006000000}" name="Date" dataDxfId="23" dataCellStyle="Normal">
      <calculatedColumnFormula>VLOOKUP(Table14310[[#This Row],[Shop Order]],'EB230'!A:AE,9,FALSE)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42"/>
  <sheetViews>
    <sheetView zoomScale="65" zoomScaleNormal="65" zoomScaleSheetLayoutView="90" workbookViewId="0">
      <selection activeCell="W27" sqref="W27"/>
    </sheetView>
  </sheetViews>
  <sheetFormatPr defaultColWidth="9.140625" defaultRowHeight="15" x14ac:dyDescent="0.25"/>
  <cols>
    <col min="1" max="1" width="14.5703125" style="41" bestFit="1" customWidth="1"/>
    <col min="2" max="2" width="12.7109375" style="41" customWidth="1"/>
    <col min="3" max="3" width="7.5703125" style="41" customWidth="1"/>
    <col min="4" max="4" width="10" style="41" customWidth="1"/>
    <col min="5" max="5" width="8" style="41" bestFit="1" customWidth="1"/>
    <col min="6" max="6" width="11.140625" style="41" bestFit="1" customWidth="1"/>
    <col min="7" max="7" width="12.5703125" style="13" bestFit="1" customWidth="1"/>
    <col min="8" max="19" width="14.7109375" style="7" customWidth="1"/>
    <col min="20" max="20" width="8.42578125" style="8" bestFit="1" customWidth="1"/>
    <col min="21" max="21" width="11.140625" style="9" bestFit="1" customWidth="1"/>
    <col min="22" max="22" width="40.7109375" style="41" customWidth="1"/>
    <col min="23" max="23" width="52.28515625" style="10" customWidth="1"/>
    <col min="24" max="29" width="9.140625" style="12"/>
    <col min="30" max="16384" width="9.140625" style="41"/>
  </cols>
  <sheetData>
    <row r="1" spans="1:23" ht="75.75" thickBot="1" x14ac:dyDescent="0.3">
      <c r="A1" s="42" t="s">
        <v>22</v>
      </c>
      <c r="B1" s="42" t="s">
        <v>46</v>
      </c>
      <c r="C1" s="43" t="s">
        <v>51</v>
      </c>
      <c r="D1" s="43" t="s">
        <v>17</v>
      </c>
      <c r="E1" s="42" t="s">
        <v>16</v>
      </c>
      <c r="F1" s="44" t="s">
        <v>1</v>
      </c>
      <c r="G1" s="45" t="s">
        <v>23</v>
      </c>
      <c r="H1" s="46" t="s">
        <v>71</v>
      </c>
      <c r="I1" s="46" t="s">
        <v>72</v>
      </c>
      <c r="J1" s="46" t="s">
        <v>52</v>
      </c>
      <c r="K1" s="46" t="s">
        <v>57</v>
      </c>
      <c r="L1" s="46" t="s">
        <v>53</v>
      </c>
      <c r="M1" s="46" t="s">
        <v>58</v>
      </c>
      <c r="N1" s="46" t="s">
        <v>54</v>
      </c>
      <c r="O1" s="46" t="s">
        <v>59</v>
      </c>
      <c r="P1" s="46" t="s">
        <v>55</v>
      </c>
      <c r="Q1" s="46" t="s">
        <v>73</v>
      </c>
      <c r="R1" s="46" t="s">
        <v>112</v>
      </c>
      <c r="S1" s="46" t="s">
        <v>40</v>
      </c>
      <c r="T1" s="46" t="s">
        <v>4</v>
      </c>
      <c r="U1" s="42" t="s">
        <v>2</v>
      </c>
      <c r="V1" s="80" t="s">
        <v>20</v>
      </c>
      <c r="W1" s="81" t="s">
        <v>6</v>
      </c>
    </row>
    <row r="2" spans="1:23" ht="15.75" thickBot="1" x14ac:dyDescent="0.3">
      <c r="A2" s="311"/>
      <c r="B2" s="209"/>
      <c r="C2" s="311"/>
      <c r="D2" s="311"/>
      <c r="E2" s="316"/>
      <c r="F2" s="317" t="e">
        <f>E2/D2</f>
        <v>#DIV/0!</v>
      </c>
      <c r="G2" s="48"/>
      <c r="H2" s="82"/>
      <c r="I2" s="83"/>
      <c r="J2" s="83"/>
      <c r="K2" s="83"/>
      <c r="L2" s="83"/>
      <c r="M2" s="83"/>
      <c r="N2" s="83"/>
      <c r="O2" s="83"/>
      <c r="P2" s="83"/>
      <c r="Q2" s="83"/>
      <c r="R2" s="83"/>
      <c r="S2" s="84"/>
      <c r="T2" s="291"/>
      <c r="U2" s="115"/>
      <c r="V2" s="86" t="s">
        <v>74</v>
      </c>
      <c r="W2" s="341" t="s">
        <v>69</v>
      </c>
    </row>
    <row r="3" spans="1:23" ht="15.75" x14ac:dyDescent="0.25">
      <c r="A3" s="87"/>
      <c r="B3" s="88"/>
      <c r="C3" s="88"/>
      <c r="D3" s="88"/>
      <c r="E3" s="88"/>
      <c r="F3" s="88"/>
      <c r="G3" s="89"/>
      <c r="H3" s="90"/>
      <c r="I3" s="91"/>
      <c r="J3" s="91"/>
      <c r="K3" s="91"/>
      <c r="L3" s="91"/>
      <c r="M3" s="91"/>
      <c r="N3" s="91"/>
      <c r="O3" s="91"/>
      <c r="P3" s="91"/>
      <c r="Q3" s="91"/>
      <c r="R3" s="91"/>
      <c r="S3" s="246"/>
      <c r="T3" s="245">
        <f>SUM(H3,J3,L3,N3,P3,R3,S3)</f>
        <v>0</v>
      </c>
      <c r="U3" s="337" t="e">
        <f>($T3)/$D$2</f>
        <v>#DIV/0!</v>
      </c>
      <c r="V3" s="202" t="s">
        <v>15</v>
      </c>
      <c r="W3" s="210"/>
    </row>
    <row r="4" spans="1:23" ht="15.75" x14ac:dyDescent="0.25">
      <c r="A4" s="559" t="s">
        <v>225</v>
      </c>
      <c r="B4" s="560"/>
      <c r="C4" s="560"/>
      <c r="D4" s="560"/>
      <c r="E4" s="560"/>
      <c r="F4" s="560"/>
      <c r="G4" s="561"/>
      <c r="H4" s="336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249"/>
      <c r="T4" s="245">
        <f>SUM(H4,J4,L4,N4,P4,R4,S4)</f>
        <v>0</v>
      </c>
      <c r="U4" s="294" t="e">
        <f t="shared" ref="U4:U42" si="0">($T4)/$D$2</f>
        <v>#DIV/0!</v>
      </c>
      <c r="V4" s="206" t="s">
        <v>42</v>
      </c>
      <c r="W4" s="210"/>
    </row>
    <row r="5" spans="1:23" ht="15.75" x14ac:dyDescent="0.25">
      <c r="A5" s="562" t="s">
        <v>226</v>
      </c>
      <c r="B5" s="563"/>
      <c r="C5" s="563"/>
      <c r="D5" s="563"/>
      <c r="E5" s="563"/>
      <c r="F5" s="563"/>
      <c r="G5" s="453"/>
      <c r="H5" s="99"/>
      <c r="I5" s="63"/>
      <c r="J5" s="63"/>
      <c r="K5" s="63"/>
      <c r="L5" s="63"/>
      <c r="M5" s="63"/>
      <c r="N5" s="63"/>
      <c r="O5" s="63"/>
      <c r="P5" s="63"/>
      <c r="Q5" s="63"/>
      <c r="R5" s="63"/>
      <c r="S5" s="247"/>
      <c r="T5" s="243">
        <f t="shared" ref="T5:T31" si="1">SUM(H5,J5,L5,N5,P5,R5,S5)</f>
        <v>0</v>
      </c>
      <c r="U5" s="93" t="e">
        <f t="shared" si="0"/>
        <v>#DIV/0!</v>
      </c>
      <c r="V5" s="203" t="s">
        <v>5</v>
      </c>
      <c r="W5" s="339"/>
    </row>
    <row r="6" spans="1:23" ht="15.75" x14ac:dyDescent="0.25">
      <c r="A6" s="562" t="s">
        <v>227</v>
      </c>
      <c r="B6" s="563"/>
      <c r="C6" s="563"/>
      <c r="D6" s="563"/>
      <c r="E6" s="563"/>
      <c r="F6" s="563"/>
      <c r="G6" s="453"/>
      <c r="H6" s="99"/>
      <c r="I6" s="63"/>
      <c r="J6" s="63"/>
      <c r="K6" s="63"/>
      <c r="L6" s="63"/>
      <c r="M6" s="63"/>
      <c r="N6" s="63"/>
      <c r="O6" s="63"/>
      <c r="P6" s="63"/>
      <c r="Q6" s="63"/>
      <c r="R6" s="63"/>
      <c r="S6" s="247"/>
      <c r="T6" s="243">
        <f t="shared" si="1"/>
        <v>0</v>
      </c>
      <c r="U6" s="93" t="e">
        <f t="shared" si="0"/>
        <v>#DIV/0!</v>
      </c>
      <c r="V6" s="203" t="s">
        <v>13</v>
      </c>
      <c r="W6" s="240"/>
    </row>
    <row r="7" spans="1:23" ht="15.75" x14ac:dyDescent="0.25">
      <c r="A7" s="564" t="s">
        <v>228</v>
      </c>
      <c r="B7" s="565"/>
      <c r="C7" s="565"/>
      <c r="D7" s="565"/>
      <c r="E7" s="565"/>
      <c r="F7" s="565"/>
      <c r="G7" s="454">
        <f>G5-G6</f>
        <v>0</v>
      </c>
      <c r="H7" s="99"/>
      <c r="I7" s="63"/>
      <c r="J7" s="63"/>
      <c r="K7" s="63"/>
      <c r="L7" s="63"/>
      <c r="M7" s="63"/>
      <c r="N7" s="63"/>
      <c r="O7" s="63"/>
      <c r="P7" s="63"/>
      <c r="Q7" s="63"/>
      <c r="R7" s="63"/>
      <c r="S7" s="247"/>
      <c r="T7" s="243">
        <f t="shared" si="1"/>
        <v>0</v>
      </c>
      <c r="U7" s="93" t="e">
        <f t="shared" si="0"/>
        <v>#DIV/0!</v>
      </c>
      <c r="V7" s="203" t="s">
        <v>14</v>
      </c>
      <c r="W7" s="306"/>
    </row>
    <row r="8" spans="1:23" ht="15.75" x14ac:dyDescent="0.25">
      <c r="A8" s="564" t="s">
        <v>229</v>
      </c>
      <c r="B8" s="565"/>
      <c r="C8" s="565"/>
      <c r="D8" s="565"/>
      <c r="E8" s="565"/>
      <c r="F8" s="565"/>
      <c r="G8" s="455" t="e">
        <f>G7/G5</f>
        <v>#DIV/0!</v>
      </c>
      <c r="H8" s="99"/>
      <c r="I8" s="63"/>
      <c r="J8" s="63"/>
      <c r="K8" s="63"/>
      <c r="L8" s="63"/>
      <c r="M8" s="63"/>
      <c r="N8" s="63"/>
      <c r="O8" s="63"/>
      <c r="P8" s="63"/>
      <c r="Q8" s="63"/>
      <c r="R8" s="63"/>
      <c r="S8" s="247"/>
      <c r="T8" s="243">
        <f t="shared" si="1"/>
        <v>0</v>
      </c>
      <c r="U8" s="93" t="e">
        <f t="shared" si="0"/>
        <v>#DIV/0!</v>
      </c>
      <c r="V8" s="203" t="s">
        <v>29</v>
      </c>
      <c r="W8" s="306"/>
    </row>
    <row r="9" spans="1:23" ht="15.75" x14ac:dyDescent="0.25">
      <c r="A9" s="96"/>
      <c r="B9" s="97"/>
      <c r="C9" s="97"/>
      <c r="D9" s="97"/>
      <c r="E9" s="104"/>
      <c r="F9" s="104"/>
      <c r="G9" s="98"/>
      <c r="H9" s="99"/>
      <c r="I9" s="63"/>
      <c r="J9" s="63"/>
      <c r="K9" s="63"/>
      <c r="L9" s="63"/>
      <c r="M9" s="63"/>
      <c r="N9" s="63"/>
      <c r="O9" s="63"/>
      <c r="P9" s="63"/>
      <c r="Q9" s="63"/>
      <c r="R9" s="63"/>
      <c r="S9" s="247"/>
      <c r="T9" s="243">
        <f t="shared" si="1"/>
        <v>0</v>
      </c>
      <c r="U9" s="93" t="e">
        <f t="shared" si="0"/>
        <v>#DIV/0!</v>
      </c>
      <c r="V9" s="203" t="s">
        <v>30</v>
      </c>
      <c r="W9" s="105"/>
    </row>
    <row r="10" spans="1:23" ht="15.75" x14ac:dyDescent="0.25">
      <c r="A10" s="96"/>
      <c r="B10" s="97"/>
      <c r="C10" s="97"/>
      <c r="D10" s="97"/>
      <c r="E10" s="104"/>
      <c r="F10" s="104"/>
      <c r="G10" s="98"/>
      <c r="H10" s="99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247"/>
      <c r="T10" s="243">
        <f t="shared" si="1"/>
        <v>0</v>
      </c>
      <c r="U10" s="93" t="e">
        <f t="shared" si="0"/>
        <v>#DIV/0!</v>
      </c>
      <c r="V10" s="203" t="s">
        <v>159</v>
      </c>
      <c r="W10" s="318"/>
    </row>
    <row r="11" spans="1:23" ht="15.75" x14ac:dyDescent="0.25">
      <c r="A11" s="96"/>
      <c r="B11" s="97"/>
      <c r="C11" s="97"/>
      <c r="D11" s="97"/>
      <c r="E11" s="104"/>
      <c r="F11" s="104"/>
      <c r="G11" s="98"/>
      <c r="H11" s="99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247"/>
      <c r="T11" s="243">
        <f t="shared" si="1"/>
        <v>0</v>
      </c>
      <c r="U11" s="93" t="e">
        <f t="shared" si="0"/>
        <v>#DIV/0!</v>
      </c>
      <c r="V11" s="204" t="s">
        <v>176</v>
      </c>
      <c r="W11" s="105"/>
    </row>
    <row r="12" spans="1:23" ht="15.75" x14ac:dyDescent="0.25">
      <c r="A12" s="96"/>
      <c r="B12" s="97"/>
      <c r="C12" s="97"/>
      <c r="D12" s="97"/>
      <c r="E12" s="104"/>
      <c r="F12" s="104"/>
      <c r="G12" s="98"/>
      <c r="H12" s="99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247"/>
      <c r="T12" s="243">
        <f t="shared" si="1"/>
        <v>0</v>
      </c>
      <c r="U12" s="93" t="e">
        <f t="shared" si="0"/>
        <v>#DIV/0!</v>
      </c>
      <c r="V12" s="203" t="s">
        <v>0</v>
      </c>
      <c r="W12" s="342"/>
    </row>
    <row r="13" spans="1:23" ht="15.75" x14ac:dyDescent="0.25">
      <c r="A13" s="96"/>
      <c r="B13" s="97"/>
      <c r="C13" s="97"/>
      <c r="D13" s="97"/>
      <c r="E13" s="104"/>
      <c r="F13" s="104"/>
      <c r="G13" s="98"/>
      <c r="H13" s="99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247"/>
      <c r="T13" s="243">
        <f t="shared" si="1"/>
        <v>0</v>
      </c>
      <c r="U13" s="93" t="e">
        <f t="shared" si="0"/>
        <v>#DIV/0!</v>
      </c>
      <c r="V13" s="203" t="s">
        <v>11</v>
      </c>
      <c r="W13" s="342"/>
    </row>
    <row r="14" spans="1:23" ht="15.75" x14ac:dyDescent="0.25">
      <c r="A14" s="96"/>
      <c r="B14" s="97"/>
      <c r="C14" s="97"/>
      <c r="D14" s="97"/>
      <c r="E14" s="104"/>
      <c r="F14" s="104" t="s">
        <v>98</v>
      </c>
      <c r="G14" s="98"/>
      <c r="H14" s="99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247"/>
      <c r="T14" s="243">
        <f t="shared" si="1"/>
        <v>0</v>
      </c>
      <c r="U14" s="93" t="e">
        <f t="shared" si="0"/>
        <v>#DIV/0!</v>
      </c>
      <c r="V14" s="203" t="s">
        <v>32</v>
      </c>
      <c r="W14" s="321"/>
    </row>
    <row r="15" spans="1:23" ht="15.75" x14ac:dyDescent="0.25">
      <c r="A15" s="96"/>
      <c r="B15" s="97"/>
      <c r="C15" s="97"/>
      <c r="D15" s="97"/>
      <c r="E15" s="104"/>
      <c r="F15" s="104"/>
      <c r="G15" s="98"/>
      <c r="H15" s="99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247"/>
      <c r="T15" s="243">
        <f t="shared" si="1"/>
        <v>0</v>
      </c>
      <c r="U15" s="93" t="e">
        <f t="shared" si="0"/>
        <v>#DIV/0!</v>
      </c>
      <c r="V15" s="204" t="s">
        <v>26</v>
      </c>
      <c r="W15" s="342"/>
    </row>
    <row r="16" spans="1:23" ht="15.75" x14ac:dyDescent="0.25">
      <c r="A16" s="96"/>
      <c r="B16" s="97"/>
      <c r="C16" s="97"/>
      <c r="D16" s="97"/>
      <c r="E16" s="104"/>
      <c r="F16" s="104"/>
      <c r="G16" s="109"/>
      <c r="H16" s="110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247"/>
      <c r="T16" s="243">
        <f t="shared" si="1"/>
        <v>0</v>
      </c>
      <c r="U16" s="93" t="e">
        <f t="shared" si="0"/>
        <v>#DIV/0!</v>
      </c>
      <c r="V16" s="204" t="s">
        <v>25</v>
      </c>
      <c r="W16" s="212"/>
    </row>
    <row r="17" spans="1:23" ht="15.75" x14ac:dyDescent="0.25">
      <c r="A17" s="96"/>
      <c r="B17" s="97"/>
      <c r="C17" s="97"/>
      <c r="D17" s="97"/>
      <c r="E17" s="104"/>
      <c r="F17" s="104"/>
      <c r="G17" s="109"/>
      <c r="H17" s="110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247"/>
      <c r="T17" s="243">
        <f t="shared" si="1"/>
        <v>0</v>
      </c>
      <c r="U17" s="93" t="e">
        <f t="shared" si="0"/>
        <v>#DIV/0!</v>
      </c>
      <c r="V17" s="204" t="s">
        <v>178</v>
      </c>
      <c r="W17" s="103"/>
    </row>
    <row r="18" spans="1:23" ht="16.5" thickBot="1" x14ac:dyDescent="0.3">
      <c r="A18" s="96"/>
      <c r="B18" s="97"/>
      <c r="C18" s="97"/>
      <c r="D18" s="97"/>
      <c r="E18" s="104"/>
      <c r="F18" s="104"/>
      <c r="G18" s="109"/>
      <c r="H18" s="186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248"/>
      <c r="T18" s="244">
        <f t="shared" si="1"/>
        <v>0</v>
      </c>
      <c r="U18" s="241" t="e">
        <f t="shared" si="0"/>
        <v>#DIV/0!</v>
      </c>
      <c r="V18" s="205" t="s">
        <v>70</v>
      </c>
      <c r="W18" s="212"/>
    </row>
    <row r="19" spans="1:23" ht="15.75" x14ac:dyDescent="0.25">
      <c r="A19" s="96"/>
      <c r="B19" s="97"/>
      <c r="C19" s="97"/>
      <c r="D19" s="97"/>
      <c r="E19" s="104"/>
      <c r="F19" s="104"/>
      <c r="G19" s="98"/>
      <c r="H19" s="90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249"/>
      <c r="T19" s="245">
        <f t="shared" si="1"/>
        <v>0</v>
      </c>
      <c r="U19" s="183" t="e">
        <f t="shared" si="0"/>
        <v>#DIV/0!</v>
      </c>
      <c r="V19" s="206" t="s">
        <v>10</v>
      </c>
      <c r="W19" s="106"/>
    </row>
    <row r="20" spans="1:23" ht="15.75" x14ac:dyDescent="0.25">
      <c r="A20" s="96"/>
      <c r="B20" s="97"/>
      <c r="C20" s="97"/>
      <c r="D20" s="97"/>
      <c r="E20" s="104"/>
      <c r="F20" s="104"/>
      <c r="G20" s="98"/>
      <c r="H20" s="99"/>
      <c r="I20" s="213"/>
      <c r="J20" s="63"/>
      <c r="K20" s="63"/>
      <c r="L20" s="63"/>
      <c r="M20" s="63"/>
      <c r="N20" s="63"/>
      <c r="O20" s="63"/>
      <c r="P20" s="63"/>
      <c r="Q20" s="63"/>
      <c r="R20" s="63"/>
      <c r="S20" s="247"/>
      <c r="T20" s="243">
        <f t="shared" si="1"/>
        <v>0</v>
      </c>
      <c r="U20" s="93" t="e">
        <f t="shared" si="0"/>
        <v>#DIV/0!</v>
      </c>
      <c r="V20" s="325" t="s">
        <v>93</v>
      </c>
      <c r="W20" s="342" t="s">
        <v>220</v>
      </c>
    </row>
    <row r="21" spans="1:23" ht="15.75" x14ac:dyDescent="0.25">
      <c r="A21" s="96"/>
      <c r="B21" s="97"/>
      <c r="C21" s="97"/>
      <c r="D21" s="97"/>
      <c r="E21" s="104"/>
      <c r="F21" s="104"/>
      <c r="G21" s="98"/>
      <c r="H21" s="99"/>
      <c r="I21" s="214"/>
      <c r="J21" s="63"/>
      <c r="K21" s="63"/>
      <c r="L21" s="63"/>
      <c r="M21" s="63"/>
      <c r="N21" s="63"/>
      <c r="O21" s="63"/>
      <c r="P21" s="63"/>
      <c r="Q21" s="63"/>
      <c r="R21" s="63"/>
      <c r="S21" s="247"/>
      <c r="T21" s="243">
        <f t="shared" si="1"/>
        <v>0</v>
      </c>
      <c r="U21" s="93" t="e">
        <f t="shared" si="0"/>
        <v>#DIV/0!</v>
      </c>
      <c r="V21" s="203" t="s">
        <v>3</v>
      </c>
      <c r="W21" s="105"/>
    </row>
    <row r="22" spans="1:23" ht="15.75" x14ac:dyDescent="0.25">
      <c r="A22" s="96"/>
      <c r="B22" s="97"/>
      <c r="C22" s="97"/>
      <c r="D22" s="97"/>
      <c r="E22" s="97"/>
      <c r="F22" s="104"/>
      <c r="G22" s="98"/>
      <c r="H22" s="99"/>
      <c r="I22" s="214"/>
      <c r="J22" s="63"/>
      <c r="K22" s="63"/>
      <c r="L22" s="63"/>
      <c r="M22" s="63"/>
      <c r="N22" s="63"/>
      <c r="O22" s="63"/>
      <c r="P22" s="63"/>
      <c r="Q22" s="63"/>
      <c r="R22" s="63"/>
      <c r="S22" s="247"/>
      <c r="T22" s="243">
        <f t="shared" si="1"/>
        <v>0</v>
      </c>
      <c r="U22" s="93" t="e">
        <f t="shared" si="0"/>
        <v>#DIV/0!</v>
      </c>
      <c r="V22" s="203" t="s">
        <v>7</v>
      </c>
      <c r="W22" s="106"/>
    </row>
    <row r="23" spans="1:23" ht="15.75" x14ac:dyDescent="0.25">
      <c r="A23" s="96"/>
      <c r="B23" s="97"/>
      <c r="C23" s="97"/>
      <c r="D23" s="97"/>
      <c r="E23" s="97"/>
      <c r="F23" s="104"/>
      <c r="G23" s="98"/>
      <c r="H23" s="99"/>
      <c r="I23" s="214"/>
      <c r="J23" s="63"/>
      <c r="K23" s="63"/>
      <c r="L23" s="63"/>
      <c r="M23" s="63"/>
      <c r="N23" s="63"/>
      <c r="O23" s="63"/>
      <c r="P23" s="63"/>
      <c r="Q23" s="63"/>
      <c r="R23" s="63"/>
      <c r="S23" s="247"/>
      <c r="T23" s="243">
        <f t="shared" si="1"/>
        <v>0</v>
      </c>
      <c r="U23" s="93" t="e">
        <f t="shared" si="0"/>
        <v>#DIV/0!</v>
      </c>
      <c r="V23" s="203" t="s">
        <v>8</v>
      </c>
      <c r="W23" s="342"/>
    </row>
    <row r="24" spans="1:23" ht="15.75" x14ac:dyDescent="0.25">
      <c r="A24" s="96"/>
      <c r="B24" s="97"/>
      <c r="C24" s="97"/>
      <c r="D24" s="97"/>
      <c r="E24" s="97"/>
      <c r="F24" s="104"/>
      <c r="G24" s="98"/>
      <c r="H24" s="99"/>
      <c r="I24" s="214"/>
      <c r="J24" s="63"/>
      <c r="K24" s="63"/>
      <c r="L24" s="63"/>
      <c r="M24" s="63"/>
      <c r="N24" s="63"/>
      <c r="O24" s="63"/>
      <c r="P24" s="63"/>
      <c r="Q24" s="63"/>
      <c r="R24" s="63"/>
      <c r="S24" s="247"/>
      <c r="T24" s="243">
        <f t="shared" si="1"/>
        <v>0</v>
      </c>
      <c r="U24" s="93" t="e">
        <f t="shared" si="0"/>
        <v>#DIV/0!</v>
      </c>
      <c r="V24" s="203" t="s">
        <v>76</v>
      </c>
      <c r="W24" s="342" t="s">
        <v>173</v>
      </c>
    </row>
    <row r="25" spans="1:23" ht="15.75" x14ac:dyDescent="0.25">
      <c r="A25" s="96"/>
      <c r="B25" s="97"/>
      <c r="C25" s="97"/>
      <c r="D25" s="97"/>
      <c r="E25" s="97"/>
      <c r="F25" s="104"/>
      <c r="G25" s="98"/>
      <c r="H25" s="99"/>
      <c r="I25" s="214"/>
      <c r="J25" s="63"/>
      <c r="K25" s="63"/>
      <c r="L25" s="63"/>
      <c r="M25" s="63"/>
      <c r="N25" s="63"/>
      <c r="O25" s="63"/>
      <c r="P25" s="63"/>
      <c r="Q25" s="63"/>
      <c r="R25" s="63"/>
      <c r="S25" s="247"/>
      <c r="T25" s="243">
        <f t="shared" si="1"/>
        <v>0</v>
      </c>
      <c r="U25" s="93" t="e">
        <f t="shared" si="0"/>
        <v>#DIV/0!</v>
      </c>
      <c r="V25" s="203" t="s">
        <v>19</v>
      </c>
      <c r="W25" s="342" t="s">
        <v>231</v>
      </c>
    </row>
    <row r="26" spans="1:23" ht="15.75" x14ac:dyDescent="0.25">
      <c r="A26" s="96"/>
      <c r="B26" s="97"/>
      <c r="C26" s="97"/>
      <c r="D26" s="97"/>
      <c r="E26" s="97"/>
      <c r="F26" s="104"/>
      <c r="G26" s="98"/>
      <c r="H26" s="99"/>
      <c r="I26" s="214"/>
      <c r="J26" s="63"/>
      <c r="K26" s="63"/>
      <c r="L26" s="63"/>
      <c r="M26" s="63"/>
      <c r="N26" s="63"/>
      <c r="O26" s="63"/>
      <c r="P26" s="63"/>
      <c r="Q26" s="63"/>
      <c r="R26" s="63"/>
      <c r="S26" s="247"/>
      <c r="T26" s="243">
        <f t="shared" si="1"/>
        <v>0</v>
      </c>
      <c r="U26" s="93" t="e">
        <f t="shared" si="0"/>
        <v>#DIV/0!</v>
      </c>
      <c r="V26" s="203" t="s">
        <v>77</v>
      </c>
      <c r="W26" s="342" t="s">
        <v>245</v>
      </c>
    </row>
    <row r="27" spans="1:23" ht="15.75" x14ac:dyDescent="0.25">
      <c r="A27" s="96"/>
      <c r="B27" s="97"/>
      <c r="C27" s="97"/>
      <c r="D27" s="97"/>
      <c r="E27" s="97"/>
      <c r="F27" s="104"/>
      <c r="G27" s="98"/>
      <c r="H27" s="99"/>
      <c r="I27" s="214"/>
      <c r="J27" s="63"/>
      <c r="K27" s="63"/>
      <c r="L27" s="63"/>
      <c r="M27" s="63"/>
      <c r="N27" s="63"/>
      <c r="O27" s="63"/>
      <c r="P27" s="63"/>
      <c r="Q27" s="63"/>
      <c r="R27" s="63"/>
      <c r="S27" s="247"/>
      <c r="T27" s="243">
        <f t="shared" si="1"/>
        <v>0</v>
      </c>
      <c r="U27" s="93" t="e">
        <f t="shared" si="0"/>
        <v>#DIV/0!</v>
      </c>
      <c r="V27" s="326" t="s">
        <v>160</v>
      </c>
      <c r="W27" s="342"/>
    </row>
    <row r="28" spans="1:23" ht="15.75" x14ac:dyDescent="0.25">
      <c r="A28" s="96"/>
      <c r="B28" s="97"/>
      <c r="C28" s="97"/>
      <c r="D28" s="97"/>
      <c r="E28" s="104"/>
      <c r="F28" s="104"/>
      <c r="G28" s="98"/>
      <c r="H28" s="99"/>
      <c r="I28" s="214"/>
      <c r="J28" s="63"/>
      <c r="K28" s="63"/>
      <c r="L28" s="63"/>
      <c r="M28" s="63"/>
      <c r="N28" s="63"/>
      <c r="O28" s="63"/>
      <c r="P28" s="63"/>
      <c r="Q28" s="63"/>
      <c r="R28" s="63"/>
      <c r="S28" s="247"/>
      <c r="T28" s="243">
        <f t="shared" si="1"/>
        <v>0</v>
      </c>
      <c r="U28" s="93" t="e">
        <f t="shared" si="0"/>
        <v>#DIV/0!</v>
      </c>
      <c r="V28" s="203" t="s">
        <v>12</v>
      </c>
      <c r="W28" s="321"/>
    </row>
    <row r="29" spans="1:23" ht="15.75" x14ac:dyDescent="0.25">
      <c r="A29" s="96"/>
      <c r="B29" s="97"/>
      <c r="C29" s="97"/>
      <c r="D29" s="97"/>
      <c r="E29" s="104"/>
      <c r="F29" s="104"/>
      <c r="G29" s="98"/>
      <c r="H29" s="99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247"/>
      <c r="T29" s="243">
        <f t="shared" si="1"/>
        <v>0</v>
      </c>
      <c r="U29" s="93" t="e">
        <f t="shared" si="0"/>
        <v>#DIV/0!</v>
      </c>
      <c r="V29" s="204" t="s">
        <v>157</v>
      </c>
      <c r="W29" s="342"/>
    </row>
    <row r="30" spans="1:23" ht="15.75" x14ac:dyDescent="0.25">
      <c r="A30" s="96"/>
      <c r="B30" s="97"/>
      <c r="C30" s="97"/>
      <c r="D30" s="97"/>
      <c r="E30" s="104"/>
      <c r="F30" s="104"/>
      <c r="G30" s="98"/>
      <c r="H30" s="99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247"/>
      <c r="T30" s="243">
        <f t="shared" si="1"/>
        <v>0</v>
      </c>
      <c r="U30" s="93" t="e">
        <f t="shared" si="0"/>
        <v>#DIV/0!</v>
      </c>
      <c r="V30" s="204" t="s">
        <v>91</v>
      </c>
      <c r="W30" s="321"/>
    </row>
    <row r="31" spans="1:23" ht="16.5" thickBot="1" x14ac:dyDescent="0.3">
      <c r="A31" s="96"/>
      <c r="B31" s="97"/>
      <c r="C31" s="97"/>
      <c r="D31" s="97"/>
      <c r="E31" s="104"/>
      <c r="F31" s="104"/>
      <c r="G31" s="98"/>
      <c r="H31" s="107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250"/>
      <c r="T31" s="244">
        <f t="shared" si="1"/>
        <v>0</v>
      </c>
      <c r="U31" s="294" t="e">
        <f t="shared" si="0"/>
        <v>#DIV/0!</v>
      </c>
      <c r="V31" s="345" t="s">
        <v>9</v>
      </c>
      <c r="W31" s="321"/>
    </row>
    <row r="32" spans="1:23" ht="16.5" thickBot="1" x14ac:dyDescent="0.3">
      <c r="A32" s="96"/>
      <c r="B32" s="97"/>
      <c r="C32" s="97"/>
      <c r="D32" s="97"/>
      <c r="E32" s="104"/>
      <c r="F32" s="104"/>
      <c r="G32" s="98"/>
      <c r="H32" s="82"/>
      <c r="I32" s="83"/>
      <c r="J32" s="236"/>
      <c r="K32" s="83"/>
      <c r="L32" s="83"/>
      <c r="M32" s="83"/>
      <c r="N32" s="83"/>
      <c r="O32" s="83"/>
      <c r="P32" s="83"/>
      <c r="Q32" s="83"/>
      <c r="R32" s="83"/>
      <c r="S32" s="83"/>
      <c r="T32" s="242"/>
      <c r="U32" s="242"/>
      <c r="V32" s="208" t="s">
        <v>148</v>
      </c>
      <c r="W32" s="342"/>
    </row>
    <row r="33" spans="1:23" ht="15.75" x14ac:dyDescent="0.25">
      <c r="A33" s="96"/>
      <c r="B33" s="97"/>
      <c r="C33" s="97"/>
      <c r="D33" s="97"/>
      <c r="E33" s="104"/>
      <c r="F33" s="104"/>
      <c r="G33" s="109"/>
      <c r="H33" s="90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246"/>
      <c r="T33" s="245">
        <f t="shared" ref="T33:T34" si="2">SUM(H33,J33,L33,N33,P33,R33,S33)</f>
        <v>0</v>
      </c>
      <c r="U33" s="183" t="e">
        <f t="shared" si="0"/>
        <v>#DIV/0!</v>
      </c>
      <c r="V33" s="202" t="s">
        <v>88</v>
      </c>
      <c r="W33" s="342" t="s">
        <v>243</v>
      </c>
    </row>
    <row r="34" spans="1:23" ht="15.75" x14ac:dyDescent="0.25">
      <c r="A34" s="96"/>
      <c r="B34" s="97"/>
      <c r="C34" s="97"/>
      <c r="D34" s="97"/>
      <c r="E34" s="104"/>
      <c r="F34" s="104"/>
      <c r="G34" s="109"/>
      <c r="H34" s="99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247"/>
      <c r="T34" s="243">
        <f t="shared" si="2"/>
        <v>0</v>
      </c>
      <c r="U34" s="183" t="e">
        <f t="shared" si="0"/>
        <v>#DIV/0!</v>
      </c>
      <c r="V34" s="203" t="s">
        <v>82</v>
      </c>
      <c r="W34" s="342" t="s">
        <v>244</v>
      </c>
    </row>
    <row r="35" spans="1:23" x14ac:dyDescent="0.25">
      <c r="A35" s="96"/>
      <c r="B35" s="97"/>
      <c r="C35" s="97"/>
      <c r="D35" s="97"/>
      <c r="E35" s="104"/>
      <c r="F35" s="104"/>
      <c r="G35" s="109"/>
      <c r="H35" s="99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247"/>
      <c r="T35" s="243">
        <v>0</v>
      </c>
      <c r="U35" s="183" t="e">
        <f t="shared" si="0"/>
        <v>#DIV/0!</v>
      </c>
      <c r="V35" s="343" t="s">
        <v>158</v>
      </c>
      <c r="W35" s="321" t="s">
        <v>224</v>
      </c>
    </row>
    <row r="36" spans="1:23" ht="15.75" x14ac:dyDescent="0.25">
      <c r="A36" s="96"/>
      <c r="B36" s="97"/>
      <c r="C36" s="97"/>
      <c r="D36" s="97"/>
      <c r="E36" s="104"/>
      <c r="F36" s="104"/>
      <c r="G36" s="109"/>
      <c r="H36" s="99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247"/>
      <c r="T36" s="243">
        <f t="shared" ref="T36:T41" si="3">SUM(H36,J36,L36,N36,P36,R36,S36)</f>
        <v>0</v>
      </c>
      <c r="U36" s="183" t="e">
        <f t="shared" si="0"/>
        <v>#DIV/0!</v>
      </c>
      <c r="V36" s="203" t="s">
        <v>70</v>
      </c>
      <c r="W36" s="321" t="s">
        <v>242</v>
      </c>
    </row>
    <row r="37" spans="1:23" ht="15.75" x14ac:dyDescent="0.25">
      <c r="A37" s="96"/>
      <c r="B37" s="97"/>
      <c r="C37" s="97"/>
      <c r="D37" s="97"/>
      <c r="E37" s="104"/>
      <c r="F37" s="104"/>
      <c r="G37" s="109"/>
      <c r="H37" s="99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247"/>
      <c r="T37" s="243">
        <f t="shared" si="3"/>
        <v>0</v>
      </c>
      <c r="U37" s="183" t="e">
        <f t="shared" si="0"/>
        <v>#DIV/0!</v>
      </c>
      <c r="V37" s="204" t="s">
        <v>15</v>
      </c>
      <c r="W37" s="321"/>
    </row>
    <row r="38" spans="1:23" ht="15.75" x14ac:dyDescent="0.25">
      <c r="A38" s="96"/>
      <c r="B38" s="97"/>
      <c r="C38" s="97"/>
      <c r="D38" s="97"/>
      <c r="E38" s="104"/>
      <c r="F38" s="104"/>
      <c r="G38" s="109"/>
      <c r="H38" s="99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247"/>
      <c r="T38" s="243">
        <f t="shared" si="3"/>
        <v>0</v>
      </c>
      <c r="U38" s="183" t="e">
        <f t="shared" si="0"/>
        <v>#DIV/0!</v>
      </c>
      <c r="V38" s="204" t="s">
        <v>25</v>
      </c>
      <c r="W38" s="321" t="s">
        <v>241</v>
      </c>
    </row>
    <row r="39" spans="1:23" ht="15.75" x14ac:dyDescent="0.25">
      <c r="A39" s="96"/>
      <c r="B39" s="97"/>
      <c r="C39" s="97"/>
      <c r="D39" s="97"/>
      <c r="E39" s="104"/>
      <c r="F39" s="104"/>
      <c r="G39" s="109"/>
      <c r="H39" s="107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250"/>
      <c r="T39" s="243">
        <f t="shared" si="3"/>
        <v>0</v>
      </c>
      <c r="U39" s="183" t="e">
        <f t="shared" si="0"/>
        <v>#DIV/0!</v>
      </c>
      <c r="V39" s="207" t="s">
        <v>152</v>
      </c>
      <c r="W39" s="344"/>
    </row>
    <row r="40" spans="1:23" ht="15.75" x14ac:dyDescent="0.25">
      <c r="A40" s="96"/>
      <c r="B40" s="97"/>
      <c r="C40" s="97"/>
      <c r="D40" s="97"/>
      <c r="E40" s="104"/>
      <c r="F40" s="104"/>
      <c r="G40" s="109"/>
      <c r="H40" s="107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250"/>
      <c r="T40" s="243">
        <f t="shared" si="3"/>
        <v>0</v>
      </c>
      <c r="U40" s="183" t="e">
        <f t="shared" si="0"/>
        <v>#DIV/0!</v>
      </c>
      <c r="V40" s="203" t="s">
        <v>216</v>
      </c>
      <c r="W40" s="321"/>
    </row>
    <row r="41" spans="1:23" ht="16.5" thickBot="1" x14ac:dyDescent="0.3">
      <c r="A41" s="117"/>
      <c r="B41" s="118"/>
      <c r="C41" s="118"/>
      <c r="D41" s="118"/>
      <c r="E41" s="119"/>
      <c r="F41" s="119"/>
      <c r="G41" s="120"/>
      <c r="H41" s="107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250"/>
      <c r="T41" s="243">
        <f t="shared" si="3"/>
        <v>0</v>
      </c>
      <c r="U41" s="294" t="e">
        <f t="shared" si="0"/>
        <v>#DIV/0!</v>
      </c>
      <c r="V41" s="205" t="s">
        <v>145</v>
      </c>
      <c r="W41" s="340"/>
    </row>
    <row r="42" spans="1:23" ht="15.75" thickBot="1" x14ac:dyDescent="0.3">
      <c r="A42" s="122"/>
      <c r="B42" s="122"/>
      <c r="C42" s="122"/>
      <c r="D42" s="122"/>
      <c r="E42" s="122"/>
      <c r="F42" s="122"/>
      <c r="G42" s="47" t="s">
        <v>4</v>
      </c>
      <c r="H42" s="123">
        <f t="shared" ref="H42:S42" si="4">SUM(H3:H41)</f>
        <v>0</v>
      </c>
      <c r="I42" s="123">
        <f t="shared" si="4"/>
        <v>0</v>
      </c>
      <c r="J42" s="123">
        <f t="shared" si="4"/>
        <v>0</v>
      </c>
      <c r="K42" s="123">
        <f t="shared" si="4"/>
        <v>0</v>
      </c>
      <c r="L42" s="123">
        <f t="shared" si="4"/>
        <v>0</v>
      </c>
      <c r="M42" s="123">
        <f t="shared" si="4"/>
        <v>0</v>
      </c>
      <c r="N42" s="123">
        <f t="shared" si="4"/>
        <v>0</v>
      </c>
      <c r="O42" s="123">
        <f t="shared" si="4"/>
        <v>0</v>
      </c>
      <c r="P42" s="123">
        <f t="shared" si="4"/>
        <v>0</v>
      </c>
      <c r="Q42" s="123">
        <f t="shared" si="4"/>
        <v>0</v>
      </c>
      <c r="R42" s="123">
        <f t="shared" si="4"/>
        <v>0</v>
      </c>
      <c r="S42" s="123">
        <f t="shared" si="4"/>
        <v>0</v>
      </c>
      <c r="T42" s="198">
        <f>SUM(H42,J42,L42,N42,P42,R42,S42)</f>
        <v>0</v>
      </c>
      <c r="U42" s="327" t="e">
        <f t="shared" si="0"/>
        <v>#DIV/0!</v>
      </c>
      <c r="V42" s="40"/>
    </row>
  </sheetData>
  <mergeCells count="5">
    <mergeCell ref="A4:G4"/>
    <mergeCell ref="A5:F5"/>
    <mergeCell ref="A6:F6"/>
    <mergeCell ref="A7:F7"/>
    <mergeCell ref="A8:F8"/>
  </mergeCells>
  <conditionalFormatting sqref="U43">
    <cfRule type="cellIs" dxfId="157" priority="26" operator="greaterThan">
      <formula>0.2</formula>
    </cfRule>
  </conditionalFormatting>
  <conditionalFormatting sqref="U3:U31">
    <cfRule type="colorScale" priority="10">
      <colorScale>
        <cfvo type="min"/>
        <cfvo type="max"/>
        <color rgb="FFFCFCFF"/>
        <color rgb="FFF8696B"/>
      </colorScale>
    </cfRule>
  </conditionalFormatting>
  <conditionalFormatting sqref="U3:U31">
    <cfRule type="cellIs" dxfId="156" priority="9" operator="greaterThan">
      <formula>0.2</formula>
    </cfRule>
  </conditionalFormatting>
  <conditionalFormatting sqref="U1:U2">
    <cfRule type="cellIs" dxfId="155" priority="8" operator="greaterThan">
      <formula>0.2</formula>
    </cfRule>
  </conditionalFormatting>
  <conditionalFormatting sqref="U33:U42">
    <cfRule type="cellIs" dxfId="154" priority="6" operator="greaterThan">
      <formula>0.2</formula>
    </cfRule>
  </conditionalFormatting>
  <conditionalFormatting sqref="U33:U42">
    <cfRule type="colorScale" priority="7">
      <colorScale>
        <cfvo type="min"/>
        <cfvo type="max"/>
        <color rgb="FFFCFCFF"/>
        <color rgb="FFF8696B"/>
      </colorScale>
    </cfRule>
  </conditionalFormatting>
  <pageMargins left="0.25" right="0.25" top="0.75" bottom="0.75" header="0.3" footer="0.3"/>
  <pageSetup scale="36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6">
    <pageSetUpPr fitToPage="1"/>
  </sheetPr>
  <dimension ref="A1:U34"/>
  <sheetViews>
    <sheetView showGridLines="0" zoomScaleNormal="100" workbookViewId="0">
      <selection activeCell="A23" sqref="A23"/>
    </sheetView>
  </sheetViews>
  <sheetFormatPr defaultColWidth="9.140625" defaultRowHeight="15" x14ac:dyDescent="0.25"/>
  <cols>
    <col min="1" max="4" width="10.7109375" style="23" customWidth="1"/>
    <col min="5" max="5" width="10.7109375" style="25" customWidth="1"/>
    <col min="6" max="6" width="10.7109375" style="23" customWidth="1"/>
    <col min="7" max="7" width="17.7109375" style="23" customWidth="1"/>
    <col min="8" max="8" width="10.7109375" style="23" customWidth="1"/>
    <col min="9" max="9" width="13.5703125" style="23" bestFit="1" customWidth="1"/>
    <col min="10" max="11" width="10.7109375" style="23" customWidth="1"/>
    <col min="12" max="12" width="16.5703125" style="23" customWidth="1"/>
    <col min="13" max="14" width="10.7109375" style="23" customWidth="1"/>
    <col min="15" max="15" width="31" style="23" bestFit="1" customWidth="1"/>
    <col min="16" max="16" width="10.7109375" style="23" customWidth="1"/>
    <col min="17" max="17" width="10.85546875" style="23" customWidth="1"/>
    <col min="18" max="18" width="10.42578125" style="23" customWidth="1"/>
    <col min="19" max="16384" width="9.140625" style="23"/>
  </cols>
  <sheetData>
    <row r="1" spans="1:21" ht="54" customHeight="1" x14ac:dyDescent="0.25">
      <c r="A1" s="566" t="s">
        <v>191</v>
      </c>
      <c r="B1" s="566"/>
      <c r="C1" s="566"/>
      <c r="D1" s="566"/>
      <c r="E1" s="566"/>
      <c r="F1" s="566"/>
      <c r="G1" s="566"/>
      <c r="H1" s="566"/>
      <c r="I1" s="566"/>
      <c r="J1" s="566"/>
      <c r="K1" s="566"/>
      <c r="L1" s="566"/>
      <c r="M1" s="566"/>
      <c r="N1" s="566"/>
      <c r="O1" s="566"/>
      <c r="P1" s="566"/>
      <c r="Q1" s="566"/>
      <c r="R1" s="566"/>
    </row>
    <row r="3" spans="1:21" ht="26.25" customHeight="1" x14ac:dyDescent="0.25">
      <c r="O3" s="567" t="s">
        <v>49</v>
      </c>
      <c r="P3" s="568"/>
      <c r="Q3" s="568"/>
      <c r="R3" s="568"/>
    </row>
    <row r="4" spans="1:21" x14ac:dyDescent="0.25">
      <c r="O4" s="569" t="s">
        <v>20</v>
      </c>
      <c r="P4" s="570"/>
      <c r="Q4" s="571"/>
      <c r="R4" s="30" t="s">
        <v>24</v>
      </c>
    </row>
    <row r="5" spans="1:21" x14ac:dyDescent="0.25">
      <c r="O5" s="19" t="s">
        <v>26</v>
      </c>
      <c r="P5" s="20"/>
      <c r="Q5" s="21"/>
      <c r="R5" s="251">
        <f>SUMIF('EB214'!$W$3:$W$41,O5,'EB214'!$T$3:$T$41)</f>
        <v>0</v>
      </c>
    </row>
    <row r="6" spans="1:21" x14ac:dyDescent="0.25">
      <c r="O6" s="19" t="s">
        <v>3</v>
      </c>
      <c r="P6" s="20"/>
      <c r="Q6" s="21"/>
      <c r="R6" s="251">
        <f>SUMIF('EB214'!$W$3:$W$41,O6,'EB214'!$T$3:$T$41)</f>
        <v>0</v>
      </c>
    </row>
    <row r="7" spans="1:21" x14ac:dyDescent="0.25">
      <c r="O7" s="19" t="s">
        <v>5</v>
      </c>
      <c r="P7" s="20"/>
      <c r="Q7" s="21"/>
      <c r="R7" s="251">
        <f>SUMIF('EB214'!$W$3:$W$41,O7,'EB214'!$T$3:$T$41)</f>
        <v>0</v>
      </c>
    </row>
    <row r="8" spans="1:21" x14ac:dyDescent="0.25">
      <c r="O8" s="19" t="s">
        <v>12</v>
      </c>
      <c r="P8" s="20"/>
      <c r="Q8" s="21"/>
      <c r="R8" s="251">
        <f>SUMIF('EB214'!$W$3:$W$41,O8,'EB214'!$T$3:$T$41)</f>
        <v>0</v>
      </c>
    </row>
    <row r="9" spans="1:21" x14ac:dyDescent="0.25">
      <c r="O9" s="19" t="s">
        <v>13</v>
      </c>
      <c r="P9" s="20"/>
      <c r="Q9" s="21"/>
      <c r="R9" s="251">
        <f>SUMIF('EB214'!$W$3:$W$41,O9,'EB214'!$T$3:$T$41)</f>
        <v>0</v>
      </c>
    </row>
    <row r="10" spans="1:21" ht="15.75" x14ac:dyDescent="0.25">
      <c r="O10" s="19" t="s">
        <v>15</v>
      </c>
      <c r="P10" s="20"/>
      <c r="Q10" s="21"/>
      <c r="R10" s="251">
        <f>SUMIF('EB214'!$W$3:$W$41,O10,'EB214'!$T$3:$T$41)</f>
        <v>0</v>
      </c>
      <c r="U10" s="125"/>
    </row>
    <row r="11" spans="1:21" x14ac:dyDescent="0.25">
      <c r="O11" s="19" t="s">
        <v>11</v>
      </c>
      <c r="P11" s="20"/>
      <c r="Q11" s="21"/>
      <c r="R11" s="251">
        <f>SUMIF('EB214'!$W$3:$W$41,O11,'EB214'!$T$3:$T$41)</f>
        <v>0</v>
      </c>
    </row>
    <row r="12" spans="1:21" x14ac:dyDescent="0.25">
      <c r="O12" s="19" t="s">
        <v>145</v>
      </c>
      <c r="P12" s="20"/>
      <c r="Q12" s="21"/>
      <c r="R12" s="251">
        <f>SUMIF('EB214'!$W$3:$W$41,O12,'EB214'!$T$3:$T$41)</f>
        <v>0</v>
      </c>
    </row>
    <row r="13" spans="1:21" x14ac:dyDescent="0.25">
      <c r="O13" s="19" t="s">
        <v>30</v>
      </c>
      <c r="P13" s="20"/>
      <c r="Q13" s="21"/>
      <c r="R13" s="251">
        <f>SUMIF('EB214'!$W$3:$W$41,O13,'EB214'!$T$3:$T$41)</f>
        <v>0</v>
      </c>
    </row>
    <row r="14" spans="1:21" x14ac:dyDescent="0.25">
      <c r="O14" s="19" t="s">
        <v>29</v>
      </c>
      <c r="P14" s="20"/>
      <c r="Q14" s="21"/>
      <c r="R14" s="251">
        <f>SUMIF('EB214'!$W$3:$W$41,O14,'EB214'!$T$3:$T$41)</f>
        <v>0</v>
      </c>
    </row>
    <row r="15" spans="1:21" x14ac:dyDescent="0.25">
      <c r="O15" s="19" t="s">
        <v>32</v>
      </c>
      <c r="P15" s="20"/>
      <c r="Q15" s="21"/>
      <c r="R15" s="251">
        <f>SUMIF('EB214'!$W$3:$W$41,O15,'EB214'!$T$3:$T$41)</f>
        <v>0</v>
      </c>
    </row>
    <row r="16" spans="1:21" x14ac:dyDescent="0.25">
      <c r="O16" s="19" t="s">
        <v>44</v>
      </c>
      <c r="P16" s="20"/>
      <c r="Q16" s="21"/>
      <c r="R16" s="251">
        <f>SUMIF('EB214'!$W$3:$W$41,O16,'EB214'!$T$3:$T$41)</f>
        <v>0</v>
      </c>
    </row>
    <row r="17" spans="1:18" x14ac:dyDescent="0.25">
      <c r="O17" s="19" t="s">
        <v>7</v>
      </c>
      <c r="P17" s="20"/>
      <c r="Q17" s="21"/>
      <c r="R17" s="251">
        <f>SUMIF('EB214'!$W$3:$W$41,O17,'EB214'!$T$3:$T$41)</f>
        <v>0</v>
      </c>
    </row>
    <row r="18" spans="1:18" x14ac:dyDescent="0.25">
      <c r="O18" s="19" t="s">
        <v>34</v>
      </c>
      <c r="P18" s="20"/>
      <c r="Q18" s="21"/>
      <c r="R18" s="251">
        <f>SUMIF('EB214'!$W$3:$W$41,O18,'EB214'!$T$3:$T$41)</f>
        <v>0</v>
      </c>
    </row>
    <row r="19" spans="1:18" x14ac:dyDescent="0.25">
      <c r="O19" s="19" t="s">
        <v>44</v>
      </c>
      <c r="P19" s="20"/>
      <c r="Q19" s="21"/>
      <c r="R19" s="251">
        <f>SUMIF('EB214'!$W$3:$W$41,O19,'EB214'!$T$3:$T$41)</f>
        <v>0</v>
      </c>
    </row>
    <row r="20" spans="1:18" ht="15.75" customHeight="1" x14ac:dyDescent="0.25">
      <c r="O20" s="19" t="s">
        <v>10</v>
      </c>
      <c r="P20" s="20"/>
      <c r="Q20" s="21"/>
      <c r="R20" s="251">
        <f>SUMIF('EB214'!$W$3:$W$41,O20,'EB214'!$T$3:$T$41)</f>
        <v>0</v>
      </c>
    </row>
    <row r="21" spans="1:18" ht="23.25" x14ac:dyDescent="0.25">
      <c r="A21" s="575" t="s">
        <v>61</v>
      </c>
      <c r="B21" s="576"/>
      <c r="C21" s="576"/>
      <c r="D21" s="576"/>
      <c r="E21" s="577"/>
      <c r="O21" s="19" t="s">
        <v>42</v>
      </c>
      <c r="P21" s="20"/>
      <c r="Q21" s="21"/>
      <c r="R21" s="251">
        <f>SUMIF('EB214'!$W$3:$W$41,O21,'EB214'!$T$3:$T$41)</f>
        <v>0</v>
      </c>
    </row>
    <row r="22" spans="1:18" ht="19.5" customHeight="1" x14ac:dyDescent="0.25">
      <c r="A22" s="28" t="s">
        <v>22</v>
      </c>
      <c r="B22" s="28" t="s">
        <v>17</v>
      </c>
      <c r="C22" s="28" t="s">
        <v>16</v>
      </c>
      <c r="D22" s="28" t="s">
        <v>1</v>
      </c>
      <c r="E22" s="29" t="s">
        <v>23</v>
      </c>
      <c r="O22" s="19" t="s">
        <v>27</v>
      </c>
      <c r="P22" s="20"/>
      <c r="Q22" s="21"/>
      <c r="R22" s="251">
        <f>SUMIF('EB214'!$W$3:$W$41,O22,'EB214'!$T$3:$T$41)</f>
        <v>0</v>
      </c>
    </row>
    <row r="23" spans="1:18" x14ac:dyDescent="0.25">
      <c r="A23" s="296"/>
      <c r="B23" s="130" t="e">
        <f>VLOOKUP(Table1411234[[#This Row],[Shop Order]],'EB214'!A:Z,4,FALSE)</f>
        <v>#N/A</v>
      </c>
      <c r="C23" s="130" t="e">
        <f>VLOOKUP(Table1411234[[#This Row],[Shop Order]],'EB214'!A:Z,5,FALSE)</f>
        <v>#N/A</v>
      </c>
      <c r="D23" s="131" t="e">
        <f>VLOOKUP(Table1411234[[#This Row],[Shop Order]],'EB214'!A:Z,6,FALSE)</f>
        <v>#N/A</v>
      </c>
      <c r="E23" s="322" t="e">
        <f>VLOOKUP(Table1411234[[#This Row],[Shop Order]],'EB214'!A:Z,7,FALSE)</f>
        <v>#N/A</v>
      </c>
      <c r="O23" s="19" t="s">
        <v>43</v>
      </c>
      <c r="P23" s="20"/>
      <c r="Q23" s="21"/>
      <c r="R23" s="251">
        <f>SUMIF('EB214'!$W$3:$W$41,O23,'EB214'!$T$3:$T$41)</f>
        <v>0</v>
      </c>
    </row>
    <row r="24" spans="1:18" x14ac:dyDescent="0.25">
      <c r="A24" s="298"/>
      <c r="B24" s="130" t="e">
        <f>VLOOKUP(Table1411234[[#This Row],[Shop Order]],'EB214'!A:Z,4,FALSE)</f>
        <v>#N/A</v>
      </c>
      <c r="C24" s="130" t="e">
        <f>VLOOKUP(Table1411234[[#This Row],[Shop Order]],'EB214'!A:Z,5,FALSE)</f>
        <v>#N/A</v>
      </c>
      <c r="D24" s="131" t="e">
        <f>VLOOKUP(Table1411234[[#This Row],[Shop Order]],'EB214'!A:Z,6,FALSE)</f>
        <v>#N/A</v>
      </c>
      <c r="E24" s="132" t="e">
        <f>VLOOKUP(Table1411234[[#This Row],[Shop Order]],'EB214'!A:Z,7,FALSE)</f>
        <v>#N/A</v>
      </c>
      <c r="G24" s="24"/>
      <c r="O24" s="19" t="s">
        <v>8</v>
      </c>
      <c r="P24" s="20"/>
      <c r="Q24" s="21"/>
      <c r="R24" s="251">
        <f>SUMIF('EB214'!$W$3:$W$41,O24,'EB214'!$T$3:$T$41)</f>
        <v>0</v>
      </c>
    </row>
    <row r="25" spans="1:18" x14ac:dyDescent="0.25">
      <c r="A25" s="296"/>
      <c r="B25" s="130" t="e">
        <f>VLOOKUP(Table1411234[[#This Row],[Shop Order]],'EB214'!A:Z,4,FALSE)</f>
        <v>#N/A</v>
      </c>
      <c r="C25" s="130" t="e">
        <f>VLOOKUP(Table1411234[[#This Row],[Shop Order]],'EB214'!A:Z,5,FALSE)</f>
        <v>#N/A</v>
      </c>
      <c r="D25" s="131" t="e">
        <f>VLOOKUP(Table1411234[[#This Row],[Shop Order]],'EB214'!A:Z,6,FALSE)</f>
        <v>#N/A</v>
      </c>
      <c r="E25" s="132" t="e">
        <f>VLOOKUP(Table1411234[[#This Row],[Shop Order]],'EB214'!A:Z,7,FALSE)</f>
        <v>#N/A</v>
      </c>
      <c r="O25" s="19" t="s">
        <v>110</v>
      </c>
      <c r="P25" s="20"/>
      <c r="Q25" s="21"/>
      <c r="R25" s="251">
        <f>SUMIF('EB214'!$W$3:$W$41,O25,'EB214'!$T$3:$T$41)</f>
        <v>0</v>
      </c>
    </row>
    <row r="26" spans="1:18" x14ac:dyDescent="0.25">
      <c r="A26" s="296"/>
      <c r="B26" s="130" t="e">
        <f>VLOOKUP(Table1411234[[#This Row],[Shop Order]],'EB214'!A:Z,4,FALSE)</f>
        <v>#N/A</v>
      </c>
      <c r="C26" s="130" t="e">
        <f>VLOOKUP(Table1411234[[#This Row],[Shop Order]],'EB214'!A:Z,5,FALSE)</f>
        <v>#N/A</v>
      </c>
      <c r="D26" s="131" t="e">
        <f>VLOOKUP(Table1411234[[#This Row],[Shop Order]],'EB214'!A:Z,6,FALSE)</f>
        <v>#N/A</v>
      </c>
      <c r="E26" s="132" t="e">
        <f>VLOOKUP(Table1411234[[#This Row],[Shop Order]],'EB214'!A:Z,7,FALSE)</f>
        <v>#N/A</v>
      </c>
      <c r="O26" s="19" t="s">
        <v>31</v>
      </c>
      <c r="P26" s="20"/>
      <c r="Q26" s="21"/>
      <c r="R26" s="251">
        <f>SUMIF('EB214'!$W$3:$W$41,O26,'EB214'!$T$3:$T$41)</f>
        <v>0</v>
      </c>
    </row>
    <row r="27" spans="1:18" x14ac:dyDescent="0.25">
      <c r="A27" s="296"/>
      <c r="B27" s="130" t="e">
        <f>VLOOKUP(Table1411234[[#This Row],[Shop Order]],'EB214'!A:Z,4,FALSE)</f>
        <v>#N/A</v>
      </c>
      <c r="C27" s="130" t="e">
        <f>VLOOKUP(Table1411234[[#This Row],[Shop Order]],'EB214'!A:Z,5,FALSE)</f>
        <v>#N/A</v>
      </c>
      <c r="D27" s="131" t="e">
        <f>VLOOKUP(Table1411234[[#This Row],[Shop Order]],'EB214'!A:Z,6,FALSE)</f>
        <v>#N/A</v>
      </c>
      <c r="E27" s="132" t="e">
        <f>VLOOKUP(Table1411234[[#This Row],[Shop Order]],'EB214'!A:Z,7,FALSE)</f>
        <v>#N/A</v>
      </c>
      <c r="O27" s="19" t="s">
        <v>100</v>
      </c>
      <c r="P27" s="20"/>
      <c r="Q27" s="21"/>
      <c r="R27" s="251">
        <f>SUMIF('EB214'!$W$3:$W$41,O27,'EB214'!$T$3:$T$41)</f>
        <v>0</v>
      </c>
    </row>
    <row r="28" spans="1:18" ht="15.75" thickBot="1" x14ac:dyDescent="0.3">
      <c r="A28" s="296"/>
      <c r="B28" s="130" t="e">
        <f>VLOOKUP(Table1411234[[#This Row],[Shop Order]],'EB214'!A:Z,4,FALSE)</f>
        <v>#N/A</v>
      </c>
      <c r="C28" s="130" t="e">
        <f>VLOOKUP(Table1411234[[#This Row],[Shop Order]],'EB214'!A:Z,5,FALSE)</f>
        <v>#N/A</v>
      </c>
      <c r="D28" s="131" t="e">
        <f>VLOOKUP(Table1411234[[#This Row],[Shop Order]],'EB214'!A:Z,6,FALSE)</f>
        <v>#N/A</v>
      </c>
      <c r="E28" s="132" t="e">
        <f>VLOOKUP(Table1411234[[#This Row],[Shop Order]],'EB214'!A:Z,7,FALSE)</f>
        <v>#N/A</v>
      </c>
      <c r="O28" s="19" t="s">
        <v>95</v>
      </c>
      <c r="P28" s="20"/>
      <c r="Q28" s="21"/>
      <c r="R28" s="251">
        <f>SUMIF('EB214'!$W$3:$W$41,O28,'EB214'!$T$3:$T$41)</f>
        <v>0</v>
      </c>
    </row>
    <row r="29" spans="1:18" ht="15.75" thickBot="1" x14ac:dyDescent="0.3">
      <c r="A29" s="572" t="s">
        <v>48</v>
      </c>
      <c r="B29" s="573"/>
      <c r="C29" s="574"/>
      <c r="D29" s="75" t="e">
        <f>AVERAGE(D23:D24)</f>
        <v>#N/A</v>
      </c>
      <c r="E29" s="26"/>
      <c r="O29" s="19" t="s">
        <v>41</v>
      </c>
      <c r="P29" s="20"/>
      <c r="Q29" s="21"/>
      <c r="R29" s="251">
        <f>SUMIF('EB214'!$W$3:$W$41,O29,'EB214'!$T$3:$T$41)</f>
        <v>0</v>
      </c>
    </row>
    <row r="30" spans="1:18" x14ac:dyDescent="0.25">
      <c r="O30" s="19" t="s">
        <v>35</v>
      </c>
      <c r="P30" s="20"/>
      <c r="Q30" s="21"/>
      <c r="R30" s="251">
        <f>SUMIF('EB214'!$W$3:$W$41,O30,'EB214'!$T$3:$T$41)</f>
        <v>0</v>
      </c>
    </row>
    <row r="32" spans="1:18" x14ac:dyDescent="0.25">
      <c r="E32" s="23"/>
    </row>
    <row r="33" spans="5:5" ht="15" customHeight="1" x14ac:dyDescent="0.25">
      <c r="E33" s="23"/>
    </row>
    <row r="34" spans="5:5" ht="15" customHeight="1" x14ac:dyDescent="0.25">
      <c r="E34" s="23"/>
    </row>
  </sheetData>
  <autoFilter ref="O4:R4" xr:uid="{00000000-0009-0000-0000-000009000000}">
    <filterColumn colId="0" showButton="0"/>
    <filterColumn colId="1" showButton="0"/>
    <sortState xmlns:xlrd2="http://schemas.microsoft.com/office/spreadsheetml/2017/richdata2" ref="O5:R30">
      <sortCondition descending="1" ref="R4"/>
    </sortState>
  </autoFilter>
  <sortState xmlns:xlrd2="http://schemas.microsoft.com/office/spreadsheetml/2017/richdata2" ref="O5:R30">
    <sortCondition descending="1" ref="R5:R30"/>
  </sortState>
  <dataConsolidate/>
  <mergeCells count="5">
    <mergeCell ref="A1:R1"/>
    <mergeCell ref="O3:R3"/>
    <mergeCell ref="O4:Q4"/>
    <mergeCell ref="A21:E21"/>
    <mergeCell ref="A29:C29"/>
  </mergeCells>
  <pageMargins left="0" right="0" top="0.75" bottom="0.75" header="0.3" footer="0.3"/>
  <pageSetup scale="62" orientation="landscape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8">
    <pageSetUpPr fitToPage="1"/>
  </sheetPr>
  <dimension ref="A1:AC167"/>
  <sheetViews>
    <sheetView tabSelected="1" zoomScale="65" zoomScaleNormal="65" zoomScaleSheetLayoutView="90" workbookViewId="0">
      <selection activeCell="E126" sqref="E126"/>
    </sheetView>
  </sheetViews>
  <sheetFormatPr defaultColWidth="9.140625" defaultRowHeight="15" x14ac:dyDescent="0.25"/>
  <cols>
    <col min="1" max="1" width="14.5703125" style="41" bestFit="1" customWidth="1"/>
    <col min="2" max="2" width="12.7109375" style="41" customWidth="1"/>
    <col min="3" max="3" width="7.5703125" style="41" customWidth="1"/>
    <col min="4" max="4" width="10" style="41" customWidth="1"/>
    <col min="5" max="5" width="8" style="41" bestFit="1" customWidth="1"/>
    <col min="6" max="6" width="11.140625" style="41" bestFit="1" customWidth="1"/>
    <col min="7" max="7" width="12.5703125" style="13" bestFit="1" customWidth="1"/>
    <col min="8" max="19" width="14.7109375" style="7" customWidth="1"/>
    <col min="20" max="20" width="8.42578125" style="8" bestFit="1" customWidth="1"/>
    <col min="21" max="21" width="11.140625" style="9" bestFit="1" customWidth="1"/>
    <col min="22" max="22" width="40.7109375" style="41" customWidth="1"/>
    <col min="23" max="23" width="52.28515625" style="10" customWidth="1"/>
    <col min="24" max="29" width="9.140625" style="12"/>
    <col min="30" max="16384" width="9.140625" style="41"/>
  </cols>
  <sheetData>
    <row r="1" spans="1:23" ht="75.75" thickBot="1" x14ac:dyDescent="0.3">
      <c r="A1" s="42" t="s">
        <v>22</v>
      </c>
      <c r="B1" s="42" t="s">
        <v>46</v>
      </c>
      <c r="C1" s="43" t="s">
        <v>51</v>
      </c>
      <c r="D1" s="43" t="s">
        <v>17</v>
      </c>
      <c r="E1" s="42" t="s">
        <v>16</v>
      </c>
      <c r="F1" s="44" t="s">
        <v>1</v>
      </c>
      <c r="G1" s="45" t="s">
        <v>23</v>
      </c>
      <c r="H1" s="46" t="s">
        <v>71</v>
      </c>
      <c r="I1" s="46" t="s">
        <v>72</v>
      </c>
      <c r="J1" s="46" t="s">
        <v>52</v>
      </c>
      <c r="K1" s="46" t="s">
        <v>57</v>
      </c>
      <c r="L1" s="46" t="s">
        <v>53</v>
      </c>
      <c r="M1" s="46" t="s">
        <v>58</v>
      </c>
      <c r="N1" s="46" t="s">
        <v>54</v>
      </c>
      <c r="O1" s="46" t="s">
        <v>59</v>
      </c>
      <c r="P1" s="46" t="s">
        <v>55</v>
      </c>
      <c r="Q1" s="46" t="s">
        <v>73</v>
      </c>
      <c r="R1" s="46" t="s">
        <v>112</v>
      </c>
      <c r="S1" s="46" t="s">
        <v>40</v>
      </c>
      <c r="T1" s="46" t="s">
        <v>4</v>
      </c>
      <c r="U1" s="42" t="s">
        <v>2</v>
      </c>
      <c r="V1" s="80" t="s">
        <v>20</v>
      </c>
      <c r="W1" s="81" t="s">
        <v>6</v>
      </c>
    </row>
    <row r="2" spans="1:23" ht="15.75" thickBot="1" x14ac:dyDescent="0.3">
      <c r="A2" s="311">
        <v>1525473</v>
      </c>
      <c r="B2" s="209" t="s">
        <v>275</v>
      </c>
      <c r="C2" s="311">
        <v>1920</v>
      </c>
      <c r="D2" s="311">
        <v>2016</v>
      </c>
      <c r="E2" s="316">
        <v>1860</v>
      </c>
      <c r="F2" s="317">
        <f>E2/D2</f>
        <v>0.92261904761904767</v>
      </c>
      <c r="G2" s="48">
        <v>45482</v>
      </c>
      <c r="H2" s="82"/>
      <c r="I2" s="83"/>
      <c r="J2" s="83"/>
      <c r="K2" s="83"/>
      <c r="L2" s="83"/>
      <c r="M2" s="83"/>
      <c r="N2" s="83"/>
      <c r="O2" s="83"/>
      <c r="P2" s="83"/>
      <c r="Q2" s="83"/>
      <c r="R2" s="83"/>
      <c r="S2" s="84"/>
      <c r="T2" s="291"/>
      <c r="U2" s="115"/>
      <c r="V2" s="86" t="s">
        <v>74</v>
      </c>
      <c r="W2" s="341" t="s">
        <v>276</v>
      </c>
    </row>
    <row r="3" spans="1:23" ht="16.5" thickBot="1" x14ac:dyDescent="0.3">
      <c r="A3" s="87"/>
      <c r="B3" s="88"/>
      <c r="C3" s="88"/>
      <c r="D3" s="88"/>
      <c r="E3" s="88"/>
      <c r="F3" s="88"/>
      <c r="G3" s="89"/>
      <c r="H3" s="90">
        <v>3</v>
      </c>
      <c r="I3" s="91"/>
      <c r="J3" s="91">
        <v>1</v>
      </c>
      <c r="K3" s="91"/>
      <c r="L3" s="91"/>
      <c r="M3" s="91"/>
      <c r="N3" s="91"/>
      <c r="O3" s="91"/>
      <c r="P3" s="91"/>
      <c r="Q3" s="91"/>
      <c r="R3" s="91"/>
      <c r="S3" s="246"/>
      <c r="T3" s="245">
        <f>SUM(H3,J3,L3,N3,P3,R3,S3)</f>
        <v>4</v>
      </c>
      <c r="U3" s="337">
        <f>($T3)/$D$2</f>
        <v>1.984126984126984E-3</v>
      </c>
      <c r="V3" s="202" t="s">
        <v>15</v>
      </c>
      <c r="W3" s="210" t="s">
        <v>277</v>
      </c>
    </row>
    <row r="4" spans="1:23" ht="15.75" x14ac:dyDescent="0.25">
      <c r="A4" s="579" t="s">
        <v>225</v>
      </c>
      <c r="B4" s="580"/>
      <c r="C4" s="580"/>
      <c r="D4" s="580"/>
      <c r="E4" s="580"/>
      <c r="F4" s="580"/>
      <c r="G4" s="581"/>
      <c r="H4" s="99"/>
      <c r="I4" s="63"/>
      <c r="J4" s="63"/>
      <c r="K4" s="63"/>
      <c r="L4" s="63"/>
      <c r="M4" s="63"/>
      <c r="N4" s="63"/>
      <c r="O4" s="63"/>
      <c r="P4" s="63"/>
      <c r="Q4" s="63"/>
      <c r="R4" s="63"/>
      <c r="S4" s="247"/>
      <c r="T4" s="243">
        <f t="shared" ref="T4:T18" si="0">SUM(H4,J4,L4,N4,P4,R4,S4)</f>
        <v>0</v>
      </c>
      <c r="U4" s="93">
        <f>($T4)/$D$2</f>
        <v>0</v>
      </c>
      <c r="V4" s="203" t="s">
        <v>42</v>
      </c>
      <c r="W4" s="339"/>
    </row>
    <row r="5" spans="1:23" ht="15.75" x14ac:dyDescent="0.25">
      <c r="A5" s="582" t="s">
        <v>226</v>
      </c>
      <c r="B5" s="583"/>
      <c r="C5" s="583"/>
      <c r="D5" s="583"/>
      <c r="E5" s="583"/>
      <c r="F5" s="584"/>
      <c r="G5" s="456">
        <v>23</v>
      </c>
      <c r="H5" s="110">
        <v>3</v>
      </c>
      <c r="I5" s="63"/>
      <c r="J5" s="63"/>
      <c r="K5" s="63"/>
      <c r="L5" s="63"/>
      <c r="M5" s="63"/>
      <c r="N5" s="63"/>
      <c r="O5" s="63"/>
      <c r="P5" s="63"/>
      <c r="Q5" s="63"/>
      <c r="R5" s="63"/>
      <c r="S5" s="247"/>
      <c r="T5" s="243">
        <f t="shared" si="0"/>
        <v>3</v>
      </c>
      <c r="U5" s="93">
        <f t="shared" ref="U5:U16" si="1">($T5)/$D$2</f>
        <v>1.488095238095238E-3</v>
      </c>
      <c r="V5" s="203" t="s">
        <v>5</v>
      </c>
      <c r="W5" s="240"/>
    </row>
    <row r="6" spans="1:23" ht="15.75" x14ac:dyDescent="0.25">
      <c r="A6" s="582" t="s">
        <v>227</v>
      </c>
      <c r="B6" s="583"/>
      <c r="C6" s="583"/>
      <c r="D6" s="583"/>
      <c r="E6" s="583"/>
      <c r="F6" s="584"/>
      <c r="G6" s="456">
        <v>17</v>
      </c>
      <c r="H6" s="110">
        <v>2</v>
      </c>
      <c r="I6" s="63"/>
      <c r="J6" s="63">
        <v>1</v>
      </c>
      <c r="K6" s="63"/>
      <c r="L6" s="63"/>
      <c r="M6" s="63"/>
      <c r="N6" s="63"/>
      <c r="O6" s="63"/>
      <c r="P6" s="63"/>
      <c r="Q6" s="63"/>
      <c r="R6" s="63"/>
      <c r="S6" s="247"/>
      <c r="T6" s="243">
        <f t="shared" si="0"/>
        <v>3</v>
      </c>
      <c r="U6" s="93">
        <f t="shared" si="1"/>
        <v>1.488095238095238E-3</v>
      </c>
      <c r="V6" s="203" t="s">
        <v>13</v>
      </c>
      <c r="W6" s="306"/>
    </row>
    <row r="7" spans="1:23" ht="15.75" x14ac:dyDescent="0.25">
      <c r="A7" s="582" t="s">
        <v>228</v>
      </c>
      <c r="B7" s="583"/>
      <c r="C7" s="583"/>
      <c r="D7" s="583"/>
      <c r="E7" s="583"/>
      <c r="F7" s="584"/>
      <c r="G7" s="457">
        <f>G5-G6</f>
        <v>6</v>
      </c>
      <c r="H7" s="110">
        <v>9</v>
      </c>
      <c r="I7" s="63"/>
      <c r="J7" s="63">
        <v>1</v>
      </c>
      <c r="K7" s="63"/>
      <c r="L7" s="63">
        <v>4</v>
      </c>
      <c r="M7" s="63"/>
      <c r="N7" s="63"/>
      <c r="O7" s="63"/>
      <c r="P7" s="63"/>
      <c r="Q7" s="63"/>
      <c r="R7" s="63"/>
      <c r="S7" s="247"/>
      <c r="T7" s="243">
        <f t="shared" si="0"/>
        <v>14</v>
      </c>
      <c r="U7" s="93">
        <f t="shared" si="1"/>
        <v>6.9444444444444441E-3</v>
      </c>
      <c r="V7" s="203" t="s">
        <v>14</v>
      </c>
      <c r="W7" s="306"/>
    </row>
    <row r="8" spans="1:23" ht="15.75" x14ac:dyDescent="0.25">
      <c r="A8" s="582" t="s">
        <v>229</v>
      </c>
      <c r="B8" s="583"/>
      <c r="C8" s="583"/>
      <c r="D8" s="583"/>
      <c r="E8" s="583"/>
      <c r="F8" s="584"/>
      <c r="G8" s="458">
        <f>G7/G5</f>
        <v>0.2608695652173913</v>
      </c>
      <c r="H8" s="110">
        <v>1</v>
      </c>
      <c r="I8" s="63"/>
      <c r="J8" s="63"/>
      <c r="K8" s="63"/>
      <c r="L8" s="63"/>
      <c r="M8" s="63"/>
      <c r="N8" s="63"/>
      <c r="O8" s="63"/>
      <c r="P8" s="63"/>
      <c r="Q8" s="63"/>
      <c r="R8" s="63"/>
      <c r="S8" s="247"/>
      <c r="T8" s="243">
        <f t="shared" si="0"/>
        <v>1</v>
      </c>
      <c r="U8" s="93">
        <f t="shared" si="1"/>
        <v>4.96031746031746E-4</v>
      </c>
      <c r="V8" s="203" t="s">
        <v>29</v>
      </c>
      <c r="W8" s="105"/>
    </row>
    <row r="9" spans="1:23" ht="15.75" x14ac:dyDescent="0.25">
      <c r="A9" s="96"/>
      <c r="B9" s="97"/>
      <c r="C9" s="97"/>
      <c r="D9" s="97"/>
      <c r="E9" s="104"/>
      <c r="F9" s="104"/>
      <c r="G9" s="98"/>
      <c r="H9" s="99"/>
      <c r="I9" s="63"/>
      <c r="J9" s="63"/>
      <c r="K9" s="63"/>
      <c r="L9" s="63"/>
      <c r="M9" s="63"/>
      <c r="N9" s="63"/>
      <c r="O9" s="63"/>
      <c r="P9" s="63"/>
      <c r="Q9" s="63"/>
      <c r="R9" s="63"/>
      <c r="S9" s="247"/>
      <c r="T9" s="243">
        <f t="shared" si="0"/>
        <v>0</v>
      </c>
      <c r="U9" s="93">
        <f t="shared" si="1"/>
        <v>0</v>
      </c>
      <c r="V9" s="203" t="s">
        <v>30</v>
      </c>
      <c r="W9" s="318"/>
    </row>
    <row r="10" spans="1:23" ht="15.75" x14ac:dyDescent="0.25">
      <c r="A10" s="96"/>
      <c r="B10" s="97"/>
      <c r="C10" s="97"/>
      <c r="D10" s="97"/>
      <c r="E10" s="104"/>
      <c r="F10" s="104"/>
      <c r="G10" s="98"/>
      <c r="H10" s="99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247"/>
      <c r="T10" s="243">
        <f t="shared" si="0"/>
        <v>0</v>
      </c>
      <c r="U10" s="93">
        <f t="shared" si="1"/>
        <v>0</v>
      </c>
      <c r="V10" s="203" t="s">
        <v>159</v>
      </c>
      <c r="W10" s="105"/>
    </row>
    <row r="11" spans="1:23" ht="15.75" x14ac:dyDescent="0.25">
      <c r="A11" s="96"/>
      <c r="B11" s="97"/>
      <c r="C11" s="97"/>
      <c r="D11" s="97"/>
      <c r="E11" s="104"/>
      <c r="F11" s="104"/>
      <c r="G11" s="98"/>
      <c r="H11" s="99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247"/>
      <c r="T11" s="243">
        <f t="shared" si="0"/>
        <v>0</v>
      </c>
      <c r="U11" s="93">
        <f t="shared" si="1"/>
        <v>0</v>
      </c>
      <c r="V11" s="204" t="s">
        <v>176</v>
      </c>
      <c r="W11" s="342"/>
    </row>
    <row r="12" spans="1:23" ht="15.75" x14ac:dyDescent="0.25">
      <c r="A12" s="96"/>
      <c r="B12" s="97"/>
      <c r="C12" s="97"/>
      <c r="D12" s="97"/>
      <c r="E12" s="104"/>
      <c r="F12" s="104"/>
      <c r="G12" s="98"/>
      <c r="H12" s="99">
        <v>6</v>
      </c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247"/>
      <c r="T12" s="243">
        <f t="shared" si="0"/>
        <v>6</v>
      </c>
      <c r="U12" s="93">
        <f t="shared" si="1"/>
        <v>2.976190476190476E-3</v>
      </c>
      <c r="V12" s="203" t="s">
        <v>0</v>
      </c>
      <c r="W12" s="342"/>
    </row>
    <row r="13" spans="1:23" ht="15.75" x14ac:dyDescent="0.25">
      <c r="A13" s="96"/>
      <c r="B13" s="97"/>
      <c r="C13" s="97"/>
      <c r="D13" s="97"/>
      <c r="E13" s="104"/>
      <c r="F13" s="104" t="s">
        <v>98</v>
      </c>
      <c r="G13" s="98"/>
      <c r="H13" s="99">
        <v>2</v>
      </c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247"/>
      <c r="T13" s="243">
        <f t="shared" si="0"/>
        <v>2</v>
      </c>
      <c r="U13" s="93">
        <f t="shared" si="1"/>
        <v>9.9206349206349201E-4</v>
      </c>
      <c r="V13" s="203" t="s">
        <v>11</v>
      </c>
      <c r="W13" s="321"/>
    </row>
    <row r="14" spans="1:23" ht="15.75" x14ac:dyDescent="0.25">
      <c r="A14" s="96"/>
      <c r="B14" s="97"/>
      <c r="C14" s="97"/>
      <c r="D14" s="97"/>
      <c r="E14" s="104"/>
      <c r="F14" s="104"/>
      <c r="G14" s="98"/>
      <c r="H14" s="99">
        <v>7</v>
      </c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247"/>
      <c r="T14" s="243">
        <f t="shared" si="0"/>
        <v>7</v>
      </c>
      <c r="U14" s="93">
        <f t="shared" si="1"/>
        <v>3.472222222222222E-3</v>
      </c>
      <c r="V14" s="203" t="s">
        <v>32</v>
      </c>
      <c r="W14" s="342"/>
    </row>
    <row r="15" spans="1:23" ht="15.75" x14ac:dyDescent="0.25">
      <c r="A15" s="96"/>
      <c r="B15" s="97"/>
      <c r="C15" s="97"/>
      <c r="D15" s="97"/>
      <c r="E15" s="104"/>
      <c r="F15" s="104"/>
      <c r="G15" s="109"/>
      <c r="H15" s="110"/>
      <c r="I15" s="63"/>
      <c r="J15" s="63"/>
      <c r="K15" s="63"/>
      <c r="L15" s="63">
        <v>4</v>
      </c>
      <c r="M15" s="63"/>
      <c r="N15" s="63"/>
      <c r="O15" s="63"/>
      <c r="P15" s="63"/>
      <c r="Q15" s="63"/>
      <c r="R15" s="63"/>
      <c r="S15" s="247"/>
      <c r="T15" s="243">
        <f t="shared" si="0"/>
        <v>4</v>
      </c>
      <c r="U15" s="93">
        <f t="shared" si="1"/>
        <v>1.984126984126984E-3</v>
      </c>
      <c r="V15" s="204" t="s">
        <v>26</v>
      </c>
      <c r="W15" s="212"/>
    </row>
    <row r="16" spans="1:23" ht="15.75" x14ac:dyDescent="0.25">
      <c r="A16" s="96"/>
      <c r="B16" s="97"/>
      <c r="C16" s="97"/>
      <c r="D16" s="97"/>
      <c r="E16" s="104"/>
      <c r="F16" s="104"/>
      <c r="G16" s="109"/>
      <c r="H16" s="110"/>
      <c r="I16" s="63"/>
      <c r="J16" s="63"/>
      <c r="K16" s="63"/>
      <c r="L16" s="63">
        <v>1</v>
      </c>
      <c r="M16" s="63"/>
      <c r="N16" s="63"/>
      <c r="O16" s="63"/>
      <c r="P16" s="63"/>
      <c r="Q16" s="63"/>
      <c r="R16" s="63"/>
      <c r="S16" s="247"/>
      <c r="T16" s="243">
        <f t="shared" si="0"/>
        <v>1</v>
      </c>
      <c r="U16" s="93">
        <f t="shared" si="1"/>
        <v>4.96031746031746E-4</v>
      </c>
      <c r="V16" s="204" t="s">
        <v>84</v>
      </c>
      <c r="W16" s="103"/>
    </row>
    <row r="17" spans="1:23" ht="16.5" thickBot="1" x14ac:dyDescent="0.3">
      <c r="A17" s="96"/>
      <c r="B17" s="97"/>
      <c r="C17" s="97"/>
      <c r="D17" s="97"/>
      <c r="E17" s="104"/>
      <c r="F17" s="104"/>
      <c r="G17" s="109"/>
      <c r="H17" s="186"/>
      <c r="I17" s="187"/>
      <c r="J17" s="187"/>
      <c r="K17" s="187"/>
      <c r="L17" s="187">
        <v>31</v>
      </c>
      <c r="M17" s="187"/>
      <c r="N17" s="187"/>
      <c r="O17" s="187"/>
      <c r="P17" s="187"/>
      <c r="Q17" s="187"/>
      <c r="R17" s="187"/>
      <c r="S17" s="248"/>
      <c r="T17" s="244">
        <f t="shared" si="0"/>
        <v>31</v>
      </c>
      <c r="U17" s="241">
        <f>($T17)/$D$2</f>
        <v>1.5376984126984126E-2</v>
      </c>
      <c r="V17" s="205" t="s">
        <v>278</v>
      </c>
      <c r="W17" s="212"/>
    </row>
    <row r="18" spans="1:23" ht="15.75" x14ac:dyDescent="0.25">
      <c r="A18" s="96"/>
      <c r="B18" s="97"/>
      <c r="C18" s="97"/>
      <c r="D18" s="97"/>
      <c r="E18" s="104"/>
      <c r="F18" s="104"/>
      <c r="G18" s="98"/>
      <c r="H18" s="90"/>
      <c r="I18" s="111">
        <v>4</v>
      </c>
      <c r="J18" s="111"/>
      <c r="K18" s="111"/>
      <c r="L18" s="111"/>
      <c r="M18" s="111"/>
      <c r="N18" s="111"/>
      <c r="O18" s="111"/>
      <c r="P18" s="111"/>
      <c r="Q18" s="111"/>
      <c r="R18" s="111"/>
      <c r="S18" s="249"/>
      <c r="T18" s="245">
        <f t="shared" si="0"/>
        <v>0</v>
      </c>
      <c r="U18" s="183">
        <f>($T18)/$D$2</f>
        <v>0</v>
      </c>
      <c r="V18" s="206" t="s">
        <v>10</v>
      </c>
      <c r="W18" s="106"/>
    </row>
    <row r="19" spans="1:23" ht="15.75" x14ac:dyDescent="0.25">
      <c r="A19" s="96"/>
      <c r="B19" s="97"/>
      <c r="C19" s="97"/>
      <c r="D19" s="97"/>
      <c r="E19" s="104"/>
      <c r="F19" s="104"/>
      <c r="G19" s="98"/>
      <c r="H19" s="99"/>
      <c r="I19" s="213"/>
      <c r="J19" s="63"/>
      <c r="K19" s="63"/>
      <c r="L19" s="63"/>
      <c r="M19" s="63"/>
      <c r="N19" s="63"/>
      <c r="O19" s="63"/>
      <c r="P19" s="63"/>
      <c r="Q19" s="63"/>
      <c r="R19" s="63"/>
      <c r="S19" s="247"/>
      <c r="T19" s="243">
        <f>SUM(H19,J19,L19,N19,P19,R19,S19)</f>
        <v>0</v>
      </c>
      <c r="U19" s="93">
        <f>($T19)/$D$2</f>
        <v>0</v>
      </c>
      <c r="V19" s="325" t="s">
        <v>93</v>
      </c>
      <c r="W19" s="106"/>
    </row>
    <row r="20" spans="1:23" ht="15.75" x14ac:dyDescent="0.25">
      <c r="A20" s="96"/>
      <c r="B20" s="97"/>
      <c r="C20" s="97"/>
      <c r="D20" s="97"/>
      <c r="E20" s="104"/>
      <c r="F20" s="104"/>
      <c r="G20" s="98"/>
      <c r="H20" s="99"/>
      <c r="I20" s="214">
        <v>4</v>
      </c>
      <c r="J20" s="63"/>
      <c r="K20" s="63"/>
      <c r="L20" s="63"/>
      <c r="M20" s="63"/>
      <c r="N20" s="63"/>
      <c r="O20" s="63"/>
      <c r="P20" s="63"/>
      <c r="Q20" s="63"/>
      <c r="R20" s="63"/>
      <c r="S20" s="247"/>
      <c r="T20" s="243">
        <f>SUM(H20,J20,L20,N20,P20,R20,S20)</f>
        <v>0</v>
      </c>
      <c r="U20" s="93">
        <f t="shared" ref="U20:U27" si="2">($T20)/$D$2</f>
        <v>0</v>
      </c>
      <c r="V20" s="203" t="s">
        <v>3</v>
      </c>
      <c r="W20" s="342" t="s">
        <v>223</v>
      </c>
    </row>
    <row r="21" spans="1:23" ht="15.75" x14ac:dyDescent="0.25">
      <c r="A21" s="96"/>
      <c r="B21" s="97"/>
      <c r="C21" s="97"/>
      <c r="D21" s="97"/>
      <c r="E21" s="97"/>
      <c r="F21" s="104"/>
      <c r="G21" s="98"/>
      <c r="H21" s="99"/>
      <c r="I21" s="214">
        <v>3</v>
      </c>
      <c r="J21" s="63"/>
      <c r="K21" s="63"/>
      <c r="L21" s="63"/>
      <c r="M21" s="63"/>
      <c r="N21" s="63"/>
      <c r="O21" s="63"/>
      <c r="P21" s="63"/>
      <c r="Q21" s="63"/>
      <c r="R21" s="63"/>
      <c r="S21" s="247"/>
      <c r="T21" s="243">
        <f t="shared" ref="T21:T28" si="3">SUM(H21,J21,L21,N21,P21,R21,S21)</f>
        <v>0</v>
      </c>
      <c r="U21" s="93">
        <f t="shared" si="2"/>
        <v>0</v>
      </c>
      <c r="V21" s="203" t="s">
        <v>7</v>
      </c>
      <c r="W21" s="342" t="s">
        <v>282</v>
      </c>
    </row>
    <row r="22" spans="1:23" ht="15.75" x14ac:dyDescent="0.25">
      <c r="A22" s="96"/>
      <c r="B22" s="97"/>
      <c r="C22" s="97"/>
      <c r="D22" s="97"/>
      <c r="E22" s="97"/>
      <c r="F22" s="104"/>
      <c r="G22" s="98"/>
      <c r="H22" s="99"/>
      <c r="I22" s="214">
        <v>120</v>
      </c>
      <c r="J22" s="63">
        <v>57</v>
      </c>
      <c r="K22" s="63">
        <v>49</v>
      </c>
      <c r="L22" s="63">
        <v>19</v>
      </c>
      <c r="M22" s="63"/>
      <c r="N22" s="63"/>
      <c r="O22" s="63"/>
      <c r="P22" s="63"/>
      <c r="Q22" s="63"/>
      <c r="R22" s="63"/>
      <c r="S22" s="247"/>
      <c r="T22" s="243">
        <f t="shared" si="3"/>
        <v>76</v>
      </c>
      <c r="U22" s="93">
        <f t="shared" si="2"/>
        <v>3.7698412698412696E-2</v>
      </c>
      <c r="V22" s="203" t="s">
        <v>8</v>
      </c>
      <c r="W22" s="342" t="s">
        <v>279</v>
      </c>
    </row>
    <row r="23" spans="1:23" ht="15.75" x14ac:dyDescent="0.25">
      <c r="A23" s="96"/>
      <c r="B23" s="97"/>
      <c r="C23" s="97"/>
      <c r="D23" s="97"/>
      <c r="E23" s="97"/>
      <c r="F23" s="104"/>
      <c r="G23" s="98"/>
      <c r="H23" s="99"/>
      <c r="I23" s="214">
        <v>1</v>
      </c>
      <c r="J23" s="63"/>
      <c r="K23" s="63">
        <v>2</v>
      </c>
      <c r="L23" s="63"/>
      <c r="M23" s="63"/>
      <c r="N23" s="63"/>
      <c r="O23" s="63"/>
      <c r="P23" s="63"/>
      <c r="Q23" s="63"/>
      <c r="R23" s="63"/>
      <c r="S23" s="247"/>
      <c r="T23" s="243">
        <f t="shared" si="3"/>
        <v>0</v>
      </c>
      <c r="U23" s="93">
        <f t="shared" si="2"/>
        <v>0</v>
      </c>
      <c r="V23" s="449" t="s">
        <v>91</v>
      </c>
      <c r="W23" s="342"/>
    </row>
    <row r="24" spans="1:23" ht="15.75" x14ac:dyDescent="0.25">
      <c r="A24" s="96"/>
      <c r="B24" s="97"/>
      <c r="C24" s="97"/>
      <c r="D24" s="97"/>
      <c r="E24" s="97"/>
      <c r="F24" s="104"/>
      <c r="G24" s="98"/>
      <c r="H24" s="99"/>
      <c r="I24" s="214"/>
      <c r="J24" s="63"/>
      <c r="K24" s="63"/>
      <c r="L24" s="63"/>
      <c r="M24" s="63"/>
      <c r="N24" s="63"/>
      <c r="O24" s="63"/>
      <c r="P24" s="63"/>
      <c r="Q24" s="63"/>
      <c r="R24" s="63"/>
      <c r="S24" s="247"/>
      <c r="T24" s="243">
        <f t="shared" si="3"/>
        <v>0</v>
      </c>
      <c r="U24" s="93">
        <f t="shared" si="2"/>
        <v>0</v>
      </c>
      <c r="V24" s="203" t="s">
        <v>76</v>
      </c>
      <c r="W24" s="342"/>
    </row>
    <row r="25" spans="1:23" ht="15.75" x14ac:dyDescent="0.25">
      <c r="A25" s="96"/>
      <c r="B25" s="97"/>
      <c r="C25" s="97"/>
      <c r="D25" s="97"/>
      <c r="E25" s="104"/>
      <c r="F25" s="104"/>
      <c r="G25" s="98"/>
      <c r="H25" s="99"/>
      <c r="I25" s="214">
        <v>8</v>
      </c>
      <c r="J25" s="63"/>
      <c r="K25" s="63"/>
      <c r="L25" s="63">
        <v>1</v>
      </c>
      <c r="M25" s="63"/>
      <c r="N25" s="63"/>
      <c r="O25" s="63"/>
      <c r="P25" s="63"/>
      <c r="Q25" s="63"/>
      <c r="R25" s="63"/>
      <c r="S25" s="247"/>
      <c r="T25" s="243">
        <f t="shared" si="3"/>
        <v>1</v>
      </c>
      <c r="U25" s="93">
        <f t="shared" si="2"/>
        <v>4.96031746031746E-4</v>
      </c>
      <c r="V25" s="203" t="s">
        <v>12</v>
      </c>
      <c r="W25" s="321"/>
    </row>
    <row r="26" spans="1:23" ht="15.75" x14ac:dyDescent="0.25">
      <c r="A26" s="96"/>
      <c r="B26" s="97"/>
      <c r="C26" s="97"/>
      <c r="D26" s="97"/>
      <c r="E26" s="104"/>
      <c r="F26" s="104"/>
      <c r="G26" s="98"/>
      <c r="H26" s="99"/>
      <c r="I26" s="63">
        <v>6</v>
      </c>
      <c r="J26" s="63"/>
      <c r="K26" s="63">
        <v>3</v>
      </c>
      <c r="L26" s="63"/>
      <c r="M26" s="63"/>
      <c r="N26" s="63"/>
      <c r="O26" s="63"/>
      <c r="P26" s="63"/>
      <c r="Q26" s="63"/>
      <c r="R26" s="63"/>
      <c r="S26" s="247"/>
      <c r="T26" s="243">
        <f t="shared" si="3"/>
        <v>0</v>
      </c>
      <c r="U26" s="93">
        <f t="shared" si="2"/>
        <v>0</v>
      </c>
      <c r="V26" s="204" t="s">
        <v>157</v>
      </c>
      <c r="W26" s="450"/>
    </row>
    <row r="27" spans="1:23" ht="15.75" x14ac:dyDescent="0.25">
      <c r="A27" s="96"/>
      <c r="B27" s="97"/>
      <c r="C27" s="97"/>
      <c r="D27" s="97"/>
      <c r="E27" s="104"/>
      <c r="F27" s="104"/>
      <c r="G27" s="98"/>
      <c r="H27" s="99"/>
      <c r="I27" s="63">
        <v>2</v>
      </c>
      <c r="J27" s="63"/>
      <c r="K27" s="63"/>
      <c r="L27" s="63"/>
      <c r="M27" s="63"/>
      <c r="N27" s="63"/>
      <c r="O27" s="63"/>
      <c r="P27" s="63"/>
      <c r="Q27" s="63"/>
      <c r="R27" s="63"/>
      <c r="S27" s="247"/>
      <c r="T27" s="243">
        <f t="shared" si="3"/>
        <v>0</v>
      </c>
      <c r="U27" s="93">
        <f t="shared" si="2"/>
        <v>0</v>
      </c>
      <c r="V27" s="204" t="s">
        <v>221</v>
      </c>
      <c r="W27" s="321"/>
    </row>
    <row r="28" spans="1:23" ht="16.5" thickBot="1" x14ac:dyDescent="0.3">
      <c r="A28" s="96"/>
      <c r="B28" s="97"/>
      <c r="C28" s="97"/>
      <c r="D28" s="97"/>
      <c r="E28" s="104"/>
      <c r="F28" s="104"/>
      <c r="G28" s="98"/>
      <c r="H28" s="107"/>
      <c r="I28" s="100">
        <v>1</v>
      </c>
      <c r="J28" s="100"/>
      <c r="K28" s="100"/>
      <c r="L28" s="100"/>
      <c r="M28" s="100"/>
      <c r="N28" s="100"/>
      <c r="O28" s="100"/>
      <c r="P28" s="100"/>
      <c r="Q28" s="100"/>
      <c r="R28" s="100"/>
      <c r="S28" s="250"/>
      <c r="T28" s="244">
        <f t="shared" si="3"/>
        <v>0</v>
      </c>
      <c r="U28" s="294">
        <f>($T28)/$D$2</f>
        <v>0</v>
      </c>
      <c r="V28" s="345" t="s">
        <v>9</v>
      </c>
      <c r="W28" s="321"/>
    </row>
    <row r="29" spans="1:23" ht="16.5" thickBot="1" x14ac:dyDescent="0.3">
      <c r="A29" s="96"/>
      <c r="B29" s="97"/>
      <c r="C29" s="97"/>
      <c r="D29" s="97"/>
      <c r="E29" s="104"/>
      <c r="F29" s="104"/>
      <c r="G29" s="98"/>
      <c r="H29" s="82"/>
      <c r="I29" s="83"/>
      <c r="J29" s="236"/>
      <c r="K29" s="83"/>
      <c r="L29" s="83"/>
      <c r="M29" s="83"/>
      <c r="N29" s="83"/>
      <c r="O29" s="83"/>
      <c r="P29" s="83"/>
      <c r="Q29" s="83"/>
      <c r="R29" s="83"/>
      <c r="S29" s="83"/>
      <c r="T29" s="242"/>
      <c r="U29" s="242"/>
      <c r="V29" s="208" t="s">
        <v>148</v>
      </c>
      <c r="W29" s="321"/>
    </row>
    <row r="30" spans="1:23" ht="15.75" x14ac:dyDescent="0.25">
      <c r="A30" s="96"/>
      <c r="B30" s="97"/>
      <c r="C30" s="97"/>
      <c r="D30" s="97"/>
      <c r="E30" s="104"/>
      <c r="F30" s="104"/>
      <c r="G30" s="109"/>
      <c r="H30" s="90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246"/>
      <c r="T30" s="245">
        <f t="shared" ref="T30:T38" si="4">SUM(H30,J30,L30,N30,P30,R30,S30)</f>
        <v>0</v>
      </c>
      <c r="U30" s="183">
        <f>($T30)/$D$2</f>
        <v>0</v>
      </c>
      <c r="V30" s="202" t="s">
        <v>15</v>
      </c>
      <c r="W30" s="342"/>
    </row>
    <row r="31" spans="1:23" ht="15.75" x14ac:dyDescent="0.25">
      <c r="A31" s="96"/>
      <c r="B31" s="97"/>
      <c r="C31" s="97"/>
      <c r="D31" s="97"/>
      <c r="E31" s="104"/>
      <c r="F31" s="104"/>
      <c r="G31" s="109"/>
      <c r="H31" s="99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247"/>
      <c r="T31" s="243">
        <f t="shared" si="4"/>
        <v>0</v>
      </c>
      <c r="U31" s="183">
        <f>($T31)/$D$2</f>
        <v>0</v>
      </c>
      <c r="V31" s="203" t="s">
        <v>82</v>
      </c>
      <c r="W31" s="321"/>
    </row>
    <row r="32" spans="1:23" x14ac:dyDescent="0.25">
      <c r="A32" s="96"/>
      <c r="B32" s="97"/>
      <c r="C32" s="97"/>
      <c r="D32" s="97"/>
      <c r="E32" s="104"/>
      <c r="F32" s="104"/>
      <c r="G32" s="109"/>
      <c r="H32" s="99">
        <v>1</v>
      </c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247"/>
      <c r="T32" s="243">
        <f t="shared" si="4"/>
        <v>1</v>
      </c>
      <c r="U32" s="183">
        <f t="shared" ref="U32:U37" si="5">($T32)/$D$2</f>
        <v>4.96031746031746E-4</v>
      </c>
      <c r="V32" s="343" t="s">
        <v>280</v>
      </c>
      <c r="W32" s="342"/>
    </row>
    <row r="33" spans="1:23" ht="15.75" x14ac:dyDescent="0.25">
      <c r="A33" s="96"/>
      <c r="B33" s="97"/>
      <c r="C33" s="97"/>
      <c r="D33" s="97"/>
      <c r="E33" s="104"/>
      <c r="F33" s="104"/>
      <c r="G33" s="109"/>
      <c r="H33" s="99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247"/>
      <c r="T33" s="243">
        <f t="shared" si="4"/>
        <v>0</v>
      </c>
      <c r="U33" s="183">
        <f t="shared" si="5"/>
        <v>0</v>
      </c>
      <c r="V33" s="203" t="s">
        <v>70</v>
      </c>
      <c r="W33" s="321" t="s">
        <v>285</v>
      </c>
    </row>
    <row r="34" spans="1:23" ht="15.75" x14ac:dyDescent="0.25">
      <c r="A34" s="96"/>
      <c r="B34" s="97"/>
      <c r="C34" s="97"/>
      <c r="D34" s="97"/>
      <c r="E34" s="104"/>
      <c r="F34" s="104"/>
      <c r="G34" s="109"/>
      <c r="H34" s="99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247"/>
      <c r="T34" s="243">
        <f t="shared" si="4"/>
        <v>0</v>
      </c>
      <c r="U34" s="183">
        <f t="shared" si="5"/>
        <v>0</v>
      </c>
      <c r="V34" s="204" t="s">
        <v>83</v>
      </c>
      <c r="W34" s="321" t="s">
        <v>283</v>
      </c>
    </row>
    <row r="35" spans="1:23" ht="15.75" x14ac:dyDescent="0.25">
      <c r="A35" s="96"/>
      <c r="B35" s="97"/>
      <c r="C35" s="97"/>
      <c r="D35" s="97"/>
      <c r="E35" s="104"/>
      <c r="F35" s="104"/>
      <c r="G35" s="109"/>
      <c r="H35" s="99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247"/>
      <c r="T35" s="243">
        <f t="shared" si="4"/>
        <v>0</v>
      </c>
      <c r="U35" s="183">
        <f t="shared" si="5"/>
        <v>0</v>
      </c>
      <c r="V35" s="204" t="s">
        <v>25</v>
      </c>
      <c r="W35" s="321" t="s">
        <v>281</v>
      </c>
    </row>
    <row r="36" spans="1:23" ht="15.75" x14ac:dyDescent="0.25">
      <c r="A36" s="96"/>
      <c r="B36" s="97"/>
      <c r="C36" s="97"/>
      <c r="D36" s="97"/>
      <c r="E36" s="104"/>
      <c r="F36" s="104"/>
      <c r="G36" s="109"/>
      <c r="H36" s="107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250"/>
      <c r="T36" s="243">
        <f t="shared" si="4"/>
        <v>0</v>
      </c>
      <c r="U36" s="183">
        <f t="shared" si="5"/>
        <v>0</v>
      </c>
      <c r="V36" s="207" t="s">
        <v>222</v>
      </c>
      <c r="W36" s="321" t="s">
        <v>284</v>
      </c>
    </row>
    <row r="37" spans="1:23" ht="15.75" x14ac:dyDescent="0.25">
      <c r="A37" s="96"/>
      <c r="B37" s="97"/>
      <c r="C37" s="97"/>
      <c r="D37" s="97"/>
      <c r="E37" s="104"/>
      <c r="F37" s="104"/>
      <c r="G37" s="109"/>
      <c r="H37" s="107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250"/>
      <c r="T37" s="243">
        <f t="shared" si="4"/>
        <v>0</v>
      </c>
      <c r="U37" s="183">
        <f t="shared" si="5"/>
        <v>0</v>
      </c>
      <c r="V37" s="203" t="s">
        <v>12</v>
      </c>
      <c r="W37" s="344"/>
    </row>
    <row r="38" spans="1:23" ht="16.5" thickBot="1" x14ac:dyDescent="0.3">
      <c r="A38" s="117"/>
      <c r="B38" s="118"/>
      <c r="C38" s="118"/>
      <c r="D38" s="118"/>
      <c r="E38" s="119"/>
      <c r="F38" s="119"/>
      <c r="G38" s="120"/>
      <c r="H38" s="107">
        <v>2</v>
      </c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250"/>
      <c r="T38" s="243">
        <f t="shared" si="4"/>
        <v>2</v>
      </c>
      <c r="U38" s="294">
        <f>($T38)/$D$2</f>
        <v>9.9206349206349201E-4</v>
      </c>
      <c r="V38" s="205" t="s">
        <v>145</v>
      </c>
      <c r="W38" s="340"/>
    </row>
    <row r="39" spans="1:23" ht="15.75" thickBot="1" x14ac:dyDescent="0.3">
      <c r="A39" s="122"/>
      <c r="B39" s="122"/>
      <c r="C39" s="122"/>
      <c r="D39" s="122"/>
      <c r="E39" s="122"/>
      <c r="F39" s="122"/>
      <c r="G39" s="47" t="s">
        <v>4</v>
      </c>
      <c r="H39" s="123">
        <f t="shared" ref="H39:S39" si="6">SUM(H3:H38)</f>
        <v>36</v>
      </c>
      <c r="I39" s="123">
        <f t="shared" si="6"/>
        <v>149</v>
      </c>
      <c r="J39" s="123">
        <f t="shared" si="6"/>
        <v>60</v>
      </c>
      <c r="K39" s="123">
        <f t="shared" si="6"/>
        <v>54</v>
      </c>
      <c r="L39" s="123">
        <f t="shared" si="6"/>
        <v>60</v>
      </c>
      <c r="M39" s="123">
        <f t="shared" si="6"/>
        <v>0</v>
      </c>
      <c r="N39" s="123">
        <f t="shared" si="6"/>
        <v>0</v>
      </c>
      <c r="O39" s="123">
        <f t="shared" si="6"/>
        <v>0</v>
      </c>
      <c r="P39" s="123">
        <f t="shared" si="6"/>
        <v>0</v>
      </c>
      <c r="Q39" s="123">
        <f t="shared" si="6"/>
        <v>0</v>
      </c>
      <c r="R39" s="123">
        <f t="shared" si="6"/>
        <v>0</v>
      </c>
      <c r="S39" s="123">
        <f t="shared" si="6"/>
        <v>0</v>
      </c>
      <c r="T39" s="198">
        <f>SUM(H39,J39,L39,N39,P39,R39,S39)</f>
        <v>156</v>
      </c>
      <c r="U39" s="327">
        <f>($T39)/$D$2</f>
        <v>7.7380952380952384E-2</v>
      </c>
      <c r="V39" s="40"/>
    </row>
    <row r="41" spans="1:23" ht="15.75" thickBot="1" x14ac:dyDescent="0.3"/>
    <row r="42" spans="1:23" ht="75.75" thickBot="1" x14ac:dyDescent="0.3">
      <c r="A42" s="42" t="s">
        <v>22</v>
      </c>
      <c r="B42" s="42" t="s">
        <v>46</v>
      </c>
      <c r="C42" s="43" t="s">
        <v>51</v>
      </c>
      <c r="D42" s="43" t="s">
        <v>17</v>
      </c>
      <c r="E42" s="42" t="s">
        <v>16</v>
      </c>
      <c r="F42" s="44" t="s">
        <v>1</v>
      </c>
      <c r="G42" s="45" t="s">
        <v>23</v>
      </c>
      <c r="H42" s="46" t="s">
        <v>71</v>
      </c>
      <c r="I42" s="46" t="s">
        <v>72</v>
      </c>
      <c r="J42" s="46" t="s">
        <v>52</v>
      </c>
      <c r="K42" s="46" t="s">
        <v>57</v>
      </c>
      <c r="L42" s="46" t="s">
        <v>53</v>
      </c>
      <c r="M42" s="46" t="s">
        <v>58</v>
      </c>
      <c r="N42" s="46" t="s">
        <v>54</v>
      </c>
      <c r="O42" s="46" t="s">
        <v>59</v>
      </c>
      <c r="P42" s="46" t="s">
        <v>55</v>
      </c>
      <c r="Q42" s="46" t="s">
        <v>73</v>
      </c>
      <c r="R42" s="46" t="s">
        <v>112</v>
      </c>
      <c r="S42" s="46" t="s">
        <v>40</v>
      </c>
      <c r="T42" s="46" t="s">
        <v>4</v>
      </c>
      <c r="U42" s="42" t="s">
        <v>2</v>
      </c>
      <c r="V42" s="80" t="s">
        <v>20</v>
      </c>
      <c r="W42" s="81" t="s">
        <v>6</v>
      </c>
    </row>
    <row r="43" spans="1:23" ht="15.75" thickBot="1" x14ac:dyDescent="0.3">
      <c r="A43" s="311">
        <v>1525474</v>
      </c>
      <c r="B43" s="209" t="s">
        <v>275</v>
      </c>
      <c r="C43" s="311">
        <v>1920</v>
      </c>
      <c r="D43" s="311">
        <v>1960</v>
      </c>
      <c r="E43" s="316">
        <v>1856</v>
      </c>
      <c r="F43" s="317">
        <f>E43/D43</f>
        <v>0.94693877551020411</v>
      </c>
      <c r="G43" s="48">
        <v>45484</v>
      </c>
      <c r="H43" s="82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4"/>
      <c r="T43" s="291"/>
      <c r="U43" s="115"/>
      <c r="V43" s="86" t="s">
        <v>74</v>
      </c>
      <c r="W43" s="341" t="s">
        <v>276</v>
      </c>
    </row>
    <row r="44" spans="1:23" ht="16.5" thickBot="1" x14ac:dyDescent="0.3">
      <c r="A44" s="87"/>
      <c r="B44" s="88"/>
      <c r="C44" s="88"/>
      <c r="D44" s="88"/>
      <c r="E44" s="88"/>
      <c r="F44" s="88"/>
      <c r="G44" s="89"/>
      <c r="H44" s="90">
        <v>4</v>
      </c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246"/>
      <c r="T44" s="245">
        <f>SUM(H44,J44,L44,N44,P44,R44,S44)</f>
        <v>4</v>
      </c>
      <c r="U44" s="337">
        <f>($T44)/$D$43</f>
        <v>2.0408163265306124E-3</v>
      </c>
      <c r="V44" s="202" t="s">
        <v>15</v>
      </c>
      <c r="W44" s="210" t="s">
        <v>277</v>
      </c>
    </row>
    <row r="45" spans="1:23" ht="15.75" x14ac:dyDescent="0.25">
      <c r="A45" s="579" t="s">
        <v>225</v>
      </c>
      <c r="B45" s="580"/>
      <c r="C45" s="580"/>
      <c r="D45" s="580"/>
      <c r="E45" s="580"/>
      <c r="F45" s="580"/>
      <c r="G45" s="581"/>
      <c r="H45" s="99">
        <v>2</v>
      </c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247"/>
      <c r="T45" s="243">
        <f t="shared" ref="T45:T59" si="7">SUM(H45,J45,L45,N45,P45,R45,S45)</f>
        <v>2</v>
      </c>
      <c r="U45" s="93">
        <f>($T45)/$D$43</f>
        <v>1.0204081632653062E-3</v>
      </c>
      <c r="V45" s="203" t="s">
        <v>42</v>
      </c>
      <c r="W45" s="339"/>
    </row>
    <row r="46" spans="1:23" ht="15.75" x14ac:dyDescent="0.25">
      <c r="A46" s="582" t="s">
        <v>226</v>
      </c>
      <c r="B46" s="583"/>
      <c r="C46" s="583"/>
      <c r="D46" s="583"/>
      <c r="E46" s="583"/>
      <c r="F46" s="584"/>
      <c r="G46" s="456">
        <v>16</v>
      </c>
      <c r="H46" s="110">
        <v>3</v>
      </c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247"/>
      <c r="T46" s="243">
        <f t="shared" si="7"/>
        <v>3</v>
      </c>
      <c r="U46" s="93">
        <f t="shared" ref="U46:U57" si="8">($T46)/$D$43</f>
        <v>1.5306122448979591E-3</v>
      </c>
      <c r="V46" s="203" t="s">
        <v>5</v>
      </c>
      <c r="W46" s="240"/>
    </row>
    <row r="47" spans="1:23" ht="15.75" x14ac:dyDescent="0.25">
      <c r="A47" s="582" t="s">
        <v>227</v>
      </c>
      <c r="B47" s="583"/>
      <c r="C47" s="583"/>
      <c r="D47" s="583"/>
      <c r="E47" s="583"/>
      <c r="F47" s="584"/>
      <c r="G47" s="456">
        <v>13</v>
      </c>
      <c r="H47" s="110">
        <v>5</v>
      </c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247"/>
      <c r="T47" s="243">
        <f t="shared" si="7"/>
        <v>5</v>
      </c>
      <c r="U47" s="93">
        <f t="shared" si="8"/>
        <v>2.5510204081632651E-3</v>
      </c>
      <c r="V47" s="203" t="s">
        <v>13</v>
      </c>
      <c r="W47" s="306"/>
    </row>
    <row r="48" spans="1:23" ht="15.75" x14ac:dyDescent="0.25">
      <c r="A48" s="582" t="s">
        <v>228</v>
      </c>
      <c r="B48" s="583"/>
      <c r="C48" s="583"/>
      <c r="D48" s="583"/>
      <c r="E48" s="583"/>
      <c r="F48" s="584"/>
      <c r="G48" s="457">
        <f>G46-G47</f>
        <v>3</v>
      </c>
      <c r="H48" s="110">
        <v>8</v>
      </c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247"/>
      <c r="T48" s="243">
        <f t="shared" si="7"/>
        <v>8</v>
      </c>
      <c r="U48" s="93">
        <f t="shared" si="8"/>
        <v>4.0816326530612249E-3</v>
      </c>
      <c r="V48" s="203" t="s">
        <v>14</v>
      </c>
      <c r="W48" s="306"/>
    </row>
    <row r="49" spans="1:23" ht="15.75" x14ac:dyDescent="0.25">
      <c r="A49" s="582" t="s">
        <v>229</v>
      </c>
      <c r="B49" s="583"/>
      <c r="C49" s="583"/>
      <c r="D49" s="583"/>
      <c r="E49" s="583"/>
      <c r="F49" s="584"/>
      <c r="G49" s="458">
        <f>G48/G46</f>
        <v>0.1875</v>
      </c>
      <c r="H49" s="110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247"/>
      <c r="T49" s="243">
        <f t="shared" si="7"/>
        <v>0</v>
      </c>
      <c r="U49" s="93">
        <f t="shared" si="8"/>
        <v>0</v>
      </c>
      <c r="V49" s="203" t="s">
        <v>29</v>
      </c>
      <c r="W49" s="105"/>
    </row>
    <row r="50" spans="1:23" ht="15.75" x14ac:dyDescent="0.25">
      <c r="A50" s="96"/>
      <c r="B50" s="97"/>
      <c r="C50" s="97"/>
      <c r="D50" s="97"/>
      <c r="E50" s="104"/>
      <c r="F50" s="104"/>
      <c r="G50" s="98"/>
      <c r="H50" s="99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247"/>
      <c r="T50" s="243">
        <f t="shared" si="7"/>
        <v>0</v>
      </c>
      <c r="U50" s="93">
        <f>($T50)/$D$43</f>
        <v>0</v>
      </c>
      <c r="V50" s="203" t="s">
        <v>30</v>
      </c>
      <c r="W50" s="318"/>
    </row>
    <row r="51" spans="1:23" ht="15.75" x14ac:dyDescent="0.25">
      <c r="A51" s="96"/>
      <c r="B51" s="97"/>
      <c r="C51" s="97"/>
      <c r="D51" s="97"/>
      <c r="E51" s="104"/>
      <c r="F51" s="104"/>
      <c r="G51" s="98"/>
      <c r="H51" s="99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247"/>
      <c r="T51" s="243">
        <f t="shared" si="7"/>
        <v>0</v>
      </c>
      <c r="U51" s="93">
        <f t="shared" si="8"/>
        <v>0</v>
      </c>
      <c r="V51" s="203" t="s">
        <v>159</v>
      </c>
      <c r="W51" s="105"/>
    </row>
    <row r="52" spans="1:23" ht="15.75" x14ac:dyDescent="0.25">
      <c r="A52" s="96"/>
      <c r="B52" s="97"/>
      <c r="C52" s="97"/>
      <c r="D52" s="97"/>
      <c r="E52" s="104"/>
      <c r="F52" s="104"/>
      <c r="G52" s="98"/>
      <c r="H52" s="99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247"/>
      <c r="T52" s="243">
        <f t="shared" si="7"/>
        <v>0</v>
      </c>
      <c r="U52" s="93">
        <f t="shared" si="8"/>
        <v>0</v>
      </c>
      <c r="V52" s="204" t="s">
        <v>176</v>
      </c>
      <c r="W52" s="342"/>
    </row>
    <row r="53" spans="1:23" ht="15.75" x14ac:dyDescent="0.25">
      <c r="A53" s="96"/>
      <c r="B53" s="97"/>
      <c r="C53" s="97"/>
      <c r="D53" s="97"/>
      <c r="E53" s="104"/>
      <c r="F53" s="104"/>
      <c r="G53" s="98"/>
      <c r="H53" s="99">
        <v>3</v>
      </c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247">
        <v>3</v>
      </c>
      <c r="T53" s="243">
        <f t="shared" si="7"/>
        <v>6</v>
      </c>
      <c r="U53" s="93">
        <f t="shared" si="8"/>
        <v>3.0612244897959182E-3</v>
      </c>
      <c r="V53" s="203" t="s">
        <v>0</v>
      </c>
      <c r="W53" s="342"/>
    </row>
    <row r="54" spans="1:23" ht="15.75" x14ac:dyDescent="0.25">
      <c r="A54" s="96"/>
      <c r="B54" s="97"/>
      <c r="C54" s="97"/>
      <c r="D54" s="97"/>
      <c r="E54" s="104"/>
      <c r="F54" s="104" t="s">
        <v>98</v>
      </c>
      <c r="G54" s="98"/>
      <c r="H54" s="99">
        <v>3</v>
      </c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247"/>
      <c r="T54" s="243">
        <f t="shared" si="7"/>
        <v>3</v>
      </c>
      <c r="U54" s="93">
        <f t="shared" si="8"/>
        <v>1.5306122448979591E-3</v>
      </c>
      <c r="V54" s="203" t="s">
        <v>11</v>
      </c>
      <c r="W54" s="321"/>
    </row>
    <row r="55" spans="1:23" ht="15.75" x14ac:dyDescent="0.25">
      <c r="A55" s="96"/>
      <c r="B55" s="97"/>
      <c r="C55" s="97"/>
      <c r="D55" s="97"/>
      <c r="E55" s="104"/>
      <c r="F55" s="104"/>
      <c r="G55" s="98"/>
      <c r="H55" s="99">
        <v>2</v>
      </c>
      <c r="I55" s="63"/>
      <c r="J55" s="63">
        <v>1</v>
      </c>
      <c r="K55" s="63"/>
      <c r="L55" s="63"/>
      <c r="M55" s="63"/>
      <c r="N55" s="63"/>
      <c r="O55" s="63"/>
      <c r="P55" s="63"/>
      <c r="Q55" s="63"/>
      <c r="R55" s="63"/>
      <c r="S55" s="247"/>
      <c r="T55" s="243">
        <f t="shared" si="7"/>
        <v>3</v>
      </c>
      <c r="U55" s="93">
        <f t="shared" si="8"/>
        <v>1.5306122448979591E-3</v>
      </c>
      <c r="V55" s="203" t="s">
        <v>32</v>
      </c>
      <c r="W55" s="342"/>
    </row>
    <row r="56" spans="1:23" ht="15.75" x14ac:dyDescent="0.25">
      <c r="A56" s="96"/>
      <c r="B56" s="97"/>
      <c r="C56" s="97"/>
      <c r="D56" s="97"/>
      <c r="E56" s="104"/>
      <c r="F56" s="104"/>
      <c r="G56" s="109"/>
      <c r="H56" s="110"/>
      <c r="I56" s="63"/>
      <c r="J56" s="63">
        <v>2</v>
      </c>
      <c r="K56" s="63"/>
      <c r="L56" s="63"/>
      <c r="M56" s="63"/>
      <c r="N56" s="63"/>
      <c r="O56" s="63"/>
      <c r="P56" s="63"/>
      <c r="Q56" s="63"/>
      <c r="R56" s="63"/>
      <c r="S56" s="247"/>
      <c r="T56" s="243">
        <f t="shared" si="7"/>
        <v>2</v>
      </c>
      <c r="U56" s="93">
        <f t="shared" si="8"/>
        <v>1.0204081632653062E-3</v>
      </c>
      <c r="V56" s="204" t="s">
        <v>26</v>
      </c>
      <c r="W56" s="212"/>
    </row>
    <row r="57" spans="1:23" ht="15.75" x14ac:dyDescent="0.25">
      <c r="A57" s="96"/>
      <c r="B57" s="97"/>
      <c r="C57" s="97"/>
      <c r="D57" s="97"/>
      <c r="E57" s="104"/>
      <c r="F57" s="104"/>
      <c r="G57" s="109"/>
      <c r="H57" s="110"/>
      <c r="I57" s="63"/>
      <c r="J57" s="63">
        <v>1</v>
      </c>
      <c r="K57" s="63"/>
      <c r="L57" s="63"/>
      <c r="M57" s="63"/>
      <c r="N57" s="63"/>
      <c r="O57" s="63"/>
      <c r="P57" s="63"/>
      <c r="Q57" s="63"/>
      <c r="R57" s="63"/>
      <c r="S57" s="247"/>
      <c r="T57" s="243">
        <f t="shared" si="7"/>
        <v>1</v>
      </c>
      <c r="U57" s="93">
        <f t="shared" si="8"/>
        <v>5.1020408163265311E-4</v>
      </c>
      <c r="V57" s="204" t="s">
        <v>84</v>
      </c>
      <c r="W57" s="103"/>
    </row>
    <row r="58" spans="1:23" ht="16.5" thickBot="1" x14ac:dyDescent="0.3">
      <c r="A58" s="96"/>
      <c r="B58" s="97"/>
      <c r="C58" s="97"/>
      <c r="D58" s="97"/>
      <c r="E58" s="104"/>
      <c r="F58" s="104"/>
      <c r="G58" s="109"/>
      <c r="H58" s="186"/>
      <c r="I58" s="187"/>
      <c r="J58" s="187">
        <v>25</v>
      </c>
      <c r="K58" s="187"/>
      <c r="L58" s="187"/>
      <c r="M58" s="187"/>
      <c r="N58" s="187"/>
      <c r="O58" s="187"/>
      <c r="P58" s="187"/>
      <c r="Q58" s="187"/>
      <c r="R58" s="187"/>
      <c r="S58" s="248"/>
      <c r="T58" s="244">
        <f t="shared" si="7"/>
        <v>25</v>
      </c>
      <c r="U58" s="241">
        <f>($T58)/$D$43</f>
        <v>1.2755102040816327E-2</v>
      </c>
      <c r="V58" s="205" t="s">
        <v>278</v>
      </c>
      <c r="W58" s="212"/>
    </row>
    <row r="59" spans="1:23" ht="15.75" x14ac:dyDescent="0.25">
      <c r="A59" s="96"/>
      <c r="B59" s="97"/>
      <c r="C59" s="97"/>
      <c r="D59" s="97"/>
      <c r="E59" s="104"/>
      <c r="F59" s="104"/>
      <c r="G59" s="98"/>
      <c r="H59" s="90"/>
      <c r="I59" s="111"/>
      <c r="J59" s="111"/>
      <c r="K59" s="111"/>
      <c r="L59" s="111"/>
      <c r="M59" s="111"/>
      <c r="N59" s="111"/>
      <c r="O59" s="111"/>
      <c r="P59" s="111"/>
      <c r="Q59" s="111"/>
      <c r="R59" s="111"/>
      <c r="S59" s="249"/>
      <c r="T59" s="245">
        <f t="shared" si="7"/>
        <v>0</v>
      </c>
      <c r="U59" s="183">
        <f>($T59)/$D$43</f>
        <v>0</v>
      </c>
      <c r="V59" s="206" t="s">
        <v>10</v>
      </c>
      <c r="W59" s="106"/>
    </row>
    <row r="60" spans="1:23" ht="15.75" x14ac:dyDescent="0.25">
      <c r="A60" s="96"/>
      <c r="B60" s="97"/>
      <c r="C60" s="97"/>
      <c r="D60" s="97"/>
      <c r="E60" s="104"/>
      <c r="F60" s="104"/>
      <c r="G60" s="98"/>
      <c r="H60" s="99"/>
      <c r="I60" s="213"/>
      <c r="J60" s="63"/>
      <c r="K60" s="63"/>
      <c r="L60" s="63"/>
      <c r="M60" s="63"/>
      <c r="N60" s="63"/>
      <c r="O60" s="63"/>
      <c r="P60" s="63"/>
      <c r="Q60" s="63"/>
      <c r="R60" s="63"/>
      <c r="S60" s="247"/>
      <c r="T60" s="243">
        <f>SUM(H60,J60,L60,N60,P60,R60,S60)</f>
        <v>0</v>
      </c>
      <c r="U60" s="93">
        <f>($T60)/$D$43</f>
        <v>0</v>
      </c>
      <c r="V60" s="325" t="s">
        <v>93</v>
      </c>
      <c r="W60" s="106"/>
    </row>
    <row r="61" spans="1:23" ht="15.75" x14ac:dyDescent="0.25">
      <c r="A61" s="96"/>
      <c r="B61" s="97"/>
      <c r="C61" s="97"/>
      <c r="D61" s="97"/>
      <c r="E61" s="104"/>
      <c r="F61" s="104"/>
      <c r="G61" s="98"/>
      <c r="H61" s="99"/>
      <c r="I61" s="214">
        <v>8</v>
      </c>
      <c r="J61" s="63"/>
      <c r="K61" s="63"/>
      <c r="L61" s="63"/>
      <c r="M61" s="63"/>
      <c r="N61" s="63"/>
      <c r="O61" s="63"/>
      <c r="P61" s="63"/>
      <c r="Q61" s="63"/>
      <c r="R61" s="63"/>
      <c r="S61" s="247">
        <v>5</v>
      </c>
      <c r="T61" s="243">
        <f>SUM(H61,J61,L61,N61,P61,R61,S61)</f>
        <v>5</v>
      </c>
      <c r="U61" s="93">
        <f t="shared" ref="U61:U68" si="9">($T61)/$D$43</f>
        <v>2.5510204081632651E-3</v>
      </c>
      <c r="V61" s="203" t="s">
        <v>3</v>
      </c>
      <c r="W61" s="342" t="s">
        <v>223</v>
      </c>
    </row>
    <row r="62" spans="1:23" ht="15.75" x14ac:dyDescent="0.25">
      <c r="A62" s="96"/>
      <c r="B62" s="97"/>
      <c r="C62" s="97"/>
      <c r="D62" s="97"/>
      <c r="E62" s="97"/>
      <c r="F62" s="104"/>
      <c r="G62" s="98"/>
      <c r="H62" s="99"/>
      <c r="I62" s="214">
        <v>9</v>
      </c>
      <c r="J62" s="63">
        <v>3</v>
      </c>
      <c r="K62" s="63"/>
      <c r="L62" s="63"/>
      <c r="M62" s="63"/>
      <c r="N62" s="63"/>
      <c r="O62" s="63"/>
      <c r="P62" s="63"/>
      <c r="Q62" s="63"/>
      <c r="R62" s="63"/>
      <c r="S62" s="247"/>
      <c r="T62" s="243">
        <f t="shared" ref="T62:T69" si="10">SUM(H62,J62,L62,N62,P62,R62,S62)</f>
        <v>3</v>
      </c>
      <c r="U62" s="93">
        <f t="shared" si="9"/>
        <v>1.5306122448979591E-3</v>
      </c>
      <c r="V62" s="203" t="s">
        <v>7</v>
      </c>
      <c r="W62" s="342" t="s">
        <v>290</v>
      </c>
    </row>
    <row r="63" spans="1:23" ht="15.75" x14ac:dyDescent="0.25">
      <c r="A63" s="96"/>
      <c r="B63" s="97"/>
      <c r="C63" s="97"/>
      <c r="D63" s="97"/>
      <c r="E63" s="97"/>
      <c r="F63" s="104"/>
      <c r="G63" s="98"/>
      <c r="H63" s="99"/>
      <c r="I63" s="214">
        <v>46</v>
      </c>
      <c r="J63" s="63">
        <v>21</v>
      </c>
      <c r="K63" s="63"/>
      <c r="L63" s="63"/>
      <c r="M63" s="63"/>
      <c r="N63" s="63"/>
      <c r="O63" s="63"/>
      <c r="P63" s="63"/>
      <c r="Q63" s="63"/>
      <c r="R63" s="63"/>
      <c r="S63" s="247"/>
      <c r="T63" s="243">
        <f t="shared" si="10"/>
        <v>21</v>
      </c>
      <c r="U63" s="93">
        <f t="shared" si="9"/>
        <v>1.0714285714285714E-2</v>
      </c>
      <c r="V63" s="203" t="s">
        <v>8</v>
      </c>
      <c r="W63" s="342" t="s">
        <v>286</v>
      </c>
    </row>
    <row r="64" spans="1:23" ht="15.75" x14ac:dyDescent="0.25">
      <c r="A64" s="96"/>
      <c r="B64" s="97"/>
      <c r="C64" s="97"/>
      <c r="D64" s="97"/>
      <c r="E64" s="97"/>
      <c r="F64" s="104"/>
      <c r="G64" s="98"/>
      <c r="H64" s="99"/>
      <c r="I64" s="214">
        <v>1</v>
      </c>
      <c r="J64" s="63"/>
      <c r="K64" s="63"/>
      <c r="L64" s="63"/>
      <c r="M64" s="63"/>
      <c r="N64" s="63"/>
      <c r="O64" s="63"/>
      <c r="P64" s="63"/>
      <c r="Q64" s="63"/>
      <c r="R64" s="63"/>
      <c r="S64" s="247"/>
      <c r="T64" s="243">
        <f t="shared" si="10"/>
        <v>0</v>
      </c>
      <c r="U64" s="93">
        <f t="shared" si="9"/>
        <v>0</v>
      </c>
      <c r="V64" s="449" t="s">
        <v>91</v>
      </c>
      <c r="W64" s="342"/>
    </row>
    <row r="65" spans="1:23" ht="15.75" x14ac:dyDescent="0.25">
      <c r="A65" s="96"/>
      <c r="B65" s="97"/>
      <c r="C65" s="97"/>
      <c r="D65" s="97"/>
      <c r="E65" s="97"/>
      <c r="F65" s="104"/>
      <c r="G65" s="98"/>
      <c r="H65" s="99"/>
      <c r="I65" s="214">
        <v>5</v>
      </c>
      <c r="J65" s="63"/>
      <c r="K65" s="63"/>
      <c r="L65" s="63"/>
      <c r="M65" s="63"/>
      <c r="N65" s="63"/>
      <c r="O65" s="63"/>
      <c r="P65" s="63"/>
      <c r="Q65" s="63"/>
      <c r="R65" s="63"/>
      <c r="S65" s="247"/>
      <c r="T65" s="243">
        <f t="shared" si="10"/>
        <v>0</v>
      </c>
      <c r="U65" s="93">
        <f t="shared" si="9"/>
        <v>0</v>
      </c>
      <c r="V65" s="203" t="s">
        <v>76</v>
      </c>
      <c r="W65" s="342"/>
    </row>
    <row r="66" spans="1:23" ht="15.75" x14ac:dyDescent="0.25">
      <c r="A66" s="96"/>
      <c r="B66" s="97"/>
      <c r="C66" s="97"/>
      <c r="D66" s="97"/>
      <c r="E66" s="104"/>
      <c r="F66" s="104"/>
      <c r="G66" s="98"/>
      <c r="H66" s="99"/>
      <c r="I66" s="214">
        <v>12</v>
      </c>
      <c r="J66" s="63">
        <v>1</v>
      </c>
      <c r="K66" s="63"/>
      <c r="L66" s="63"/>
      <c r="M66" s="63"/>
      <c r="N66" s="63"/>
      <c r="O66" s="63"/>
      <c r="P66" s="63"/>
      <c r="Q66" s="63"/>
      <c r="R66" s="63"/>
      <c r="S66" s="247"/>
      <c r="T66" s="243">
        <f t="shared" si="10"/>
        <v>1</v>
      </c>
      <c r="U66" s="93">
        <f t="shared" si="9"/>
        <v>5.1020408163265311E-4</v>
      </c>
      <c r="V66" s="203" t="s">
        <v>12</v>
      </c>
      <c r="W66" s="321"/>
    </row>
    <row r="67" spans="1:23" ht="15.75" x14ac:dyDescent="0.25">
      <c r="A67" s="96"/>
      <c r="B67" s="97"/>
      <c r="C67" s="97"/>
      <c r="D67" s="97"/>
      <c r="E67" s="104"/>
      <c r="F67" s="104"/>
      <c r="G67" s="98"/>
      <c r="H67" s="99"/>
      <c r="I67" s="63">
        <v>10</v>
      </c>
      <c r="J67" s="63">
        <v>1</v>
      </c>
      <c r="K67" s="63"/>
      <c r="L67" s="63"/>
      <c r="M67" s="63"/>
      <c r="N67" s="63"/>
      <c r="O67" s="63"/>
      <c r="P67" s="63"/>
      <c r="Q67" s="63"/>
      <c r="R67" s="63"/>
      <c r="S67" s="247"/>
      <c r="T67" s="243">
        <f t="shared" si="10"/>
        <v>1</v>
      </c>
      <c r="U67" s="93">
        <f t="shared" si="9"/>
        <v>5.1020408163265311E-4</v>
      </c>
      <c r="V67" s="204" t="s">
        <v>157</v>
      </c>
      <c r="W67" s="450"/>
    </row>
    <row r="68" spans="1:23" ht="15.75" x14ac:dyDescent="0.25">
      <c r="A68" s="96"/>
      <c r="B68" s="97"/>
      <c r="C68" s="97"/>
      <c r="D68" s="97"/>
      <c r="E68" s="104"/>
      <c r="F68" s="104"/>
      <c r="G68" s="98"/>
      <c r="H68" s="99"/>
      <c r="I68" s="63">
        <v>1</v>
      </c>
      <c r="J68" s="63"/>
      <c r="K68" s="63"/>
      <c r="L68" s="63"/>
      <c r="M68" s="63"/>
      <c r="N68" s="63"/>
      <c r="O68" s="63"/>
      <c r="P68" s="63"/>
      <c r="Q68" s="63"/>
      <c r="R68" s="63"/>
      <c r="S68" s="247">
        <v>1</v>
      </c>
      <c r="T68" s="243">
        <f t="shared" si="10"/>
        <v>1</v>
      </c>
      <c r="U68" s="93">
        <f t="shared" si="9"/>
        <v>5.1020408163265311E-4</v>
      </c>
      <c r="V68" s="204" t="s">
        <v>221</v>
      </c>
      <c r="W68" s="321"/>
    </row>
    <row r="69" spans="1:23" ht="16.5" thickBot="1" x14ac:dyDescent="0.3">
      <c r="A69" s="96"/>
      <c r="B69" s="97"/>
      <c r="C69" s="97"/>
      <c r="D69" s="97"/>
      <c r="E69" s="104"/>
      <c r="F69" s="104"/>
      <c r="G69" s="98"/>
      <c r="H69" s="107"/>
      <c r="I69" s="100">
        <v>1</v>
      </c>
      <c r="J69" s="100"/>
      <c r="K69" s="100"/>
      <c r="L69" s="100"/>
      <c r="M69" s="100"/>
      <c r="N69" s="100"/>
      <c r="O69" s="100"/>
      <c r="P69" s="100"/>
      <c r="Q69" s="100"/>
      <c r="R69" s="100"/>
      <c r="S69" s="250"/>
      <c r="T69" s="244">
        <f t="shared" si="10"/>
        <v>0</v>
      </c>
      <c r="U69" s="294">
        <f>($T69)/$D$43</f>
        <v>0</v>
      </c>
      <c r="V69" s="345" t="s">
        <v>9</v>
      </c>
      <c r="W69" s="321"/>
    </row>
    <row r="70" spans="1:23" ht="16.5" thickBot="1" x14ac:dyDescent="0.3">
      <c r="A70" s="96"/>
      <c r="B70" s="97"/>
      <c r="C70" s="97"/>
      <c r="D70" s="97"/>
      <c r="E70" s="104"/>
      <c r="F70" s="104"/>
      <c r="G70" s="98"/>
      <c r="H70" s="82"/>
      <c r="I70" s="83"/>
      <c r="J70" s="236"/>
      <c r="K70" s="83"/>
      <c r="L70" s="83"/>
      <c r="M70" s="83"/>
      <c r="N70" s="83" t="s">
        <v>291</v>
      </c>
      <c r="O70" s="83"/>
      <c r="P70" s="83"/>
      <c r="Q70" s="83"/>
      <c r="R70" s="83"/>
      <c r="S70" s="83"/>
      <c r="T70" s="242"/>
      <c r="U70" s="242"/>
      <c r="V70" s="208" t="s">
        <v>148</v>
      </c>
      <c r="W70" s="321"/>
    </row>
    <row r="71" spans="1:23" ht="15.75" x14ac:dyDescent="0.25">
      <c r="A71" s="96"/>
      <c r="B71" s="97"/>
      <c r="C71" s="97"/>
      <c r="D71" s="97"/>
      <c r="E71" s="104"/>
      <c r="F71" s="104"/>
      <c r="G71" s="109"/>
      <c r="H71" s="90">
        <v>1</v>
      </c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246"/>
      <c r="T71" s="245">
        <f t="shared" ref="T71:T79" si="11">SUM(H71,J71,L71,N71,P71,R71,S71)</f>
        <v>1</v>
      </c>
      <c r="U71" s="183">
        <f>($T71)/$D$43</f>
        <v>5.1020408163265311E-4</v>
      </c>
      <c r="V71" s="202" t="s">
        <v>34</v>
      </c>
      <c r="W71" s="342"/>
    </row>
    <row r="72" spans="1:23" ht="15.75" x14ac:dyDescent="0.25">
      <c r="A72" s="96"/>
      <c r="B72" s="97"/>
      <c r="C72" s="97"/>
      <c r="D72" s="97"/>
      <c r="E72" s="104"/>
      <c r="F72" s="104"/>
      <c r="G72" s="109"/>
      <c r="H72" s="99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247"/>
      <c r="T72" s="243">
        <f t="shared" si="11"/>
        <v>0</v>
      </c>
      <c r="U72" s="93">
        <f t="shared" ref="U72:U78" si="12">($T72)/$D$43</f>
        <v>0</v>
      </c>
      <c r="V72" s="203" t="s">
        <v>82</v>
      </c>
      <c r="W72" s="321"/>
    </row>
    <row r="73" spans="1:23" x14ac:dyDescent="0.25">
      <c r="A73" s="96"/>
      <c r="B73" s="97"/>
      <c r="C73" s="97"/>
      <c r="D73" s="97"/>
      <c r="E73" s="104"/>
      <c r="F73" s="104"/>
      <c r="G73" s="109"/>
      <c r="H73" s="99">
        <v>1</v>
      </c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247"/>
      <c r="T73" s="243">
        <f t="shared" si="11"/>
        <v>1</v>
      </c>
      <c r="U73" s="93">
        <f t="shared" si="12"/>
        <v>5.1020408163265311E-4</v>
      </c>
      <c r="V73" s="343" t="s">
        <v>255</v>
      </c>
      <c r="W73" s="342"/>
    </row>
    <row r="74" spans="1:23" ht="15.75" x14ac:dyDescent="0.25">
      <c r="A74" s="96"/>
      <c r="B74" s="97"/>
      <c r="C74" s="97"/>
      <c r="D74" s="97"/>
      <c r="E74" s="104"/>
      <c r="F74" s="104"/>
      <c r="G74" s="109"/>
      <c r="H74" s="99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247"/>
      <c r="T74" s="243">
        <f t="shared" si="11"/>
        <v>0</v>
      </c>
      <c r="U74" s="93">
        <f t="shared" si="12"/>
        <v>0</v>
      </c>
      <c r="V74" s="203" t="s">
        <v>70</v>
      </c>
      <c r="W74" s="321" t="s">
        <v>288</v>
      </c>
    </row>
    <row r="75" spans="1:23" ht="15.75" x14ac:dyDescent="0.25">
      <c r="A75" s="96"/>
      <c r="B75" s="97"/>
      <c r="C75" s="97"/>
      <c r="D75" s="97"/>
      <c r="E75" s="104"/>
      <c r="F75" s="104"/>
      <c r="G75" s="109"/>
      <c r="H75" s="99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247"/>
      <c r="T75" s="243">
        <f t="shared" si="11"/>
        <v>0</v>
      </c>
      <c r="U75" s="93">
        <f t="shared" si="12"/>
        <v>0</v>
      </c>
      <c r="V75" s="204" t="s">
        <v>83</v>
      </c>
      <c r="W75" s="321" t="s">
        <v>287</v>
      </c>
    </row>
    <row r="76" spans="1:23" ht="15.75" x14ac:dyDescent="0.25">
      <c r="A76" s="96"/>
      <c r="B76" s="97"/>
      <c r="C76" s="97"/>
      <c r="D76" s="97"/>
      <c r="E76" s="104"/>
      <c r="F76" s="104"/>
      <c r="G76" s="109"/>
      <c r="H76" s="99">
        <v>1</v>
      </c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247"/>
      <c r="T76" s="243">
        <f t="shared" si="11"/>
        <v>1</v>
      </c>
      <c r="U76" s="93">
        <f t="shared" si="12"/>
        <v>5.1020408163265311E-4</v>
      </c>
      <c r="V76" s="204" t="s">
        <v>25</v>
      </c>
      <c r="W76" s="321" t="s">
        <v>289</v>
      </c>
    </row>
    <row r="77" spans="1:23" ht="15.75" x14ac:dyDescent="0.25">
      <c r="A77" s="96"/>
      <c r="B77" s="97"/>
      <c r="C77" s="97"/>
      <c r="D77" s="97"/>
      <c r="E77" s="104"/>
      <c r="F77" s="104"/>
      <c r="G77" s="109"/>
      <c r="H77" s="107">
        <v>5</v>
      </c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250"/>
      <c r="T77" s="243">
        <f t="shared" si="11"/>
        <v>5</v>
      </c>
      <c r="U77" s="93">
        <f t="shared" si="12"/>
        <v>2.5510204081632651E-3</v>
      </c>
      <c r="V77" s="207" t="s">
        <v>222</v>
      </c>
      <c r="W77" s="321"/>
    </row>
    <row r="78" spans="1:23" ht="15.75" x14ac:dyDescent="0.25">
      <c r="A78" s="96"/>
      <c r="B78" s="97"/>
      <c r="C78" s="97"/>
      <c r="D78" s="97"/>
      <c r="E78" s="104"/>
      <c r="F78" s="104"/>
      <c r="G78" s="109"/>
      <c r="H78" s="107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250"/>
      <c r="T78" s="243">
        <f t="shared" si="11"/>
        <v>0</v>
      </c>
      <c r="U78" s="93">
        <f t="shared" si="12"/>
        <v>0</v>
      </c>
      <c r="V78" s="203" t="s">
        <v>12</v>
      </c>
      <c r="W78" s="344"/>
    </row>
    <row r="79" spans="1:23" ht="16.5" thickBot="1" x14ac:dyDescent="0.3">
      <c r="A79" s="117"/>
      <c r="B79" s="118"/>
      <c r="C79" s="118"/>
      <c r="D79" s="118"/>
      <c r="E79" s="119"/>
      <c r="F79" s="119"/>
      <c r="G79" s="120"/>
      <c r="H79" s="107">
        <v>2</v>
      </c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250"/>
      <c r="T79" s="243">
        <f t="shared" si="11"/>
        <v>2</v>
      </c>
      <c r="U79" s="294">
        <f>($T79)/$D$43</f>
        <v>1.0204081632653062E-3</v>
      </c>
      <c r="V79" s="205" t="s">
        <v>145</v>
      </c>
      <c r="W79" s="340"/>
    </row>
    <row r="80" spans="1:23" ht="15.75" thickBot="1" x14ac:dyDescent="0.3">
      <c r="A80" s="122"/>
      <c r="B80" s="122"/>
      <c r="C80" s="122"/>
      <c r="D80" s="122"/>
      <c r="E80" s="122"/>
      <c r="F80" s="122"/>
      <c r="G80" s="47" t="s">
        <v>4</v>
      </c>
      <c r="H80" s="123">
        <f t="shared" ref="H80:S80" si="13">SUM(H44:H79)</f>
        <v>40</v>
      </c>
      <c r="I80" s="123">
        <f t="shared" si="13"/>
        <v>93</v>
      </c>
      <c r="J80" s="123">
        <f t="shared" si="13"/>
        <v>55</v>
      </c>
      <c r="K80" s="123">
        <f t="shared" si="13"/>
        <v>0</v>
      </c>
      <c r="L80" s="123">
        <f t="shared" si="13"/>
        <v>0</v>
      </c>
      <c r="M80" s="123">
        <f t="shared" si="13"/>
        <v>0</v>
      </c>
      <c r="N80" s="123">
        <f t="shared" si="13"/>
        <v>0</v>
      </c>
      <c r="O80" s="123">
        <f t="shared" si="13"/>
        <v>0</v>
      </c>
      <c r="P80" s="123">
        <f t="shared" si="13"/>
        <v>0</v>
      </c>
      <c r="Q80" s="123">
        <f t="shared" si="13"/>
        <v>0</v>
      </c>
      <c r="R80" s="123">
        <f t="shared" si="13"/>
        <v>0</v>
      </c>
      <c r="S80" s="123">
        <f t="shared" si="13"/>
        <v>9</v>
      </c>
      <c r="T80" s="198">
        <f>SUM(H80,J80,L80,N80,P80,R80,S80)</f>
        <v>104</v>
      </c>
      <c r="U80" s="327">
        <f>($T80)/$D$43</f>
        <v>5.3061224489795916E-2</v>
      </c>
      <c r="V80" s="40"/>
    </row>
    <row r="82" spans="1:23" ht="15.75" thickBot="1" x14ac:dyDescent="0.3"/>
    <row r="83" spans="1:23" ht="75.75" thickBot="1" x14ac:dyDescent="0.3">
      <c r="A83" s="42" t="s">
        <v>22</v>
      </c>
      <c r="B83" s="42" t="s">
        <v>46</v>
      </c>
      <c r="C83" s="43" t="s">
        <v>51</v>
      </c>
      <c r="D83" s="43" t="s">
        <v>17</v>
      </c>
      <c r="E83" s="42" t="s">
        <v>16</v>
      </c>
      <c r="F83" s="44" t="s">
        <v>1</v>
      </c>
      <c r="G83" s="45" t="s">
        <v>23</v>
      </c>
      <c r="H83" s="46" t="s">
        <v>71</v>
      </c>
      <c r="I83" s="46" t="s">
        <v>72</v>
      </c>
      <c r="J83" s="46" t="s">
        <v>52</v>
      </c>
      <c r="K83" s="46" t="s">
        <v>57</v>
      </c>
      <c r="L83" s="46" t="s">
        <v>53</v>
      </c>
      <c r="M83" s="46" t="s">
        <v>58</v>
      </c>
      <c r="N83" s="46" t="s">
        <v>54</v>
      </c>
      <c r="O83" s="46" t="s">
        <v>59</v>
      </c>
      <c r="P83" s="46" t="s">
        <v>55</v>
      </c>
      <c r="Q83" s="46" t="s">
        <v>73</v>
      </c>
      <c r="R83" s="46" t="s">
        <v>112</v>
      </c>
      <c r="S83" s="46" t="s">
        <v>40</v>
      </c>
      <c r="T83" s="46" t="s">
        <v>4</v>
      </c>
      <c r="U83" s="42" t="s">
        <v>2</v>
      </c>
      <c r="V83" s="80" t="s">
        <v>20</v>
      </c>
      <c r="W83" s="81" t="s">
        <v>6</v>
      </c>
    </row>
    <row r="84" spans="1:23" ht="15.75" thickBot="1" x14ac:dyDescent="0.3">
      <c r="A84" s="311">
        <v>1527169</v>
      </c>
      <c r="B84" s="209" t="s">
        <v>275</v>
      </c>
      <c r="C84" s="311">
        <v>1920</v>
      </c>
      <c r="D84" s="311">
        <v>2506</v>
      </c>
      <c r="E84" s="316">
        <v>1880</v>
      </c>
      <c r="F84" s="317">
        <f>E84/D84</f>
        <v>0.75019952114924182</v>
      </c>
      <c r="G84" s="48">
        <v>45495</v>
      </c>
      <c r="H84" s="82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4"/>
      <c r="T84" s="291"/>
      <c r="U84" s="115"/>
      <c r="V84" s="86" t="s">
        <v>74</v>
      </c>
      <c r="W84" s="341" t="s">
        <v>69</v>
      </c>
    </row>
    <row r="85" spans="1:23" ht="16.5" thickBot="1" x14ac:dyDescent="0.3">
      <c r="A85" s="87"/>
      <c r="B85" s="88"/>
      <c r="C85" s="88"/>
      <c r="D85" s="88"/>
      <c r="E85" s="88"/>
      <c r="F85" s="88"/>
      <c r="G85" s="89"/>
      <c r="H85" s="90"/>
      <c r="I85" s="91"/>
      <c r="J85" s="91">
        <v>1</v>
      </c>
      <c r="K85" s="91"/>
      <c r="L85" s="91"/>
      <c r="M85" s="91"/>
      <c r="N85" s="91"/>
      <c r="O85" s="91"/>
      <c r="P85" s="91"/>
      <c r="Q85" s="91"/>
      <c r="R85" s="91"/>
      <c r="S85" s="246"/>
      <c r="T85" s="245">
        <f>SUM(H85,J85,L85,N85,P85,R85,S85)</f>
        <v>1</v>
      </c>
      <c r="U85" s="337">
        <f>($T85)/$D$84</f>
        <v>3.9904229848363929E-4</v>
      </c>
      <c r="V85" s="202" t="s">
        <v>15</v>
      </c>
      <c r="W85" s="210" t="s">
        <v>277</v>
      </c>
    </row>
    <row r="86" spans="1:23" ht="15.75" x14ac:dyDescent="0.25">
      <c r="A86" s="579" t="s">
        <v>225</v>
      </c>
      <c r="B86" s="580"/>
      <c r="C86" s="580"/>
      <c r="D86" s="580"/>
      <c r="E86" s="580"/>
      <c r="F86" s="580"/>
      <c r="G86" s="581"/>
      <c r="H86" s="99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247"/>
      <c r="T86" s="243">
        <f t="shared" ref="T86:T100" si="14">SUM(H86,J86,L86,N86,P86,R86,S86)</f>
        <v>0</v>
      </c>
      <c r="U86" s="93">
        <f>($T86)/$D$84</f>
        <v>0</v>
      </c>
      <c r="V86" s="203" t="s">
        <v>42</v>
      </c>
      <c r="W86" s="339"/>
    </row>
    <row r="87" spans="1:23" ht="15.75" x14ac:dyDescent="0.25">
      <c r="A87" s="582" t="s">
        <v>226</v>
      </c>
      <c r="B87" s="583"/>
      <c r="C87" s="583"/>
      <c r="D87" s="583"/>
      <c r="E87" s="583"/>
      <c r="F87" s="584"/>
      <c r="G87" s="456">
        <v>580</v>
      </c>
      <c r="H87" s="110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247"/>
      <c r="T87" s="243">
        <f t="shared" si="14"/>
        <v>0</v>
      </c>
      <c r="U87" s="93">
        <f t="shared" ref="U87:U98" si="15">($T87)/$D$84</f>
        <v>0</v>
      </c>
      <c r="V87" s="203" t="s">
        <v>5</v>
      </c>
      <c r="W87" s="240"/>
    </row>
    <row r="88" spans="1:23" ht="15.75" x14ac:dyDescent="0.25">
      <c r="A88" s="582" t="s">
        <v>227</v>
      </c>
      <c r="B88" s="583"/>
      <c r="C88" s="583"/>
      <c r="D88" s="583"/>
      <c r="E88" s="583"/>
      <c r="F88" s="584"/>
      <c r="G88" s="456">
        <v>576</v>
      </c>
      <c r="H88" s="110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247"/>
      <c r="T88" s="243">
        <f t="shared" si="14"/>
        <v>0</v>
      </c>
      <c r="U88" s="93">
        <f t="shared" si="15"/>
        <v>0</v>
      </c>
      <c r="V88" s="203" t="s">
        <v>13</v>
      </c>
      <c r="W88" s="306"/>
    </row>
    <row r="89" spans="1:23" ht="15.75" x14ac:dyDescent="0.25">
      <c r="A89" s="582" t="s">
        <v>228</v>
      </c>
      <c r="B89" s="583"/>
      <c r="C89" s="583"/>
      <c r="D89" s="583"/>
      <c r="E89" s="583"/>
      <c r="F89" s="584"/>
      <c r="G89" s="457">
        <f>G87-G88</f>
        <v>4</v>
      </c>
      <c r="H89" s="110">
        <v>576</v>
      </c>
      <c r="I89" s="63"/>
      <c r="J89" s="63">
        <v>2</v>
      </c>
      <c r="K89" s="63"/>
      <c r="L89" s="63"/>
      <c r="M89" s="63"/>
      <c r="N89" s="63"/>
      <c r="O89" s="63"/>
      <c r="P89" s="63"/>
      <c r="Q89" s="63"/>
      <c r="R89" s="63"/>
      <c r="S89" s="247"/>
      <c r="T89" s="243">
        <f t="shared" si="14"/>
        <v>578</v>
      </c>
      <c r="U89" s="93">
        <f t="shared" si="15"/>
        <v>0.23064644852354349</v>
      </c>
      <c r="V89" s="203" t="s">
        <v>14</v>
      </c>
      <c r="W89" s="306"/>
    </row>
    <row r="90" spans="1:23" ht="15.75" x14ac:dyDescent="0.25">
      <c r="A90" s="582" t="s">
        <v>229</v>
      </c>
      <c r="B90" s="583"/>
      <c r="C90" s="583"/>
      <c r="D90" s="583"/>
      <c r="E90" s="583"/>
      <c r="F90" s="584"/>
      <c r="G90" s="458">
        <f>G89/G87</f>
        <v>6.8965517241379309E-3</v>
      </c>
      <c r="H90" s="110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247"/>
      <c r="T90" s="243">
        <f t="shared" si="14"/>
        <v>0</v>
      </c>
      <c r="U90" s="93">
        <f t="shared" si="15"/>
        <v>0</v>
      </c>
      <c r="V90" s="203" t="s">
        <v>29</v>
      </c>
      <c r="W90" s="105"/>
    </row>
    <row r="91" spans="1:23" ht="15.75" x14ac:dyDescent="0.25">
      <c r="A91" s="96"/>
      <c r="B91" s="97"/>
      <c r="C91" s="97"/>
      <c r="D91" s="97"/>
      <c r="E91" s="104"/>
      <c r="F91" s="104"/>
      <c r="G91" s="98"/>
      <c r="H91" s="99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247"/>
      <c r="T91" s="243">
        <f t="shared" si="14"/>
        <v>0</v>
      </c>
      <c r="U91" s="93">
        <f t="shared" si="15"/>
        <v>0</v>
      </c>
      <c r="V91" s="203" t="s">
        <v>30</v>
      </c>
      <c r="W91" s="318"/>
    </row>
    <row r="92" spans="1:23" ht="15.75" x14ac:dyDescent="0.25">
      <c r="A92" s="96"/>
      <c r="B92" s="97"/>
      <c r="C92" s="97"/>
      <c r="D92" s="97"/>
      <c r="E92" s="104"/>
      <c r="F92" s="104"/>
      <c r="G92" s="98"/>
      <c r="H92" s="99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247"/>
      <c r="T92" s="243">
        <f t="shared" si="14"/>
        <v>0</v>
      </c>
      <c r="U92" s="93">
        <f>($T92)/$D$84</f>
        <v>0</v>
      </c>
      <c r="V92" s="203" t="s">
        <v>159</v>
      </c>
      <c r="W92" s="105"/>
    </row>
    <row r="93" spans="1:23" ht="15.75" x14ac:dyDescent="0.25">
      <c r="A93" s="96"/>
      <c r="B93" s="97"/>
      <c r="C93" s="97"/>
      <c r="D93" s="97"/>
      <c r="E93" s="104"/>
      <c r="F93" s="104"/>
      <c r="G93" s="98"/>
      <c r="H93" s="99">
        <v>1</v>
      </c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247"/>
      <c r="T93" s="243">
        <f t="shared" si="14"/>
        <v>1</v>
      </c>
      <c r="U93" s="93">
        <f t="shared" si="15"/>
        <v>3.9904229848363929E-4</v>
      </c>
      <c r="V93" s="204" t="s">
        <v>176</v>
      </c>
      <c r="W93" s="342"/>
    </row>
    <row r="94" spans="1:23" ht="15.75" x14ac:dyDescent="0.25">
      <c r="A94" s="96"/>
      <c r="B94" s="97"/>
      <c r="C94" s="97"/>
      <c r="D94" s="97"/>
      <c r="E94" s="104"/>
      <c r="F94" s="104"/>
      <c r="G94" s="98"/>
      <c r="H94" s="99"/>
      <c r="I94" s="63"/>
      <c r="J94" s="63">
        <v>1</v>
      </c>
      <c r="K94" s="63"/>
      <c r="L94" s="63"/>
      <c r="M94" s="63"/>
      <c r="N94" s="63"/>
      <c r="O94" s="63"/>
      <c r="P94" s="63"/>
      <c r="Q94" s="63"/>
      <c r="R94" s="63"/>
      <c r="S94" s="247">
        <v>3</v>
      </c>
      <c r="T94" s="243">
        <f t="shared" si="14"/>
        <v>4</v>
      </c>
      <c r="U94" s="93">
        <f>($T94)/$D$84</f>
        <v>1.5961691939345571E-3</v>
      </c>
      <c r="V94" s="203" t="s">
        <v>0</v>
      </c>
      <c r="W94" s="342"/>
    </row>
    <row r="95" spans="1:23" ht="15.75" x14ac:dyDescent="0.25">
      <c r="A95" s="96"/>
      <c r="B95" s="97"/>
      <c r="C95" s="97"/>
      <c r="D95" s="97"/>
      <c r="E95" s="104"/>
      <c r="F95" s="104" t="s">
        <v>98</v>
      </c>
      <c r="G95" s="98"/>
      <c r="H95" s="99">
        <v>4</v>
      </c>
      <c r="I95" s="63"/>
      <c r="J95" s="63">
        <v>2</v>
      </c>
      <c r="K95" s="63"/>
      <c r="L95" s="63"/>
      <c r="M95" s="63"/>
      <c r="N95" s="63"/>
      <c r="O95" s="63"/>
      <c r="P95" s="63"/>
      <c r="Q95" s="63"/>
      <c r="R95" s="63"/>
      <c r="S95" s="247"/>
      <c r="T95" s="243">
        <f t="shared" si="14"/>
        <v>6</v>
      </c>
      <c r="U95" s="93">
        <f t="shared" si="15"/>
        <v>2.3942537909018356E-3</v>
      </c>
      <c r="V95" s="203" t="s">
        <v>11</v>
      </c>
      <c r="W95" s="321"/>
    </row>
    <row r="96" spans="1:23" ht="15.75" x14ac:dyDescent="0.25">
      <c r="A96" s="96"/>
      <c r="B96" s="97"/>
      <c r="C96" s="97"/>
      <c r="D96" s="97"/>
      <c r="E96" s="104"/>
      <c r="F96" s="104"/>
      <c r="G96" s="98"/>
      <c r="H96" s="99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247"/>
      <c r="T96" s="243">
        <f t="shared" si="14"/>
        <v>0</v>
      </c>
      <c r="U96" s="93">
        <f t="shared" si="15"/>
        <v>0</v>
      </c>
      <c r="V96" s="203" t="s">
        <v>32</v>
      </c>
      <c r="W96" s="342"/>
    </row>
    <row r="97" spans="1:23" ht="15.75" x14ac:dyDescent="0.25">
      <c r="A97" s="96"/>
      <c r="B97" s="97"/>
      <c r="C97" s="97"/>
      <c r="D97" s="97"/>
      <c r="E97" s="104"/>
      <c r="F97" s="104"/>
      <c r="G97" s="109"/>
      <c r="H97" s="110"/>
      <c r="I97" s="63"/>
      <c r="J97" s="63">
        <v>5</v>
      </c>
      <c r="K97" s="63"/>
      <c r="L97" s="63"/>
      <c r="M97" s="63"/>
      <c r="N97" s="63"/>
      <c r="O97" s="63"/>
      <c r="P97" s="63"/>
      <c r="Q97" s="63"/>
      <c r="R97" s="63"/>
      <c r="S97" s="247"/>
      <c r="T97" s="243">
        <f t="shared" si="14"/>
        <v>5</v>
      </c>
      <c r="U97" s="93">
        <f t="shared" si="15"/>
        <v>1.9952114924181963E-3</v>
      </c>
      <c r="V97" s="204" t="s">
        <v>26</v>
      </c>
      <c r="W97" s="212"/>
    </row>
    <row r="98" spans="1:23" ht="15.75" x14ac:dyDescent="0.25">
      <c r="A98" s="96"/>
      <c r="B98" s="97"/>
      <c r="C98" s="97"/>
      <c r="D98" s="97"/>
      <c r="E98" s="104"/>
      <c r="F98" s="104"/>
      <c r="G98" s="109"/>
      <c r="H98" s="110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247"/>
      <c r="T98" s="243">
        <f t="shared" si="14"/>
        <v>0</v>
      </c>
      <c r="U98" s="93">
        <f t="shared" si="15"/>
        <v>0</v>
      </c>
      <c r="V98" s="204" t="s">
        <v>84</v>
      </c>
      <c r="W98" s="103"/>
    </row>
    <row r="99" spans="1:23" ht="16.5" thickBot="1" x14ac:dyDescent="0.3">
      <c r="A99" s="96"/>
      <c r="B99" s="97"/>
      <c r="C99" s="97"/>
      <c r="D99" s="97"/>
      <c r="E99" s="104"/>
      <c r="F99" s="104"/>
      <c r="G99" s="109"/>
      <c r="H99" s="186"/>
      <c r="I99" s="187"/>
      <c r="J99" s="187">
        <v>7</v>
      </c>
      <c r="K99" s="187"/>
      <c r="L99" s="187"/>
      <c r="M99" s="187"/>
      <c r="N99" s="187"/>
      <c r="O99" s="187"/>
      <c r="P99" s="187"/>
      <c r="Q99" s="187"/>
      <c r="R99" s="187"/>
      <c r="S99" s="248"/>
      <c r="T99" s="244">
        <f t="shared" si="14"/>
        <v>7</v>
      </c>
      <c r="U99" s="241">
        <f>($T99)/$D$84</f>
        <v>2.7932960893854749E-3</v>
      </c>
      <c r="V99" s="205" t="s">
        <v>278</v>
      </c>
      <c r="W99" s="212"/>
    </row>
    <row r="100" spans="1:23" ht="15.75" x14ac:dyDescent="0.25">
      <c r="A100" s="96"/>
      <c r="B100" s="97"/>
      <c r="C100" s="97"/>
      <c r="D100" s="97"/>
      <c r="E100" s="104"/>
      <c r="F100" s="104"/>
      <c r="G100" s="98"/>
      <c r="H100" s="90"/>
      <c r="I100" s="111">
        <v>1</v>
      </c>
      <c r="J100" s="111"/>
      <c r="K100" s="111"/>
      <c r="L100" s="111"/>
      <c r="M100" s="111"/>
      <c r="N100" s="111"/>
      <c r="O100" s="111"/>
      <c r="P100" s="111"/>
      <c r="Q100" s="111"/>
      <c r="R100" s="111"/>
      <c r="S100" s="249"/>
      <c r="T100" s="245">
        <f t="shared" si="14"/>
        <v>0</v>
      </c>
      <c r="U100" s="183">
        <f>($T100)/$D$84</f>
        <v>0</v>
      </c>
      <c r="V100" s="206" t="s">
        <v>10</v>
      </c>
      <c r="W100" s="106"/>
    </row>
    <row r="101" spans="1:23" ht="15.75" x14ac:dyDescent="0.25">
      <c r="A101" s="96"/>
      <c r="B101" s="97"/>
      <c r="C101" s="97"/>
      <c r="D101" s="97"/>
      <c r="E101" s="104"/>
      <c r="F101" s="104"/>
      <c r="G101" s="98"/>
      <c r="H101" s="99"/>
      <c r="I101" s="213"/>
      <c r="J101" s="63"/>
      <c r="K101" s="63"/>
      <c r="L101" s="63"/>
      <c r="M101" s="63"/>
      <c r="N101" s="63"/>
      <c r="O101" s="63"/>
      <c r="P101" s="63"/>
      <c r="Q101" s="63"/>
      <c r="R101" s="63"/>
      <c r="S101" s="247"/>
      <c r="T101" s="243">
        <f>SUM(H101,J101,L101,N101,P101,R101,S101)</f>
        <v>0</v>
      </c>
      <c r="U101" s="93">
        <f>($T101)/$D$84</f>
        <v>0</v>
      </c>
      <c r="V101" s="325" t="s">
        <v>93</v>
      </c>
      <c r="W101" s="342"/>
    </row>
    <row r="102" spans="1:23" ht="15.75" x14ac:dyDescent="0.25">
      <c r="A102" s="96"/>
      <c r="B102" s="97"/>
      <c r="C102" s="97"/>
      <c r="D102" s="97"/>
      <c r="E102" s="104"/>
      <c r="F102" s="104"/>
      <c r="G102" s="98"/>
      <c r="H102" s="99"/>
      <c r="I102" s="214"/>
      <c r="J102" s="63"/>
      <c r="K102" s="63"/>
      <c r="L102" s="63"/>
      <c r="M102" s="63"/>
      <c r="N102" s="63"/>
      <c r="O102" s="63"/>
      <c r="P102" s="63"/>
      <c r="Q102" s="63"/>
      <c r="R102" s="63"/>
      <c r="S102" s="247">
        <v>4</v>
      </c>
      <c r="T102" s="243">
        <f>SUM(H102,J102,L102,N102,P102,R102,S102)</f>
        <v>4</v>
      </c>
      <c r="U102" s="93">
        <f t="shared" ref="U102:U109" si="16">($T102)/$D$84</f>
        <v>1.5961691939345571E-3</v>
      </c>
      <c r="V102" s="203" t="s">
        <v>3</v>
      </c>
      <c r="W102" s="342" t="s">
        <v>173</v>
      </c>
    </row>
    <row r="103" spans="1:23" ht="15.75" x14ac:dyDescent="0.25">
      <c r="A103" s="96"/>
      <c r="B103" s="97"/>
      <c r="C103" s="97"/>
      <c r="D103" s="97"/>
      <c r="E103" s="97"/>
      <c r="F103" s="104"/>
      <c r="G103" s="98"/>
      <c r="H103" s="99"/>
      <c r="I103" s="214">
        <v>2</v>
      </c>
      <c r="J103" s="63">
        <v>1</v>
      </c>
      <c r="K103" s="63"/>
      <c r="L103" s="63"/>
      <c r="M103" s="63"/>
      <c r="N103" s="63"/>
      <c r="O103" s="63"/>
      <c r="P103" s="63"/>
      <c r="Q103" s="63"/>
      <c r="R103" s="63"/>
      <c r="S103" s="247"/>
      <c r="T103" s="243">
        <f t="shared" ref="T103:T110" si="17">SUM(H103,J103,L103,N103,P103,R103,S103)</f>
        <v>1</v>
      </c>
      <c r="U103" s="93">
        <f t="shared" si="16"/>
        <v>3.9904229848363929E-4</v>
      </c>
      <c r="V103" s="203" t="s">
        <v>7</v>
      </c>
      <c r="W103" s="342" t="s">
        <v>315</v>
      </c>
    </row>
    <row r="104" spans="1:23" ht="15.75" x14ac:dyDescent="0.25">
      <c r="A104" s="96"/>
      <c r="B104" s="97"/>
      <c r="C104" s="97"/>
      <c r="D104" s="97"/>
      <c r="E104" s="97"/>
      <c r="F104" s="104"/>
      <c r="G104" s="98"/>
      <c r="H104" s="99"/>
      <c r="I104" s="214">
        <v>10</v>
      </c>
      <c r="J104" s="63">
        <v>8</v>
      </c>
      <c r="K104" s="63"/>
      <c r="L104" s="63"/>
      <c r="M104" s="63"/>
      <c r="N104" s="63"/>
      <c r="O104" s="63"/>
      <c r="P104" s="63"/>
      <c r="Q104" s="63"/>
      <c r="R104" s="63"/>
      <c r="S104" s="247"/>
      <c r="T104" s="243">
        <f t="shared" si="17"/>
        <v>8</v>
      </c>
      <c r="U104" s="93">
        <f t="shared" si="16"/>
        <v>3.1923383878691143E-3</v>
      </c>
      <c r="V104" s="203" t="s">
        <v>8</v>
      </c>
      <c r="W104" s="342" t="s">
        <v>314</v>
      </c>
    </row>
    <row r="105" spans="1:23" ht="15.75" x14ac:dyDescent="0.25">
      <c r="A105" s="96"/>
      <c r="B105" s="97"/>
      <c r="C105" s="97"/>
      <c r="D105" s="97"/>
      <c r="E105" s="97"/>
      <c r="F105" s="104"/>
      <c r="G105" s="98"/>
      <c r="H105" s="99"/>
      <c r="I105" s="214"/>
      <c r="J105" s="63"/>
      <c r="K105" s="63"/>
      <c r="L105" s="63"/>
      <c r="M105" s="63"/>
      <c r="N105" s="63"/>
      <c r="O105" s="63"/>
      <c r="P105" s="63"/>
      <c r="Q105" s="63"/>
      <c r="R105" s="63"/>
      <c r="S105" s="247"/>
      <c r="T105" s="243">
        <f t="shared" si="17"/>
        <v>0</v>
      </c>
      <c r="U105" s="93">
        <f t="shared" si="16"/>
        <v>0</v>
      </c>
      <c r="V105" s="449" t="s">
        <v>91</v>
      </c>
      <c r="W105" s="342"/>
    </row>
    <row r="106" spans="1:23" ht="15.75" x14ac:dyDescent="0.25">
      <c r="A106" s="96"/>
      <c r="B106" s="97"/>
      <c r="C106" s="97"/>
      <c r="D106" s="97"/>
      <c r="E106" s="97"/>
      <c r="F106" s="104"/>
      <c r="G106" s="98"/>
      <c r="H106" s="99"/>
      <c r="I106" s="214"/>
      <c r="J106" s="63"/>
      <c r="K106" s="63"/>
      <c r="L106" s="63"/>
      <c r="M106" s="63"/>
      <c r="N106" s="63"/>
      <c r="O106" s="63"/>
      <c r="P106" s="63"/>
      <c r="Q106" s="63"/>
      <c r="R106" s="63"/>
      <c r="S106" s="247"/>
      <c r="T106" s="243">
        <f t="shared" si="17"/>
        <v>0</v>
      </c>
      <c r="U106" s="93">
        <f t="shared" si="16"/>
        <v>0</v>
      </c>
      <c r="V106" s="203" t="s">
        <v>76</v>
      </c>
      <c r="W106" s="342"/>
    </row>
    <row r="107" spans="1:23" ht="15.75" x14ac:dyDescent="0.25">
      <c r="A107" s="96"/>
      <c r="B107" s="97"/>
      <c r="C107" s="97"/>
      <c r="D107" s="97"/>
      <c r="E107" s="104"/>
      <c r="F107" s="104"/>
      <c r="G107" s="98"/>
      <c r="H107" s="99"/>
      <c r="I107" s="214">
        <v>6</v>
      </c>
      <c r="J107" s="63">
        <v>2</v>
      </c>
      <c r="K107" s="63"/>
      <c r="L107" s="63"/>
      <c r="M107" s="63"/>
      <c r="N107" s="63"/>
      <c r="O107" s="63"/>
      <c r="P107" s="63"/>
      <c r="Q107" s="63"/>
      <c r="R107" s="63"/>
      <c r="S107" s="247"/>
      <c r="T107" s="243">
        <f t="shared" si="17"/>
        <v>2</v>
      </c>
      <c r="U107" s="93">
        <f t="shared" si="16"/>
        <v>7.9808459696727857E-4</v>
      </c>
      <c r="V107" s="203" t="s">
        <v>12</v>
      </c>
      <c r="W107" s="321"/>
    </row>
    <row r="108" spans="1:23" ht="15.75" x14ac:dyDescent="0.25">
      <c r="A108" s="96"/>
      <c r="B108" s="97"/>
      <c r="C108" s="97"/>
      <c r="D108" s="97"/>
      <c r="E108" s="104"/>
      <c r="F108" s="104"/>
      <c r="G108" s="98"/>
      <c r="H108" s="99"/>
      <c r="I108" s="63">
        <v>1</v>
      </c>
      <c r="J108" s="63">
        <v>3</v>
      </c>
      <c r="K108" s="63"/>
      <c r="L108" s="63"/>
      <c r="M108" s="63"/>
      <c r="N108" s="63"/>
      <c r="O108" s="63"/>
      <c r="P108" s="63"/>
      <c r="Q108" s="63"/>
      <c r="R108" s="63"/>
      <c r="S108" s="247"/>
      <c r="T108" s="243">
        <f t="shared" si="17"/>
        <v>3</v>
      </c>
      <c r="U108" s="93">
        <f t="shared" si="16"/>
        <v>1.1971268954509178E-3</v>
      </c>
      <c r="V108" s="204" t="s">
        <v>157</v>
      </c>
      <c r="W108" s="450"/>
    </row>
    <row r="109" spans="1:23" ht="15.75" x14ac:dyDescent="0.25">
      <c r="A109" s="96"/>
      <c r="B109" s="97"/>
      <c r="C109" s="97"/>
      <c r="D109" s="97"/>
      <c r="E109" s="104"/>
      <c r="F109" s="104"/>
      <c r="G109" s="98"/>
      <c r="H109" s="99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247">
        <v>1</v>
      </c>
      <c r="T109" s="243">
        <f t="shared" si="17"/>
        <v>1</v>
      </c>
      <c r="U109" s="93">
        <f t="shared" si="16"/>
        <v>3.9904229848363929E-4</v>
      </c>
      <c r="V109" s="204" t="s">
        <v>221</v>
      </c>
      <c r="W109" s="321"/>
    </row>
    <row r="110" spans="1:23" ht="16.5" thickBot="1" x14ac:dyDescent="0.3">
      <c r="A110" s="96"/>
      <c r="B110" s="97"/>
      <c r="C110" s="97"/>
      <c r="D110" s="97"/>
      <c r="E110" s="104"/>
      <c r="F110" s="104"/>
      <c r="G110" s="98"/>
      <c r="H110" s="107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250"/>
      <c r="T110" s="244">
        <f t="shared" si="17"/>
        <v>0</v>
      </c>
      <c r="U110" s="294">
        <f>($T110)/$D$84</f>
        <v>0</v>
      </c>
      <c r="V110" s="345" t="s">
        <v>9</v>
      </c>
      <c r="W110" s="321"/>
    </row>
    <row r="111" spans="1:23" ht="16.5" thickBot="1" x14ac:dyDescent="0.3">
      <c r="A111" s="96"/>
      <c r="B111" s="97"/>
      <c r="C111" s="97"/>
      <c r="D111" s="97"/>
      <c r="E111" s="104"/>
      <c r="F111" s="104"/>
      <c r="G111" s="98"/>
      <c r="H111" s="82"/>
      <c r="I111" s="83"/>
      <c r="J111" s="236"/>
      <c r="K111" s="83"/>
      <c r="L111" s="83"/>
      <c r="M111" s="83"/>
      <c r="N111" s="83" t="s">
        <v>291</v>
      </c>
      <c r="O111" s="83"/>
      <c r="P111" s="83"/>
      <c r="Q111" s="83"/>
      <c r="R111" s="83"/>
      <c r="S111" s="83"/>
      <c r="T111" s="242"/>
      <c r="U111" s="242"/>
      <c r="V111" s="208" t="s">
        <v>148</v>
      </c>
      <c r="W111" s="321"/>
    </row>
    <row r="112" spans="1:23" ht="15.75" x14ac:dyDescent="0.25">
      <c r="A112" s="96"/>
      <c r="B112" s="97"/>
      <c r="C112" s="97"/>
      <c r="D112" s="97"/>
      <c r="E112" s="104"/>
      <c r="F112" s="104"/>
      <c r="G112" s="109"/>
      <c r="H112" s="90">
        <v>1</v>
      </c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246"/>
      <c r="T112" s="245">
        <f t="shared" ref="T112:T121" si="18">SUM(H112,J112,L112,N112,P112,R112,S112)</f>
        <v>1</v>
      </c>
      <c r="U112" s="183">
        <f>($T112)/$D$84</f>
        <v>3.9904229848363929E-4</v>
      </c>
      <c r="V112" s="202" t="s">
        <v>34</v>
      </c>
      <c r="W112" s="342"/>
    </row>
    <row r="113" spans="1:23" ht="15.75" x14ac:dyDescent="0.25">
      <c r="A113" s="96"/>
      <c r="B113" s="97"/>
      <c r="C113" s="97"/>
      <c r="D113" s="97"/>
      <c r="E113" s="104"/>
      <c r="F113" s="104"/>
      <c r="G113" s="109"/>
      <c r="H113" s="99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247"/>
      <c r="T113" s="243">
        <f t="shared" si="18"/>
        <v>0</v>
      </c>
      <c r="U113" s="93">
        <f>($T113)/$D$84</f>
        <v>0</v>
      </c>
      <c r="V113" s="203" t="s">
        <v>82</v>
      </c>
      <c r="W113" s="342"/>
    </row>
    <row r="114" spans="1:23" x14ac:dyDescent="0.25">
      <c r="A114" s="96"/>
      <c r="B114" s="97"/>
      <c r="C114" s="97"/>
      <c r="D114" s="97"/>
      <c r="E114" s="104"/>
      <c r="F114" s="104"/>
      <c r="G114" s="109"/>
      <c r="H114" s="99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247"/>
      <c r="T114" s="243">
        <f t="shared" si="18"/>
        <v>0</v>
      </c>
      <c r="U114" s="93">
        <f t="shared" ref="U114:U120" si="19">($T114)/$D$84</f>
        <v>0</v>
      </c>
      <c r="V114" s="343" t="s">
        <v>255</v>
      </c>
      <c r="W114" s="321" t="s">
        <v>318</v>
      </c>
    </row>
    <row r="115" spans="1:23" x14ac:dyDescent="0.25">
      <c r="A115" s="96"/>
      <c r="B115" s="97"/>
      <c r="C115" s="97"/>
      <c r="D115" s="97"/>
      <c r="E115" s="104"/>
      <c r="F115" s="104"/>
      <c r="G115" s="109"/>
      <c r="H115" s="99">
        <v>2</v>
      </c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247"/>
      <c r="T115" s="243">
        <f t="shared" ref="T115" si="20">SUM(H115,J115,L115,N115,P115,R115,S115)</f>
        <v>2</v>
      </c>
      <c r="U115" s="93">
        <f t="shared" si="19"/>
        <v>7.9808459696727857E-4</v>
      </c>
      <c r="V115" s="499" t="s">
        <v>313</v>
      </c>
      <c r="W115" s="321" t="s">
        <v>289</v>
      </c>
    </row>
    <row r="116" spans="1:23" ht="15.75" x14ac:dyDescent="0.25">
      <c r="A116" s="96"/>
      <c r="B116" s="97"/>
      <c r="C116" s="97"/>
      <c r="D116" s="97"/>
      <c r="E116" s="104"/>
      <c r="F116" s="104"/>
      <c r="G116" s="109"/>
      <c r="H116" s="99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247"/>
      <c r="T116" s="243">
        <f t="shared" si="18"/>
        <v>0</v>
      </c>
      <c r="U116" s="93">
        <f t="shared" si="19"/>
        <v>0</v>
      </c>
      <c r="V116" s="203" t="s">
        <v>70</v>
      </c>
      <c r="W116" s="321" t="s">
        <v>254</v>
      </c>
    </row>
    <row r="117" spans="1:23" ht="15.75" x14ac:dyDescent="0.25">
      <c r="A117" s="96"/>
      <c r="B117" s="97"/>
      <c r="C117" s="97"/>
      <c r="D117" s="97"/>
      <c r="E117" s="104"/>
      <c r="F117" s="104"/>
      <c r="G117" s="109"/>
      <c r="H117" s="99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247"/>
      <c r="T117" s="243">
        <f t="shared" si="18"/>
        <v>0</v>
      </c>
      <c r="U117" s="93">
        <f t="shared" si="19"/>
        <v>0</v>
      </c>
      <c r="V117" s="204" t="s">
        <v>83</v>
      </c>
      <c r="W117" s="321"/>
    </row>
    <row r="118" spans="1:23" ht="15.75" x14ac:dyDescent="0.25">
      <c r="A118" s="96"/>
      <c r="B118" s="97"/>
      <c r="C118" s="97"/>
      <c r="D118" s="97"/>
      <c r="E118" s="104"/>
      <c r="F118" s="104"/>
      <c r="G118" s="109"/>
      <c r="H118" s="99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247"/>
      <c r="T118" s="243">
        <f t="shared" si="18"/>
        <v>0</v>
      </c>
      <c r="U118" s="93">
        <f t="shared" si="19"/>
        <v>0</v>
      </c>
      <c r="V118" s="204" t="s">
        <v>25</v>
      </c>
      <c r="W118" s="321"/>
    </row>
    <row r="119" spans="1:23" ht="15.75" x14ac:dyDescent="0.25">
      <c r="A119" s="96"/>
      <c r="B119" s="97"/>
      <c r="C119" s="97"/>
      <c r="D119" s="97"/>
      <c r="E119" s="104"/>
      <c r="F119" s="104"/>
      <c r="G119" s="109"/>
      <c r="H119" s="107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250"/>
      <c r="T119" s="243">
        <f t="shared" si="18"/>
        <v>0</v>
      </c>
      <c r="U119" s="93">
        <f t="shared" si="19"/>
        <v>0</v>
      </c>
      <c r="V119" s="207" t="s">
        <v>222</v>
      </c>
      <c r="W119" s="321"/>
    </row>
    <row r="120" spans="1:23" ht="15.75" x14ac:dyDescent="0.25">
      <c r="A120" s="96"/>
      <c r="B120" s="97"/>
      <c r="C120" s="97"/>
      <c r="D120" s="97"/>
      <c r="E120" s="104"/>
      <c r="F120" s="104"/>
      <c r="G120" s="109"/>
      <c r="H120" s="107">
        <v>2</v>
      </c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250"/>
      <c r="T120" s="243">
        <f t="shared" si="18"/>
        <v>2</v>
      </c>
      <c r="U120" s="93">
        <f t="shared" si="19"/>
        <v>7.9808459696727857E-4</v>
      </c>
      <c r="V120" s="203" t="s">
        <v>12</v>
      </c>
      <c r="W120" s="344"/>
    </row>
    <row r="121" spans="1:23" ht="16.5" thickBot="1" x14ac:dyDescent="0.3">
      <c r="A121" s="117"/>
      <c r="B121" s="118"/>
      <c r="C121" s="118"/>
      <c r="D121" s="118"/>
      <c r="E121" s="119"/>
      <c r="F121" s="119"/>
      <c r="G121" s="120"/>
      <c r="H121" s="107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250"/>
      <c r="T121" s="243">
        <f t="shared" si="18"/>
        <v>0</v>
      </c>
      <c r="U121" s="294">
        <f>($T121)/$D$84</f>
        <v>0</v>
      </c>
      <c r="V121" s="205" t="s">
        <v>145</v>
      </c>
      <c r="W121" s="340"/>
    </row>
    <row r="122" spans="1:23" ht="15.75" thickBot="1" x14ac:dyDescent="0.3">
      <c r="A122" s="122"/>
      <c r="B122" s="122"/>
      <c r="C122" s="122"/>
      <c r="D122" s="122"/>
      <c r="E122" s="122"/>
      <c r="F122" s="122"/>
      <c r="G122" s="47" t="s">
        <v>4</v>
      </c>
      <c r="H122" s="123">
        <f t="shared" ref="H122:S122" si="21">SUM(H85:H121)</f>
        <v>586</v>
      </c>
      <c r="I122" s="123">
        <f t="shared" si="21"/>
        <v>20</v>
      </c>
      <c r="J122" s="123">
        <f t="shared" si="21"/>
        <v>32</v>
      </c>
      <c r="K122" s="123">
        <f t="shared" si="21"/>
        <v>0</v>
      </c>
      <c r="L122" s="123">
        <f t="shared" si="21"/>
        <v>0</v>
      </c>
      <c r="M122" s="123">
        <f t="shared" si="21"/>
        <v>0</v>
      </c>
      <c r="N122" s="123">
        <f t="shared" si="21"/>
        <v>0</v>
      </c>
      <c r="O122" s="123">
        <f t="shared" si="21"/>
        <v>0</v>
      </c>
      <c r="P122" s="123">
        <f t="shared" si="21"/>
        <v>0</v>
      </c>
      <c r="Q122" s="123">
        <f t="shared" si="21"/>
        <v>0</v>
      </c>
      <c r="R122" s="123">
        <f t="shared" si="21"/>
        <v>0</v>
      </c>
      <c r="S122" s="123">
        <f t="shared" si="21"/>
        <v>8</v>
      </c>
      <c r="T122" s="198">
        <f>SUM(H122,J122,L122,N122,P122,R122,S122)</f>
        <v>626</v>
      </c>
      <c r="U122" s="327">
        <f>($T122)/$D$84</f>
        <v>0.24980047885075818</v>
      </c>
      <c r="V122" s="40"/>
    </row>
    <row r="123" spans="1:23" ht="12.75" customHeight="1" x14ac:dyDescent="0.25"/>
    <row r="124" spans="1:23" ht="15.75" thickBot="1" x14ac:dyDescent="0.3"/>
    <row r="125" spans="1:23" ht="75.75" thickBot="1" x14ac:dyDescent="0.3">
      <c r="A125" s="42" t="s">
        <v>22</v>
      </c>
      <c r="B125" s="42" t="s">
        <v>46</v>
      </c>
      <c r="C125" s="43" t="s">
        <v>51</v>
      </c>
      <c r="D125" s="43" t="s">
        <v>17</v>
      </c>
      <c r="E125" s="42" t="s">
        <v>16</v>
      </c>
      <c r="F125" s="44" t="s">
        <v>1</v>
      </c>
      <c r="G125" s="45" t="s">
        <v>23</v>
      </c>
      <c r="H125" s="46" t="s">
        <v>71</v>
      </c>
      <c r="I125" s="46" t="s">
        <v>72</v>
      </c>
      <c r="J125" s="46" t="s">
        <v>52</v>
      </c>
      <c r="K125" s="46" t="s">
        <v>57</v>
      </c>
      <c r="L125" s="46" t="s">
        <v>53</v>
      </c>
      <c r="M125" s="46" t="s">
        <v>58</v>
      </c>
      <c r="N125" s="46" t="s">
        <v>54</v>
      </c>
      <c r="O125" s="46" t="s">
        <v>59</v>
      </c>
      <c r="P125" s="46" t="s">
        <v>55</v>
      </c>
      <c r="Q125" s="46" t="s">
        <v>73</v>
      </c>
      <c r="R125" s="46" t="s">
        <v>112</v>
      </c>
      <c r="S125" s="46" t="s">
        <v>40</v>
      </c>
      <c r="T125" s="46" t="s">
        <v>4</v>
      </c>
      <c r="U125" s="42" t="s">
        <v>2</v>
      </c>
      <c r="V125" s="80" t="s">
        <v>20</v>
      </c>
      <c r="W125" s="81" t="s">
        <v>6</v>
      </c>
    </row>
    <row r="126" spans="1:23" ht="15.75" thickBot="1" x14ac:dyDescent="0.3">
      <c r="A126" s="311">
        <v>1528992</v>
      </c>
      <c r="B126" s="209" t="s">
        <v>275</v>
      </c>
      <c r="C126" s="311">
        <v>1920</v>
      </c>
      <c r="D126" s="311">
        <v>2004</v>
      </c>
      <c r="E126" s="316">
        <v>1863</v>
      </c>
      <c r="F126" s="317">
        <f>E126/D126</f>
        <v>0.92964071856287422</v>
      </c>
      <c r="G126" s="48">
        <v>45496</v>
      </c>
      <c r="H126" s="82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4"/>
      <c r="T126" s="291"/>
      <c r="U126" s="115"/>
      <c r="V126" s="86" t="s">
        <v>74</v>
      </c>
      <c r="W126" s="341" t="s">
        <v>69</v>
      </c>
    </row>
    <row r="127" spans="1:23" ht="16.5" thickBot="1" x14ac:dyDescent="0.3">
      <c r="A127" s="87"/>
      <c r="B127" s="88"/>
      <c r="C127" s="88"/>
      <c r="D127" s="88"/>
      <c r="E127" s="88"/>
      <c r="F127" s="88"/>
      <c r="G127" s="501"/>
      <c r="H127" s="500">
        <v>2</v>
      </c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246"/>
      <c r="T127" s="245">
        <f>SUM(H127,J127,L127,N127,P127,R127,S127)</f>
        <v>2</v>
      </c>
      <c r="U127" s="337">
        <f>($T127)/$D$126</f>
        <v>9.9800399201596798E-4</v>
      </c>
      <c r="V127" s="202" t="s">
        <v>15</v>
      </c>
      <c r="W127" s="210" t="s">
        <v>277</v>
      </c>
    </row>
    <row r="128" spans="1:23" ht="15.75" x14ac:dyDescent="0.25">
      <c r="A128" s="579" t="s">
        <v>225</v>
      </c>
      <c r="B128" s="580"/>
      <c r="C128" s="580"/>
      <c r="D128" s="580"/>
      <c r="E128" s="580"/>
      <c r="F128" s="580"/>
      <c r="G128" s="581"/>
      <c r="H128" s="110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247"/>
      <c r="T128" s="243">
        <f t="shared" ref="T128:T142" si="22">SUM(H128,J128,L128,N128,P128,R128,S128)</f>
        <v>0</v>
      </c>
      <c r="U128" s="93">
        <f>($T128)/$D$126</f>
        <v>0</v>
      </c>
      <c r="V128" s="203" t="s">
        <v>42</v>
      </c>
      <c r="W128" s="339"/>
    </row>
    <row r="129" spans="1:23" ht="15.75" x14ac:dyDescent="0.25">
      <c r="A129" s="582" t="s">
        <v>226</v>
      </c>
      <c r="B129" s="583"/>
      <c r="C129" s="583"/>
      <c r="D129" s="583"/>
      <c r="E129" s="583"/>
      <c r="F129" s="584"/>
      <c r="G129" s="460">
        <v>76</v>
      </c>
      <c r="H129" s="110">
        <v>1</v>
      </c>
      <c r="I129" s="63"/>
      <c r="J129" s="63">
        <v>1</v>
      </c>
      <c r="K129" s="63"/>
      <c r="L129" s="63"/>
      <c r="M129" s="63"/>
      <c r="N129" s="63"/>
      <c r="O129" s="63"/>
      <c r="P129" s="63"/>
      <c r="Q129" s="63"/>
      <c r="R129" s="63"/>
      <c r="S129" s="247"/>
      <c r="T129" s="243">
        <f t="shared" si="22"/>
        <v>2</v>
      </c>
      <c r="U129" s="93">
        <f t="shared" ref="U129:U140" si="23">($T129)/$D$126</f>
        <v>9.9800399201596798E-4</v>
      </c>
      <c r="V129" s="203" t="s">
        <v>5</v>
      </c>
      <c r="W129" s="240"/>
    </row>
    <row r="130" spans="1:23" ht="15.75" x14ac:dyDescent="0.25">
      <c r="A130" s="582" t="s">
        <v>227</v>
      </c>
      <c r="B130" s="583"/>
      <c r="C130" s="583"/>
      <c r="D130" s="583"/>
      <c r="E130" s="583"/>
      <c r="F130" s="584"/>
      <c r="G130" s="460">
        <v>76</v>
      </c>
      <c r="H130" s="110">
        <v>2</v>
      </c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247"/>
      <c r="T130" s="243">
        <f t="shared" si="22"/>
        <v>2</v>
      </c>
      <c r="U130" s="93">
        <f t="shared" si="23"/>
        <v>9.9800399201596798E-4</v>
      </c>
      <c r="V130" s="203" t="s">
        <v>13</v>
      </c>
      <c r="W130" s="306"/>
    </row>
    <row r="131" spans="1:23" ht="15.75" x14ac:dyDescent="0.25">
      <c r="A131" s="582" t="s">
        <v>228</v>
      </c>
      <c r="B131" s="583"/>
      <c r="C131" s="583"/>
      <c r="D131" s="583"/>
      <c r="E131" s="583"/>
      <c r="F131" s="584"/>
      <c r="G131" s="461">
        <f>G129-G130</f>
        <v>0</v>
      </c>
      <c r="H131" s="110">
        <v>74</v>
      </c>
      <c r="I131" s="63"/>
      <c r="J131" s="63">
        <v>8</v>
      </c>
      <c r="K131" s="63"/>
      <c r="L131" s="63"/>
      <c r="M131" s="63"/>
      <c r="N131" s="63"/>
      <c r="O131" s="63"/>
      <c r="P131" s="63"/>
      <c r="Q131" s="63"/>
      <c r="R131" s="63"/>
      <c r="S131" s="247"/>
      <c r="T131" s="243">
        <f t="shared" si="22"/>
        <v>82</v>
      </c>
      <c r="U131" s="93">
        <f t="shared" si="23"/>
        <v>4.0918163672654689E-2</v>
      </c>
      <c r="V131" s="203" t="s">
        <v>14</v>
      </c>
      <c r="W131" s="306"/>
    </row>
    <row r="132" spans="1:23" ht="15.75" x14ac:dyDescent="0.25">
      <c r="A132" s="582" t="s">
        <v>229</v>
      </c>
      <c r="B132" s="583"/>
      <c r="C132" s="583"/>
      <c r="D132" s="583"/>
      <c r="E132" s="583"/>
      <c r="F132" s="584"/>
      <c r="G132" s="502">
        <f>G131/G129</f>
        <v>0</v>
      </c>
      <c r="H132" s="110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247"/>
      <c r="T132" s="243">
        <f t="shared" si="22"/>
        <v>0</v>
      </c>
      <c r="U132" s="93">
        <f t="shared" si="23"/>
        <v>0</v>
      </c>
      <c r="V132" s="203" t="s">
        <v>29</v>
      </c>
      <c r="W132" s="105"/>
    </row>
    <row r="133" spans="1:23" ht="15.75" x14ac:dyDescent="0.25">
      <c r="A133" s="96"/>
      <c r="B133" s="97"/>
      <c r="C133" s="97"/>
      <c r="D133" s="97"/>
      <c r="E133" s="104"/>
      <c r="F133" s="104"/>
      <c r="G133" s="98"/>
      <c r="H133" s="99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247"/>
      <c r="T133" s="243">
        <f t="shared" si="22"/>
        <v>0</v>
      </c>
      <c r="U133" s="93">
        <f t="shared" si="23"/>
        <v>0</v>
      </c>
      <c r="V133" s="203" t="s">
        <v>30</v>
      </c>
      <c r="W133" s="318"/>
    </row>
    <row r="134" spans="1:23" ht="15.75" x14ac:dyDescent="0.25">
      <c r="A134" s="96"/>
      <c r="B134" s="97"/>
      <c r="C134" s="97"/>
      <c r="D134" s="97"/>
      <c r="E134" s="104"/>
      <c r="F134" s="104"/>
      <c r="G134" s="98"/>
      <c r="H134" s="99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247"/>
      <c r="T134" s="243">
        <f t="shared" si="22"/>
        <v>0</v>
      </c>
      <c r="U134" s="93">
        <f t="shared" si="23"/>
        <v>0</v>
      </c>
      <c r="V134" s="203" t="s">
        <v>159</v>
      </c>
      <c r="W134" s="105"/>
    </row>
    <row r="135" spans="1:23" ht="15.75" x14ac:dyDescent="0.25">
      <c r="A135" s="96"/>
      <c r="B135" s="97"/>
      <c r="C135" s="97"/>
      <c r="D135" s="97"/>
      <c r="E135" s="104"/>
      <c r="F135" s="104"/>
      <c r="G135" s="98"/>
      <c r="H135" s="99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247"/>
      <c r="T135" s="243">
        <f t="shared" si="22"/>
        <v>0</v>
      </c>
      <c r="U135" s="93">
        <f t="shared" si="23"/>
        <v>0</v>
      </c>
      <c r="V135" s="204" t="s">
        <v>176</v>
      </c>
      <c r="W135" s="342"/>
    </row>
    <row r="136" spans="1:23" ht="15.75" x14ac:dyDescent="0.25">
      <c r="A136" s="96"/>
      <c r="B136" s="97"/>
      <c r="C136" s="97"/>
      <c r="D136" s="97"/>
      <c r="E136" s="104"/>
      <c r="F136" s="104"/>
      <c r="G136" s="98"/>
      <c r="H136" s="99">
        <v>3</v>
      </c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247">
        <v>1</v>
      </c>
      <c r="T136" s="243">
        <f t="shared" si="22"/>
        <v>4</v>
      </c>
      <c r="U136" s="93">
        <f>($T136)/$D$126</f>
        <v>1.996007984031936E-3</v>
      </c>
      <c r="V136" s="203" t="s">
        <v>0</v>
      </c>
      <c r="W136" s="342"/>
    </row>
    <row r="137" spans="1:23" ht="15.75" x14ac:dyDescent="0.25">
      <c r="A137" s="96"/>
      <c r="B137" s="97"/>
      <c r="C137" s="97"/>
      <c r="D137" s="97"/>
      <c r="E137" s="104"/>
      <c r="F137" s="104" t="s">
        <v>98</v>
      </c>
      <c r="G137" s="98"/>
      <c r="H137" s="99"/>
      <c r="I137" s="63"/>
      <c r="J137" s="63">
        <v>1</v>
      </c>
      <c r="K137" s="63"/>
      <c r="L137" s="63"/>
      <c r="M137" s="63"/>
      <c r="N137" s="63"/>
      <c r="O137" s="63"/>
      <c r="P137" s="63"/>
      <c r="Q137" s="63"/>
      <c r="R137" s="63">
        <v>3</v>
      </c>
      <c r="S137" s="247"/>
      <c r="T137" s="243">
        <f t="shared" si="22"/>
        <v>4</v>
      </c>
      <c r="U137" s="93">
        <f t="shared" si="23"/>
        <v>1.996007984031936E-3</v>
      </c>
      <c r="V137" s="203" t="s">
        <v>11</v>
      </c>
      <c r="W137" s="321"/>
    </row>
    <row r="138" spans="1:23" ht="15.75" x14ac:dyDescent="0.25">
      <c r="A138" s="96"/>
      <c r="B138" s="97"/>
      <c r="C138" s="97"/>
      <c r="D138" s="97"/>
      <c r="E138" s="104"/>
      <c r="F138" s="104"/>
      <c r="G138" s="98"/>
      <c r="H138" s="99"/>
      <c r="I138" s="63"/>
      <c r="J138" s="63">
        <v>4</v>
      </c>
      <c r="K138" s="63"/>
      <c r="L138" s="63"/>
      <c r="M138" s="63"/>
      <c r="N138" s="63"/>
      <c r="O138" s="63"/>
      <c r="P138" s="63"/>
      <c r="Q138" s="63"/>
      <c r="R138" s="63"/>
      <c r="S138" s="247"/>
      <c r="T138" s="243">
        <f t="shared" si="22"/>
        <v>4</v>
      </c>
      <c r="U138" s="93">
        <f t="shared" si="23"/>
        <v>1.996007984031936E-3</v>
      </c>
      <c r="V138" s="203" t="s">
        <v>32</v>
      </c>
      <c r="W138" s="342"/>
    </row>
    <row r="139" spans="1:23" ht="15.75" x14ac:dyDescent="0.25">
      <c r="A139" s="96"/>
      <c r="B139" s="97"/>
      <c r="C139" s="97"/>
      <c r="D139" s="97"/>
      <c r="E139" s="104"/>
      <c r="F139" s="104"/>
      <c r="G139" s="109"/>
      <c r="H139" s="110"/>
      <c r="I139" s="63"/>
      <c r="J139" s="63">
        <v>5</v>
      </c>
      <c r="K139" s="63"/>
      <c r="L139" s="63"/>
      <c r="M139" s="63"/>
      <c r="N139" s="63"/>
      <c r="O139" s="63"/>
      <c r="P139" s="63"/>
      <c r="Q139" s="63"/>
      <c r="R139" s="63"/>
      <c r="S139" s="247"/>
      <c r="T139" s="243">
        <f t="shared" si="22"/>
        <v>5</v>
      </c>
      <c r="U139" s="93">
        <f t="shared" si="23"/>
        <v>2.4950099800399202E-3</v>
      </c>
      <c r="V139" s="204" t="s">
        <v>26</v>
      </c>
      <c r="W139" s="212"/>
    </row>
    <row r="140" spans="1:23" ht="15.75" x14ac:dyDescent="0.25">
      <c r="A140" s="96"/>
      <c r="B140" s="97"/>
      <c r="C140" s="97"/>
      <c r="D140" s="97"/>
      <c r="E140" s="104"/>
      <c r="F140" s="104"/>
      <c r="G140" s="109"/>
      <c r="H140" s="110"/>
      <c r="I140" s="63"/>
      <c r="J140" s="63">
        <v>1</v>
      </c>
      <c r="K140" s="63"/>
      <c r="L140" s="63"/>
      <c r="M140" s="63"/>
      <c r="N140" s="63"/>
      <c r="O140" s="63"/>
      <c r="P140" s="63"/>
      <c r="Q140" s="63"/>
      <c r="R140" s="63"/>
      <c r="S140" s="247"/>
      <c r="T140" s="243">
        <f t="shared" si="22"/>
        <v>1</v>
      </c>
      <c r="U140" s="93">
        <f t="shared" si="23"/>
        <v>4.9900199600798399E-4</v>
      </c>
      <c r="V140" s="204" t="s">
        <v>84</v>
      </c>
      <c r="W140" s="103"/>
    </row>
    <row r="141" spans="1:23" ht="16.5" thickBot="1" x14ac:dyDescent="0.3">
      <c r="A141" s="96"/>
      <c r="B141" s="97"/>
      <c r="C141" s="97"/>
      <c r="D141" s="97"/>
      <c r="E141" s="104"/>
      <c r="F141" s="104"/>
      <c r="G141" s="109"/>
      <c r="H141" s="186"/>
      <c r="I141" s="187"/>
      <c r="J141" s="187">
        <v>8</v>
      </c>
      <c r="K141" s="187"/>
      <c r="L141" s="187"/>
      <c r="M141" s="187"/>
      <c r="N141" s="187"/>
      <c r="O141" s="187"/>
      <c r="P141" s="187"/>
      <c r="Q141" s="187"/>
      <c r="R141" s="187"/>
      <c r="S141" s="248"/>
      <c r="T141" s="244">
        <f t="shared" si="22"/>
        <v>8</v>
      </c>
      <c r="U141" s="241">
        <f>($T141)/$D$126</f>
        <v>3.9920159680638719E-3</v>
      </c>
      <c r="V141" s="205" t="s">
        <v>278</v>
      </c>
      <c r="W141" s="212"/>
    </row>
    <row r="142" spans="1:23" ht="15.75" x14ac:dyDescent="0.25">
      <c r="A142" s="96"/>
      <c r="B142" s="97"/>
      <c r="C142" s="97"/>
      <c r="D142" s="97"/>
      <c r="E142" s="104"/>
      <c r="F142" s="104"/>
      <c r="G142" s="98"/>
      <c r="H142" s="90"/>
      <c r="I142" s="111">
        <v>2</v>
      </c>
      <c r="J142" s="111">
        <v>1</v>
      </c>
      <c r="K142" s="111"/>
      <c r="L142" s="111"/>
      <c r="M142" s="111"/>
      <c r="N142" s="111"/>
      <c r="O142" s="111"/>
      <c r="P142" s="111"/>
      <c r="Q142" s="111"/>
      <c r="R142" s="111"/>
      <c r="S142" s="249"/>
      <c r="T142" s="245">
        <f t="shared" si="22"/>
        <v>1</v>
      </c>
      <c r="U142" s="183">
        <f>($T142)/$D$126</f>
        <v>4.9900199600798399E-4</v>
      </c>
      <c r="V142" s="206" t="s">
        <v>10</v>
      </c>
      <c r="W142" s="106"/>
    </row>
    <row r="143" spans="1:23" ht="15.75" x14ac:dyDescent="0.25">
      <c r="A143" s="96"/>
      <c r="B143" s="97"/>
      <c r="C143" s="97"/>
      <c r="D143" s="97"/>
      <c r="E143" s="104"/>
      <c r="F143" s="104"/>
      <c r="G143" s="98"/>
      <c r="H143" s="99"/>
      <c r="I143" s="213">
        <v>1</v>
      </c>
      <c r="J143" s="63"/>
      <c r="K143" s="63"/>
      <c r="L143" s="63"/>
      <c r="M143" s="63"/>
      <c r="N143" s="63"/>
      <c r="O143" s="63"/>
      <c r="P143" s="63"/>
      <c r="Q143" s="63"/>
      <c r="R143" s="63"/>
      <c r="S143" s="247"/>
      <c r="T143" s="243">
        <f>SUM(H143,J143,L143,N143,P143,R143,S143)</f>
        <v>0</v>
      </c>
      <c r="U143" s="93">
        <f>($T143)/$D$126</f>
        <v>0</v>
      </c>
      <c r="V143" s="325" t="s">
        <v>93</v>
      </c>
      <c r="W143" s="342"/>
    </row>
    <row r="144" spans="1:23" ht="15.75" x14ac:dyDescent="0.25">
      <c r="A144" s="96"/>
      <c r="B144" s="97"/>
      <c r="C144" s="97"/>
      <c r="D144" s="97"/>
      <c r="E144" s="104"/>
      <c r="F144" s="104"/>
      <c r="G144" s="98"/>
      <c r="H144" s="99"/>
      <c r="I144" s="214">
        <v>5</v>
      </c>
      <c r="J144" s="63"/>
      <c r="K144" s="63"/>
      <c r="L144" s="63"/>
      <c r="M144" s="63"/>
      <c r="N144" s="63"/>
      <c r="O144" s="63"/>
      <c r="P144" s="63"/>
      <c r="Q144" s="63"/>
      <c r="R144" s="63"/>
      <c r="S144" s="247">
        <v>13</v>
      </c>
      <c r="T144" s="243">
        <f>SUM(H144,J144,L144,N144,P144,R144,S144)</f>
        <v>13</v>
      </c>
      <c r="U144" s="93">
        <f t="shared" ref="U144:U154" si="24">($T144)/$D$126</f>
        <v>6.4870259481037921E-3</v>
      </c>
      <c r="V144" s="203" t="s">
        <v>3</v>
      </c>
      <c r="W144" s="342"/>
    </row>
    <row r="145" spans="1:23" ht="15.75" x14ac:dyDescent="0.25">
      <c r="A145" s="96"/>
      <c r="B145" s="97"/>
      <c r="C145" s="97"/>
      <c r="D145" s="97"/>
      <c r="E145" s="97"/>
      <c r="F145" s="104"/>
      <c r="G145" s="98"/>
      <c r="H145" s="99"/>
      <c r="I145" s="110">
        <v>9</v>
      </c>
      <c r="J145" s="63">
        <v>1</v>
      </c>
      <c r="K145" s="63"/>
      <c r="L145" s="63"/>
      <c r="M145" s="63"/>
      <c r="N145" s="63"/>
      <c r="O145" s="63"/>
      <c r="P145" s="63"/>
      <c r="Q145" s="63"/>
      <c r="R145" s="63"/>
      <c r="S145" s="247"/>
      <c r="T145" s="243">
        <f t="shared" ref="T145:T155" si="25">SUM(H145,J145,L145,N145,P145,R145,S145)</f>
        <v>1</v>
      </c>
      <c r="U145" s="93">
        <f t="shared" si="24"/>
        <v>4.9900199600798399E-4</v>
      </c>
      <c r="V145" s="203" t="s">
        <v>7</v>
      </c>
      <c r="W145" s="342"/>
    </row>
    <row r="146" spans="1:23" ht="15.75" x14ac:dyDescent="0.25">
      <c r="A146" s="96"/>
      <c r="B146" s="97"/>
      <c r="C146" s="97"/>
      <c r="D146" s="97"/>
      <c r="E146" s="97"/>
      <c r="F146" s="104"/>
      <c r="G146" s="98"/>
      <c r="H146" s="99"/>
      <c r="I146" s="110">
        <v>25</v>
      </c>
      <c r="J146" s="63">
        <v>7</v>
      </c>
      <c r="K146" s="63"/>
      <c r="L146" s="63"/>
      <c r="M146" s="63"/>
      <c r="N146" s="63"/>
      <c r="O146" s="63"/>
      <c r="P146" s="63"/>
      <c r="Q146" s="63"/>
      <c r="R146" s="63"/>
      <c r="S146" s="247"/>
      <c r="T146" s="243">
        <f>SUM(H146,J146,L146,N146,P146,R146,S146)</f>
        <v>7</v>
      </c>
      <c r="U146" s="93">
        <f t="shared" si="24"/>
        <v>3.4930139720558881E-3</v>
      </c>
      <c r="V146" s="203" t="s">
        <v>8</v>
      </c>
      <c r="W146" s="342"/>
    </row>
    <row r="147" spans="1:23" ht="15.75" x14ac:dyDescent="0.25">
      <c r="A147" s="96"/>
      <c r="B147" s="97"/>
      <c r="C147" s="97"/>
      <c r="D147" s="97"/>
      <c r="E147" s="97"/>
      <c r="F147" s="104"/>
      <c r="G147" s="98"/>
      <c r="H147" s="99"/>
      <c r="I147" s="110">
        <v>2</v>
      </c>
      <c r="J147" s="63"/>
      <c r="K147" s="63"/>
      <c r="L147" s="63"/>
      <c r="M147" s="63"/>
      <c r="N147" s="63"/>
      <c r="O147" s="63"/>
      <c r="P147" s="63"/>
      <c r="Q147" s="63"/>
      <c r="R147" s="63"/>
      <c r="S147" s="247"/>
      <c r="T147" s="243">
        <f t="shared" si="25"/>
        <v>0</v>
      </c>
      <c r="U147" s="93">
        <f t="shared" si="24"/>
        <v>0</v>
      </c>
      <c r="V147" s="449" t="s">
        <v>91</v>
      </c>
      <c r="W147" s="342"/>
    </row>
    <row r="148" spans="1:23" ht="15.75" x14ac:dyDescent="0.25">
      <c r="A148" s="96"/>
      <c r="B148" s="97"/>
      <c r="C148" s="97"/>
      <c r="D148" s="97"/>
      <c r="E148" s="97"/>
      <c r="F148" s="104"/>
      <c r="G148" s="98"/>
      <c r="H148" s="99"/>
      <c r="I148" s="110"/>
      <c r="J148" s="63"/>
      <c r="K148" s="63"/>
      <c r="L148" s="63"/>
      <c r="M148" s="63"/>
      <c r="N148" s="63"/>
      <c r="O148" s="63"/>
      <c r="P148" s="63"/>
      <c r="Q148" s="63"/>
      <c r="R148" s="63"/>
      <c r="S148" s="247"/>
      <c r="T148" s="243">
        <f t="shared" si="25"/>
        <v>0</v>
      </c>
      <c r="U148" s="93">
        <f t="shared" si="24"/>
        <v>0</v>
      </c>
      <c r="V148" s="203" t="s">
        <v>76</v>
      </c>
      <c r="W148" s="342" t="s">
        <v>173</v>
      </c>
    </row>
    <row r="149" spans="1:23" ht="15.75" x14ac:dyDescent="0.25">
      <c r="A149" s="96"/>
      <c r="B149" s="97"/>
      <c r="C149" s="97"/>
      <c r="D149" s="97"/>
      <c r="E149" s="104"/>
      <c r="F149" s="104"/>
      <c r="G149" s="98"/>
      <c r="H149" s="99"/>
      <c r="I149" s="110">
        <v>8</v>
      </c>
      <c r="J149" s="63"/>
      <c r="K149" s="63"/>
      <c r="L149" s="63"/>
      <c r="M149" s="63"/>
      <c r="N149" s="63"/>
      <c r="O149" s="63"/>
      <c r="P149" s="63"/>
      <c r="Q149" s="63"/>
      <c r="R149" s="63">
        <v>1</v>
      </c>
      <c r="S149" s="247"/>
      <c r="T149" s="243">
        <f t="shared" si="25"/>
        <v>1</v>
      </c>
      <c r="U149" s="93">
        <f t="shared" si="24"/>
        <v>4.9900199600798399E-4</v>
      </c>
      <c r="V149" s="203" t="s">
        <v>12</v>
      </c>
      <c r="W149" s="342" t="s">
        <v>320</v>
      </c>
    </row>
    <row r="150" spans="1:23" ht="15.75" x14ac:dyDescent="0.25">
      <c r="A150" s="96"/>
      <c r="B150" s="97"/>
      <c r="C150" s="97"/>
      <c r="D150" s="97"/>
      <c r="E150" s="104"/>
      <c r="F150" s="104"/>
      <c r="G150" s="98"/>
      <c r="H150" s="99"/>
      <c r="I150" s="110">
        <v>8</v>
      </c>
      <c r="J150" s="63"/>
      <c r="K150" s="63"/>
      <c r="L150" s="63"/>
      <c r="M150" s="63"/>
      <c r="N150" s="63"/>
      <c r="O150" s="63"/>
      <c r="P150" s="63"/>
      <c r="Q150" s="63"/>
      <c r="R150" s="63">
        <v>2</v>
      </c>
      <c r="S150" s="247"/>
      <c r="T150" s="243">
        <f t="shared" si="25"/>
        <v>2</v>
      </c>
      <c r="U150" s="93">
        <f t="shared" si="24"/>
        <v>9.9800399201596798E-4</v>
      </c>
      <c r="V150" s="204" t="s">
        <v>157</v>
      </c>
      <c r="W150" s="342" t="s">
        <v>317</v>
      </c>
    </row>
    <row r="151" spans="1:23" ht="15.75" x14ac:dyDescent="0.25">
      <c r="A151" s="96"/>
      <c r="B151" s="97"/>
      <c r="C151" s="97"/>
      <c r="D151" s="97"/>
      <c r="E151" s="104"/>
      <c r="F151" s="104"/>
      <c r="G151" s="98"/>
      <c r="H151" s="99"/>
      <c r="I151" s="110">
        <v>2</v>
      </c>
      <c r="J151" s="63"/>
      <c r="K151" s="63"/>
      <c r="L151" s="63"/>
      <c r="M151" s="63"/>
      <c r="N151" s="63"/>
      <c r="O151" s="63"/>
      <c r="P151" s="63"/>
      <c r="Q151" s="63"/>
      <c r="R151" s="63"/>
      <c r="S151" s="247"/>
      <c r="T151" s="243">
        <f t="shared" si="25"/>
        <v>0</v>
      </c>
      <c r="U151" s="93">
        <f t="shared" si="24"/>
        <v>0</v>
      </c>
      <c r="V151" s="203" t="s">
        <v>5</v>
      </c>
      <c r="W151" s="321"/>
    </row>
    <row r="152" spans="1:23" ht="15.75" x14ac:dyDescent="0.25">
      <c r="A152" s="96"/>
      <c r="B152" s="97"/>
      <c r="C152" s="97"/>
      <c r="D152" s="97"/>
      <c r="E152" s="104"/>
      <c r="F152" s="104"/>
      <c r="G152" s="98"/>
      <c r="H152" s="99"/>
      <c r="I152" s="110">
        <v>2</v>
      </c>
      <c r="J152" s="63"/>
      <c r="K152" s="63"/>
      <c r="L152" s="63"/>
      <c r="M152" s="63"/>
      <c r="N152" s="63"/>
      <c r="O152" s="63"/>
      <c r="P152" s="63"/>
      <c r="Q152" s="63"/>
      <c r="R152" s="63"/>
      <c r="S152" s="247"/>
      <c r="T152" s="243">
        <f t="shared" si="25"/>
        <v>0</v>
      </c>
      <c r="U152" s="93">
        <f t="shared" si="24"/>
        <v>0</v>
      </c>
      <c r="V152" s="203" t="s">
        <v>11</v>
      </c>
      <c r="W152" s="321"/>
    </row>
    <row r="153" spans="1:23" ht="15.75" x14ac:dyDescent="0.25">
      <c r="A153" s="96"/>
      <c r="B153" s="97"/>
      <c r="C153" s="97"/>
      <c r="D153" s="97"/>
      <c r="E153" s="104"/>
      <c r="F153" s="104"/>
      <c r="G153" s="98"/>
      <c r="H153" s="99"/>
      <c r="I153" s="110">
        <v>4</v>
      </c>
      <c r="J153" s="63"/>
      <c r="K153" s="63"/>
      <c r="L153" s="63"/>
      <c r="M153" s="63"/>
      <c r="N153" s="63"/>
      <c r="O153" s="63"/>
      <c r="P153" s="63"/>
      <c r="Q153" s="63"/>
      <c r="R153" s="63"/>
      <c r="S153" s="247"/>
      <c r="T153" s="243">
        <f t="shared" si="25"/>
        <v>0</v>
      </c>
      <c r="U153" s="93">
        <f t="shared" si="24"/>
        <v>0</v>
      </c>
      <c r="V153" s="203" t="s">
        <v>32</v>
      </c>
      <c r="W153" s="321"/>
    </row>
    <row r="154" spans="1:23" ht="15.75" x14ac:dyDescent="0.25">
      <c r="A154" s="96"/>
      <c r="B154" s="97"/>
      <c r="C154" s="97"/>
      <c r="D154" s="97"/>
      <c r="E154" s="104"/>
      <c r="F154" s="104"/>
      <c r="G154" s="98"/>
      <c r="H154" s="99"/>
      <c r="I154" s="110"/>
      <c r="J154" s="63"/>
      <c r="K154" s="63"/>
      <c r="L154" s="63"/>
      <c r="M154" s="63"/>
      <c r="N154" s="63"/>
      <c r="O154" s="63"/>
      <c r="P154" s="63"/>
      <c r="Q154" s="63"/>
      <c r="R154" s="63"/>
      <c r="S154" s="247"/>
      <c r="T154" s="243">
        <f t="shared" si="25"/>
        <v>0</v>
      </c>
      <c r="U154" s="93">
        <f t="shared" si="24"/>
        <v>0</v>
      </c>
      <c r="V154" s="204" t="s">
        <v>221</v>
      </c>
      <c r="W154" s="321"/>
    </row>
    <row r="155" spans="1:23" ht="16.5" thickBot="1" x14ac:dyDescent="0.3">
      <c r="A155" s="96"/>
      <c r="B155" s="97"/>
      <c r="C155" s="97"/>
      <c r="D155" s="97"/>
      <c r="E155" s="104"/>
      <c r="F155" s="104"/>
      <c r="G155" s="98"/>
      <c r="H155" s="107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250"/>
      <c r="T155" s="244">
        <f t="shared" si="25"/>
        <v>0</v>
      </c>
      <c r="U155" s="294">
        <f>($T155)/$D$126</f>
        <v>0</v>
      </c>
      <c r="V155" s="345" t="s">
        <v>9</v>
      </c>
      <c r="W155" s="321"/>
    </row>
    <row r="156" spans="1:23" ht="16.5" thickBot="1" x14ac:dyDescent="0.3">
      <c r="A156" s="96"/>
      <c r="B156" s="97"/>
      <c r="C156" s="97"/>
      <c r="D156" s="97"/>
      <c r="E156" s="104"/>
      <c r="F156" s="104"/>
      <c r="G156" s="98"/>
      <c r="H156" s="82"/>
      <c r="I156" s="83"/>
      <c r="J156" s="236"/>
      <c r="K156" s="83"/>
      <c r="L156" s="83"/>
      <c r="M156" s="83"/>
      <c r="N156" s="83" t="s">
        <v>291</v>
      </c>
      <c r="O156" s="83"/>
      <c r="P156" s="83"/>
      <c r="Q156" s="83"/>
      <c r="R156" s="83"/>
      <c r="S156" s="83"/>
      <c r="T156" s="242"/>
      <c r="U156" s="242"/>
      <c r="V156" s="208" t="s">
        <v>148</v>
      </c>
      <c r="W156" s="321"/>
    </row>
    <row r="157" spans="1:23" ht="15.75" x14ac:dyDescent="0.25">
      <c r="A157" s="96"/>
      <c r="B157" s="97"/>
      <c r="C157" s="97"/>
      <c r="D157" s="97"/>
      <c r="E157" s="104"/>
      <c r="F157" s="104"/>
      <c r="G157" s="109"/>
      <c r="H157" s="90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246"/>
      <c r="T157" s="245">
        <f t="shared" ref="T157:T166" si="26">SUM(H157,J157,L157,N157,P157,R157,S157)</f>
        <v>0</v>
      </c>
      <c r="U157" s="183">
        <f>($T157)/$D$126</f>
        <v>0</v>
      </c>
      <c r="V157" s="202" t="s">
        <v>34</v>
      </c>
      <c r="W157" s="342"/>
    </row>
    <row r="158" spans="1:23" ht="15.75" x14ac:dyDescent="0.25">
      <c r="A158" s="96"/>
      <c r="B158" s="97"/>
      <c r="C158" s="97"/>
      <c r="D158" s="97"/>
      <c r="E158" s="104"/>
      <c r="F158" s="104"/>
      <c r="G158" s="109"/>
      <c r="H158" s="99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247"/>
      <c r="T158" s="243">
        <f t="shared" si="26"/>
        <v>0</v>
      </c>
      <c r="U158" s="93">
        <f>($T158)/$D$126</f>
        <v>0</v>
      </c>
      <c r="V158" s="203" t="s">
        <v>82</v>
      </c>
      <c r="W158" s="342"/>
    </row>
    <row r="159" spans="1:23" x14ac:dyDescent="0.25">
      <c r="A159" s="96"/>
      <c r="B159" s="97"/>
      <c r="C159" s="97"/>
      <c r="D159" s="97"/>
      <c r="E159" s="104"/>
      <c r="F159" s="104"/>
      <c r="G159" s="109"/>
      <c r="H159" s="99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247"/>
      <c r="T159" s="243">
        <f t="shared" si="26"/>
        <v>0</v>
      </c>
      <c r="U159" s="93">
        <f t="shared" ref="U159:U165" si="27">($T159)/$D$126</f>
        <v>0</v>
      </c>
      <c r="V159" s="343" t="s">
        <v>255</v>
      </c>
      <c r="W159" s="321"/>
    </row>
    <row r="160" spans="1:23" x14ac:dyDescent="0.25">
      <c r="A160" s="96"/>
      <c r="B160" s="97"/>
      <c r="C160" s="97"/>
      <c r="D160" s="97"/>
      <c r="E160" s="104"/>
      <c r="F160" s="104"/>
      <c r="G160" s="109"/>
      <c r="H160" s="99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247"/>
      <c r="T160" s="243">
        <f t="shared" si="26"/>
        <v>0</v>
      </c>
      <c r="U160" s="93">
        <f t="shared" si="27"/>
        <v>0</v>
      </c>
      <c r="V160" s="499" t="s">
        <v>84</v>
      </c>
      <c r="W160" s="321" t="s">
        <v>318</v>
      </c>
    </row>
    <row r="161" spans="1:23" ht="15.75" x14ac:dyDescent="0.25">
      <c r="A161" s="96"/>
      <c r="B161" s="97"/>
      <c r="C161" s="97"/>
      <c r="D161" s="97"/>
      <c r="E161" s="104"/>
      <c r="F161" s="104"/>
      <c r="G161" s="109"/>
      <c r="H161" s="99">
        <v>1</v>
      </c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247"/>
      <c r="T161" s="243">
        <f t="shared" si="26"/>
        <v>1</v>
      </c>
      <c r="U161" s="93">
        <f t="shared" si="27"/>
        <v>4.9900199600798399E-4</v>
      </c>
      <c r="V161" s="203" t="s">
        <v>70</v>
      </c>
      <c r="W161" s="321" t="s">
        <v>319</v>
      </c>
    </row>
    <row r="162" spans="1:23" ht="15.75" x14ac:dyDescent="0.25">
      <c r="A162" s="96"/>
      <c r="B162" s="97"/>
      <c r="C162" s="97"/>
      <c r="D162" s="97"/>
      <c r="E162" s="104"/>
      <c r="F162" s="104"/>
      <c r="G162" s="109"/>
      <c r="H162" s="99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247"/>
      <c r="T162" s="243">
        <f t="shared" si="26"/>
        <v>0</v>
      </c>
      <c r="U162" s="93">
        <f t="shared" si="27"/>
        <v>0</v>
      </c>
      <c r="V162" s="204" t="s">
        <v>83</v>
      </c>
      <c r="W162" s="321" t="s">
        <v>316</v>
      </c>
    </row>
    <row r="163" spans="1:23" ht="15.75" x14ac:dyDescent="0.25">
      <c r="A163" s="96"/>
      <c r="B163" s="97"/>
      <c r="C163" s="97"/>
      <c r="D163" s="97"/>
      <c r="E163" s="104"/>
      <c r="F163" s="104"/>
      <c r="G163" s="109"/>
      <c r="H163" s="99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247"/>
      <c r="T163" s="243">
        <f t="shared" si="26"/>
        <v>0</v>
      </c>
      <c r="U163" s="93">
        <f t="shared" si="27"/>
        <v>0</v>
      </c>
      <c r="V163" s="204" t="s">
        <v>25</v>
      </c>
      <c r="W163" s="321"/>
    </row>
    <row r="164" spans="1:23" ht="15.75" x14ac:dyDescent="0.25">
      <c r="A164" s="96"/>
      <c r="B164" s="97"/>
      <c r="C164" s="97"/>
      <c r="D164" s="97"/>
      <c r="E164" s="104"/>
      <c r="F164" s="104"/>
      <c r="G164" s="109"/>
      <c r="H164" s="107"/>
      <c r="I164" s="100"/>
      <c r="J164" s="100"/>
      <c r="K164" s="100"/>
      <c r="L164" s="100"/>
      <c r="M164" s="100"/>
      <c r="N164" s="100"/>
      <c r="O164" s="100"/>
      <c r="P164" s="100"/>
      <c r="Q164" s="100"/>
      <c r="R164" s="100"/>
      <c r="S164" s="250"/>
      <c r="T164" s="243">
        <f t="shared" si="26"/>
        <v>0</v>
      </c>
      <c r="U164" s="93">
        <f t="shared" si="27"/>
        <v>0</v>
      </c>
      <c r="V164" s="207" t="s">
        <v>222</v>
      </c>
      <c r="W164" s="321"/>
    </row>
    <row r="165" spans="1:23" ht="15.75" x14ac:dyDescent="0.25">
      <c r="A165" s="96"/>
      <c r="B165" s="97"/>
      <c r="C165" s="97"/>
      <c r="D165" s="97"/>
      <c r="E165" s="104"/>
      <c r="F165" s="104"/>
      <c r="G165" s="109"/>
      <c r="H165" s="107">
        <v>1</v>
      </c>
      <c r="I165" s="100"/>
      <c r="J165" s="100"/>
      <c r="K165" s="100"/>
      <c r="L165" s="100"/>
      <c r="M165" s="100"/>
      <c r="N165" s="100"/>
      <c r="O165" s="100"/>
      <c r="P165" s="100"/>
      <c r="Q165" s="100"/>
      <c r="R165" s="100"/>
      <c r="S165" s="250"/>
      <c r="T165" s="243">
        <f t="shared" si="26"/>
        <v>1</v>
      </c>
      <c r="U165" s="93">
        <f t="shared" si="27"/>
        <v>4.9900199600798399E-4</v>
      </c>
      <c r="V165" s="203" t="s">
        <v>12</v>
      </c>
      <c r="W165" s="344"/>
    </row>
    <row r="166" spans="1:23" ht="16.5" thickBot="1" x14ac:dyDescent="0.3">
      <c r="A166" s="117"/>
      <c r="B166" s="118"/>
      <c r="C166" s="118"/>
      <c r="D166" s="118"/>
      <c r="E166" s="119"/>
      <c r="F166" s="119"/>
      <c r="G166" s="120"/>
      <c r="H166" s="107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250"/>
      <c r="T166" s="243">
        <f t="shared" si="26"/>
        <v>0</v>
      </c>
      <c r="U166" s="294">
        <f>($T166)/$D$126</f>
        <v>0</v>
      </c>
      <c r="V166" s="205" t="s">
        <v>145</v>
      </c>
      <c r="W166" s="340"/>
    </row>
    <row r="167" spans="1:23" ht="15.75" thickBot="1" x14ac:dyDescent="0.3">
      <c r="A167" s="122"/>
      <c r="B167" s="122"/>
      <c r="C167" s="122"/>
      <c r="D167" s="122"/>
      <c r="E167" s="122"/>
      <c r="F167" s="122"/>
      <c r="G167" s="47" t="s">
        <v>4</v>
      </c>
      <c r="H167" s="123">
        <f t="shared" ref="H167:S167" si="28">SUM(H127:H166)</f>
        <v>84</v>
      </c>
      <c r="I167" s="123">
        <f t="shared" si="28"/>
        <v>68</v>
      </c>
      <c r="J167" s="123">
        <f t="shared" si="28"/>
        <v>37</v>
      </c>
      <c r="K167" s="123">
        <f t="shared" si="28"/>
        <v>0</v>
      </c>
      <c r="L167" s="123">
        <f t="shared" si="28"/>
        <v>0</v>
      </c>
      <c r="M167" s="123">
        <f t="shared" si="28"/>
        <v>0</v>
      </c>
      <c r="N167" s="123">
        <f t="shared" si="28"/>
        <v>0</v>
      </c>
      <c r="O167" s="123">
        <f t="shared" si="28"/>
        <v>0</v>
      </c>
      <c r="P167" s="123">
        <f t="shared" si="28"/>
        <v>0</v>
      </c>
      <c r="Q167" s="123">
        <f t="shared" si="28"/>
        <v>0</v>
      </c>
      <c r="R167" s="123">
        <f t="shared" si="28"/>
        <v>6</v>
      </c>
      <c r="S167" s="123">
        <f t="shared" si="28"/>
        <v>14</v>
      </c>
      <c r="T167" s="198">
        <f>SUM(H167,J167,L167,N167,P167,R167,S167)</f>
        <v>141</v>
      </c>
      <c r="U167" s="327">
        <f>($T167)/$D$126</f>
        <v>7.0359281437125748E-2</v>
      </c>
      <c r="V167" s="40"/>
    </row>
  </sheetData>
  <mergeCells count="20">
    <mergeCell ref="A128:G128"/>
    <mergeCell ref="A129:F129"/>
    <mergeCell ref="A130:F130"/>
    <mergeCell ref="A131:F131"/>
    <mergeCell ref="A132:F132"/>
    <mergeCell ref="A86:G86"/>
    <mergeCell ref="A87:F87"/>
    <mergeCell ref="A88:F88"/>
    <mergeCell ref="A89:F89"/>
    <mergeCell ref="A90:F90"/>
    <mergeCell ref="A45:G45"/>
    <mergeCell ref="A46:F46"/>
    <mergeCell ref="A47:F47"/>
    <mergeCell ref="A48:F48"/>
    <mergeCell ref="A49:F49"/>
    <mergeCell ref="A4:G4"/>
    <mergeCell ref="A5:F5"/>
    <mergeCell ref="A6:F6"/>
    <mergeCell ref="A7:F7"/>
    <mergeCell ref="A8:F8"/>
  </mergeCells>
  <conditionalFormatting sqref="U3:U28 U127:U155">
    <cfRule type="cellIs" dxfId="77" priority="59" operator="greaterThan">
      <formula>0.2</formula>
    </cfRule>
  </conditionalFormatting>
  <conditionalFormatting sqref="U1:U2">
    <cfRule type="cellIs" dxfId="76" priority="58" operator="greaterThan">
      <formula>0.2</formula>
    </cfRule>
  </conditionalFormatting>
  <conditionalFormatting sqref="U30:U39">
    <cfRule type="cellIs" dxfId="75" priority="56" operator="greaterThan">
      <formula>0.2</formula>
    </cfRule>
  </conditionalFormatting>
  <conditionalFormatting sqref="U30:U39">
    <cfRule type="colorScale" priority="57">
      <colorScale>
        <cfvo type="min"/>
        <cfvo type="max"/>
        <color rgb="FFFCFCFF"/>
        <color rgb="FFF8696B"/>
      </colorScale>
    </cfRule>
  </conditionalFormatting>
  <conditionalFormatting sqref="U3:U28">
    <cfRule type="colorScale" priority="60">
      <colorScale>
        <cfvo type="min"/>
        <cfvo type="max"/>
        <color rgb="FFFCFCFF"/>
        <color rgb="FFF8696B"/>
      </colorScale>
    </cfRule>
  </conditionalFormatting>
  <conditionalFormatting sqref="U44:U69">
    <cfRule type="cellIs" dxfId="74" priority="24" operator="greaterThan">
      <formula>0.2</formula>
    </cfRule>
  </conditionalFormatting>
  <conditionalFormatting sqref="U42:U43">
    <cfRule type="cellIs" dxfId="73" priority="23" operator="greaterThan">
      <formula>0.2</formula>
    </cfRule>
  </conditionalFormatting>
  <conditionalFormatting sqref="U71 U79:U80">
    <cfRule type="cellIs" dxfId="72" priority="21" operator="greaterThan">
      <formula>0.2</formula>
    </cfRule>
  </conditionalFormatting>
  <conditionalFormatting sqref="U79:U80 U71">
    <cfRule type="colorScale" priority="22">
      <colorScale>
        <cfvo type="min"/>
        <cfvo type="max"/>
        <color rgb="FFFCFCFF"/>
        <color rgb="FFF8696B"/>
      </colorScale>
    </cfRule>
  </conditionalFormatting>
  <conditionalFormatting sqref="U44:U69">
    <cfRule type="colorScale" priority="25">
      <colorScale>
        <cfvo type="min"/>
        <cfvo type="max"/>
        <color rgb="FFFCFCFF"/>
        <color rgb="FFF8696B"/>
      </colorScale>
    </cfRule>
  </conditionalFormatting>
  <conditionalFormatting sqref="U72:U78">
    <cfRule type="cellIs" dxfId="71" priority="19" operator="greaterThan">
      <formula>0.2</formula>
    </cfRule>
  </conditionalFormatting>
  <conditionalFormatting sqref="U72:U78">
    <cfRule type="colorScale" priority="20">
      <colorScale>
        <cfvo type="min"/>
        <cfvo type="max"/>
        <color rgb="FFFCFCFF"/>
        <color rgb="FFF8696B"/>
      </colorScale>
    </cfRule>
  </conditionalFormatting>
  <conditionalFormatting sqref="U85:U110">
    <cfRule type="cellIs" dxfId="70" priority="17" operator="greaterThan">
      <formula>0.2</formula>
    </cfRule>
  </conditionalFormatting>
  <conditionalFormatting sqref="U83:U84">
    <cfRule type="cellIs" dxfId="69" priority="16" operator="greaterThan">
      <formula>0.2</formula>
    </cfRule>
  </conditionalFormatting>
  <conditionalFormatting sqref="U112 U121:U122">
    <cfRule type="cellIs" dxfId="68" priority="14" operator="greaterThan">
      <formula>0.2</formula>
    </cfRule>
  </conditionalFormatting>
  <conditionalFormatting sqref="U121:U122 U112">
    <cfRule type="colorScale" priority="15">
      <colorScale>
        <cfvo type="min"/>
        <cfvo type="max"/>
        <color rgb="FFFCFCFF"/>
        <color rgb="FFF8696B"/>
      </colorScale>
    </cfRule>
  </conditionalFormatting>
  <conditionalFormatting sqref="U85:U110">
    <cfRule type="colorScale" priority="18">
      <colorScale>
        <cfvo type="min"/>
        <cfvo type="max"/>
        <color rgb="FFFCFCFF"/>
        <color rgb="FFF8696B"/>
      </colorScale>
    </cfRule>
  </conditionalFormatting>
  <conditionalFormatting sqref="U113:U120">
    <cfRule type="cellIs" dxfId="67" priority="12" operator="greaterThan">
      <formula>0.2</formula>
    </cfRule>
  </conditionalFormatting>
  <conditionalFormatting sqref="U113:U120">
    <cfRule type="colorScale" priority="13">
      <colorScale>
        <cfvo type="min"/>
        <cfvo type="max"/>
        <color rgb="FFFCFCFF"/>
        <color rgb="FFF8696B"/>
      </colorScale>
    </cfRule>
  </conditionalFormatting>
  <conditionalFormatting sqref="U125:U126">
    <cfRule type="cellIs" dxfId="66" priority="7" operator="greaterThan">
      <formula>0.2</formula>
    </cfRule>
  </conditionalFormatting>
  <conditionalFormatting sqref="U157 U166:U167">
    <cfRule type="cellIs" dxfId="65" priority="5" operator="greaterThan">
      <formula>0.2</formula>
    </cfRule>
  </conditionalFormatting>
  <conditionalFormatting sqref="U166:U167 U157">
    <cfRule type="colorScale" priority="6">
      <colorScale>
        <cfvo type="min"/>
        <cfvo type="max"/>
        <color rgb="FFFCFCFF"/>
        <color rgb="FFF8696B"/>
      </colorScale>
    </cfRule>
  </conditionalFormatting>
  <conditionalFormatting sqref="U158:U165">
    <cfRule type="cellIs" dxfId="64" priority="3" operator="greaterThan">
      <formula>0.2</formula>
    </cfRule>
  </conditionalFormatting>
  <conditionalFormatting sqref="U158:U165">
    <cfRule type="colorScale" priority="4">
      <colorScale>
        <cfvo type="min"/>
        <cfvo type="max"/>
        <color rgb="FFFCFCFF"/>
        <color rgb="FFF8696B"/>
      </colorScale>
    </cfRule>
  </conditionalFormatting>
  <conditionalFormatting sqref="U127:U155">
    <cfRule type="colorScale" priority="3308">
      <colorScale>
        <cfvo type="min"/>
        <cfvo type="max"/>
        <color rgb="FFFCFCFF"/>
        <color rgb="FFF8696B"/>
      </colorScale>
    </cfRule>
  </conditionalFormatting>
  <pageMargins left="0.25" right="0.25" top="0.75" bottom="0.75" header="0.3" footer="0.3"/>
  <pageSetup scale="17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21">
    <pageSetUpPr fitToPage="1"/>
  </sheetPr>
  <dimension ref="A1:U38"/>
  <sheetViews>
    <sheetView showGridLines="0" topLeftCell="A3" zoomScaleNormal="100" workbookViewId="0">
      <selection activeCell="R5" sqref="R5"/>
    </sheetView>
  </sheetViews>
  <sheetFormatPr defaultColWidth="9.140625" defaultRowHeight="15" x14ac:dyDescent="0.25"/>
  <cols>
    <col min="1" max="4" width="10.7109375" style="23" customWidth="1"/>
    <col min="5" max="5" width="10.7109375" style="25" customWidth="1"/>
    <col min="6" max="6" width="10.7109375" style="23" customWidth="1"/>
    <col min="7" max="7" width="17.7109375" style="23" customWidth="1"/>
    <col min="8" max="8" width="10.7109375" style="23" customWidth="1"/>
    <col min="9" max="9" width="13.5703125" style="23" bestFit="1" customWidth="1"/>
    <col min="10" max="11" width="10.7109375" style="23" customWidth="1"/>
    <col min="12" max="12" width="16.5703125" style="23" customWidth="1"/>
    <col min="13" max="14" width="10.7109375" style="23" customWidth="1"/>
    <col min="15" max="15" width="31" style="23" bestFit="1" customWidth="1"/>
    <col min="16" max="16" width="10.7109375" style="23" customWidth="1"/>
    <col min="17" max="17" width="10.85546875" style="23" customWidth="1"/>
    <col min="18" max="18" width="10.42578125" style="23" customWidth="1"/>
    <col min="19" max="16384" width="9.140625" style="23"/>
  </cols>
  <sheetData>
    <row r="1" spans="1:21" ht="54" customHeight="1" x14ac:dyDescent="0.25">
      <c r="A1" s="566" t="s">
        <v>97</v>
      </c>
      <c r="B1" s="566"/>
      <c r="C1" s="566"/>
      <c r="D1" s="566"/>
      <c r="E1" s="566"/>
      <c r="F1" s="566"/>
      <c r="G1" s="566"/>
      <c r="H1" s="566"/>
      <c r="I1" s="566"/>
      <c r="J1" s="566"/>
      <c r="K1" s="566"/>
      <c r="L1" s="566"/>
      <c r="M1" s="566"/>
      <c r="N1" s="566"/>
      <c r="O1" s="566"/>
      <c r="P1" s="566"/>
      <c r="Q1" s="566"/>
      <c r="R1" s="566"/>
    </row>
    <row r="3" spans="1:21" ht="26.25" customHeight="1" x14ac:dyDescent="0.25">
      <c r="O3" s="567" t="s">
        <v>49</v>
      </c>
      <c r="P3" s="568"/>
      <c r="Q3" s="568"/>
      <c r="R3" s="568"/>
    </row>
    <row r="4" spans="1:21" x14ac:dyDescent="0.25">
      <c r="O4" s="569" t="s">
        <v>20</v>
      </c>
      <c r="P4" s="570"/>
      <c r="Q4" s="571"/>
      <c r="R4" s="30" t="s">
        <v>24</v>
      </c>
    </row>
    <row r="5" spans="1:21" x14ac:dyDescent="0.25">
      <c r="O5" s="19" t="s">
        <v>14</v>
      </c>
      <c r="P5" s="20"/>
      <c r="Q5" s="21"/>
      <c r="R5" s="251">
        <f>SUMIF('EB215'!$V$44:$V$166,O5,'EB215'!$T$44:$T$166)</f>
        <v>668</v>
      </c>
    </row>
    <row r="6" spans="1:21" x14ac:dyDescent="0.25">
      <c r="O6" s="19" t="s">
        <v>8</v>
      </c>
      <c r="P6" s="20"/>
      <c r="Q6" s="21"/>
      <c r="R6" s="251">
        <f>SUMIF('EB215'!$V$44:$V$166,O6,'EB215'!$T$44:$T$166)</f>
        <v>36</v>
      </c>
    </row>
    <row r="7" spans="1:21" x14ac:dyDescent="0.25">
      <c r="O7" s="19" t="s">
        <v>0</v>
      </c>
      <c r="P7" s="20"/>
      <c r="Q7" s="21"/>
      <c r="R7" s="251">
        <f>SUMIF('EB215'!$V$44:$V$166,O7,'EB215'!$T$44:$T$166)</f>
        <v>14</v>
      </c>
    </row>
    <row r="8" spans="1:21" x14ac:dyDescent="0.25">
      <c r="O8" s="19" t="s">
        <v>11</v>
      </c>
      <c r="P8" s="20"/>
      <c r="Q8" s="21"/>
      <c r="R8" s="251">
        <f>SUMIF('EB215'!$V$44:$V$166,O8,'EB215'!$T$44:$T$166)</f>
        <v>13</v>
      </c>
    </row>
    <row r="9" spans="1:21" x14ac:dyDescent="0.25">
      <c r="O9" s="19" t="s">
        <v>32</v>
      </c>
      <c r="P9" s="20"/>
      <c r="Q9" s="21"/>
      <c r="R9" s="251">
        <f>SUMIF('EB215'!$V$44:$V$166,O9,'EB215'!$T$44:$T$166)</f>
        <v>7</v>
      </c>
    </row>
    <row r="10" spans="1:21" ht="15.75" x14ac:dyDescent="0.25">
      <c r="O10" s="19" t="s">
        <v>15</v>
      </c>
      <c r="P10" s="20"/>
      <c r="Q10" s="21"/>
      <c r="R10" s="251">
        <f>SUMIF('EB215'!$V$44:$V$166,O10,'EB215'!$T$44:$T$166)</f>
        <v>7</v>
      </c>
      <c r="U10" s="125"/>
    </row>
    <row r="11" spans="1:21" x14ac:dyDescent="0.25">
      <c r="O11" s="19" t="s">
        <v>13</v>
      </c>
      <c r="P11" s="20"/>
      <c r="Q11" s="21"/>
      <c r="R11" s="251">
        <f>SUMIF('EB215'!$V$44:$V$166,O11,'EB215'!$T$44:$T$166)</f>
        <v>7</v>
      </c>
    </row>
    <row r="12" spans="1:21" x14ac:dyDescent="0.25">
      <c r="O12" s="19" t="s">
        <v>12</v>
      </c>
      <c r="P12" s="20"/>
      <c r="Q12" s="21"/>
      <c r="R12" s="251">
        <f>SUMIF('EB215'!$V$44:$V$166,O12,'EB215'!$T$44:$T$166)</f>
        <v>7</v>
      </c>
    </row>
    <row r="13" spans="1:21" x14ac:dyDescent="0.25">
      <c r="O13" s="19" t="s">
        <v>5</v>
      </c>
      <c r="P13" s="20"/>
      <c r="Q13" s="21"/>
      <c r="R13" s="251">
        <f>SUMIF('EB215'!$V$44:$V$166,O13,'EB215'!$T$44:$T$166)</f>
        <v>5</v>
      </c>
    </row>
    <row r="14" spans="1:21" x14ac:dyDescent="0.25">
      <c r="O14" s="19" t="s">
        <v>7</v>
      </c>
      <c r="P14" s="20"/>
      <c r="Q14" s="21"/>
      <c r="R14" s="251">
        <f>SUMIF('EB215'!$V$44:$V$166,O14,'EB215'!$T$44:$T$166)</f>
        <v>5</v>
      </c>
    </row>
    <row r="15" spans="1:21" x14ac:dyDescent="0.25">
      <c r="O15" s="19" t="s">
        <v>3</v>
      </c>
      <c r="P15" s="20"/>
      <c r="Q15" s="21"/>
      <c r="R15" s="251">
        <f>SUMIF('EB215'!$V$44:$V$166,O15,'EB215'!$T$44:$T$166)</f>
        <v>22</v>
      </c>
    </row>
    <row r="16" spans="1:21" x14ac:dyDescent="0.25">
      <c r="O16" s="19" t="s">
        <v>42</v>
      </c>
      <c r="P16" s="20"/>
      <c r="Q16" s="21"/>
      <c r="R16" s="251">
        <f>SUMIF('EB215'!$V$44:$V$166,O16,'EB215'!$T$44:$T$166)</f>
        <v>2</v>
      </c>
    </row>
    <row r="17" spans="1:18" x14ac:dyDescent="0.25">
      <c r="O17" s="19" t="s">
        <v>34</v>
      </c>
      <c r="P17" s="20"/>
      <c r="Q17" s="21"/>
      <c r="R17" s="251">
        <f>SUMIF('EB215'!$V$44:$V$166,O17,'EB215'!$T$44:$T$166)</f>
        <v>2</v>
      </c>
    </row>
    <row r="18" spans="1:18" x14ac:dyDescent="0.25">
      <c r="O18" s="19" t="s">
        <v>19</v>
      </c>
      <c r="P18" s="20"/>
      <c r="Q18" s="21"/>
      <c r="R18" s="251">
        <f>SUMIF('EB215'!$V$44:$V$166,O18,'EB215'!$T$44:$T$166)</f>
        <v>2</v>
      </c>
    </row>
    <row r="19" spans="1:18" x14ac:dyDescent="0.25">
      <c r="O19" s="19" t="s">
        <v>10</v>
      </c>
      <c r="P19" s="20"/>
      <c r="Q19" s="21"/>
      <c r="R19" s="251">
        <f>SUMIF('EB215'!$V$44:$V$166,O19,'EB215'!$T$44:$T$166)</f>
        <v>1</v>
      </c>
    </row>
    <row r="20" spans="1:18" ht="15.75" customHeight="1" x14ac:dyDescent="0.25">
      <c r="O20" s="19" t="s">
        <v>29</v>
      </c>
      <c r="P20" s="20"/>
      <c r="Q20" s="21"/>
      <c r="R20" s="251">
        <f>SUMIF('EB215'!$V$44:$V$166,O20,'EB215'!$T$44:$T$166)</f>
        <v>0</v>
      </c>
    </row>
    <row r="21" spans="1:18" ht="23.25" x14ac:dyDescent="0.25">
      <c r="A21" s="575" t="s">
        <v>61</v>
      </c>
      <c r="B21" s="576"/>
      <c r="C21" s="576"/>
      <c r="D21" s="576"/>
      <c r="E21" s="577"/>
      <c r="O21" s="19" t="s">
        <v>44</v>
      </c>
      <c r="P21" s="20"/>
      <c r="Q21" s="21"/>
      <c r="R21" s="251">
        <f>SUMIF('EB215'!$V$44:$V$166,O21,'EB215'!$T$44:$T$166)</f>
        <v>0</v>
      </c>
    </row>
    <row r="22" spans="1:18" ht="19.5" customHeight="1" x14ac:dyDescent="0.25">
      <c r="A22" s="28" t="s">
        <v>22</v>
      </c>
      <c r="B22" s="28" t="s">
        <v>17</v>
      </c>
      <c r="C22" s="28" t="s">
        <v>16</v>
      </c>
      <c r="D22" s="28" t="s">
        <v>1</v>
      </c>
      <c r="E22" s="29" t="s">
        <v>23</v>
      </c>
      <c r="O22" s="19" t="s">
        <v>30</v>
      </c>
      <c r="P22" s="20"/>
      <c r="Q22" s="21"/>
      <c r="R22" s="251">
        <f>SUMIF('EB215'!$V$44:$V$166,O22,'EB215'!$T$44:$T$166)</f>
        <v>0</v>
      </c>
    </row>
    <row r="23" spans="1:18" x14ac:dyDescent="0.25">
      <c r="A23" s="296">
        <v>1525473</v>
      </c>
      <c r="B23" s="130">
        <f>VLOOKUP(Table1411[[#This Row],[Shop Order]],'EB215'!A:Y,4,FALSE)</f>
        <v>2016</v>
      </c>
      <c r="C23" s="130">
        <f>VLOOKUP(Table1411[[#This Row],[Shop Order]],'EB215'!A:Y,5,FALSE)</f>
        <v>1860</v>
      </c>
      <c r="D23" s="131">
        <f>VLOOKUP(Table1411[[#This Row],[Shop Order]],'EB215'!A:Y,6,FALSE)</f>
        <v>0.92261904761904767</v>
      </c>
      <c r="E23" s="132">
        <f>VLOOKUP(Table1411[[#This Row],[Shop Order]],'EB215'!A:Y,7,FALSE)</f>
        <v>45482</v>
      </c>
      <c r="O23" s="19" t="s">
        <v>27</v>
      </c>
      <c r="P23" s="20"/>
      <c r="Q23" s="21"/>
      <c r="R23" s="251">
        <f>SUMIF('EB215'!$V$44:$V$166,O23,'EB215'!$T$44:$T$166)</f>
        <v>0</v>
      </c>
    </row>
    <row r="24" spans="1:18" x14ac:dyDescent="0.25">
      <c r="A24" s="296">
        <v>1525474</v>
      </c>
      <c r="B24" s="130">
        <f>VLOOKUP(Table1411[[#This Row],[Shop Order]],'EB215'!A:Y,4,FALSE)</f>
        <v>1960</v>
      </c>
      <c r="C24" s="130">
        <f>VLOOKUP(Table1411[[#This Row],[Shop Order]],'EB215'!A:Y,5,FALSE)</f>
        <v>1856</v>
      </c>
      <c r="D24" s="131">
        <f>VLOOKUP(Table1411[[#This Row],[Shop Order]],'EB215'!A:Y,6,FALSE)</f>
        <v>0.94693877551020411</v>
      </c>
      <c r="E24" s="132">
        <f>VLOOKUP(Table1411[[#This Row],[Shop Order]],'EB215'!A:Y,7,FALSE)</f>
        <v>45484</v>
      </c>
      <c r="G24" s="24"/>
      <c r="O24" s="19" t="s">
        <v>43</v>
      </c>
      <c r="P24" s="20"/>
      <c r="Q24" s="21"/>
      <c r="R24" s="251">
        <f>SUMIF('EB215'!$V$44:$V$166,O24,'EB215'!$T$44:$T$166)</f>
        <v>0</v>
      </c>
    </row>
    <row r="25" spans="1:18" x14ac:dyDescent="0.25">
      <c r="A25" s="296">
        <v>1527169</v>
      </c>
      <c r="B25" s="130">
        <f>VLOOKUP(Table1411[[#This Row],[Shop Order]],'EB215'!A:Y,4,FALSE)</f>
        <v>2506</v>
      </c>
      <c r="C25" s="130">
        <f>VLOOKUP(Table1411[[#This Row],[Shop Order]],'EB215'!A:Y,5,FALSE)</f>
        <v>1880</v>
      </c>
      <c r="D25" s="131">
        <f>VLOOKUP(Table1411[[#This Row],[Shop Order]],'EB215'!A:Y,6,FALSE)</f>
        <v>0.75019952114924182</v>
      </c>
      <c r="E25" s="132">
        <f>VLOOKUP(Table1411[[#This Row],[Shop Order]],'EB215'!A:Y,7,FALSE)</f>
        <v>45495</v>
      </c>
      <c r="O25" s="19" t="s">
        <v>110</v>
      </c>
      <c r="P25" s="20"/>
      <c r="Q25" s="21"/>
      <c r="R25" s="251">
        <f>SUMIF('EB215'!$V$44:$V$166,O25,'EB215'!$T$44:$T$166)</f>
        <v>0</v>
      </c>
    </row>
    <row r="26" spans="1:18" x14ac:dyDescent="0.25">
      <c r="A26" s="296">
        <v>1528992</v>
      </c>
      <c r="B26" s="130">
        <f>VLOOKUP(Table1411[[#This Row],[Shop Order]],'EB215'!A:Y,4,FALSE)</f>
        <v>2004</v>
      </c>
      <c r="C26" s="130">
        <f>VLOOKUP(Table1411[[#This Row],[Shop Order]],'EB215'!A:Y,5,FALSE)</f>
        <v>1863</v>
      </c>
      <c r="D26" s="131">
        <f>VLOOKUP(Table1411[[#This Row],[Shop Order]],'EB215'!A:Y,6,FALSE)</f>
        <v>0.92964071856287422</v>
      </c>
      <c r="E26" s="132">
        <f>VLOOKUP(Table1411[[#This Row],[Shop Order]],'EB215'!A:Y,7,FALSE)</f>
        <v>45496</v>
      </c>
      <c r="O26" s="19" t="s">
        <v>31</v>
      </c>
      <c r="P26" s="20"/>
      <c r="Q26" s="21"/>
      <c r="R26" s="251">
        <f>SUMIF('EB215'!$V$44:$V$166,O26,'EB215'!$T$44:$T$166)</f>
        <v>0</v>
      </c>
    </row>
    <row r="27" spans="1:18" x14ac:dyDescent="0.25">
      <c r="A27" s="296"/>
      <c r="B27" s="130" t="e">
        <f>VLOOKUP(Table1411[[#This Row],[Shop Order]],'EB215'!A:Y,4,FALSE)</f>
        <v>#N/A</v>
      </c>
      <c r="C27" s="130" t="e">
        <f>VLOOKUP(Table1411[[#This Row],[Shop Order]],'EB215'!A:Y,5,FALSE)</f>
        <v>#N/A</v>
      </c>
      <c r="D27" s="131" t="e">
        <f>VLOOKUP(Table1411[[#This Row],[Shop Order]],'EB215'!A:Y,6,FALSE)</f>
        <v>#N/A</v>
      </c>
      <c r="E27" s="132" t="e">
        <f>VLOOKUP(Table1411[[#This Row],[Shop Order]],'EB215'!A:Y,7,FALSE)</f>
        <v>#N/A</v>
      </c>
      <c r="O27" s="19" t="s">
        <v>100</v>
      </c>
      <c r="P27" s="20"/>
      <c r="Q27" s="21"/>
      <c r="R27" s="251">
        <f>SUMIF('EB215'!$V$44:$V$166,O27,'EB215'!$T$44:$T$166)</f>
        <v>0</v>
      </c>
    </row>
    <row r="28" spans="1:18" x14ac:dyDescent="0.25">
      <c r="A28" s="296"/>
      <c r="B28" s="130" t="e">
        <f>VLOOKUP(Table1411[[#This Row],[Shop Order]],'EB215'!A:Y,4,FALSE)</f>
        <v>#N/A</v>
      </c>
      <c r="C28" s="130" t="e">
        <f>VLOOKUP(Table1411[[#This Row],[Shop Order]],'EB215'!A:Y,5,FALSE)</f>
        <v>#N/A</v>
      </c>
      <c r="D28" s="131" t="e">
        <f>VLOOKUP(Table1411[[#This Row],[Shop Order]],'EB215'!A:Y,6,FALSE)</f>
        <v>#N/A</v>
      </c>
      <c r="E28" s="132" t="e">
        <f>VLOOKUP(Table1411[[#This Row],[Shop Order]],'EB215'!A:Y,7,FALSE)</f>
        <v>#N/A</v>
      </c>
      <c r="O28" s="19" t="s">
        <v>41</v>
      </c>
      <c r="P28" s="20"/>
      <c r="Q28" s="21"/>
      <c r="R28" s="251">
        <f>SUMIF('EB215'!$V$44:$V$166,O28,'EB215'!$T$44:$T$166)</f>
        <v>0</v>
      </c>
    </row>
    <row r="29" spans="1:18" x14ac:dyDescent="0.25">
      <c r="A29" s="404"/>
      <c r="B29" s="401" t="e">
        <f>VLOOKUP(Table1411[[#This Row],[Shop Order]],'EB215'!A:Y,4,FALSE)</f>
        <v>#N/A</v>
      </c>
      <c r="C29" s="401" t="e">
        <f>VLOOKUP(Table1411[[#This Row],[Shop Order]],'EB215'!A:Y,5,FALSE)</f>
        <v>#N/A</v>
      </c>
      <c r="D29" s="402" t="e">
        <f>VLOOKUP(Table1411[[#This Row],[Shop Order]],'EB215'!A:Y,6,FALSE)</f>
        <v>#N/A</v>
      </c>
      <c r="E29" s="403" t="e">
        <f>VLOOKUP(Table1411[[#This Row],[Shop Order]],'EB215'!A:Y,7,FALSE)</f>
        <v>#N/A</v>
      </c>
      <c r="O29" s="19" t="s">
        <v>35</v>
      </c>
      <c r="P29" s="20"/>
      <c r="Q29" s="21"/>
      <c r="R29" s="251">
        <f>SUMIF('EB215'!$V$44:$V$166,O29,'EB215'!$T$44:$T$166)</f>
        <v>0</v>
      </c>
    </row>
    <row r="30" spans="1:18" x14ac:dyDescent="0.25">
      <c r="A30" s="445"/>
      <c r="B30" s="446" t="e">
        <f>VLOOKUP(Table1411[[#This Row],[Shop Order]],'EB215'!A:Y,4,FALSE)</f>
        <v>#N/A</v>
      </c>
      <c r="C30" s="446" t="e">
        <f>VLOOKUP(Table1411[[#This Row],[Shop Order]],'EB215'!A:Y,5,FALSE)</f>
        <v>#N/A</v>
      </c>
      <c r="D30" s="447" t="e">
        <f>VLOOKUP(Table1411[[#This Row],[Shop Order]],'EB215'!A:Y,6,FALSE)</f>
        <v>#N/A</v>
      </c>
      <c r="E30" s="448" t="e">
        <f>VLOOKUP(Table1411[[#This Row],[Shop Order]],'EB215'!A:Y,7,FALSE)</f>
        <v>#N/A</v>
      </c>
      <c r="O30" s="31"/>
      <c r="P30" s="31"/>
      <c r="Q30" s="31"/>
      <c r="R30" s="444"/>
    </row>
    <row r="31" spans="1:18" x14ac:dyDescent="0.25">
      <c r="A31" s="445"/>
      <c r="B31" s="446" t="e">
        <f>VLOOKUP(Table1411[[#This Row],[Shop Order]],'EB215'!A:Y,4,FALSE)</f>
        <v>#N/A</v>
      </c>
      <c r="C31" s="446" t="e">
        <f>VLOOKUP(Table1411[[#This Row],[Shop Order]],'EB215'!A:Y,5,FALSE)</f>
        <v>#N/A</v>
      </c>
      <c r="D31" s="447" t="e">
        <f>VLOOKUP(Table1411[[#This Row],[Shop Order]],'EB215'!A:Y,6,FALSE)</f>
        <v>#N/A</v>
      </c>
      <c r="E31" s="448" t="e">
        <f>VLOOKUP(Table1411[[#This Row],[Shop Order]],'EB215'!A:Y,7,FALSE)</f>
        <v>#N/A</v>
      </c>
      <c r="O31" s="31"/>
      <c r="P31" s="31"/>
      <c r="Q31" s="31"/>
      <c r="R31" s="444"/>
    </row>
    <row r="32" spans="1:18" ht="15.75" thickBot="1" x14ac:dyDescent="0.3">
      <c r="A32" s="451"/>
      <c r="B32" s="401" t="e">
        <f>VLOOKUP(Table1411[[#This Row],[Shop Order]],'EB215'!A:Y,4,FALSE)</f>
        <v>#N/A</v>
      </c>
      <c r="C32" s="401" t="e">
        <f>VLOOKUP(Table1411[[#This Row],[Shop Order]],'EB215'!A:Y,5,FALSE)</f>
        <v>#N/A</v>
      </c>
      <c r="D32" s="402" t="e">
        <f>VLOOKUP(Table1411[[#This Row],[Shop Order]],'EB215'!A:Y,6,FALSE)</f>
        <v>#N/A</v>
      </c>
      <c r="E32" s="403" t="e">
        <f>VLOOKUP(Table1411[[#This Row],[Shop Order]],'EB215'!A:Y,7,FALSE)</f>
        <v>#N/A</v>
      </c>
    </row>
    <row r="33" spans="1:5" ht="15.75" thickBot="1" x14ac:dyDescent="0.3">
      <c r="A33" s="585" t="s">
        <v>48</v>
      </c>
      <c r="B33" s="573"/>
      <c r="C33" s="574"/>
      <c r="D33" s="75" t="e">
        <f>AVERAGE(D23:D32)</f>
        <v>#N/A</v>
      </c>
      <c r="E33" s="26"/>
    </row>
    <row r="36" spans="1:5" x14ac:dyDescent="0.25">
      <c r="E36" s="23"/>
    </row>
    <row r="37" spans="1:5" ht="39.75" customHeight="1" x14ac:dyDescent="0.25">
      <c r="E37" s="23"/>
    </row>
    <row r="38" spans="1:5" ht="58.5" customHeight="1" x14ac:dyDescent="0.25">
      <c r="E38" s="23"/>
    </row>
  </sheetData>
  <autoFilter ref="O4:R4" xr:uid="{00000000-0009-0000-0000-00000B000000}">
    <filterColumn colId="0" showButton="0"/>
    <filterColumn colId="1" showButton="0"/>
    <sortState xmlns:xlrd2="http://schemas.microsoft.com/office/spreadsheetml/2017/richdata2" ref="O5:R29">
      <sortCondition descending="1" ref="R4"/>
    </sortState>
  </autoFilter>
  <sortState xmlns:xlrd2="http://schemas.microsoft.com/office/spreadsheetml/2017/richdata2" ref="O5:R29">
    <sortCondition descending="1" ref="R5:R29"/>
  </sortState>
  <dataConsolidate/>
  <mergeCells count="5">
    <mergeCell ref="A1:R1"/>
    <mergeCell ref="A21:E21"/>
    <mergeCell ref="A33:C33"/>
    <mergeCell ref="O4:Q4"/>
    <mergeCell ref="O3:R3"/>
  </mergeCells>
  <pageMargins left="0" right="0" top="0.75" bottom="0.75" header="0.3" footer="0.3"/>
  <pageSetup scale="62" orientation="landscape" r:id="rId1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9">
    <pageSetUpPr fitToPage="1"/>
  </sheetPr>
  <dimension ref="A1:AC43"/>
  <sheetViews>
    <sheetView zoomScale="70" zoomScaleNormal="70" zoomScaleSheetLayoutView="90" workbookViewId="0">
      <selection activeCell="S13" sqref="S13:S16"/>
    </sheetView>
  </sheetViews>
  <sheetFormatPr defaultColWidth="9.140625" defaultRowHeight="15" x14ac:dyDescent="0.25"/>
  <cols>
    <col min="1" max="1" width="14.5703125" style="41" bestFit="1" customWidth="1"/>
    <col min="2" max="2" width="12.7109375" style="41" customWidth="1"/>
    <col min="3" max="3" width="7" style="41" customWidth="1"/>
    <col min="4" max="4" width="8.85546875" style="41" customWidth="1"/>
    <col min="5" max="5" width="8.140625" style="41" customWidth="1"/>
    <col min="6" max="6" width="10.5703125" style="41" bestFit="1" customWidth="1"/>
    <col min="7" max="7" width="12.7109375" style="13" bestFit="1" customWidth="1"/>
    <col min="8" max="19" width="16.28515625" style="7" customWidth="1"/>
    <col min="20" max="20" width="7.42578125" style="8" customWidth="1"/>
    <col min="21" max="21" width="9.5703125" style="9" customWidth="1"/>
    <col min="22" max="22" width="40.7109375" style="41" customWidth="1"/>
    <col min="23" max="23" width="50.7109375" style="10" customWidth="1"/>
    <col min="24" max="29" width="9.140625" style="12"/>
    <col min="30" max="16384" width="9.140625" style="41"/>
  </cols>
  <sheetData>
    <row r="1" spans="1:23" ht="15.75" thickBot="1" x14ac:dyDescent="0.3"/>
    <row r="2" spans="1:23" ht="75.75" thickBot="1" x14ac:dyDescent="0.3">
      <c r="A2" s="43" t="s">
        <v>22</v>
      </c>
      <c r="B2" s="43" t="s">
        <v>46</v>
      </c>
      <c r="C2" s="43" t="s">
        <v>51</v>
      </c>
      <c r="D2" s="43" t="s">
        <v>17</v>
      </c>
      <c r="E2" s="42" t="s">
        <v>16</v>
      </c>
      <c r="F2" s="44" t="s">
        <v>1</v>
      </c>
      <c r="G2" s="45" t="s">
        <v>23</v>
      </c>
      <c r="H2" s="46" t="s">
        <v>71</v>
      </c>
      <c r="I2" s="46" t="s">
        <v>72</v>
      </c>
      <c r="J2" s="46" t="s">
        <v>52</v>
      </c>
      <c r="K2" s="46" t="s">
        <v>57</v>
      </c>
      <c r="L2" s="46" t="s">
        <v>53</v>
      </c>
      <c r="M2" s="46" t="s">
        <v>58</v>
      </c>
      <c r="N2" s="46" t="s">
        <v>54</v>
      </c>
      <c r="O2" s="46" t="s">
        <v>59</v>
      </c>
      <c r="P2" s="46" t="s">
        <v>55</v>
      </c>
      <c r="Q2" s="46" t="s">
        <v>73</v>
      </c>
      <c r="R2" s="46" t="s">
        <v>113</v>
      </c>
      <c r="S2" s="43" t="s">
        <v>40</v>
      </c>
      <c r="T2" s="43" t="s">
        <v>4</v>
      </c>
      <c r="U2" s="42" t="s">
        <v>2</v>
      </c>
      <c r="V2" s="80" t="s">
        <v>20</v>
      </c>
      <c r="W2" s="81" t="s">
        <v>6</v>
      </c>
    </row>
    <row r="3" spans="1:23" ht="15.75" thickBot="1" x14ac:dyDescent="0.3">
      <c r="A3" s="314"/>
      <c r="B3" s="73"/>
      <c r="C3" s="312"/>
      <c r="D3" s="312"/>
      <c r="E3" s="315"/>
      <c r="F3" s="313" t="e">
        <f>E3/D3</f>
        <v>#DIV/0!</v>
      </c>
      <c r="G3" s="48"/>
      <c r="H3" s="82"/>
      <c r="I3" s="83"/>
      <c r="J3" s="83"/>
      <c r="K3" s="83"/>
      <c r="L3" s="83"/>
      <c r="M3" s="83"/>
      <c r="N3" s="83"/>
      <c r="O3" s="83"/>
      <c r="P3" s="83"/>
      <c r="Q3" s="83"/>
      <c r="R3" s="83"/>
      <c r="S3" s="84"/>
      <c r="T3" s="291"/>
      <c r="U3" s="115"/>
      <c r="V3" s="86" t="s">
        <v>74</v>
      </c>
      <c r="W3" s="341" t="s">
        <v>69</v>
      </c>
    </row>
    <row r="4" spans="1:23" ht="15.75" thickBot="1" x14ac:dyDescent="0.3">
      <c r="A4" s="87"/>
      <c r="B4" s="88"/>
      <c r="C4" s="88"/>
      <c r="D4" s="88"/>
      <c r="E4" s="88"/>
      <c r="F4" s="88"/>
      <c r="G4" s="89"/>
      <c r="H4" s="90"/>
      <c r="I4" s="91"/>
      <c r="J4" s="91"/>
      <c r="K4" s="91"/>
      <c r="L4" s="91"/>
      <c r="M4" s="91"/>
      <c r="N4" s="91"/>
      <c r="O4" s="91"/>
      <c r="P4" s="91"/>
      <c r="Q4" s="91"/>
      <c r="R4" s="91"/>
      <c r="S4" s="92"/>
      <c r="T4" s="245">
        <f>SUM(H4,J4,L4,N4,P4,R4,S4)</f>
        <v>0</v>
      </c>
      <c r="U4" s="183" t="e">
        <f>($T4)/#REF!</f>
        <v>#REF!</v>
      </c>
      <c r="V4" s="94" t="s">
        <v>15</v>
      </c>
      <c r="W4" s="210"/>
    </row>
    <row r="5" spans="1:23" x14ac:dyDescent="0.25">
      <c r="A5" s="586" t="s">
        <v>225</v>
      </c>
      <c r="B5" s="587"/>
      <c r="C5" s="587"/>
      <c r="D5" s="587"/>
      <c r="E5" s="587"/>
      <c r="F5" s="587"/>
      <c r="G5" s="588"/>
      <c r="H5" s="459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2"/>
      <c r="T5" s="245">
        <f>SUM(H5,J5,L5,N5,P5,R5,S5)</f>
        <v>0</v>
      </c>
      <c r="U5" s="183" t="e">
        <f>($T5)/#REF!</f>
        <v>#REF!</v>
      </c>
      <c r="V5" s="113" t="s">
        <v>42</v>
      </c>
      <c r="W5" s="210"/>
    </row>
    <row r="6" spans="1:23" x14ac:dyDescent="0.25">
      <c r="A6" s="589" t="s">
        <v>226</v>
      </c>
      <c r="B6" s="590"/>
      <c r="C6" s="590"/>
      <c r="D6" s="590"/>
      <c r="E6" s="590"/>
      <c r="F6" s="590"/>
      <c r="G6" s="460"/>
      <c r="H6" s="110"/>
      <c r="I6" s="63"/>
      <c r="J6" s="63"/>
      <c r="K6" s="63"/>
      <c r="L6" s="63"/>
      <c r="M6" s="63"/>
      <c r="N6" s="63"/>
      <c r="O6" s="63"/>
      <c r="P6" s="63"/>
      <c r="Q6" s="63"/>
      <c r="R6" s="63"/>
      <c r="S6" s="101"/>
      <c r="T6" s="243">
        <f>SUM(H6,J6,L6,N6,P6,R6,S6)</f>
        <v>0</v>
      </c>
      <c r="U6" s="183" t="e">
        <f>($T6)/#REF!</f>
        <v>#REF!</v>
      </c>
      <c r="V6" s="102" t="s">
        <v>5</v>
      </c>
      <c r="W6" s="210"/>
    </row>
    <row r="7" spans="1:23" x14ac:dyDescent="0.25">
      <c r="A7" s="589" t="s">
        <v>227</v>
      </c>
      <c r="B7" s="590"/>
      <c r="C7" s="590"/>
      <c r="D7" s="590"/>
      <c r="E7" s="590"/>
      <c r="F7" s="590"/>
      <c r="G7" s="460"/>
      <c r="H7" s="110"/>
      <c r="I7" s="63"/>
      <c r="J7" s="63"/>
      <c r="K7" s="63"/>
      <c r="L7" s="63"/>
      <c r="M7" s="63"/>
      <c r="N7" s="63"/>
      <c r="O7" s="63"/>
      <c r="P7" s="63"/>
      <c r="Q7" s="63"/>
      <c r="R7" s="63"/>
      <c r="S7" s="101"/>
      <c r="T7" s="243">
        <f>SUM(H7,J7,L7,N7,P7,R7,S7)</f>
        <v>0</v>
      </c>
      <c r="U7" s="183" t="e">
        <f>($T7)/#REF!</f>
        <v>#REF!</v>
      </c>
      <c r="V7" s="102" t="s">
        <v>13</v>
      </c>
      <c r="W7" s="306"/>
    </row>
    <row r="8" spans="1:23" x14ac:dyDescent="0.25">
      <c r="A8" s="589" t="s">
        <v>228</v>
      </c>
      <c r="B8" s="590"/>
      <c r="C8" s="590"/>
      <c r="D8" s="590"/>
      <c r="E8" s="590"/>
      <c r="F8" s="590"/>
      <c r="G8" s="461">
        <f>G6-G7</f>
        <v>0</v>
      </c>
      <c r="H8" s="110"/>
      <c r="I8" s="63"/>
      <c r="J8" s="63"/>
      <c r="K8" s="63"/>
      <c r="L8" s="63"/>
      <c r="M8" s="63"/>
      <c r="N8" s="63"/>
      <c r="O8" s="63"/>
      <c r="P8" s="63"/>
      <c r="Q8" s="63"/>
      <c r="R8" s="63"/>
      <c r="S8" s="101"/>
      <c r="T8" s="243">
        <f t="shared" ref="T8:T33" si="0">SUM(H8,J8,L8,N8,P8,R8,S8)</f>
        <v>0</v>
      </c>
      <c r="U8" s="183" t="e">
        <f>($T8)/#REF!</f>
        <v>#REF!</v>
      </c>
      <c r="V8" s="102" t="s">
        <v>14</v>
      </c>
      <c r="W8" s="306"/>
    </row>
    <row r="9" spans="1:23" ht="15.75" thickBot="1" x14ac:dyDescent="0.3">
      <c r="A9" s="591" t="s">
        <v>229</v>
      </c>
      <c r="B9" s="592"/>
      <c r="C9" s="592"/>
      <c r="D9" s="592"/>
      <c r="E9" s="592"/>
      <c r="F9" s="592"/>
      <c r="G9" s="462" t="e">
        <f>G8/G6</f>
        <v>#DIV/0!</v>
      </c>
      <c r="H9" s="110"/>
      <c r="I9" s="63"/>
      <c r="J9" s="63"/>
      <c r="K9" s="63"/>
      <c r="L9" s="63"/>
      <c r="M9" s="63"/>
      <c r="N9" s="63"/>
      <c r="O9" s="63"/>
      <c r="P9" s="63"/>
      <c r="Q9" s="63"/>
      <c r="R9" s="63"/>
      <c r="S9" s="101"/>
      <c r="T9" s="243">
        <f t="shared" si="0"/>
        <v>0</v>
      </c>
      <c r="U9" s="183" t="e">
        <f>($T9)/#REF!</f>
        <v>#REF!</v>
      </c>
      <c r="V9" s="102" t="s">
        <v>29</v>
      </c>
      <c r="W9" s="105"/>
    </row>
    <row r="10" spans="1:23" x14ac:dyDescent="0.25">
      <c r="A10" s="96"/>
      <c r="B10" s="97"/>
      <c r="C10" s="97"/>
      <c r="D10" s="97"/>
      <c r="E10" s="104"/>
      <c r="F10" s="104"/>
      <c r="G10" s="98"/>
      <c r="H10" s="99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101"/>
      <c r="T10" s="243">
        <f t="shared" si="0"/>
        <v>0</v>
      </c>
      <c r="U10" s="183" t="e">
        <f>($T10)/#REF!</f>
        <v>#REF!</v>
      </c>
      <c r="V10" s="102" t="s">
        <v>30</v>
      </c>
      <c r="W10" s="105"/>
    </row>
    <row r="11" spans="1:23" ht="15.75" x14ac:dyDescent="0.25">
      <c r="A11" s="96"/>
      <c r="B11" s="97"/>
      <c r="C11" s="97"/>
      <c r="D11" s="97"/>
      <c r="E11" s="104"/>
      <c r="F11" s="104"/>
      <c r="G11" s="98"/>
      <c r="H11" s="99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101"/>
      <c r="T11" s="243">
        <f t="shared" si="0"/>
        <v>0</v>
      </c>
      <c r="U11" s="183" t="e">
        <f>($T11)/#REF!</f>
        <v>#REF!</v>
      </c>
      <c r="V11" s="203" t="s">
        <v>159</v>
      </c>
      <c r="W11" s="342"/>
    </row>
    <row r="12" spans="1:23" x14ac:dyDescent="0.25">
      <c r="A12" s="96"/>
      <c r="B12" s="97"/>
      <c r="C12" s="97"/>
      <c r="D12" s="97"/>
      <c r="E12" s="104"/>
      <c r="F12" s="104"/>
      <c r="G12" s="98"/>
      <c r="H12" s="99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101"/>
      <c r="T12" s="243">
        <f t="shared" si="0"/>
        <v>0</v>
      </c>
      <c r="U12" s="183" t="e">
        <f>($T12)/#REF!</f>
        <v>#REF!</v>
      </c>
      <c r="V12" s="264" t="s">
        <v>28</v>
      </c>
      <c r="W12" s="342" t="s">
        <v>234</v>
      </c>
    </row>
    <row r="13" spans="1:23" x14ac:dyDescent="0.25">
      <c r="A13" s="96"/>
      <c r="B13" s="97"/>
      <c r="C13" s="97"/>
      <c r="D13" s="97"/>
      <c r="E13" s="104"/>
      <c r="F13" s="104"/>
      <c r="G13" s="98"/>
      <c r="H13" s="99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101"/>
      <c r="T13" s="243">
        <f t="shared" si="0"/>
        <v>0</v>
      </c>
      <c r="U13" s="183" t="e">
        <f>($T13)/#REF!</f>
        <v>#REF!</v>
      </c>
      <c r="V13" s="102" t="s">
        <v>0</v>
      </c>
      <c r="W13" s="106"/>
    </row>
    <row r="14" spans="1:23" x14ac:dyDescent="0.25">
      <c r="A14" s="96"/>
      <c r="B14" s="97"/>
      <c r="C14" s="97"/>
      <c r="D14" s="97"/>
      <c r="E14" s="104"/>
      <c r="F14" s="104"/>
      <c r="G14" s="98"/>
      <c r="H14" s="99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101"/>
      <c r="T14" s="243">
        <f t="shared" si="0"/>
        <v>0</v>
      </c>
      <c r="U14" s="183" t="e">
        <f>($T14)/#REF!</f>
        <v>#REF!</v>
      </c>
      <c r="V14" s="102" t="s">
        <v>11</v>
      </c>
      <c r="W14" s="106"/>
    </row>
    <row r="15" spans="1:23" x14ac:dyDescent="0.25">
      <c r="A15" s="96"/>
      <c r="B15" s="97"/>
      <c r="C15" s="97"/>
      <c r="D15" s="97"/>
      <c r="E15" s="104"/>
      <c r="F15" s="104"/>
      <c r="G15" s="98"/>
      <c r="H15" s="99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101"/>
      <c r="T15" s="243">
        <f t="shared" si="0"/>
        <v>0</v>
      </c>
      <c r="U15" s="183" t="e">
        <f>($T15)/#REF!</f>
        <v>#REF!</v>
      </c>
      <c r="V15" s="102" t="s">
        <v>32</v>
      </c>
      <c r="W15" s="106"/>
    </row>
    <row r="16" spans="1:23" x14ac:dyDescent="0.25">
      <c r="A16" s="96"/>
      <c r="B16" s="97"/>
      <c r="C16" s="97"/>
      <c r="D16" s="97"/>
      <c r="E16" s="104"/>
      <c r="F16" s="104"/>
      <c r="G16" s="98"/>
      <c r="H16" s="99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101"/>
      <c r="T16" s="243">
        <f t="shared" si="0"/>
        <v>0</v>
      </c>
      <c r="U16" s="183" t="e">
        <f>($T16)/#REF!</f>
        <v>#REF!</v>
      </c>
      <c r="V16" s="102" t="s">
        <v>161</v>
      </c>
      <c r="W16" s="103"/>
    </row>
    <row r="17" spans="1:23" x14ac:dyDescent="0.25">
      <c r="A17" s="96"/>
      <c r="B17" s="97"/>
      <c r="C17" s="97"/>
      <c r="D17" s="97"/>
      <c r="E17" s="104"/>
      <c r="F17" s="104"/>
      <c r="G17" s="98"/>
      <c r="H17" s="99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101"/>
      <c r="T17" s="243">
        <f t="shared" si="0"/>
        <v>0</v>
      </c>
      <c r="U17" s="183" t="e">
        <f>($T17)/#REF!</f>
        <v>#REF!</v>
      </c>
      <c r="V17" s="188" t="s">
        <v>147</v>
      </c>
      <c r="W17" s="106"/>
    </row>
    <row r="18" spans="1:23" x14ac:dyDescent="0.25">
      <c r="A18" s="96"/>
      <c r="B18" s="97"/>
      <c r="C18" s="97"/>
      <c r="D18" s="97"/>
      <c r="E18" s="104"/>
      <c r="F18" s="104"/>
      <c r="G18" s="109"/>
      <c r="H18" s="110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101"/>
      <c r="T18" s="243">
        <f t="shared" si="0"/>
        <v>0</v>
      </c>
      <c r="U18" s="183" t="e">
        <f>($T18)/#REF!</f>
        <v>#REF!</v>
      </c>
      <c r="V18" s="63" t="s">
        <v>109</v>
      </c>
      <c r="W18" s="106"/>
    </row>
    <row r="19" spans="1:23" x14ac:dyDescent="0.25">
      <c r="A19" s="96"/>
      <c r="B19" s="97"/>
      <c r="C19" s="97"/>
      <c r="D19" s="97"/>
      <c r="E19" s="104"/>
      <c r="F19" s="104"/>
      <c r="G19" s="109"/>
      <c r="H19" s="110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101"/>
      <c r="T19" s="243">
        <f t="shared" si="0"/>
        <v>0</v>
      </c>
      <c r="U19" s="183" t="e">
        <f>($T19)/#REF!</f>
        <v>#REF!</v>
      </c>
      <c r="V19" s="148" t="s">
        <v>150</v>
      </c>
      <c r="W19" s="106"/>
    </row>
    <row r="20" spans="1:23" ht="15.75" thickBot="1" x14ac:dyDescent="0.3">
      <c r="A20" s="96"/>
      <c r="B20" s="97"/>
      <c r="C20" s="97"/>
      <c r="D20" s="97"/>
      <c r="E20" s="104"/>
      <c r="F20" s="104"/>
      <c r="G20" s="109"/>
      <c r="H20" s="186"/>
      <c r="I20" s="187"/>
      <c r="J20" s="187"/>
      <c r="K20" s="187"/>
      <c r="L20" s="187"/>
      <c r="M20" s="187"/>
      <c r="N20" s="187"/>
      <c r="O20" s="187"/>
      <c r="P20" s="187"/>
      <c r="Q20" s="187"/>
      <c r="R20" s="187"/>
      <c r="S20" s="189"/>
      <c r="T20" s="244">
        <f t="shared" si="0"/>
        <v>0</v>
      </c>
      <c r="U20" s="241" t="e">
        <f>($T20)/#REF!</f>
        <v>#REF!</v>
      </c>
      <c r="V20" s="187" t="s">
        <v>75</v>
      </c>
      <c r="W20" s="103"/>
    </row>
    <row r="21" spans="1:23" x14ac:dyDescent="0.25">
      <c r="A21" s="96"/>
      <c r="B21" s="97"/>
      <c r="C21" s="97"/>
      <c r="D21" s="97"/>
      <c r="E21" s="104"/>
      <c r="F21" s="104"/>
      <c r="G21" s="98"/>
      <c r="H21" s="184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  <c r="T21" s="245">
        <f t="shared" si="0"/>
        <v>0</v>
      </c>
      <c r="U21" s="183" t="e">
        <f>($T21)/#REF!</f>
        <v>#REF!</v>
      </c>
      <c r="V21" s="113" t="s">
        <v>10</v>
      </c>
      <c r="W21" s="106"/>
    </row>
    <row r="22" spans="1:23" x14ac:dyDescent="0.25">
      <c r="A22" s="96"/>
      <c r="B22" s="97"/>
      <c r="C22" s="97"/>
      <c r="D22" s="97"/>
      <c r="E22" s="104"/>
      <c r="F22" s="104"/>
      <c r="G22" s="98"/>
      <c r="H22" s="185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101"/>
      <c r="T22" s="243">
        <f t="shared" si="0"/>
        <v>0</v>
      </c>
      <c r="U22" s="183" t="e">
        <f>($T22)/#REF!</f>
        <v>#REF!</v>
      </c>
      <c r="V22" s="102" t="s">
        <v>27</v>
      </c>
      <c r="W22" s="106"/>
    </row>
    <row r="23" spans="1:23" x14ac:dyDescent="0.25">
      <c r="A23" s="96"/>
      <c r="B23" s="97"/>
      <c r="C23" s="97"/>
      <c r="D23" s="97"/>
      <c r="E23" s="104"/>
      <c r="F23" s="104"/>
      <c r="G23" s="98"/>
      <c r="H23" s="185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101"/>
      <c r="T23" s="243">
        <f t="shared" si="0"/>
        <v>0</v>
      </c>
      <c r="U23" s="183" t="e">
        <f>($T23)/#REF!</f>
        <v>#REF!</v>
      </c>
      <c r="V23" s="102" t="s">
        <v>3</v>
      </c>
      <c r="W23" s="105"/>
    </row>
    <row r="24" spans="1:23" x14ac:dyDescent="0.25">
      <c r="A24" s="96"/>
      <c r="B24" s="97"/>
      <c r="C24" s="97"/>
      <c r="D24" s="97"/>
      <c r="E24" s="104"/>
      <c r="F24" s="104"/>
      <c r="G24" s="98"/>
      <c r="H24" s="185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101"/>
      <c r="T24" s="243">
        <f t="shared" si="0"/>
        <v>0</v>
      </c>
      <c r="U24" s="183" t="e">
        <f>($T24)/#REF!</f>
        <v>#REF!</v>
      </c>
      <c r="V24" s="102" t="s">
        <v>7</v>
      </c>
      <c r="W24" s="106"/>
    </row>
    <row r="25" spans="1:23" x14ac:dyDescent="0.25">
      <c r="A25" s="96"/>
      <c r="B25" s="97"/>
      <c r="C25" s="97"/>
      <c r="D25" s="97"/>
      <c r="E25" s="104"/>
      <c r="F25" s="104"/>
      <c r="G25" s="98"/>
      <c r="H25" s="185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101"/>
      <c r="T25" s="243">
        <f t="shared" si="0"/>
        <v>0</v>
      </c>
      <c r="U25" s="183" t="e">
        <f>($T25)/#REF!</f>
        <v>#REF!</v>
      </c>
      <c r="V25" s="102" t="s">
        <v>8</v>
      </c>
      <c r="W25" s="106"/>
    </row>
    <row r="26" spans="1:23" x14ac:dyDescent="0.25">
      <c r="A26" s="96"/>
      <c r="B26" s="97"/>
      <c r="C26" s="97"/>
      <c r="D26" s="97"/>
      <c r="E26" s="104"/>
      <c r="F26" s="104"/>
      <c r="G26" s="98"/>
      <c r="H26" s="185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101"/>
      <c r="T26" s="243">
        <f t="shared" si="0"/>
        <v>0</v>
      </c>
      <c r="U26" s="183" t="e">
        <f>($T26)/#REF!</f>
        <v>#REF!</v>
      </c>
      <c r="V26" s="102" t="s">
        <v>76</v>
      </c>
      <c r="W26" s="342"/>
    </row>
    <row r="27" spans="1:23" x14ac:dyDescent="0.25">
      <c r="A27" s="96"/>
      <c r="B27" s="97"/>
      <c r="C27" s="97"/>
      <c r="D27" s="97"/>
      <c r="E27" s="104"/>
      <c r="F27" s="104"/>
      <c r="G27" s="98"/>
      <c r="H27" s="185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101"/>
      <c r="T27" s="243">
        <f t="shared" si="0"/>
        <v>0</v>
      </c>
      <c r="U27" s="183" t="e">
        <f>($T27)/#REF!</f>
        <v>#REF!</v>
      </c>
      <c r="V27" s="102" t="s">
        <v>19</v>
      </c>
      <c r="W27" s="259"/>
    </row>
    <row r="28" spans="1:23" x14ac:dyDescent="0.25">
      <c r="A28" s="96"/>
      <c r="B28" s="97"/>
      <c r="C28" s="97"/>
      <c r="D28" s="97"/>
      <c r="E28" s="104"/>
      <c r="F28" s="104"/>
      <c r="G28" s="98"/>
      <c r="H28" s="185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101"/>
      <c r="T28" s="243">
        <f t="shared" si="0"/>
        <v>0</v>
      </c>
      <c r="U28" s="183" t="e">
        <f>($T28)/#REF!</f>
        <v>#REF!</v>
      </c>
      <c r="V28" s="102" t="s">
        <v>77</v>
      </c>
      <c r="W28" s="106"/>
    </row>
    <row r="29" spans="1:23" x14ac:dyDescent="0.25">
      <c r="A29" s="96"/>
      <c r="B29" s="97"/>
      <c r="C29" s="97"/>
      <c r="D29" s="97"/>
      <c r="E29" s="104"/>
      <c r="F29" s="104"/>
      <c r="G29" s="98"/>
      <c r="H29" s="185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101"/>
      <c r="T29" s="243">
        <f t="shared" si="0"/>
        <v>0</v>
      </c>
      <c r="U29" s="183" t="e">
        <f>($T29)/#REF!</f>
        <v>#REF!</v>
      </c>
      <c r="V29" s="102" t="s">
        <v>91</v>
      </c>
      <c r="W29" s="342"/>
    </row>
    <row r="30" spans="1:23" ht="15" customHeight="1" x14ac:dyDescent="0.25">
      <c r="A30" s="96"/>
      <c r="B30" s="97"/>
      <c r="C30" s="97"/>
      <c r="D30" s="97"/>
      <c r="E30" s="104"/>
      <c r="F30" s="104"/>
      <c r="G30" s="98"/>
      <c r="H30" s="185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101"/>
      <c r="T30" s="243">
        <f t="shared" si="0"/>
        <v>0</v>
      </c>
      <c r="U30" s="183" t="e">
        <f>($T30)/#REF!</f>
        <v>#REF!</v>
      </c>
      <c r="V30" s="102" t="s">
        <v>12</v>
      </c>
      <c r="W30" s="342" t="s">
        <v>218</v>
      </c>
    </row>
    <row r="31" spans="1:23" x14ac:dyDescent="0.25">
      <c r="A31" s="96"/>
      <c r="B31" s="97"/>
      <c r="C31" s="97"/>
      <c r="D31" s="97"/>
      <c r="E31" s="104"/>
      <c r="F31" s="104"/>
      <c r="G31" s="98"/>
      <c r="H31" s="99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101"/>
      <c r="T31" s="243">
        <f t="shared" si="0"/>
        <v>0</v>
      </c>
      <c r="U31" s="183" t="e">
        <f>($T31)/#REF!</f>
        <v>#REF!</v>
      </c>
      <c r="V31" s="102" t="s">
        <v>79</v>
      </c>
      <c r="W31" s="342"/>
    </row>
    <row r="32" spans="1:23" x14ac:dyDescent="0.25">
      <c r="A32" s="96"/>
      <c r="B32" s="97"/>
      <c r="C32" s="97"/>
      <c r="D32" s="97"/>
      <c r="E32" s="104"/>
      <c r="F32" s="104"/>
      <c r="G32" s="98"/>
      <c r="H32" s="99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101"/>
      <c r="T32" s="243">
        <f t="shared" si="0"/>
        <v>0</v>
      </c>
      <c r="U32" s="183" t="e">
        <f>($T32)/#REF!</f>
        <v>#REF!</v>
      </c>
      <c r="V32" s="102" t="s">
        <v>9</v>
      </c>
      <c r="W32" s="321"/>
    </row>
    <row r="33" spans="1:23" ht="15.75" thickBot="1" x14ac:dyDescent="0.3">
      <c r="A33" s="96"/>
      <c r="B33" s="97"/>
      <c r="C33" s="97"/>
      <c r="D33" s="97"/>
      <c r="E33" s="104"/>
      <c r="F33" s="104"/>
      <c r="G33" s="98"/>
      <c r="H33" s="107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8"/>
      <c r="T33" s="243">
        <f t="shared" si="0"/>
        <v>0</v>
      </c>
      <c r="U33" s="183" t="e">
        <f>($T33)/#REF!</f>
        <v>#REF!</v>
      </c>
      <c r="V33" s="102" t="s">
        <v>93</v>
      </c>
      <c r="W33" s="321"/>
    </row>
    <row r="34" spans="1:23" ht="15.75" thickBot="1" x14ac:dyDescent="0.3">
      <c r="A34" s="96"/>
      <c r="B34" s="97"/>
      <c r="C34" s="97"/>
      <c r="D34" s="97"/>
      <c r="E34" s="104"/>
      <c r="F34" s="104"/>
      <c r="G34" s="98"/>
      <c r="H34" s="82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4"/>
      <c r="T34" s="242"/>
      <c r="U34" s="242"/>
      <c r="V34" s="116" t="s">
        <v>80</v>
      </c>
      <c r="W34" s="321"/>
    </row>
    <row r="35" spans="1:23" x14ac:dyDescent="0.25">
      <c r="A35" s="96"/>
      <c r="B35" s="97"/>
      <c r="C35" s="97"/>
      <c r="D35" s="97"/>
      <c r="E35" s="104"/>
      <c r="F35" s="104"/>
      <c r="G35" s="109"/>
      <c r="H35" s="90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2"/>
      <c r="T35" s="245">
        <f t="shared" ref="T35:T42" si="1">SUM(H35,J35,L35,N35,P35,R35,S35)</f>
        <v>0</v>
      </c>
      <c r="U35" s="183" t="e">
        <f>($T35)/#REF!</f>
        <v>#REF!</v>
      </c>
      <c r="V35" s="94" t="s">
        <v>82</v>
      </c>
      <c r="W35" s="321"/>
    </row>
    <row r="36" spans="1:23" x14ac:dyDescent="0.25">
      <c r="A36" s="96"/>
      <c r="B36" s="97"/>
      <c r="C36" s="97"/>
      <c r="D36" s="97"/>
      <c r="E36" s="104"/>
      <c r="F36" s="104"/>
      <c r="G36" s="109"/>
      <c r="H36" s="99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101"/>
      <c r="T36" s="243">
        <f t="shared" si="1"/>
        <v>0</v>
      </c>
      <c r="U36" s="183" t="e">
        <f>($T36)/#REF!</f>
        <v>#REF!</v>
      </c>
      <c r="V36" s="63" t="s">
        <v>152</v>
      </c>
      <c r="W36" s="321"/>
    </row>
    <row r="37" spans="1:23" x14ac:dyDescent="0.25">
      <c r="A37" s="96"/>
      <c r="B37" s="97"/>
      <c r="C37" s="97"/>
      <c r="D37" s="97"/>
      <c r="E37" s="104"/>
      <c r="F37" s="104"/>
      <c r="G37" s="109"/>
      <c r="H37" s="99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101"/>
      <c r="T37" s="243">
        <f t="shared" si="1"/>
        <v>0</v>
      </c>
      <c r="U37" s="183" t="e">
        <f>($T37)/#REF!</f>
        <v>#REF!</v>
      </c>
      <c r="V37" s="113" t="s">
        <v>70</v>
      </c>
      <c r="W37" s="321"/>
    </row>
    <row r="38" spans="1:23" x14ac:dyDescent="0.25">
      <c r="A38" s="96"/>
      <c r="B38" s="97"/>
      <c r="C38" s="97"/>
      <c r="D38" s="97"/>
      <c r="E38" s="104"/>
      <c r="F38" s="104"/>
      <c r="G38" s="109"/>
      <c r="H38" s="99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101"/>
      <c r="T38" s="243">
        <f t="shared" si="1"/>
        <v>0</v>
      </c>
      <c r="U38" s="183" t="e">
        <f>($T38)/#REF!</f>
        <v>#REF!</v>
      </c>
      <c r="V38" s="102" t="s">
        <v>163</v>
      </c>
      <c r="W38" s="321"/>
    </row>
    <row r="39" spans="1:23" x14ac:dyDescent="0.25">
      <c r="A39" s="96"/>
      <c r="B39" s="97"/>
      <c r="C39" s="97"/>
      <c r="D39" s="97"/>
      <c r="E39" s="104"/>
      <c r="F39" s="104"/>
      <c r="G39" s="109"/>
      <c r="H39" s="99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101"/>
      <c r="T39" s="243">
        <f t="shared" si="1"/>
        <v>0</v>
      </c>
      <c r="U39" s="183" t="e">
        <f>($T39)/#REF!</f>
        <v>#REF!</v>
      </c>
      <c r="V39" s="102" t="s">
        <v>12</v>
      </c>
      <c r="W39" s="321"/>
    </row>
    <row r="40" spans="1:23" x14ac:dyDescent="0.25">
      <c r="A40" s="96"/>
      <c r="B40" s="97"/>
      <c r="C40" s="97"/>
      <c r="D40" s="97"/>
      <c r="E40" s="104"/>
      <c r="F40" s="104"/>
      <c r="G40" s="109"/>
      <c r="H40" s="99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101"/>
      <c r="T40" s="243">
        <f t="shared" si="1"/>
        <v>0</v>
      </c>
      <c r="U40" s="183" t="e">
        <f>($T40)/#REF!</f>
        <v>#REF!</v>
      </c>
      <c r="V40" s="102" t="s">
        <v>161</v>
      </c>
      <c r="W40" s="342"/>
    </row>
    <row r="41" spans="1:23" x14ac:dyDescent="0.25">
      <c r="A41" s="96"/>
      <c r="B41" s="97"/>
      <c r="C41" s="97"/>
      <c r="D41" s="97"/>
      <c r="E41" s="104"/>
      <c r="F41" s="104"/>
      <c r="G41" s="109"/>
      <c r="H41" s="107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8"/>
      <c r="T41" s="243">
        <f t="shared" si="1"/>
        <v>0</v>
      </c>
      <c r="U41" s="183" t="e">
        <f>($T41)/#REF!</f>
        <v>#REF!</v>
      </c>
      <c r="V41" s="114" t="s">
        <v>15</v>
      </c>
      <c r="W41" s="342"/>
    </row>
    <row r="42" spans="1:23" ht="15.75" thickBot="1" x14ac:dyDescent="0.3">
      <c r="A42" s="117"/>
      <c r="B42" s="118"/>
      <c r="C42" s="118"/>
      <c r="D42" s="118"/>
      <c r="E42" s="119"/>
      <c r="F42" s="119"/>
      <c r="G42" s="120"/>
      <c r="H42" s="107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8"/>
      <c r="T42" s="243">
        <f t="shared" si="1"/>
        <v>0</v>
      </c>
      <c r="U42" s="294" t="e">
        <f>($T42)/#REF!</f>
        <v>#REF!</v>
      </c>
      <c r="V42" s="121" t="s">
        <v>145</v>
      </c>
      <c r="W42" s="215"/>
    </row>
    <row r="43" spans="1:23" ht="15.75" thickBot="1" x14ac:dyDescent="0.3">
      <c r="A43" s="122"/>
      <c r="B43" s="122"/>
      <c r="C43" s="122"/>
      <c r="D43" s="122"/>
      <c r="E43" s="122"/>
      <c r="F43" s="122"/>
      <c r="G43" s="47" t="s">
        <v>4</v>
      </c>
      <c r="H43" s="123">
        <f>SUM(H4:H42)</f>
        <v>0</v>
      </c>
      <c r="I43" s="123">
        <f t="shared" ref="I43:R43" si="2">SUM(I4:I42)</f>
        <v>0</v>
      </c>
      <c r="J43" s="123">
        <f t="shared" si="2"/>
        <v>0</v>
      </c>
      <c r="K43" s="123">
        <f t="shared" si="2"/>
        <v>0</v>
      </c>
      <c r="L43" s="123">
        <f t="shared" si="2"/>
        <v>0</v>
      </c>
      <c r="M43" s="123">
        <f t="shared" si="2"/>
        <v>0</v>
      </c>
      <c r="N43" s="123">
        <f t="shared" si="2"/>
        <v>0</v>
      </c>
      <c r="O43" s="123">
        <f t="shared" si="2"/>
        <v>0</v>
      </c>
      <c r="P43" s="123">
        <f t="shared" si="2"/>
        <v>0</v>
      </c>
      <c r="Q43" s="123">
        <f t="shared" si="2"/>
        <v>0</v>
      </c>
      <c r="R43" s="123">
        <f t="shared" si="2"/>
        <v>0</v>
      </c>
      <c r="S43" s="123">
        <f>SUM(S4:S42)</f>
        <v>0</v>
      </c>
      <c r="T43" s="198">
        <f>SUM(H43,J43,L43,N43,P43,R43,S43)</f>
        <v>0</v>
      </c>
      <c r="U43" s="327" t="e">
        <f>($T43)/#REF!</f>
        <v>#REF!</v>
      </c>
      <c r="V43" s="40"/>
    </row>
  </sheetData>
  <mergeCells count="5">
    <mergeCell ref="A5:G5"/>
    <mergeCell ref="A6:F6"/>
    <mergeCell ref="A7:F7"/>
    <mergeCell ref="A8:F8"/>
    <mergeCell ref="A9:F9"/>
  </mergeCells>
  <conditionalFormatting sqref="U44:U1048576 U1">
    <cfRule type="cellIs" dxfId="55" priority="623" operator="greaterThan">
      <formula>0.2</formula>
    </cfRule>
  </conditionalFormatting>
  <conditionalFormatting sqref="U4:U33">
    <cfRule type="cellIs" dxfId="54" priority="4" operator="greaterThan">
      <formula>0.2</formula>
    </cfRule>
  </conditionalFormatting>
  <conditionalFormatting sqref="U35:U43">
    <cfRule type="cellIs" dxfId="53" priority="3" operator="greaterThan">
      <formula>0.2</formula>
    </cfRule>
  </conditionalFormatting>
  <conditionalFormatting sqref="U2:U3">
    <cfRule type="cellIs" dxfId="52" priority="2" operator="greaterThan">
      <formula>0.2</formula>
    </cfRule>
  </conditionalFormatting>
  <conditionalFormatting sqref="U35:U43 U4:U33">
    <cfRule type="colorScale" priority="1">
      <colorScale>
        <cfvo type="min"/>
        <cfvo type="max"/>
        <color rgb="FFFCFCFF"/>
        <color rgb="FFF8696B"/>
      </colorScale>
    </cfRule>
  </conditionalFormatting>
  <pageMargins left="0.25" right="0.25" top="0.75" bottom="0.75" header="0.3" footer="0.3"/>
  <pageSetup scale="35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22">
    <pageSetUpPr fitToPage="1"/>
  </sheetPr>
  <dimension ref="A1:U29"/>
  <sheetViews>
    <sheetView showGridLines="0" topLeftCell="A12" zoomScaleNormal="100" workbookViewId="0">
      <selection activeCell="A23" sqref="A23:A25"/>
    </sheetView>
  </sheetViews>
  <sheetFormatPr defaultColWidth="9.140625" defaultRowHeight="15" x14ac:dyDescent="0.25"/>
  <cols>
    <col min="1" max="4" width="10.7109375" style="23" customWidth="1"/>
    <col min="5" max="5" width="10.7109375" style="25" customWidth="1"/>
    <col min="6" max="6" width="10.7109375" style="23" customWidth="1"/>
    <col min="7" max="7" width="17.7109375" style="23" customWidth="1"/>
    <col min="8" max="8" width="10.7109375" style="23" customWidth="1"/>
    <col min="9" max="9" width="13.5703125" style="23" bestFit="1" customWidth="1"/>
    <col min="10" max="11" width="10.7109375" style="23" customWidth="1"/>
    <col min="12" max="12" width="16.5703125" style="23" customWidth="1"/>
    <col min="13" max="14" width="10.7109375" style="23" customWidth="1"/>
    <col min="15" max="15" width="31" style="11" bestFit="1" customWidth="1"/>
    <col min="16" max="17" width="10.7109375" style="23" customWidth="1"/>
    <col min="18" max="18" width="10.42578125" style="23" customWidth="1"/>
    <col min="19" max="16384" width="9.140625" style="23"/>
  </cols>
  <sheetData>
    <row r="1" spans="1:21" ht="54" customHeight="1" x14ac:dyDescent="0.25">
      <c r="A1" s="566" t="s">
        <v>96</v>
      </c>
      <c r="B1" s="566"/>
      <c r="C1" s="566"/>
      <c r="D1" s="566"/>
      <c r="E1" s="566"/>
      <c r="F1" s="566"/>
      <c r="G1" s="566"/>
      <c r="H1" s="566"/>
      <c r="I1" s="566"/>
      <c r="J1" s="566"/>
      <c r="K1" s="566"/>
      <c r="L1" s="566"/>
      <c r="M1" s="566"/>
      <c r="N1" s="566"/>
      <c r="O1" s="566"/>
      <c r="P1" s="566"/>
      <c r="Q1" s="566"/>
      <c r="R1" s="566"/>
    </row>
    <row r="3" spans="1:21" ht="26.25" customHeight="1" x14ac:dyDescent="0.25">
      <c r="O3" s="567" t="s">
        <v>49</v>
      </c>
      <c r="P3" s="568"/>
      <c r="Q3" s="568"/>
      <c r="R3" s="568"/>
    </row>
    <row r="4" spans="1:21" x14ac:dyDescent="0.25">
      <c r="O4" s="569" t="s">
        <v>20</v>
      </c>
      <c r="P4" s="570"/>
      <c r="Q4" s="571"/>
      <c r="R4" s="30" t="s">
        <v>24</v>
      </c>
    </row>
    <row r="5" spans="1:21" x14ac:dyDescent="0.25">
      <c r="O5" s="301" t="s">
        <v>11</v>
      </c>
      <c r="P5" s="302"/>
      <c r="Q5" s="303"/>
      <c r="R5" s="251">
        <f>SUMIF('EB216'!$V$1:$V$42,O5,'EB216'!$T$1:$T$42)</f>
        <v>0</v>
      </c>
    </row>
    <row r="6" spans="1:21" x14ac:dyDescent="0.25">
      <c r="O6" s="301" t="s">
        <v>7</v>
      </c>
      <c r="P6" s="302"/>
      <c r="Q6" s="303"/>
      <c r="R6" s="251">
        <f>SUMIF('EB216'!$V$1:$V$42,O6,'EB216'!$T$1:$T$42)</f>
        <v>0</v>
      </c>
    </row>
    <row r="7" spans="1:21" x14ac:dyDescent="0.25">
      <c r="O7" s="301" t="s">
        <v>3</v>
      </c>
      <c r="P7" s="302"/>
      <c r="Q7" s="303"/>
      <c r="R7" s="251">
        <f>SUMIF('EB216'!$V$1:$V$42,O7,'EB216'!$T$1:$T$42)</f>
        <v>0</v>
      </c>
    </row>
    <row r="8" spans="1:21" x14ac:dyDescent="0.25">
      <c r="O8" s="301" t="s">
        <v>13</v>
      </c>
      <c r="P8" s="302"/>
      <c r="Q8" s="303"/>
      <c r="R8" s="251">
        <f>SUMIF('EB216'!$V$1:$V$42,O8,'EB216'!$T$1:$T$42)</f>
        <v>0</v>
      </c>
    </row>
    <row r="9" spans="1:21" x14ac:dyDescent="0.25">
      <c r="O9" s="301" t="s">
        <v>5</v>
      </c>
      <c r="P9" s="302"/>
      <c r="Q9" s="303"/>
      <c r="R9" s="251">
        <f>SUMIF('EB216'!$V$1:$V$42,O9,'EB216'!$T$1:$T$42)</f>
        <v>0</v>
      </c>
    </row>
    <row r="10" spans="1:21" ht="15.75" x14ac:dyDescent="0.25">
      <c r="O10" s="301" t="s">
        <v>29</v>
      </c>
      <c r="P10" s="302"/>
      <c r="Q10" s="303"/>
      <c r="R10" s="251">
        <f>SUMIF('EB216'!$V$1:$V$42,O10,'EB216'!$T$1:$T$42)</f>
        <v>0</v>
      </c>
      <c r="U10" s="125"/>
    </row>
    <row r="11" spans="1:21" x14ac:dyDescent="0.25">
      <c r="O11" s="301" t="s">
        <v>32</v>
      </c>
      <c r="P11" s="302"/>
      <c r="Q11" s="303"/>
      <c r="R11" s="251">
        <f>SUMIF('EB216'!$V$1:$V$42,O11,'EB216'!$T$1:$T$42)</f>
        <v>0</v>
      </c>
    </row>
    <row r="12" spans="1:21" x14ac:dyDescent="0.25">
      <c r="O12" s="301" t="s">
        <v>12</v>
      </c>
      <c r="P12" s="302"/>
      <c r="Q12" s="303"/>
      <c r="R12" s="251">
        <f>SUMIF('EB216'!$V$1:$V$42,O12,'EB216'!$T$1:$T$42)</f>
        <v>0</v>
      </c>
    </row>
    <row r="13" spans="1:21" x14ac:dyDescent="0.25">
      <c r="O13" s="301" t="s">
        <v>15</v>
      </c>
      <c r="P13" s="302"/>
      <c r="Q13" s="303"/>
      <c r="R13" s="251">
        <f>SUMIF('EB216'!$V$1:$V$42,O13,'EB216'!$T$1:$T$42)</f>
        <v>0</v>
      </c>
    </row>
    <row r="14" spans="1:21" x14ac:dyDescent="0.25">
      <c r="O14" s="301" t="s">
        <v>14</v>
      </c>
      <c r="P14" s="302"/>
      <c r="Q14" s="303"/>
      <c r="R14" s="251">
        <f>SUMIF('EB216'!$V$1:$V$42,O14,'EB216'!$T$1:$T$42)</f>
        <v>0</v>
      </c>
    </row>
    <row r="15" spans="1:21" x14ac:dyDescent="0.25">
      <c r="O15" s="301" t="s">
        <v>19</v>
      </c>
      <c r="P15" s="302"/>
      <c r="Q15" s="303"/>
      <c r="R15" s="251">
        <f>SUMIF('EB216'!$V$1:$V$42,O15,'EB216'!$T$1:$T$42)</f>
        <v>0</v>
      </c>
    </row>
    <row r="16" spans="1:21" x14ac:dyDescent="0.25">
      <c r="O16" s="301" t="s">
        <v>30</v>
      </c>
      <c r="P16" s="302"/>
      <c r="Q16" s="303"/>
      <c r="R16" s="251">
        <f>SUMIF('EB216'!$V$1:$V$42,O16,'EB216'!$T$1:$T$42)</f>
        <v>0</v>
      </c>
    </row>
    <row r="17" spans="1:18" x14ac:dyDescent="0.25">
      <c r="O17" s="301" t="s">
        <v>27</v>
      </c>
      <c r="P17" s="302"/>
      <c r="Q17" s="303"/>
      <c r="R17" s="251">
        <f>SUMIF('EB216'!$V$1:$V$42,O17,'EB216'!$T$1:$T$42)</f>
        <v>0</v>
      </c>
    </row>
    <row r="18" spans="1:18" x14ac:dyDescent="0.25">
      <c r="O18" s="301" t="s">
        <v>10</v>
      </c>
      <c r="P18" s="302"/>
      <c r="Q18" s="303"/>
      <c r="R18" s="251">
        <f>SUMIF('EB216'!$V$1:$V$42,O18,'EB216'!$T$1:$T$42)</f>
        <v>0</v>
      </c>
    </row>
    <row r="19" spans="1:18" x14ac:dyDescent="0.25">
      <c r="O19" s="301" t="s">
        <v>42</v>
      </c>
      <c r="P19" s="302"/>
      <c r="Q19" s="303"/>
      <c r="R19" s="251">
        <f>SUMIF('EB216'!$V$1:$V$42,O19,'EB216'!$T$1:$T$42)</f>
        <v>0</v>
      </c>
    </row>
    <row r="20" spans="1:18" ht="15.75" customHeight="1" x14ac:dyDescent="0.25">
      <c r="O20" s="301" t="s">
        <v>0</v>
      </c>
      <c r="P20" s="302"/>
      <c r="Q20" s="303"/>
      <c r="R20" s="251">
        <f>SUMIF('EB216'!$V$1:$V$42,O20,'EB216'!$T$1:$T$42)</f>
        <v>0</v>
      </c>
    </row>
    <row r="21" spans="1:18" ht="27.75" customHeight="1" x14ac:dyDescent="0.25">
      <c r="A21" s="575" t="s">
        <v>61</v>
      </c>
      <c r="B21" s="576"/>
      <c r="C21" s="576"/>
      <c r="D21" s="576"/>
      <c r="E21" s="577"/>
      <c r="O21" s="301" t="s">
        <v>8</v>
      </c>
      <c r="P21" s="302"/>
      <c r="Q21" s="303"/>
      <c r="R21" s="251">
        <f>SUMIF('EB216'!$V$1:$V$42,O21,'EB216'!$T$1:$T$42)</f>
        <v>0</v>
      </c>
    </row>
    <row r="22" spans="1:18" ht="19.5" customHeight="1" x14ac:dyDescent="0.25">
      <c r="A22" s="28" t="s">
        <v>22</v>
      </c>
      <c r="B22" s="28" t="s">
        <v>17</v>
      </c>
      <c r="C22" s="28" t="s">
        <v>16</v>
      </c>
      <c r="D22" s="28" t="s">
        <v>1</v>
      </c>
      <c r="E22" s="29" t="s">
        <v>23</v>
      </c>
      <c r="O22" s="301" t="s">
        <v>34</v>
      </c>
      <c r="P22" s="302"/>
      <c r="Q22" s="303"/>
      <c r="R22" s="251">
        <f>SUMIF('EB216'!$V$1:$V$42,O22,'EB216'!$T$1:$T$42)</f>
        <v>0</v>
      </c>
    </row>
    <row r="23" spans="1:18" x14ac:dyDescent="0.25">
      <c r="A23" s="296"/>
      <c r="B23" s="130" t="e">
        <f>VLOOKUP(Table14312[[#This Row],[Shop Order]],'EB216'!A:Y,4,FALSE)</f>
        <v>#N/A</v>
      </c>
      <c r="C23" s="130" t="e">
        <f>VLOOKUP(Table14312[[#This Row],[Shop Order]],'EB216'!A:Y,5,FALSE)</f>
        <v>#N/A</v>
      </c>
      <c r="D23" s="131" t="e">
        <f>VLOOKUP(Table14312[[#This Row],[Shop Order]],'EB216'!A:Y,6,FALSE)</f>
        <v>#N/A</v>
      </c>
      <c r="E23" s="322" t="e">
        <f>VLOOKUP(Table14312[[#This Row],[Shop Order]],'EB216'!A:Y,7,FALSE)</f>
        <v>#N/A</v>
      </c>
      <c r="O23" s="301" t="s">
        <v>43</v>
      </c>
      <c r="P23" s="302"/>
      <c r="Q23" s="303"/>
      <c r="R23" s="251">
        <f>SUMIF('EB216'!$V$1:$V$42,O23,'EB216'!$T$1:$T$42)</f>
        <v>0</v>
      </c>
    </row>
    <row r="24" spans="1:18" x14ac:dyDescent="0.25">
      <c r="A24" s="296"/>
      <c r="B24" s="130" t="e">
        <f>VLOOKUP(Table14312[[#This Row],[Shop Order]],'EB216'!A:Y,4,FALSE)</f>
        <v>#N/A</v>
      </c>
      <c r="C24" s="130" t="e">
        <f>VLOOKUP(Table14312[[#This Row],[Shop Order]],'EB216'!A:Y,5,FALSE)</f>
        <v>#N/A</v>
      </c>
      <c r="D24" s="131" t="e">
        <f>VLOOKUP(Table14312[[#This Row],[Shop Order]],'EB216'!A:Y,6,FALSE)</f>
        <v>#N/A</v>
      </c>
      <c r="E24" s="322" t="e">
        <f>VLOOKUP(Table14312[[#This Row],[Shop Order]],'EB216'!A:Y,7,FALSE)</f>
        <v>#N/A</v>
      </c>
      <c r="G24" s="24"/>
      <c r="O24" s="301" t="s">
        <v>44</v>
      </c>
      <c r="P24" s="302"/>
      <c r="Q24" s="303"/>
      <c r="R24" s="251">
        <f>SUMIF('EB216'!$V$1:$V$42,O24,'EB216'!$T$1:$T$42)</f>
        <v>0</v>
      </c>
    </row>
    <row r="25" spans="1:18" x14ac:dyDescent="0.25">
      <c r="A25" s="296"/>
      <c r="B25" s="130" t="e">
        <f>VLOOKUP(Table14312[[#This Row],[Shop Order]],'EB216'!A:Y,4,FALSE)</f>
        <v>#N/A</v>
      </c>
      <c r="C25" s="130" t="e">
        <f>VLOOKUP(Table14312[[#This Row],[Shop Order]],'EB216'!A:Y,5,FALSE)</f>
        <v>#N/A</v>
      </c>
      <c r="D25" s="131" t="e">
        <f>VLOOKUP(Table14312[[#This Row],[Shop Order]],'EB216'!A:Y,6,FALSE)</f>
        <v>#N/A</v>
      </c>
      <c r="E25" s="322" t="e">
        <f>VLOOKUP(Table14312[[#This Row],[Shop Order]],'EB216'!A:Y,7,FALSE)</f>
        <v>#N/A</v>
      </c>
      <c r="O25" s="301" t="s">
        <v>111</v>
      </c>
      <c r="P25" s="302"/>
      <c r="Q25" s="303"/>
      <c r="R25" s="251">
        <f>SUMIF('EB216'!$V$1:$V$42,O25,'EB216'!$T$1:$T$42)</f>
        <v>0</v>
      </c>
    </row>
    <row r="26" spans="1:18" x14ac:dyDescent="0.25">
      <c r="A26" s="296"/>
      <c r="B26" s="130" t="e">
        <f>VLOOKUP(Table14312[[#This Row],[Shop Order]],'EB216'!A:Y,4,FALSE)</f>
        <v>#N/A</v>
      </c>
      <c r="C26" s="130" t="e">
        <f>VLOOKUP(Table14312[[#This Row],[Shop Order]],'EB216'!A:Y,5,FALSE)</f>
        <v>#N/A</v>
      </c>
      <c r="D26" s="131" t="e">
        <f>VLOOKUP(Table14312[[#This Row],[Shop Order]],'EB216'!A:Y,6,FALSE)</f>
        <v>#N/A</v>
      </c>
      <c r="E26" s="322" t="e">
        <f>VLOOKUP(Table14312[[#This Row],[Shop Order]],'EB216'!A:Y,7,FALSE)</f>
        <v>#N/A</v>
      </c>
      <c r="O26" s="301" t="s">
        <v>41</v>
      </c>
      <c r="P26" s="302"/>
      <c r="Q26" s="303"/>
      <c r="R26" s="251">
        <f>SUMIF('EB216'!$V$1:$V$42,O26,'EB216'!$T$1:$T$42)</f>
        <v>0</v>
      </c>
    </row>
    <row r="27" spans="1:18" x14ac:dyDescent="0.25">
      <c r="A27" s="296"/>
      <c r="B27" s="130" t="e">
        <f>VLOOKUP(Table14312[[#This Row],[Shop Order]],'EB216'!A:Y,4,FALSE)</f>
        <v>#N/A</v>
      </c>
      <c r="C27" s="130" t="e">
        <f>VLOOKUP(Table14312[[#This Row],[Shop Order]],'EB216'!A:Y,5,FALSE)</f>
        <v>#N/A</v>
      </c>
      <c r="D27" s="131" t="e">
        <f>VLOOKUP(Table14312[[#This Row],[Shop Order]],'EB216'!A:Y,6,FALSE)</f>
        <v>#N/A</v>
      </c>
      <c r="E27" s="322" t="e">
        <f>VLOOKUP(Table14312[[#This Row],[Shop Order]],'EB216'!A:Y,7,FALSE)</f>
        <v>#N/A</v>
      </c>
      <c r="O27" s="301" t="s">
        <v>39</v>
      </c>
      <c r="P27" s="302"/>
      <c r="Q27" s="303"/>
      <c r="R27" s="251">
        <f>SUMIF('EB216'!$V$1:$V$42,O27,'EB216'!$T$1:$T$42)</f>
        <v>0</v>
      </c>
    </row>
    <row r="28" spans="1:18" ht="15.75" thickBot="1" x14ac:dyDescent="0.3">
      <c r="A28" s="296"/>
      <c r="B28" s="130" t="e">
        <f>VLOOKUP(Table14312[[#This Row],[Shop Order]],'EB216'!A:Y,4,FALSE)</f>
        <v>#N/A</v>
      </c>
      <c r="C28" s="130" t="e">
        <f>VLOOKUP(Table14312[[#This Row],[Shop Order]],'EB216'!A:Y,5,FALSE)</f>
        <v>#N/A</v>
      </c>
      <c r="D28" s="131" t="e">
        <f>VLOOKUP(Table14312[[#This Row],[Shop Order]],'EB216'!A:Y,6,FALSE)</f>
        <v>#N/A</v>
      </c>
      <c r="E28" s="322" t="e">
        <f>VLOOKUP(Table14312[[#This Row],[Shop Order]],'EB216'!A:Y,7,FALSE)</f>
        <v>#N/A</v>
      </c>
      <c r="O28" s="301" t="s">
        <v>35</v>
      </c>
      <c r="P28" s="302"/>
      <c r="Q28" s="303"/>
      <c r="R28" s="251">
        <f>SUMIF('EB216'!$V$1:$V$42,O28,'EB216'!$T$1:$T$42)</f>
        <v>0</v>
      </c>
    </row>
    <row r="29" spans="1:18" ht="15.75" thickBot="1" x14ac:dyDescent="0.3">
      <c r="A29" s="572" t="s">
        <v>48</v>
      </c>
      <c r="B29" s="573"/>
      <c r="C29" s="574"/>
      <c r="D29" s="75" t="e">
        <f>AVERAGE(D23)</f>
        <v>#N/A</v>
      </c>
      <c r="E29" s="26"/>
      <c r="O29" s="301"/>
      <c r="P29" s="302"/>
      <c r="Q29" s="303"/>
      <c r="R29" s="251"/>
    </row>
  </sheetData>
  <autoFilter ref="O4:R4" xr:uid="{00000000-0009-0000-0000-00000D000000}">
    <filterColumn colId="0" showButton="0"/>
    <filterColumn colId="1" showButton="0"/>
    <sortState xmlns:xlrd2="http://schemas.microsoft.com/office/spreadsheetml/2017/richdata2" ref="O5:R28">
      <sortCondition descending="1" ref="R4"/>
    </sortState>
  </autoFilter>
  <sortState xmlns:xlrd2="http://schemas.microsoft.com/office/spreadsheetml/2017/richdata2" ref="O5:R28">
    <sortCondition descending="1" ref="R5:R28"/>
  </sortState>
  <dataConsolidate/>
  <mergeCells count="5">
    <mergeCell ref="A29:C29"/>
    <mergeCell ref="A1:R1"/>
    <mergeCell ref="O3:R3"/>
    <mergeCell ref="O4:Q4"/>
    <mergeCell ref="A21:E21"/>
  </mergeCells>
  <pageMargins left="0" right="0" top="0.75" bottom="0.75" header="0.3" footer="0.3"/>
  <pageSetup scale="62" orientation="landscape" r:id="rId1"/>
  <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0">
    <pageSetUpPr fitToPage="1"/>
  </sheetPr>
  <dimension ref="A1:AC44"/>
  <sheetViews>
    <sheetView zoomScale="70" zoomScaleNormal="70" zoomScaleSheetLayoutView="90" workbookViewId="0">
      <selection activeCell="V50" sqref="V50"/>
    </sheetView>
  </sheetViews>
  <sheetFormatPr defaultColWidth="9.140625" defaultRowHeight="15" x14ac:dyDescent="0.25"/>
  <cols>
    <col min="1" max="1" width="14.5703125" style="41" bestFit="1" customWidth="1"/>
    <col min="2" max="2" width="12.7109375" style="41" customWidth="1"/>
    <col min="3" max="3" width="7" style="41" customWidth="1"/>
    <col min="4" max="4" width="7.7109375" style="41" customWidth="1"/>
    <col min="5" max="5" width="8" style="41" bestFit="1" customWidth="1"/>
    <col min="6" max="6" width="11.140625" style="41" bestFit="1" customWidth="1"/>
    <col min="7" max="7" width="12.5703125" style="13" bestFit="1" customWidth="1"/>
    <col min="8" max="19" width="15.85546875" style="7" customWidth="1"/>
    <col min="20" max="20" width="8.42578125" style="8" bestFit="1" customWidth="1"/>
    <col min="21" max="21" width="9.5703125" style="9" customWidth="1"/>
    <col min="22" max="22" width="35.42578125" style="41" customWidth="1"/>
    <col min="23" max="23" width="52.28515625" style="10" customWidth="1"/>
    <col min="24" max="29" width="9.140625" style="12"/>
    <col min="30" max="16384" width="9.140625" style="41"/>
  </cols>
  <sheetData>
    <row r="1" spans="1:29" ht="15.75" thickBot="1" x14ac:dyDescent="0.3"/>
    <row r="2" spans="1:29" ht="75.75" thickBot="1" x14ac:dyDescent="0.3">
      <c r="A2" s="43" t="s">
        <v>22</v>
      </c>
      <c r="B2" s="43" t="s">
        <v>46</v>
      </c>
      <c r="C2" s="43" t="s">
        <v>51</v>
      </c>
      <c r="D2" s="43" t="s">
        <v>17</v>
      </c>
      <c r="E2" s="42" t="s">
        <v>16</v>
      </c>
      <c r="F2" s="44" t="s">
        <v>1</v>
      </c>
      <c r="G2" s="45" t="s">
        <v>23</v>
      </c>
      <c r="H2" s="46" t="s">
        <v>71</v>
      </c>
      <c r="I2" s="46" t="s">
        <v>72</v>
      </c>
      <c r="J2" s="46" t="s">
        <v>52</v>
      </c>
      <c r="K2" s="46" t="s">
        <v>57</v>
      </c>
      <c r="L2" s="46" t="s">
        <v>53</v>
      </c>
      <c r="M2" s="46" t="s">
        <v>58</v>
      </c>
      <c r="N2" s="46" t="s">
        <v>54</v>
      </c>
      <c r="O2" s="46" t="s">
        <v>59</v>
      </c>
      <c r="P2" s="46" t="s">
        <v>55</v>
      </c>
      <c r="Q2" s="46" t="s">
        <v>73</v>
      </c>
      <c r="R2" s="46" t="s">
        <v>112</v>
      </c>
      <c r="S2" s="46" t="s">
        <v>40</v>
      </c>
      <c r="T2" s="46" t="s">
        <v>4</v>
      </c>
      <c r="U2" s="42" t="s">
        <v>2</v>
      </c>
      <c r="V2" s="80" t="s">
        <v>20</v>
      </c>
      <c r="W2" s="81" t="s">
        <v>6</v>
      </c>
      <c r="X2" s="41"/>
      <c r="Y2" s="41"/>
      <c r="Z2" s="41"/>
      <c r="AA2" s="41"/>
      <c r="AB2" s="41"/>
      <c r="AC2" s="41"/>
    </row>
    <row r="3" spans="1:29" ht="15.75" thickBot="1" x14ac:dyDescent="0.3">
      <c r="A3" s="73">
        <v>1528174</v>
      </c>
      <c r="B3" s="73" t="s">
        <v>292</v>
      </c>
      <c r="C3" s="312">
        <v>1152</v>
      </c>
      <c r="D3" s="312">
        <v>1171</v>
      </c>
      <c r="E3" s="312">
        <v>1139</v>
      </c>
      <c r="F3" s="313">
        <f>E3/D3</f>
        <v>0.97267292912040992</v>
      </c>
      <c r="G3" s="48">
        <v>45485</v>
      </c>
      <c r="H3" s="256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85"/>
      <c r="U3" s="166"/>
      <c r="V3" s="86" t="s">
        <v>74</v>
      </c>
      <c r="W3" s="39" t="s">
        <v>116</v>
      </c>
      <c r="X3" s="41"/>
      <c r="Y3" s="41"/>
      <c r="Z3" s="41"/>
      <c r="AA3" s="41"/>
      <c r="AB3" s="41"/>
      <c r="AC3" s="41"/>
    </row>
    <row r="4" spans="1:29" ht="15.75" thickBot="1" x14ac:dyDescent="0.3">
      <c r="A4" s="49"/>
      <c r="B4" s="50"/>
      <c r="C4" s="50"/>
      <c r="D4" s="50"/>
      <c r="E4" s="50"/>
      <c r="F4" s="50"/>
      <c r="G4" s="51"/>
      <c r="H4" s="257">
        <v>3</v>
      </c>
      <c r="I4" s="328"/>
      <c r="J4" s="59"/>
      <c r="K4" s="59"/>
      <c r="L4" s="59"/>
      <c r="M4" s="59"/>
      <c r="N4" s="59"/>
      <c r="O4" s="59"/>
      <c r="P4" s="59"/>
      <c r="Q4" s="59"/>
      <c r="R4" s="59"/>
      <c r="S4" s="59"/>
      <c r="T4" s="335">
        <f>SUM(H4,J4,L4,N4,P4,R4,S4)</f>
        <v>3</v>
      </c>
      <c r="U4" s="183">
        <f>($T4)/$D$3</f>
        <v>2.5619128949615714E-3</v>
      </c>
      <c r="V4" s="258" t="s">
        <v>15</v>
      </c>
      <c r="W4" s="265" t="s">
        <v>175</v>
      </c>
      <c r="X4" s="41"/>
      <c r="Y4" s="41"/>
      <c r="Z4" s="41"/>
      <c r="AA4" s="41"/>
      <c r="AB4" s="41"/>
      <c r="AC4" s="41"/>
    </row>
    <row r="5" spans="1:29" x14ac:dyDescent="0.25">
      <c r="A5" s="586" t="s">
        <v>225</v>
      </c>
      <c r="B5" s="587"/>
      <c r="C5" s="587"/>
      <c r="D5" s="587"/>
      <c r="E5" s="587"/>
      <c r="F5" s="587"/>
      <c r="G5" s="588"/>
      <c r="H5" s="292"/>
      <c r="I5" s="333"/>
      <c r="J5" s="62"/>
      <c r="K5" s="62"/>
      <c r="L5" s="62"/>
      <c r="M5" s="62"/>
      <c r="N5" s="62"/>
      <c r="O5" s="62"/>
      <c r="P5" s="62"/>
      <c r="Q5" s="62"/>
      <c r="R5" s="62"/>
      <c r="S5" s="62"/>
      <c r="T5" s="334">
        <f>SUM(H5,J5,L5,N5,P5,R5,S5)</f>
        <v>0</v>
      </c>
      <c r="U5" s="183">
        <f>($T5)/$D$3</f>
        <v>0</v>
      </c>
      <c r="V5" s="279" t="s">
        <v>42</v>
      </c>
      <c r="W5" s="265" t="s">
        <v>193</v>
      </c>
      <c r="X5" s="41"/>
      <c r="Y5" s="41"/>
      <c r="Z5" s="41"/>
      <c r="AA5" s="41"/>
      <c r="AB5" s="41"/>
      <c r="AC5" s="41"/>
    </row>
    <row r="6" spans="1:29" x14ac:dyDescent="0.25">
      <c r="A6" s="593" t="s">
        <v>226</v>
      </c>
      <c r="B6" s="594"/>
      <c r="C6" s="594"/>
      <c r="D6" s="594"/>
      <c r="E6" s="594"/>
      <c r="F6" s="594"/>
      <c r="G6" s="464">
        <v>4</v>
      </c>
      <c r="H6" s="262"/>
      <c r="I6" s="329"/>
      <c r="J6" s="61"/>
      <c r="K6" s="61"/>
      <c r="L6" s="61"/>
      <c r="M6" s="61"/>
      <c r="N6" s="61"/>
      <c r="O6" s="61"/>
      <c r="P6" s="61"/>
      <c r="Q6" s="61"/>
      <c r="R6" s="61"/>
      <c r="S6" s="61"/>
      <c r="T6" s="263">
        <f t="shared" ref="T6:T29" si="0">SUM(H6,J6,L6,N6,P6,R6,S6)</f>
        <v>0</v>
      </c>
      <c r="U6" s="183">
        <f t="shared" ref="U6:U19" si="1">($T6)/$D$3</f>
        <v>0</v>
      </c>
      <c r="V6" s="264" t="s">
        <v>5</v>
      </c>
      <c r="W6" s="306"/>
      <c r="X6" s="41"/>
      <c r="Y6" s="41"/>
      <c r="Z6" s="41"/>
      <c r="AA6" s="41"/>
      <c r="AB6" s="41"/>
      <c r="AC6" s="41"/>
    </row>
    <row r="7" spans="1:29" x14ac:dyDescent="0.25">
      <c r="A7" s="593" t="s">
        <v>227</v>
      </c>
      <c r="B7" s="594"/>
      <c r="C7" s="594"/>
      <c r="D7" s="594"/>
      <c r="E7" s="594"/>
      <c r="F7" s="594"/>
      <c r="G7" s="464">
        <v>3</v>
      </c>
      <c r="H7" s="262">
        <v>2</v>
      </c>
      <c r="I7" s="329"/>
      <c r="J7" s="61"/>
      <c r="K7" s="61"/>
      <c r="L7" s="61"/>
      <c r="M7" s="61"/>
      <c r="N7" s="61"/>
      <c r="O7" s="61"/>
      <c r="P7" s="61"/>
      <c r="Q7" s="61"/>
      <c r="R7" s="61"/>
      <c r="S7" s="61"/>
      <c r="T7" s="263">
        <f t="shared" si="0"/>
        <v>2</v>
      </c>
      <c r="U7" s="183">
        <f t="shared" si="1"/>
        <v>1.7079419299743809E-3</v>
      </c>
      <c r="V7" s="264" t="s">
        <v>13</v>
      </c>
      <c r="W7" s="306"/>
      <c r="X7" s="41"/>
      <c r="Y7" s="41"/>
      <c r="Z7" s="41"/>
      <c r="AA7" s="41"/>
      <c r="AB7" s="41"/>
      <c r="AC7" s="41"/>
    </row>
    <row r="8" spans="1:29" x14ac:dyDescent="0.25">
      <c r="A8" s="593" t="s">
        <v>228</v>
      </c>
      <c r="B8" s="594"/>
      <c r="C8" s="594"/>
      <c r="D8" s="594"/>
      <c r="E8" s="594"/>
      <c r="F8" s="594"/>
      <c r="G8" s="465">
        <f>G6-G7</f>
        <v>1</v>
      </c>
      <c r="H8" s="262"/>
      <c r="I8" s="329"/>
      <c r="J8" s="61">
        <v>1</v>
      </c>
      <c r="K8" s="61"/>
      <c r="L8" s="61"/>
      <c r="M8" s="61"/>
      <c r="N8" s="61"/>
      <c r="O8" s="61"/>
      <c r="P8" s="61"/>
      <c r="Q8" s="61"/>
      <c r="R8" s="61"/>
      <c r="S8" s="61"/>
      <c r="T8" s="263">
        <f t="shared" si="0"/>
        <v>1</v>
      </c>
      <c r="U8" s="183">
        <f t="shared" si="1"/>
        <v>8.5397096498719043E-4</v>
      </c>
      <c r="V8" s="264" t="s">
        <v>14</v>
      </c>
      <c r="W8" s="266"/>
      <c r="X8" s="41"/>
      <c r="Y8" s="41"/>
      <c r="Z8" s="41"/>
      <c r="AA8" s="41"/>
      <c r="AB8" s="41"/>
      <c r="AC8" s="41"/>
    </row>
    <row r="9" spans="1:29" x14ac:dyDescent="0.25">
      <c r="A9" s="593" t="s">
        <v>229</v>
      </c>
      <c r="B9" s="594"/>
      <c r="C9" s="594"/>
      <c r="D9" s="594"/>
      <c r="E9" s="594"/>
      <c r="F9" s="594"/>
      <c r="G9" s="465">
        <f>G8/G6</f>
        <v>0.25</v>
      </c>
      <c r="H9" s="262"/>
      <c r="I9" s="329"/>
      <c r="J9" s="61"/>
      <c r="K9" s="61"/>
      <c r="L9" s="61"/>
      <c r="M9" s="61"/>
      <c r="N9" s="61"/>
      <c r="O9" s="61"/>
      <c r="P9" s="61"/>
      <c r="Q9" s="61"/>
      <c r="R9" s="61"/>
      <c r="S9" s="61"/>
      <c r="T9" s="263">
        <f t="shared" si="0"/>
        <v>0</v>
      </c>
      <c r="U9" s="183">
        <f t="shared" si="1"/>
        <v>0</v>
      </c>
      <c r="V9" s="264" t="s">
        <v>29</v>
      </c>
      <c r="W9" s="266"/>
      <c r="X9" s="41"/>
      <c r="Y9" s="41"/>
      <c r="Z9" s="41"/>
      <c r="AA9" s="41"/>
      <c r="AB9" s="41"/>
      <c r="AC9" s="41"/>
    </row>
    <row r="10" spans="1:29" x14ac:dyDescent="0.25">
      <c r="A10" s="52"/>
      <c r="B10" s="260"/>
      <c r="C10" s="260"/>
      <c r="D10" s="260"/>
      <c r="E10" s="260"/>
      <c r="F10" s="260"/>
      <c r="G10" s="261"/>
      <c r="H10" s="262"/>
      <c r="I10" s="329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263">
        <f t="shared" si="0"/>
        <v>0</v>
      </c>
      <c r="U10" s="183">
        <f t="shared" si="1"/>
        <v>0</v>
      </c>
      <c r="V10" s="264" t="s">
        <v>30</v>
      </c>
      <c r="W10" s="266"/>
      <c r="X10" s="41"/>
      <c r="Y10" s="41"/>
      <c r="Z10" s="41"/>
      <c r="AA10" s="41"/>
      <c r="AB10" s="41"/>
      <c r="AC10" s="41"/>
    </row>
    <row r="11" spans="1:29" x14ac:dyDescent="0.25">
      <c r="A11" s="52"/>
      <c r="B11" s="260"/>
      <c r="C11" s="260"/>
      <c r="D11" s="260"/>
      <c r="E11" s="260"/>
      <c r="F11" s="260"/>
      <c r="G11" s="261"/>
      <c r="H11" s="262"/>
      <c r="I11" s="329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263">
        <f t="shared" si="0"/>
        <v>0</v>
      </c>
      <c r="U11" s="183">
        <f t="shared" si="1"/>
        <v>0</v>
      </c>
      <c r="V11" s="264" t="s">
        <v>111</v>
      </c>
      <c r="W11" s="266"/>
      <c r="X11" s="41"/>
      <c r="Y11" s="41"/>
      <c r="Z11" s="41"/>
      <c r="AA11" s="41"/>
      <c r="AB11" s="41"/>
      <c r="AC11" s="41"/>
    </row>
    <row r="12" spans="1:29" x14ac:dyDescent="0.25">
      <c r="A12" s="52"/>
      <c r="B12" s="260"/>
      <c r="C12" s="260"/>
      <c r="D12" s="260"/>
      <c r="E12" s="260"/>
      <c r="F12" s="260" t="s">
        <v>98</v>
      </c>
      <c r="G12" s="261"/>
      <c r="H12" s="262"/>
      <c r="I12" s="329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263">
        <f t="shared" si="0"/>
        <v>0</v>
      </c>
      <c r="U12" s="183">
        <f t="shared" si="1"/>
        <v>0</v>
      </c>
      <c r="V12" s="264" t="s">
        <v>28</v>
      </c>
      <c r="W12" s="266"/>
      <c r="X12" s="41"/>
      <c r="Y12" s="41"/>
      <c r="Z12" s="41"/>
      <c r="AA12" s="41"/>
      <c r="AB12" s="41"/>
      <c r="AC12" s="41"/>
    </row>
    <row r="13" spans="1:29" x14ac:dyDescent="0.25">
      <c r="A13" s="52"/>
      <c r="B13" s="260"/>
      <c r="C13" s="260"/>
      <c r="D13" s="260"/>
      <c r="E13" s="260"/>
      <c r="F13" s="260"/>
      <c r="G13" s="261"/>
      <c r="H13" s="262">
        <v>3</v>
      </c>
      <c r="I13" s="329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263">
        <f t="shared" si="0"/>
        <v>3</v>
      </c>
      <c r="U13" s="183">
        <f t="shared" si="1"/>
        <v>2.5619128949615714E-3</v>
      </c>
      <c r="V13" s="264" t="s">
        <v>0</v>
      </c>
      <c r="W13" s="267"/>
      <c r="X13" s="41"/>
      <c r="Y13" s="41"/>
      <c r="Z13" s="41"/>
      <c r="AA13" s="41"/>
      <c r="AB13" s="41"/>
      <c r="AC13" s="41"/>
    </row>
    <row r="14" spans="1:29" x14ac:dyDescent="0.25">
      <c r="A14" s="52"/>
      <c r="B14" s="260"/>
      <c r="C14" s="260"/>
      <c r="D14" s="260"/>
      <c r="E14" s="260"/>
      <c r="F14" s="260"/>
      <c r="G14" s="261"/>
      <c r="H14" s="262"/>
      <c r="I14" s="329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263">
        <f t="shared" si="0"/>
        <v>0</v>
      </c>
      <c r="U14" s="183">
        <f t="shared" si="1"/>
        <v>0</v>
      </c>
      <c r="V14" s="264" t="s">
        <v>11</v>
      </c>
      <c r="W14" s="267"/>
      <c r="X14" s="41"/>
      <c r="Y14" s="41"/>
      <c r="Z14" s="41"/>
      <c r="AA14" s="41"/>
      <c r="AB14" s="41"/>
      <c r="AC14" s="41"/>
    </row>
    <row r="15" spans="1:29" x14ac:dyDescent="0.25">
      <c r="A15" s="52"/>
      <c r="B15" s="260"/>
      <c r="C15" s="260"/>
      <c r="D15" s="260"/>
      <c r="E15" s="260"/>
      <c r="F15" s="260"/>
      <c r="G15" s="261"/>
      <c r="H15" s="262">
        <v>1</v>
      </c>
      <c r="I15" s="329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263">
        <f t="shared" si="0"/>
        <v>1</v>
      </c>
      <c r="U15" s="183">
        <f t="shared" si="1"/>
        <v>8.5397096498719043E-4</v>
      </c>
      <c r="V15" s="264" t="s">
        <v>32</v>
      </c>
      <c r="W15" s="267"/>
      <c r="X15" s="41"/>
      <c r="Y15" s="41"/>
      <c r="Z15" s="41"/>
      <c r="AA15" s="41"/>
      <c r="AB15" s="41"/>
      <c r="AC15" s="41"/>
    </row>
    <row r="16" spans="1:29" x14ac:dyDescent="0.25">
      <c r="A16" s="52"/>
      <c r="B16" s="260"/>
      <c r="C16" s="260"/>
      <c r="D16" s="260"/>
      <c r="E16" s="260"/>
      <c r="F16" s="260"/>
      <c r="G16" s="261"/>
      <c r="H16" s="268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269">
        <f t="shared" si="0"/>
        <v>0</v>
      </c>
      <c r="U16" s="183">
        <f t="shared" si="1"/>
        <v>0</v>
      </c>
      <c r="V16" s="148" t="s">
        <v>150</v>
      </c>
      <c r="W16" s="267"/>
      <c r="X16" s="41"/>
      <c r="Y16" s="41"/>
      <c r="Z16" s="41"/>
      <c r="AA16" s="41"/>
      <c r="AB16" s="41"/>
      <c r="AC16" s="41"/>
    </row>
    <row r="17" spans="1:29" x14ac:dyDescent="0.25">
      <c r="A17" s="52"/>
      <c r="B17" s="260"/>
      <c r="C17" s="260"/>
      <c r="D17" s="260"/>
      <c r="E17" s="260"/>
      <c r="F17" s="260"/>
      <c r="G17" s="56"/>
      <c r="H17" s="271"/>
      <c r="I17" s="61"/>
      <c r="J17" s="66"/>
      <c r="K17" s="61"/>
      <c r="L17" s="61"/>
      <c r="M17" s="61"/>
      <c r="N17" s="61"/>
      <c r="O17" s="61"/>
      <c r="P17" s="61"/>
      <c r="Q17" s="61"/>
      <c r="R17" s="61"/>
      <c r="S17" s="61"/>
      <c r="T17" s="263">
        <f t="shared" si="0"/>
        <v>0</v>
      </c>
      <c r="U17" s="183">
        <f t="shared" si="1"/>
        <v>0</v>
      </c>
      <c r="V17" s="264" t="s">
        <v>84</v>
      </c>
      <c r="W17" s="272"/>
      <c r="X17" s="41"/>
      <c r="Y17" s="41"/>
      <c r="Z17" s="41"/>
      <c r="AA17" s="41"/>
      <c r="AB17" s="41"/>
      <c r="AC17" s="41"/>
    </row>
    <row r="18" spans="1:29" x14ac:dyDescent="0.25">
      <c r="A18" s="52"/>
      <c r="B18" s="260"/>
      <c r="C18" s="260"/>
      <c r="D18" s="260"/>
      <c r="E18" s="260"/>
      <c r="F18" s="260"/>
      <c r="G18" s="56"/>
      <c r="H18" s="273"/>
      <c r="I18" s="61"/>
      <c r="J18" s="61">
        <v>5</v>
      </c>
      <c r="K18" s="61"/>
      <c r="L18" s="61"/>
      <c r="M18" s="61"/>
      <c r="N18" s="61"/>
      <c r="O18" s="61"/>
      <c r="P18" s="61"/>
      <c r="Q18" s="61"/>
      <c r="R18" s="61"/>
      <c r="S18" s="61"/>
      <c r="T18" s="263">
        <f t="shared" si="0"/>
        <v>5</v>
      </c>
      <c r="U18" s="183">
        <f t="shared" si="1"/>
        <v>4.269854824935952E-3</v>
      </c>
      <c r="V18" s="264" t="s">
        <v>278</v>
      </c>
      <c r="W18" s="259"/>
      <c r="X18" s="41"/>
      <c r="Y18" s="41"/>
      <c r="Z18" s="41"/>
      <c r="AA18" s="41"/>
      <c r="AB18" s="41"/>
      <c r="AC18" s="41"/>
    </row>
    <row r="19" spans="1:29" x14ac:dyDescent="0.25">
      <c r="A19" s="52"/>
      <c r="B19" s="260"/>
      <c r="C19" s="260"/>
      <c r="D19" s="260"/>
      <c r="E19" s="260"/>
      <c r="F19" s="260"/>
      <c r="G19" s="261"/>
      <c r="H19" s="262"/>
      <c r="I19" s="27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263">
        <f t="shared" si="0"/>
        <v>0</v>
      </c>
      <c r="U19" s="183">
        <f t="shared" si="1"/>
        <v>0</v>
      </c>
      <c r="V19" s="264" t="s">
        <v>217</v>
      </c>
      <c r="W19" s="259"/>
      <c r="X19" s="41"/>
      <c r="Y19" s="41"/>
      <c r="Z19" s="41"/>
      <c r="AA19" s="41"/>
      <c r="AB19" s="41"/>
      <c r="AC19" s="41"/>
    </row>
    <row r="20" spans="1:29" ht="15.75" thickBot="1" x14ac:dyDescent="0.3">
      <c r="A20" s="52"/>
      <c r="B20" s="260"/>
      <c r="C20" s="260"/>
      <c r="D20" s="260"/>
      <c r="E20" s="260"/>
      <c r="F20" s="260"/>
      <c r="G20" s="261"/>
      <c r="H20" s="274"/>
      <c r="I20" s="174"/>
      <c r="J20" s="174">
        <v>2</v>
      </c>
      <c r="K20" s="174"/>
      <c r="L20" s="174"/>
      <c r="M20" s="174"/>
      <c r="N20" s="174"/>
      <c r="O20" s="174"/>
      <c r="P20" s="174"/>
      <c r="Q20" s="174"/>
      <c r="R20" s="174"/>
      <c r="S20" s="174"/>
      <c r="T20" s="275">
        <f t="shared" si="0"/>
        <v>2</v>
      </c>
      <c r="U20" s="241">
        <f>($T20)/$D$3</f>
        <v>1.7079419299743809E-3</v>
      </c>
      <c r="V20" s="276" t="s">
        <v>26</v>
      </c>
      <c r="W20" s="277"/>
      <c r="X20" s="41"/>
      <c r="Y20" s="41"/>
      <c r="Z20" s="41"/>
      <c r="AA20" s="41"/>
      <c r="AB20" s="41"/>
      <c r="AC20" s="41"/>
    </row>
    <row r="21" spans="1:29" x14ac:dyDescent="0.25">
      <c r="A21" s="52"/>
      <c r="B21" s="260"/>
      <c r="C21" s="260" t="s">
        <v>108</v>
      </c>
      <c r="D21" s="260"/>
      <c r="E21" s="260"/>
      <c r="F21" s="260"/>
      <c r="G21" s="261"/>
      <c r="H21" s="278"/>
      <c r="I21" s="62">
        <v>1</v>
      </c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263">
        <f t="shared" si="0"/>
        <v>0</v>
      </c>
      <c r="U21" s="183">
        <f>($T21)/$D$3</f>
        <v>0</v>
      </c>
      <c r="V21" s="279" t="s">
        <v>10</v>
      </c>
      <c r="W21" s="259"/>
      <c r="X21" s="41"/>
      <c r="Y21" s="41"/>
      <c r="Z21" s="41"/>
      <c r="AA21" s="41"/>
      <c r="AB21" s="41"/>
      <c r="AC21" s="41"/>
    </row>
    <row r="22" spans="1:29" x14ac:dyDescent="0.25">
      <c r="A22" s="52"/>
      <c r="B22" s="260"/>
      <c r="C22" s="260"/>
      <c r="D22" s="260"/>
      <c r="E22" s="260"/>
      <c r="F22" s="260"/>
      <c r="G22" s="261"/>
      <c r="H22" s="280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263">
        <f t="shared" si="0"/>
        <v>0</v>
      </c>
      <c r="U22" s="183">
        <f>($T22)/$D$3</f>
        <v>0</v>
      </c>
      <c r="V22" s="264" t="s">
        <v>27</v>
      </c>
      <c r="W22" s="259"/>
      <c r="X22" s="41"/>
      <c r="Y22" s="41"/>
      <c r="Z22" s="41"/>
      <c r="AA22" s="41"/>
      <c r="AB22" s="41"/>
      <c r="AC22" s="41"/>
    </row>
    <row r="23" spans="1:29" x14ac:dyDescent="0.25">
      <c r="A23" s="52"/>
      <c r="B23" s="260"/>
      <c r="C23" s="260"/>
      <c r="D23" s="260"/>
      <c r="E23" s="260"/>
      <c r="F23" s="260"/>
      <c r="G23" s="261"/>
      <c r="H23" s="280"/>
      <c r="I23" s="61">
        <v>4</v>
      </c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263">
        <f t="shared" si="0"/>
        <v>0</v>
      </c>
      <c r="U23" s="183">
        <f t="shared" ref="U23:U33" si="2">($T23)/$D$3</f>
        <v>0</v>
      </c>
      <c r="V23" s="264" t="s">
        <v>3</v>
      </c>
      <c r="W23" s="266"/>
      <c r="X23" s="41"/>
      <c r="Y23" s="41"/>
      <c r="Z23" s="41"/>
      <c r="AA23" s="41"/>
      <c r="AB23" s="41"/>
      <c r="AC23" s="41"/>
    </row>
    <row r="24" spans="1:29" x14ac:dyDescent="0.25">
      <c r="A24" s="52"/>
      <c r="B24" s="260"/>
      <c r="C24" s="260"/>
      <c r="D24" s="260"/>
      <c r="E24" s="260"/>
      <c r="F24" s="260"/>
      <c r="G24" s="261"/>
      <c r="H24" s="280"/>
      <c r="I24" s="61">
        <v>5</v>
      </c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263">
        <f t="shared" si="0"/>
        <v>0</v>
      </c>
      <c r="U24" s="183">
        <f t="shared" si="2"/>
        <v>0</v>
      </c>
      <c r="V24" s="264" t="s">
        <v>7</v>
      </c>
      <c r="W24" s="267"/>
      <c r="X24" s="41"/>
      <c r="Y24" s="41"/>
      <c r="Z24" s="41"/>
      <c r="AA24" s="41"/>
      <c r="AB24" s="41"/>
      <c r="AC24" s="41"/>
    </row>
    <row r="25" spans="1:29" x14ac:dyDescent="0.25">
      <c r="A25" s="52"/>
      <c r="B25" s="260"/>
      <c r="C25" s="260"/>
      <c r="D25" s="260"/>
      <c r="E25" s="260"/>
      <c r="F25" s="260"/>
      <c r="G25" s="261"/>
      <c r="H25" s="280"/>
      <c r="I25" s="61">
        <v>16</v>
      </c>
      <c r="J25" s="61">
        <v>5</v>
      </c>
      <c r="K25" s="61"/>
      <c r="L25" s="61"/>
      <c r="M25" s="61"/>
      <c r="N25" s="61"/>
      <c r="O25" s="61"/>
      <c r="P25" s="61"/>
      <c r="Q25" s="61"/>
      <c r="R25" s="61"/>
      <c r="S25" s="61"/>
      <c r="T25" s="263">
        <f t="shared" si="0"/>
        <v>5</v>
      </c>
      <c r="U25" s="183">
        <f t="shared" si="2"/>
        <v>4.269854824935952E-3</v>
      </c>
      <c r="V25" s="264" t="s">
        <v>8</v>
      </c>
      <c r="W25" s="267"/>
      <c r="X25" s="41"/>
      <c r="Y25" s="41"/>
      <c r="Z25" s="41"/>
      <c r="AA25" s="41"/>
      <c r="AB25" s="41"/>
      <c r="AC25" s="41"/>
    </row>
    <row r="26" spans="1:29" x14ac:dyDescent="0.25">
      <c r="A26" s="52"/>
      <c r="B26" s="260"/>
      <c r="C26" s="260"/>
      <c r="D26" s="260"/>
      <c r="E26" s="260"/>
      <c r="F26" s="260"/>
      <c r="G26" s="261"/>
      <c r="H26" s="280"/>
      <c r="I26" s="61">
        <v>1</v>
      </c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263">
        <f t="shared" si="0"/>
        <v>0</v>
      </c>
      <c r="U26" s="183">
        <f t="shared" si="2"/>
        <v>0</v>
      </c>
      <c r="V26" s="264" t="s">
        <v>76</v>
      </c>
      <c r="W26" s="259" t="s">
        <v>209</v>
      </c>
      <c r="X26" s="41"/>
      <c r="Y26" s="41"/>
      <c r="Z26" s="41"/>
      <c r="AA26" s="41"/>
      <c r="AB26" s="41"/>
      <c r="AC26" s="41"/>
    </row>
    <row r="27" spans="1:29" x14ac:dyDescent="0.25">
      <c r="A27" s="52"/>
      <c r="B27" s="260"/>
      <c r="C27" s="260"/>
      <c r="D27" s="260"/>
      <c r="E27" s="260"/>
      <c r="F27" s="260"/>
      <c r="G27" s="261"/>
      <c r="H27" s="280"/>
      <c r="I27" s="61">
        <v>1</v>
      </c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263">
        <f t="shared" si="0"/>
        <v>0</v>
      </c>
      <c r="U27" s="183">
        <f t="shared" si="2"/>
        <v>0</v>
      </c>
      <c r="V27" s="264" t="s">
        <v>19</v>
      </c>
      <c r="W27" s="259" t="s">
        <v>297</v>
      </c>
      <c r="X27" s="41"/>
      <c r="Y27" s="41"/>
      <c r="Z27" s="41"/>
      <c r="AA27" s="41"/>
      <c r="AB27" s="41"/>
      <c r="AC27" s="41"/>
    </row>
    <row r="28" spans="1:29" x14ac:dyDescent="0.25">
      <c r="A28" s="52"/>
      <c r="B28" s="260"/>
      <c r="C28" s="260"/>
      <c r="D28" s="260"/>
      <c r="E28" s="260"/>
      <c r="F28" s="260"/>
      <c r="G28" s="261"/>
      <c r="H28" s="280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263">
        <f t="shared" si="0"/>
        <v>0</v>
      </c>
      <c r="U28" s="183">
        <f t="shared" si="2"/>
        <v>0</v>
      </c>
      <c r="V28" s="264" t="s">
        <v>77</v>
      </c>
      <c r="W28" s="259" t="s">
        <v>296</v>
      </c>
      <c r="X28" s="41"/>
      <c r="Y28" s="41"/>
      <c r="Z28" s="41"/>
      <c r="AA28" s="41"/>
      <c r="AB28" s="41"/>
      <c r="AC28" s="41"/>
    </row>
    <row r="29" spans="1:29" x14ac:dyDescent="0.25">
      <c r="A29" s="52"/>
      <c r="B29" s="260"/>
      <c r="C29" s="260"/>
      <c r="D29" s="260"/>
      <c r="E29" s="260"/>
      <c r="F29" s="260"/>
      <c r="G29" s="261"/>
      <c r="H29" s="280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263">
        <f t="shared" si="0"/>
        <v>0</v>
      </c>
      <c r="U29" s="183">
        <f t="shared" si="2"/>
        <v>0</v>
      </c>
      <c r="V29" s="264" t="s">
        <v>9</v>
      </c>
      <c r="W29" s="259"/>
      <c r="X29" s="41"/>
      <c r="Y29" s="41"/>
      <c r="Z29" s="41"/>
      <c r="AA29" s="41"/>
      <c r="AB29" s="41"/>
      <c r="AC29" s="41"/>
    </row>
    <row r="30" spans="1:29" x14ac:dyDescent="0.25">
      <c r="A30" s="52"/>
      <c r="B30" s="260"/>
      <c r="C30" s="260"/>
      <c r="D30" s="260"/>
      <c r="E30" s="260"/>
      <c r="F30" s="260"/>
      <c r="G30" s="261"/>
      <c r="H30" s="280"/>
      <c r="I30" s="61">
        <v>9</v>
      </c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263">
        <f>SUM(H30,J30,L30,N30,P30,R30,S30)</f>
        <v>0</v>
      </c>
      <c r="U30" s="183">
        <f t="shared" si="2"/>
        <v>0</v>
      </c>
      <c r="V30" s="264" t="s">
        <v>12</v>
      </c>
      <c r="W30" s="259"/>
      <c r="X30" s="41"/>
      <c r="Y30" s="41"/>
      <c r="Z30" s="41"/>
      <c r="AA30" s="41"/>
      <c r="AB30" s="41"/>
      <c r="AC30" s="41"/>
    </row>
    <row r="31" spans="1:29" x14ac:dyDescent="0.25">
      <c r="A31" s="52"/>
      <c r="B31" s="260"/>
      <c r="C31" s="260"/>
      <c r="D31" s="260"/>
      <c r="E31" s="260"/>
      <c r="F31" s="260"/>
      <c r="G31" s="261"/>
      <c r="H31" s="262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263">
        <f>SUM(H31,J31,L31,N31,P31,R31,S31)</f>
        <v>0</v>
      </c>
      <c r="U31" s="183">
        <f t="shared" si="2"/>
        <v>0</v>
      </c>
      <c r="V31" s="264" t="s">
        <v>91</v>
      </c>
      <c r="W31" s="266"/>
      <c r="X31" s="41"/>
      <c r="Y31" s="41"/>
      <c r="Z31" s="41"/>
      <c r="AA31" s="41"/>
      <c r="AB31" s="41"/>
      <c r="AC31" s="41"/>
    </row>
    <row r="32" spans="1:29" x14ac:dyDescent="0.25">
      <c r="A32" s="52"/>
      <c r="B32" s="260"/>
      <c r="C32" s="260"/>
      <c r="D32" s="260"/>
      <c r="E32" s="260"/>
      <c r="F32" s="260"/>
      <c r="G32" s="261"/>
      <c r="H32" s="262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263">
        <f>SUM(H32,J32,L32,N32,P32,R32,S32)</f>
        <v>0</v>
      </c>
      <c r="U32" s="183">
        <f t="shared" si="2"/>
        <v>0</v>
      </c>
      <c r="V32" s="264" t="s">
        <v>9</v>
      </c>
      <c r="W32" s="266"/>
      <c r="X32" s="41"/>
      <c r="Y32" s="41"/>
      <c r="Z32" s="41"/>
      <c r="AA32" s="41"/>
      <c r="AB32" s="41"/>
      <c r="AC32" s="41"/>
    </row>
    <row r="33" spans="1:29" x14ac:dyDescent="0.25">
      <c r="A33" s="52"/>
      <c r="B33" s="260"/>
      <c r="C33" s="260"/>
      <c r="D33" s="260"/>
      <c r="E33" s="260"/>
      <c r="F33" s="260"/>
      <c r="G33" s="261"/>
      <c r="H33" s="262"/>
      <c r="I33" s="61">
        <v>3</v>
      </c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263">
        <f>SUM(H33,J33,L33,N33,P33,R33,S33)</f>
        <v>0</v>
      </c>
      <c r="U33" s="183">
        <f t="shared" si="2"/>
        <v>0</v>
      </c>
      <c r="V33" s="264" t="s">
        <v>79</v>
      </c>
      <c r="W33" s="267"/>
      <c r="X33" s="41"/>
      <c r="Y33" s="41"/>
      <c r="Z33" s="41"/>
      <c r="AA33" s="41"/>
      <c r="AB33" s="41"/>
      <c r="AC33" s="41"/>
    </row>
    <row r="34" spans="1:29" ht="15.75" thickBot="1" x14ac:dyDescent="0.3">
      <c r="A34" s="52"/>
      <c r="B34" s="260"/>
      <c r="C34" s="260"/>
      <c r="D34" s="260"/>
      <c r="E34" s="260"/>
      <c r="F34" s="260"/>
      <c r="G34" s="261"/>
      <c r="H34" s="268"/>
      <c r="I34" s="66">
        <v>1</v>
      </c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263">
        <f>SUM(H34,J34,L34,N34,P34,R34,S34)</f>
        <v>0</v>
      </c>
      <c r="U34" s="183">
        <f>($T34)/$D$3</f>
        <v>0</v>
      </c>
      <c r="V34" s="270" t="s">
        <v>174</v>
      </c>
      <c r="W34" s="259"/>
      <c r="X34" s="41"/>
      <c r="Y34" s="41"/>
      <c r="Z34" s="41"/>
      <c r="AA34" s="41"/>
      <c r="AB34" s="41"/>
      <c r="AC34" s="41"/>
    </row>
    <row r="35" spans="1:29" ht="15.75" thickBot="1" x14ac:dyDescent="0.3">
      <c r="A35" s="52"/>
      <c r="B35" s="260"/>
      <c r="C35" s="260"/>
      <c r="D35" s="260"/>
      <c r="E35" s="260"/>
      <c r="F35" s="260"/>
      <c r="G35" s="261"/>
      <c r="H35" s="256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6"/>
      <c r="U35" s="166"/>
      <c r="V35" s="305" t="s">
        <v>80</v>
      </c>
      <c r="W35" s="259"/>
      <c r="X35" s="41"/>
      <c r="Y35" s="41"/>
      <c r="Z35" s="41"/>
      <c r="AA35" s="41"/>
      <c r="AB35" s="41"/>
      <c r="AC35" s="41"/>
    </row>
    <row r="36" spans="1:29" x14ac:dyDescent="0.25">
      <c r="A36" s="52"/>
      <c r="B36" s="260"/>
      <c r="C36" s="260"/>
      <c r="D36" s="260"/>
      <c r="E36" s="260"/>
      <c r="F36" s="260"/>
      <c r="G36" s="56"/>
      <c r="H36" s="257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281">
        <f t="shared" ref="T36:T43" si="3">SUM(H36,J36,L36,N36,P36,R36,S36)</f>
        <v>0</v>
      </c>
      <c r="U36" s="183">
        <f>($T36)/$D$3</f>
        <v>0</v>
      </c>
      <c r="V36" s="466" t="s">
        <v>82</v>
      </c>
      <c r="W36" s="342" t="s">
        <v>294</v>
      </c>
      <c r="X36" s="41"/>
      <c r="Y36" s="41"/>
      <c r="Z36" s="41"/>
      <c r="AA36" s="41"/>
      <c r="AB36" s="41"/>
      <c r="AC36" s="41"/>
    </row>
    <row r="37" spans="1:29" x14ac:dyDescent="0.25">
      <c r="A37" s="52"/>
      <c r="B37" s="260"/>
      <c r="C37" s="260"/>
      <c r="D37" s="260"/>
      <c r="E37" s="260"/>
      <c r="F37" s="260"/>
      <c r="G37" s="56"/>
      <c r="H37" s="262">
        <v>9</v>
      </c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263">
        <f t="shared" si="3"/>
        <v>9</v>
      </c>
      <c r="U37" s="183">
        <f>($T37)/$D$3</f>
        <v>7.6857386848847142E-3</v>
      </c>
      <c r="V37" s="264" t="s">
        <v>70</v>
      </c>
      <c r="W37" s="467" t="s">
        <v>293</v>
      </c>
      <c r="X37" s="41"/>
      <c r="Y37" s="41"/>
      <c r="Z37" s="41"/>
      <c r="AA37" s="41"/>
      <c r="AB37" s="41"/>
      <c r="AC37" s="41"/>
    </row>
    <row r="38" spans="1:29" x14ac:dyDescent="0.25">
      <c r="A38" s="52"/>
      <c r="B38" s="260"/>
      <c r="C38" s="260"/>
      <c r="D38" s="260"/>
      <c r="E38" s="260"/>
      <c r="F38" s="260"/>
      <c r="G38" s="56"/>
      <c r="H38" s="262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263">
        <f t="shared" si="3"/>
        <v>0</v>
      </c>
      <c r="U38" s="183">
        <f t="shared" ref="U38:U43" si="4">($T38)/$D$3</f>
        <v>0</v>
      </c>
      <c r="V38" s="264" t="s">
        <v>165</v>
      </c>
      <c r="W38" s="321" t="s">
        <v>295</v>
      </c>
      <c r="X38" s="41"/>
      <c r="Y38" s="41"/>
      <c r="Z38" s="41"/>
      <c r="AA38" s="41"/>
      <c r="AB38" s="41"/>
      <c r="AC38" s="41"/>
    </row>
    <row r="39" spans="1:29" x14ac:dyDescent="0.25">
      <c r="A39" s="52"/>
      <c r="B39" s="260"/>
      <c r="C39" s="260"/>
      <c r="D39" s="260"/>
      <c r="E39" s="260"/>
      <c r="F39" s="260"/>
      <c r="G39" s="56"/>
      <c r="H39" s="262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263">
        <f t="shared" si="3"/>
        <v>0</v>
      </c>
      <c r="U39" s="183">
        <f t="shared" si="4"/>
        <v>0</v>
      </c>
      <c r="V39" s="264" t="s">
        <v>12</v>
      </c>
      <c r="W39" s="321"/>
      <c r="X39" s="41"/>
      <c r="Y39" s="41"/>
      <c r="Z39" s="41"/>
      <c r="AA39" s="41"/>
      <c r="AB39" s="41"/>
      <c r="AC39" s="41"/>
    </row>
    <row r="40" spans="1:29" x14ac:dyDescent="0.25">
      <c r="A40" s="52"/>
      <c r="B40" s="260"/>
      <c r="C40" s="260"/>
      <c r="D40" s="260"/>
      <c r="E40" s="260"/>
      <c r="F40" s="260"/>
      <c r="G40" s="56"/>
      <c r="H40" s="262">
        <v>1</v>
      </c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263">
        <f t="shared" si="3"/>
        <v>1</v>
      </c>
      <c r="U40" s="183">
        <f t="shared" si="4"/>
        <v>8.5397096498719043E-4</v>
      </c>
      <c r="V40" s="148" t="s">
        <v>34</v>
      </c>
      <c r="W40" s="259"/>
      <c r="X40" s="41"/>
      <c r="Y40" s="41"/>
      <c r="Z40" s="41"/>
      <c r="AA40" s="41"/>
      <c r="AB40" s="41"/>
      <c r="AC40" s="41"/>
    </row>
    <row r="41" spans="1:29" x14ac:dyDescent="0.25">
      <c r="A41" s="52"/>
      <c r="B41" s="260"/>
      <c r="C41" s="260"/>
      <c r="D41" s="260"/>
      <c r="E41" s="260"/>
      <c r="F41" s="260"/>
      <c r="G41" s="56"/>
      <c r="H41" s="262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263">
        <f t="shared" si="3"/>
        <v>0</v>
      </c>
      <c r="U41" s="183">
        <f t="shared" si="4"/>
        <v>0</v>
      </c>
      <c r="V41" s="148" t="s">
        <v>150</v>
      </c>
      <c r="W41" s="259"/>
      <c r="X41" s="41"/>
      <c r="Y41" s="41"/>
      <c r="Z41" s="41"/>
      <c r="AA41" s="41"/>
      <c r="AB41" s="41"/>
      <c r="AC41" s="41"/>
    </row>
    <row r="42" spans="1:29" x14ac:dyDescent="0.25">
      <c r="A42" s="52"/>
      <c r="B42" s="260"/>
      <c r="C42" s="260"/>
      <c r="D42" s="260"/>
      <c r="E42" s="260"/>
      <c r="F42" s="260"/>
      <c r="G42" s="56"/>
      <c r="H42" s="268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263">
        <f t="shared" si="3"/>
        <v>0</v>
      </c>
      <c r="U42" s="183">
        <f t="shared" si="4"/>
        <v>0</v>
      </c>
      <c r="V42" s="264" t="s">
        <v>84</v>
      </c>
      <c r="W42" s="259"/>
      <c r="X42" s="41"/>
      <c r="Y42" s="41"/>
      <c r="Z42" s="41"/>
      <c r="AA42" s="41"/>
      <c r="AB42" s="41"/>
      <c r="AC42" s="41"/>
    </row>
    <row r="43" spans="1:29" ht="15.75" thickBot="1" x14ac:dyDescent="0.3">
      <c r="A43" s="155"/>
      <c r="B43" s="156"/>
      <c r="C43" s="156"/>
      <c r="D43" s="156"/>
      <c r="E43" s="156"/>
      <c r="F43" s="156"/>
      <c r="G43" s="163"/>
      <c r="H43" s="268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269">
        <f t="shared" si="3"/>
        <v>0</v>
      </c>
      <c r="U43" s="183">
        <f t="shared" si="4"/>
        <v>0</v>
      </c>
      <c r="V43" s="282" t="s">
        <v>145</v>
      </c>
      <c r="W43" s="297"/>
      <c r="X43" s="41"/>
      <c r="Y43" s="41"/>
      <c r="Z43" s="41"/>
      <c r="AA43" s="41"/>
      <c r="AB43" s="41"/>
      <c r="AC43" s="41"/>
    </row>
    <row r="44" spans="1:29" ht="15.75" thickBot="1" x14ac:dyDescent="0.3">
      <c r="G44" s="47" t="s">
        <v>4</v>
      </c>
      <c r="H44" s="57">
        <f t="shared" ref="H44:S44" si="5">SUM(H4:H43)</f>
        <v>19</v>
      </c>
      <c r="I44" s="57">
        <f t="shared" si="5"/>
        <v>41</v>
      </c>
      <c r="J44" s="57">
        <f t="shared" si="5"/>
        <v>13</v>
      </c>
      <c r="K44" s="57">
        <f t="shared" si="5"/>
        <v>0</v>
      </c>
      <c r="L44" s="57">
        <f t="shared" si="5"/>
        <v>0</v>
      </c>
      <c r="M44" s="57">
        <f t="shared" si="5"/>
        <v>0</v>
      </c>
      <c r="N44" s="57">
        <f t="shared" si="5"/>
        <v>0</v>
      </c>
      <c r="O44" s="57">
        <f t="shared" si="5"/>
        <v>0</v>
      </c>
      <c r="P44" s="57">
        <f t="shared" si="5"/>
        <v>0</v>
      </c>
      <c r="Q44" s="57">
        <f t="shared" si="5"/>
        <v>0</v>
      </c>
      <c r="R44" s="57">
        <f t="shared" si="5"/>
        <v>0</v>
      </c>
      <c r="S44" s="57">
        <f t="shared" si="5"/>
        <v>0</v>
      </c>
      <c r="T44" s="283">
        <f>SUM(H44,J44,L44,N44,P44,R44,S44)</f>
        <v>32</v>
      </c>
      <c r="U44" s="327">
        <f>($T44)/$D$3</f>
        <v>2.7327070879590094E-2</v>
      </c>
      <c r="V44" s="11"/>
      <c r="W44" s="7"/>
      <c r="X44" s="41"/>
      <c r="Y44" s="41"/>
      <c r="Z44" s="41"/>
      <c r="AA44" s="41"/>
      <c r="AB44" s="41"/>
      <c r="AC44" s="41"/>
    </row>
  </sheetData>
  <mergeCells count="5">
    <mergeCell ref="A5:G5"/>
    <mergeCell ref="A6:F6"/>
    <mergeCell ref="A7:F7"/>
    <mergeCell ref="A8:F8"/>
    <mergeCell ref="A9:F9"/>
  </mergeCells>
  <conditionalFormatting sqref="U45:U1048576 U1">
    <cfRule type="cellIs" dxfId="43" priority="930" operator="greaterThan">
      <formula>0.2</formula>
    </cfRule>
  </conditionalFormatting>
  <conditionalFormatting sqref="U4:U34">
    <cfRule type="cellIs" dxfId="42" priority="5" operator="greaterThan">
      <formula>0.2</formula>
    </cfRule>
  </conditionalFormatting>
  <conditionalFormatting sqref="U36:U44">
    <cfRule type="colorScale" priority="4">
      <colorScale>
        <cfvo type="min"/>
        <cfvo type="max"/>
        <color rgb="FFFCFCFF"/>
        <color rgb="FFF8696B"/>
      </colorScale>
    </cfRule>
  </conditionalFormatting>
  <conditionalFormatting sqref="U36:U44">
    <cfRule type="cellIs" dxfId="41" priority="1" operator="greaterThan">
      <formula>0.2</formula>
    </cfRule>
  </conditionalFormatting>
  <conditionalFormatting sqref="U2:U3">
    <cfRule type="cellIs" dxfId="40" priority="3" operator="greaterThan">
      <formula>0.2</formula>
    </cfRule>
  </conditionalFormatting>
  <conditionalFormatting sqref="U2:U3">
    <cfRule type="cellIs" dxfId="39" priority="2" operator="greaterThan">
      <formula>0.2</formula>
    </cfRule>
  </conditionalFormatting>
  <conditionalFormatting sqref="U4:U34">
    <cfRule type="colorScale" priority="6">
      <colorScale>
        <cfvo type="min"/>
        <cfvo type="max"/>
        <color rgb="FFFCFCFF"/>
        <color rgb="FFF8696B"/>
      </colorScale>
    </cfRule>
  </conditionalFormatting>
  <pageMargins left="0.25" right="0.25" top="0.75" bottom="0.75" header="0.3" footer="0.3"/>
  <pageSetup scale="36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3">
    <pageSetUpPr fitToPage="1"/>
  </sheetPr>
  <dimension ref="A1:U29"/>
  <sheetViews>
    <sheetView showGridLines="0" zoomScaleNormal="100" workbookViewId="0">
      <selection activeCell="T25" sqref="T25"/>
    </sheetView>
  </sheetViews>
  <sheetFormatPr defaultColWidth="9.140625" defaultRowHeight="15" x14ac:dyDescent="0.25"/>
  <cols>
    <col min="1" max="2" width="10.7109375" style="23" customWidth="1"/>
    <col min="3" max="3" width="12" style="23" customWidth="1"/>
    <col min="4" max="4" width="10.7109375" style="23" customWidth="1"/>
    <col min="5" max="5" width="10.7109375" style="25" customWidth="1"/>
    <col min="6" max="6" width="10.7109375" style="23" customWidth="1"/>
    <col min="7" max="7" width="17.7109375" style="23" customWidth="1"/>
    <col min="8" max="8" width="10.7109375" style="23" customWidth="1"/>
    <col min="9" max="9" width="13.5703125" style="23" bestFit="1" customWidth="1"/>
    <col min="10" max="11" width="10.7109375" style="23" customWidth="1"/>
    <col min="12" max="12" width="16.5703125" style="23" customWidth="1"/>
    <col min="13" max="14" width="10.7109375" style="23" customWidth="1"/>
    <col min="15" max="15" width="12.7109375" style="23" customWidth="1"/>
    <col min="16" max="16" width="10.7109375" style="23" customWidth="1"/>
    <col min="17" max="17" width="12.7109375" style="23" customWidth="1"/>
    <col min="18" max="18" width="8.5703125" style="23" bestFit="1" customWidth="1"/>
    <col min="19" max="16384" width="9.140625" style="23"/>
  </cols>
  <sheetData>
    <row r="1" spans="1:21" ht="54" customHeight="1" x14ac:dyDescent="0.25">
      <c r="A1" s="566" t="s">
        <v>101</v>
      </c>
      <c r="B1" s="566"/>
      <c r="C1" s="566"/>
      <c r="D1" s="566"/>
      <c r="E1" s="566"/>
      <c r="F1" s="566"/>
      <c r="G1" s="566"/>
      <c r="H1" s="566"/>
      <c r="I1" s="566"/>
      <c r="J1" s="566"/>
      <c r="K1" s="566"/>
      <c r="L1" s="566"/>
      <c r="M1" s="566"/>
      <c r="N1" s="566"/>
      <c r="O1" s="566"/>
      <c r="P1" s="566"/>
      <c r="Q1" s="566"/>
      <c r="R1" s="566"/>
    </row>
    <row r="3" spans="1:21" ht="26.25" customHeight="1" x14ac:dyDescent="0.25">
      <c r="O3" s="567" t="s">
        <v>49</v>
      </c>
      <c r="P3" s="568"/>
      <c r="Q3" s="568"/>
      <c r="R3" s="568"/>
    </row>
    <row r="4" spans="1:21" x14ac:dyDescent="0.25">
      <c r="O4" s="569" t="s">
        <v>20</v>
      </c>
      <c r="P4" s="570"/>
      <c r="Q4" s="571"/>
      <c r="R4" s="254" t="s">
        <v>24</v>
      </c>
    </row>
    <row r="5" spans="1:21" x14ac:dyDescent="0.25">
      <c r="O5" s="19" t="s">
        <v>8</v>
      </c>
      <c r="P5" s="20"/>
      <c r="Q5" s="21"/>
      <c r="R5" s="251">
        <f>SUMIF('EB217'!$V$4:$V$43,O5,'EB217'!$T$4:$T$43)</f>
        <v>5</v>
      </c>
    </row>
    <row r="6" spans="1:21" x14ac:dyDescent="0.25">
      <c r="O6" s="19" t="s">
        <v>15</v>
      </c>
      <c r="P6" s="20"/>
      <c r="Q6" s="21"/>
      <c r="R6" s="251">
        <f>SUMIF('EB217'!$V$4:$V$43,O6,'EB217'!$T$4:$T$43)</f>
        <v>3</v>
      </c>
    </row>
    <row r="7" spans="1:21" x14ac:dyDescent="0.25">
      <c r="O7" s="19" t="s">
        <v>0</v>
      </c>
      <c r="P7" s="20"/>
      <c r="Q7" s="21"/>
      <c r="R7" s="251">
        <f>SUMIF('EB217'!$V$4:$V$43,O7,'EB217'!$T$4:$T$43)</f>
        <v>3</v>
      </c>
    </row>
    <row r="8" spans="1:21" x14ac:dyDescent="0.25">
      <c r="O8" s="19" t="s">
        <v>13</v>
      </c>
      <c r="P8" s="20"/>
      <c r="Q8" s="21"/>
      <c r="R8" s="251">
        <f>SUMIF('EB217'!$V$4:$V$43,O8,'EB217'!$T$4:$T$43)</f>
        <v>2</v>
      </c>
    </row>
    <row r="9" spans="1:21" x14ac:dyDescent="0.25">
      <c r="O9" s="19" t="s">
        <v>32</v>
      </c>
      <c r="P9" s="20"/>
      <c r="Q9" s="21"/>
      <c r="R9" s="251">
        <f>SUMIF('EB217'!$V$4:$V$43,O9,'EB217'!$T$4:$T$43)</f>
        <v>1</v>
      </c>
    </row>
    <row r="10" spans="1:21" ht="15.75" x14ac:dyDescent="0.25">
      <c r="O10" s="19" t="s">
        <v>34</v>
      </c>
      <c r="P10" s="20"/>
      <c r="Q10" s="21"/>
      <c r="R10" s="251">
        <f>SUMIF('EB217'!$V$4:$V$43,O10,'EB217'!$T$4:$T$43)</f>
        <v>1</v>
      </c>
      <c r="U10" s="125"/>
    </row>
    <row r="11" spans="1:21" x14ac:dyDescent="0.25">
      <c r="O11" s="19" t="s">
        <v>11</v>
      </c>
      <c r="P11" s="20"/>
      <c r="Q11" s="21"/>
      <c r="R11" s="251">
        <f>SUMIF('EB217'!$V$4:$V$43,O11,'EB217'!$T$4:$T$43)</f>
        <v>0</v>
      </c>
    </row>
    <row r="12" spans="1:21" x14ac:dyDescent="0.25">
      <c r="O12" s="19" t="s">
        <v>29</v>
      </c>
      <c r="P12" s="20"/>
      <c r="Q12" s="21"/>
      <c r="R12" s="251">
        <f>SUMIF('EB217'!$V$4:$V$43,O12,'EB217'!$T$4:$T$43)</f>
        <v>0</v>
      </c>
    </row>
    <row r="13" spans="1:21" x14ac:dyDescent="0.25">
      <c r="O13" s="19" t="s">
        <v>42</v>
      </c>
      <c r="P13" s="20"/>
      <c r="Q13" s="21"/>
      <c r="R13" s="251">
        <f>SUMIF('EB217'!$V$4:$V$43,O13,'EB217'!$T$4:$T$43)</f>
        <v>0</v>
      </c>
    </row>
    <row r="14" spans="1:21" x14ac:dyDescent="0.25">
      <c r="O14" s="19" t="s">
        <v>5</v>
      </c>
      <c r="P14" s="20"/>
      <c r="Q14" s="21"/>
      <c r="R14" s="251">
        <f>SUMIF('EB217'!$V$4:$V$43,O14,'EB217'!$T$4:$T$43)</f>
        <v>0</v>
      </c>
    </row>
    <row r="15" spans="1:21" x14ac:dyDescent="0.25">
      <c r="O15" s="19" t="s">
        <v>3</v>
      </c>
      <c r="P15" s="20"/>
      <c r="Q15" s="21"/>
      <c r="R15" s="251">
        <f>SUMIF('EB217'!$V$4:$V$43,O15,'EB217'!$T$4:$T$43)</f>
        <v>0</v>
      </c>
    </row>
    <row r="16" spans="1:21" x14ac:dyDescent="0.25">
      <c r="O16" s="19" t="s">
        <v>7</v>
      </c>
      <c r="P16" s="20"/>
      <c r="Q16" s="21"/>
      <c r="R16" s="251">
        <f>SUMIF('EB217'!$V$4:$V$43,O16,'EB217'!$T$4:$T$43)</f>
        <v>0</v>
      </c>
    </row>
    <row r="17" spans="1:18" x14ac:dyDescent="0.25">
      <c r="O17" s="19" t="s">
        <v>111</v>
      </c>
      <c r="P17" s="20"/>
      <c r="Q17" s="21"/>
      <c r="R17" s="251">
        <f>SUMIF('EB217'!$V$4:$V$43,O17,'EB217'!$T$4:$T$43)</f>
        <v>0</v>
      </c>
    </row>
    <row r="18" spans="1:18" x14ac:dyDescent="0.25">
      <c r="O18" s="19" t="s">
        <v>12</v>
      </c>
      <c r="P18" s="20"/>
      <c r="Q18" s="21"/>
      <c r="R18" s="251">
        <f>SUMIF('EB217'!$V$4:$V$43,O18,'EB217'!$T$4:$T$43)</f>
        <v>0</v>
      </c>
    </row>
    <row r="19" spans="1:18" x14ac:dyDescent="0.25">
      <c r="O19" s="19" t="s">
        <v>19</v>
      </c>
      <c r="P19" s="20"/>
      <c r="Q19" s="21"/>
      <c r="R19" s="251">
        <f>SUMIF('EB217'!$V$4:$V$43,O19,'EB217'!$T$4:$T$43)</f>
        <v>0</v>
      </c>
    </row>
    <row r="20" spans="1:18" ht="15.75" customHeight="1" x14ac:dyDescent="0.25">
      <c r="O20" s="19" t="s">
        <v>10</v>
      </c>
      <c r="P20" s="20"/>
      <c r="Q20" s="21"/>
      <c r="R20" s="251">
        <f>SUMIF('EB217'!$V$4:$V$43,O20,'EB217'!$T$4:$T$43)</f>
        <v>0</v>
      </c>
    </row>
    <row r="21" spans="1:18" ht="27.75" customHeight="1" x14ac:dyDescent="0.25">
      <c r="A21" s="575" t="s">
        <v>61</v>
      </c>
      <c r="B21" s="576"/>
      <c r="C21" s="576"/>
      <c r="D21" s="576"/>
      <c r="E21" s="577"/>
      <c r="O21" s="19" t="s">
        <v>30</v>
      </c>
      <c r="P21" s="20"/>
      <c r="Q21" s="21"/>
      <c r="R21" s="251">
        <f>SUMIF('EB217'!$V$4:$V$43,O21,'EB217'!$T$4:$T$43)</f>
        <v>0</v>
      </c>
    </row>
    <row r="22" spans="1:18" ht="19.5" customHeight="1" x14ac:dyDescent="0.25">
      <c r="A22" s="28" t="s">
        <v>22</v>
      </c>
      <c r="B22" s="28" t="s">
        <v>17</v>
      </c>
      <c r="C22" s="28" t="s">
        <v>16</v>
      </c>
      <c r="D22" s="28" t="s">
        <v>1</v>
      </c>
      <c r="E22" s="29" t="s">
        <v>23</v>
      </c>
      <c r="O22" s="19" t="s">
        <v>43</v>
      </c>
      <c r="P22" s="20"/>
      <c r="Q22" s="21"/>
      <c r="R22" s="251">
        <f>SUMIF('EB217'!$V$4:$V$43,O22,'EB217'!$T$4:$T$43)</f>
        <v>0</v>
      </c>
    </row>
    <row r="23" spans="1:18" x14ac:dyDescent="0.25">
      <c r="A23" s="296">
        <v>1528174</v>
      </c>
      <c r="B23" s="130">
        <f>VLOOKUP(Table1435[[#This Row],[Shop Order]],'EB217'!A:Y,4,FALSE)</f>
        <v>1171</v>
      </c>
      <c r="C23" s="130">
        <f>VLOOKUP(Table1435[[#This Row],[Shop Order]],'EB217'!A:Y,5,FALSE)</f>
        <v>1139</v>
      </c>
      <c r="D23" s="131">
        <f>VLOOKUP(Table1435[[#This Row],[Shop Order]],'EB217'!A:Y,6,FALSE)</f>
        <v>0.97267292912040992</v>
      </c>
      <c r="E23" s="132">
        <f>VLOOKUP(Table1435[[#This Row],[Shop Order]],'EB217'!A:Y,7,FALSE)</f>
        <v>45485</v>
      </c>
      <c r="O23" s="19" t="s">
        <v>27</v>
      </c>
      <c r="P23" s="20"/>
      <c r="Q23" s="21"/>
      <c r="R23" s="251">
        <f>SUMIF('EB217'!$V$4:$V$43,O23,'EB217'!$T$4:$T$43)</f>
        <v>0</v>
      </c>
    </row>
    <row r="24" spans="1:18" x14ac:dyDescent="0.25">
      <c r="A24" s="296"/>
      <c r="B24" s="130" t="e">
        <f>VLOOKUP(Table1435[[#This Row],[Shop Order]],'EB217'!A:Y,4,FALSE)</f>
        <v>#N/A</v>
      </c>
      <c r="C24" s="130" t="e">
        <f>VLOOKUP(Table1435[[#This Row],[Shop Order]],'EB217'!A:Y,5,FALSE)</f>
        <v>#N/A</v>
      </c>
      <c r="D24" s="131" t="e">
        <f>VLOOKUP(Table1435[[#This Row],[Shop Order]],'EB217'!A:Y,6,FALSE)</f>
        <v>#N/A</v>
      </c>
      <c r="E24" s="132" t="e">
        <f>VLOOKUP(Table1435[[#This Row],[Shop Order]],'EB217'!A:Y,7,FALSE)</f>
        <v>#N/A</v>
      </c>
      <c r="G24" s="24"/>
      <c r="O24" s="19" t="s">
        <v>95</v>
      </c>
      <c r="P24" s="20"/>
      <c r="Q24" s="21"/>
      <c r="R24" s="251">
        <f>SUMIF('EB217'!$V$4:$V$43,O24,'EB217'!$T$4:$T$43)</f>
        <v>0</v>
      </c>
    </row>
    <row r="25" spans="1:18" x14ac:dyDescent="0.25">
      <c r="A25" s="296"/>
      <c r="B25" s="130" t="e">
        <f>VLOOKUP(Table1435[[#This Row],[Shop Order]],'EB217'!A:Y,4,FALSE)</f>
        <v>#N/A</v>
      </c>
      <c r="C25" s="130" t="e">
        <f>VLOOKUP(Table1435[[#This Row],[Shop Order]],'EB217'!A:Y,5,FALSE)</f>
        <v>#N/A</v>
      </c>
      <c r="D25" s="131" t="e">
        <f>VLOOKUP(Table1435[[#This Row],[Shop Order]],'EB217'!A:Y,6,FALSE)</f>
        <v>#N/A</v>
      </c>
      <c r="E25" s="132" t="e">
        <f>VLOOKUP(Table1435[[#This Row],[Shop Order]],'EB217'!A:Y,7,FALSE)</f>
        <v>#N/A</v>
      </c>
      <c r="O25" s="19" t="s">
        <v>44</v>
      </c>
      <c r="P25" s="20"/>
      <c r="Q25" s="21"/>
      <c r="R25" s="251">
        <f>SUMIF('EB217'!$V$4:$V$43,O25,'EB217'!$T$4:$T$43)</f>
        <v>0</v>
      </c>
    </row>
    <row r="26" spans="1:18" x14ac:dyDescent="0.25">
      <c r="A26" s="452"/>
      <c r="B26" s="130" t="e">
        <f>VLOOKUP(Table1435[[#This Row],[Shop Order]],'EB217'!A:Y,4,FALSE)</f>
        <v>#N/A</v>
      </c>
      <c r="C26" s="130" t="e">
        <f>VLOOKUP(Table1435[[#This Row],[Shop Order]],'EB217'!A:Y,5,FALSE)</f>
        <v>#N/A</v>
      </c>
      <c r="D26" s="131" t="e">
        <f>VLOOKUP(Table1435[[#This Row],[Shop Order]],'EB217'!A:Y,6,FALSE)</f>
        <v>#N/A</v>
      </c>
      <c r="E26" s="132" t="e">
        <f>VLOOKUP(Table1435[[#This Row],[Shop Order]],'EB217'!A:Y,7,FALSE)</f>
        <v>#N/A</v>
      </c>
      <c r="O26" s="19" t="s">
        <v>41</v>
      </c>
      <c r="P26" s="20"/>
      <c r="Q26" s="21"/>
      <c r="R26" s="251">
        <f>SUMIF('EB217'!$V$4:$V$43,O26,'EB217'!$T$4:$T$43)</f>
        <v>0</v>
      </c>
    </row>
    <row r="27" spans="1:18" x14ac:dyDescent="0.25">
      <c r="A27" s="296"/>
      <c r="B27" s="130" t="e">
        <f>VLOOKUP(Table1435[[#This Row],[Shop Order]],'EB217'!A:Y,4,FALSE)</f>
        <v>#N/A</v>
      </c>
      <c r="C27" s="130" t="e">
        <f>VLOOKUP(Table1435[[#This Row],[Shop Order]],'EB217'!A:Y,5,FALSE)</f>
        <v>#N/A</v>
      </c>
      <c r="D27" s="131" t="e">
        <f>VLOOKUP(Table1435[[#This Row],[Shop Order]],'EB217'!A:Y,6,FALSE)</f>
        <v>#N/A</v>
      </c>
      <c r="E27" s="132" t="e">
        <f>VLOOKUP(Table1435[[#This Row],[Shop Order]],'EB217'!A:Y,7,FALSE)</f>
        <v>#N/A</v>
      </c>
      <c r="O27" s="19" t="s">
        <v>39</v>
      </c>
      <c r="P27" s="20"/>
      <c r="Q27" s="21"/>
      <c r="R27" s="251">
        <f>SUMIF('EB217'!$V$4:$V$43,O27,'EB217'!$T$4:$T$43)</f>
        <v>0</v>
      </c>
    </row>
    <row r="28" spans="1:18" ht="15.75" thickBot="1" x14ac:dyDescent="0.3">
      <c r="A28" s="296"/>
      <c r="B28" s="130" t="e">
        <f>VLOOKUP(Table1435[[#This Row],[Shop Order]],'EB217'!A:Y,4,FALSE)</f>
        <v>#N/A</v>
      </c>
      <c r="C28" s="130" t="e">
        <f>VLOOKUP(Table1435[[#This Row],[Shop Order]],'EB217'!A:Y,5,FALSE)</f>
        <v>#N/A</v>
      </c>
      <c r="D28" s="131" t="e">
        <f>VLOOKUP(Table1435[[#This Row],[Shop Order]],'EB217'!A:Y,6,FALSE)</f>
        <v>#N/A</v>
      </c>
      <c r="E28" s="132" t="e">
        <f>VLOOKUP(Table1435[[#This Row],[Shop Order]],'EB217'!A:Y,7,FALSE)</f>
        <v>#N/A</v>
      </c>
      <c r="O28" s="19" t="s">
        <v>35</v>
      </c>
      <c r="P28" s="20"/>
      <c r="Q28" s="21"/>
      <c r="R28" s="251">
        <f>SUMIF('EB217'!$V$4:$V$43,O28,'EB217'!$T$4:$T$43)</f>
        <v>0</v>
      </c>
    </row>
    <row r="29" spans="1:18" ht="15.75" thickBot="1" x14ac:dyDescent="0.3">
      <c r="A29" s="572" t="s">
        <v>48</v>
      </c>
      <c r="B29" s="573"/>
      <c r="C29" s="574"/>
      <c r="D29" s="75" t="e">
        <f>AVERAGE(D23:D24)</f>
        <v>#N/A</v>
      </c>
      <c r="E29" s="26"/>
      <c r="O29" s="31"/>
      <c r="P29" s="31"/>
      <c r="Q29" s="31"/>
      <c r="R29" s="251">
        <f>SUMIF('EB217'!$V$4:$V$43,O29,'EB217'!$T$4:$T$43)</f>
        <v>0</v>
      </c>
    </row>
  </sheetData>
  <autoFilter ref="O4:R4" xr:uid="{00000000-0009-0000-0000-00000F000000}">
    <filterColumn colId="0" showButton="0"/>
    <filterColumn colId="1" showButton="0"/>
    <sortState xmlns:xlrd2="http://schemas.microsoft.com/office/spreadsheetml/2017/richdata2" ref="O5:R29">
      <sortCondition descending="1" ref="R4"/>
    </sortState>
  </autoFilter>
  <sortState xmlns:xlrd2="http://schemas.microsoft.com/office/spreadsheetml/2017/richdata2" ref="O5:R29">
    <sortCondition descending="1" ref="R5:R29"/>
  </sortState>
  <dataConsolidate/>
  <mergeCells count="5">
    <mergeCell ref="A1:R1"/>
    <mergeCell ref="O3:R3"/>
    <mergeCell ref="O4:Q4"/>
    <mergeCell ref="A21:E21"/>
    <mergeCell ref="A29:C29"/>
  </mergeCells>
  <pageMargins left="0" right="0" top="0.75" bottom="0.75" header="0.3" footer="0.3"/>
  <pageSetup scale="67" orientation="landscape" r:id="rId1"/>
  <drawing r:id="rId2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5">
    <pageSetUpPr fitToPage="1"/>
  </sheetPr>
  <dimension ref="A1:R194"/>
  <sheetViews>
    <sheetView zoomScale="85" zoomScaleNormal="85" workbookViewId="0">
      <selection activeCell="F134" sqref="F134"/>
    </sheetView>
  </sheetViews>
  <sheetFormatPr defaultColWidth="9.140625" defaultRowHeight="15" x14ac:dyDescent="0.25"/>
  <cols>
    <col min="1" max="1" width="10.7109375" style="6" customWidth="1"/>
    <col min="2" max="2" width="8.7109375" style="6" customWidth="1"/>
    <col min="3" max="3" width="7.7109375" style="6" customWidth="1"/>
    <col min="4" max="8" width="9.7109375" style="6" customWidth="1"/>
    <col min="9" max="9" width="9.7109375" style="14" customWidth="1"/>
    <col min="10" max="13" width="9.7109375" style="4" customWidth="1"/>
    <col min="14" max="14" width="8.7109375" style="1" customWidth="1"/>
    <col min="15" max="15" width="8.7109375" style="6" customWidth="1"/>
    <col min="16" max="16" width="35.7109375" style="2" customWidth="1"/>
    <col min="17" max="17" width="10.7109375" style="2" customWidth="1"/>
    <col min="18" max="18" width="45.7109375" style="6" customWidth="1"/>
    <col min="19" max="19" width="9.140625" style="6"/>
    <col min="20" max="20" width="9.7109375" style="6" bestFit="1" customWidth="1"/>
    <col min="21" max="16384" width="9.140625" style="6"/>
  </cols>
  <sheetData>
    <row r="1" spans="1:18" ht="15.75" thickBot="1" x14ac:dyDescent="0.3"/>
    <row r="2" spans="1:18" ht="26.25" thickBot="1" x14ac:dyDescent="0.3">
      <c r="A2" s="385" t="s">
        <v>184</v>
      </c>
      <c r="B2" s="385" t="s">
        <v>46</v>
      </c>
      <c r="C2" s="385" t="s">
        <v>180</v>
      </c>
      <c r="D2" s="385" t="s">
        <v>179</v>
      </c>
      <c r="E2" s="385" t="s">
        <v>181</v>
      </c>
      <c r="F2" s="385" t="s">
        <v>16</v>
      </c>
      <c r="G2" s="76" t="s">
        <v>1</v>
      </c>
      <c r="H2" s="76" t="s">
        <v>85</v>
      </c>
      <c r="I2" s="386" t="s">
        <v>23</v>
      </c>
      <c r="J2" s="76" t="s">
        <v>190</v>
      </c>
      <c r="K2" s="76" t="s">
        <v>250</v>
      </c>
      <c r="L2" s="387" t="s">
        <v>182</v>
      </c>
      <c r="M2" s="385" t="s">
        <v>183</v>
      </c>
      <c r="N2" s="385" t="s">
        <v>4</v>
      </c>
      <c r="O2" s="385" t="s">
        <v>2</v>
      </c>
      <c r="P2" s="385" t="s">
        <v>20</v>
      </c>
      <c r="Q2" s="385" t="s">
        <v>68</v>
      </c>
      <c r="R2" s="388" t="s">
        <v>6</v>
      </c>
    </row>
    <row r="3" spans="1:18" ht="15.75" thickBot="1" x14ac:dyDescent="0.3">
      <c r="A3" s="369">
        <v>1526067</v>
      </c>
      <c r="B3" s="369" t="s">
        <v>260</v>
      </c>
      <c r="C3" s="369" t="s">
        <v>261</v>
      </c>
      <c r="D3" s="369">
        <v>1920</v>
      </c>
      <c r="E3" s="369">
        <v>2065</v>
      </c>
      <c r="F3" s="370">
        <v>1842</v>
      </c>
      <c r="G3" s="371">
        <f>F3/E3</f>
        <v>0.89200968523002422</v>
      </c>
      <c r="H3" s="371">
        <f>K64/E3</f>
        <v>5.2300242130750609E-2</v>
      </c>
      <c r="I3" s="372">
        <v>45474</v>
      </c>
      <c r="J3" s="373"/>
      <c r="K3" s="373"/>
      <c r="L3" s="373"/>
      <c r="M3" s="374"/>
      <c r="N3" s="480"/>
      <c r="O3" s="375"/>
      <c r="P3" s="376" t="s">
        <v>185</v>
      </c>
      <c r="Q3" s="376"/>
      <c r="R3" s="346"/>
    </row>
    <row r="4" spans="1:18" x14ac:dyDescent="0.25">
      <c r="A4" s="139"/>
      <c r="B4" s="140"/>
      <c r="C4" s="140"/>
      <c r="D4" s="140"/>
      <c r="E4" s="140"/>
      <c r="F4" s="140"/>
      <c r="G4" s="141"/>
      <c r="H4" s="141"/>
      <c r="I4" s="190"/>
      <c r="J4" s="405">
        <v>5</v>
      </c>
      <c r="K4" s="405"/>
      <c r="L4" s="406"/>
      <c r="M4" s="472"/>
      <c r="N4" s="481">
        <f>SUM(J4,L4,M4)</f>
        <v>5</v>
      </c>
      <c r="O4" s="476">
        <f>N4/$E$3</f>
        <v>2.4213075060532689E-3</v>
      </c>
      <c r="P4" s="419" t="s">
        <v>187</v>
      </c>
      <c r="Q4" s="381">
        <v>211</v>
      </c>
      <c r="R4" s="347" t="s">
        <v>168</v>
      </c>
    </row>
    <row r="5" spans="1:18" x14ac:dyDescent="0.25">
      <c r="A5" s="142"/>
      <c r="B5" s="143"/>
      <c r="C5" s="143"/>
      <c r="D5" s="143"/>
      <c r="E5" s="143"/>
      <c r="F5" s="143"/>
      <c r="G5" s="144"/>
      <c r="H5" s="144"/>
      <c r="I5" s="191"/>
      <c r="J5" s="407">
        <v>2</v>
      </c>
      <c r="K5" s="407"/>
      <c r="L5" s="408"/>
      <c r="M5" s="473"/>
      <c r="N5" s="393">
        <f t="shared" ref="N5:N27" si="0">SUM(J5,L5,M5)</f>
        <v>2</v>
      </c>
      <c r="O5" s="477">
        <f>N5/$E$3</f>
        <v>9.6852300242130751E-4</v>
      </c>
      <c r="P5" s="419" t="s">
        <v>86</v>
      </c>
      <c r="Q5" s="382">
        <v>141</v>
      </c>
      <c r="R5" s="348"/>
    </row>
    <row r="6" spans="1:18" x14ac:dyDescent="0.25">
      <c r="A6" s="142"/>
      <c r="B6" s="143"/>
      <c r="C6" s="143"/>
      <c r="D6" s="143"/>
      <c r="E6" s="143"/>
      <c r="F6" s="143"/>
      <c r="G6" s="144"/>
      <c r="H6" s="144"/>
      <c r="I6" s="191"/>
      <c r="J6" s="407">
        <v>1</v>
      </c>
      <c r="K6" s="407"/>
      <c r="L6" s="409"/>
      <c r="M6" s="474"/>
      <c r="N6" s="393">
        <f t="shared" si="0"/>
        <v>1</v>
      </c>
      <c r="O6" s="477">
        <f t="shared" ref="O6:O26" si="1">N6/$E$3</f>
        <v>4.8426150121065375E-4</v>
      </c>
      <c r="P6" s="419" t="s">
        <v>7</v>
      </c>
      <c r="Q6" s="383">
        <v>140</v>
      </c>
      <c r="R6" s="348"/>
    </row>
    <row r="7" spans="1:18" x14ac:dyDescent="0.25">
      <c r="A7" s="142"/>
      <c r="B7" s="143"/>
      <c r="C7" s="143"/>
      <c r="D7" s="143"/>
      <c r="E7" s="143"/>
      <c r="F7" s="143"/>
      <c r="G7" s="144"/>
      <c r="H7" s="144"/>
      <c r="I7" s="191"/>
      <c r="J7" s="407"/>
      <c r="K7" s="407"/>
      <c r="L7" s="408"/>
      <c r="M7" s="474"/>
      <c r="N7" s="393">
        <f t="shared" si="0"/>
        <v>0</v>
      </c>
      <c r="O7" s="477">
        <f t="shared" si="1"/>
        <v>0</v>
      </c>
      <c r="P7" s="419" t="s">
        <v>8</v>
      </c>
      <c r="Q7" s="383">
        <v>210</v>
      </c>
      <c r="R7" s="348"/>
    </row>
    <row r="8" spans="1:18" x14ac:dyDescent="0.25">
      <c r="A8" s="142"/>
      <c r="B8" s="143"/>
      <c r="C8" s="143"/>
      <c r="D8" s="143"/>
      <c r="E8" s="143"/>
      <c r="F8" s="143"/>
      <c r="G8" s="144"/>
      <c r="H8" s="144"/>
      <c r="I8" s="191"/>
      <c r="J8" s="407">
        <v>24</v>
      </c>
      <c r="K8" s="407"/>
      <c r="L8" s="409"/>
      <c r="M8" s="474">
        <v>2</v>
      </c>
      <c r="N8" s="393">
        <f t="shared" si="0"/>
        <v>26</v>
      </c>
      <c r="O8" s="477">
        <f t="shared" si="1"/>
        <v>1.2590799031476998E-2</v>
      </c>
      <c r="P8" s="419" t="s">
        <v>15</v>
      </c>
      <c r="Q8" s="382">
        <v>355</v>
      </c>
      <c r="R8" s="348"/>
    </row>
    <row r="9" spans="1:18" x14ac:dyDescent="0.25">
      <c r="A9" s="142"/>
      <c r="B9" s="143"/>
      <c r="C9" s="143"/>
      <c r="D9" s="143"/>
      <c r="E9" s="143"/>
      <c r="F9" s="143"/>
      <c r="G9" s="144"/>
      <c r="H9" s="144"/>
      <c r="I9" s="191"/>
      <c r="J9" s="407"/>
      <c r="K9" s="407"/>
      <c r="L9" s="409"/>
      <c r="M9" s="474"/>
      <c r="N9" s="393">
        <f t="shared" si="0"/>
        <v>0</v>
      </c>
      <c r="O9" s="477">
        <f t="shared" si="1"/>
        <v>0</v>
      </c>
      <c r="P9" s="419" t="s">
        <v>194</v>
      </c>
      <c r="Q9" s="382">
        <v>738</v>
      </c>
      <c r="R9" s="348"/>
    </row>
    <row r="10" spans="1:18" x14ac:dyDescent="0.25">
      <c r="A10" s="142"/>
      <c r="B10" s="143"/>
      <c r="C10" s="143"/>
      <c r="D10" s="143"/>
      <c r="E10" s="143"/>
      <c r="F10" s="143"/>
      <c r="G10" s="144"/>
      <c r="H10" s="144"/>
      <c r="I10" s="191"/>
      <c r="J10" s="407"/>
      <c r="K10" s="407"/>
      <c r="L10" s="409"/>
      <c r="M10" s="474"/>
      <c r="N10" s="393">
        <f t="shared" si="0"/>
        <v>0</v>
      </c>
      <c r="O10" s="477">
        <f t="shared" si="1"/>
        <v>0</v>
      </c>
      <c r="P10" s="419" t="s">
        <v>87</v>
      </c>
      <c r="Q10" s="382">
        <v>737</v>
      </c>
      <c r="R10" s="348"/>
    </row>
    <row r="11" spans="1:18" x14ac:dyDescent="0.25">
      <c r="A11" s="142"/>
      <c r="B11" s="143"/>
      <c r="C11" s="143"/>
      <c r="D11" s="143"/>
      <c r="E11" s="143"/>
      <c r="F11" s="143"/>
      <c r="G11" s="144"/>
      <c r="H11" s="144"/>
      <c r="I11" s="191"/>
      <c r="J11" s="407"/>
      <c r="K11" s="407"/>
      <c r="L11" s="408"/>
      <c r="M11" s="474"/>
      <c r="N11" s="393">
        <f t="shared" si="0"/>
        <v>0</v>
      </c>
      <c r="O11" s="477">
        <f t="shared" si="1"/>
        <v>0</v>
      </c>
      <c r="P11" s="419" t="s">
        <v>195</v>
      </c>
      <c r="Q11" s="382">
        <v>736</v>
      </c>
      <c r="R11" s="348"/>
    </row>
    <row r="12" spans="1:18" x14ac:dyDescent="0.25">
      <c r="A12" s="142"/>
      <c r="B12" s="143"/>
      <c r="C12" s="143"/>
      <c r="D12" s="143"/>
      <c r="E12" s="143"/>
      <c r="F12" s="143"/>
      <c r="G12" s="144"/>
      <c r="H12" s="144"/>
      <c r="I12" s="191"/>
      <c r="J12" s="407">
        <v>2</v>
      </c>
      <c r="K12" s="407"/>
      <c r="L12" s="409"/>
      <c r="M12" s="474">
        <v>1</v>
      </c>
      <c r="N12" s="393">
        <f t="shared" si="0"/>
        <v>3</v>
      </c>
      <c r="O12" s="477">
        <f t="shared" si="1"/>
        <v>1.4527845036319612E-3</v>
      </c>
      <c r="P12" s="419" t="s">
        <v>3</v>
      </c>
      <c r="Q12" s="382">
        <v>44</v>
      </c>
      <c r="R12" s="348"/>
    </row>
    <row r="13" spans="1:18" x14ac:dyDescent="0.25">
      <c r="A13" s="142"/>
      <c r="B13" s="143"/>
      <c r="C13" s="143"/>
      <c r="D13" s="143"/>
      <c r="E13" s="143"/>
      <c r="F13" s="143"/>
      <c r="G13" s="144"/>
      <c r="H13" s="144"/>
      <c r="I13" s="191"/>
      <c r="J13" s="407">
        <v>1</v>
      </c>
      <c r="K13" s="407"/>
      <c r="L13" s="409"/>
      <c r="M13" s="474"/>
      <c r="N13" s="393">
        <f t="shared" si="0"/>
        <v>1</v>
      </c>
      <c r="O13" s="477">
        <f t="shared" si="1"/>
        <v>4.8426150121065375E-4</v>
      </c>
      <c r="P13" s="419" t="s">
        <v>167</v>
      </c>
      <c r="Q13" s="382">
        <v>119</v>
      </c>
      <c r="R13" s="348"/>
    </row>
    <row r="14" spans="1:18" x14ac:dyDescent="0.25">
      <c r="A14" s="142"/>
      <c r="B14" s="143"/>
      <c r="C14" s="143"/>
      <c r="D14" s="143"/>
      <c r="E14" s="143"/>
      <c r="F14" s="143"/>
      <c r="G14" s="144"/>
      <c r="H14" s="144"/>
      <c r="I14" s="191"/>
      <c r="J14" s="407">
        <v>1</v>
      </c>
      <c r="K14" s="470"/>
      <c r="L14" s="410"/>
      <c r="M14" s="434"/>
      <c r="N14" s="393">
        <f t="shared" si="0"/>
        <v>1</v>
      </c>
      <c r="O14" s="477">
        <f t="shared" si="1"/>
        <v>4.8426150121065375E-4</v>
      </c>
      <c r="P14" s="419" t="s">
        <v>264</v>
      </c>
      <c r="Q14" s="382">
        <v>739</v>
      </c>
      <c r="R14" s="348"/>
    </row>
    <row r="15" spans="1:18" x14ac:dyDescent="0.25">
      <c r="A15" s="142"/>
      <c r="B15" s="143"/>
      <c r="C15" s="143"/>
      <c r="D15" s="143"/>
      <c r="E15" s="143"/>
      <c r="F15" s="143"/>
      <c r="G15" s="144"/>
      <c r="H15" s="144"/>
      <c r="I15" s="191"/>
      <c r="J15" s="407"/>
      <c r="K15" s="407"/>
      <c r="L15" s="408"/>
      <c r="M15" s="474"/>
      <c r="N15" s="393">
        <f t="shared" si="0"/>
        <v>0</v>
      </c>
      <c r="O15" s="477">
        <f t="shared" si="1"/>
        <v>0</v>
      </c>
      <c r="P15" s="419" t="s">
        <v>106</v>
      </c>
      <c r="Q15" s="382">
        <v>117</v>
      </c>
      <c r="R15" s="348"/>
    </row>
    <row r="16" spans="1:18" x14ac:dyDescent="0.25">
      <c r="A16" s="142"/>
      <c r="B16" s="143"/>
      <c r="C16" s="143"/>
      <c r="D16" s="143"/>
      <c r="E16" s="143"/>
      <c r="F16" s="143"/>
      <c r="G16" s="144"/>
      <c r="H16" s="144"/>
      <c r="I16" s="191"/>
      <c r="J16" s="407"/>
      <c r="K16" s="407"/>
      <c r="L16" s="408"/>
      <c r="M16" s="474">
        <v>2</v>
      </c>
      <c r="N16" s="393">
        <f t="shared" si="0"/>
        <v>2</v>
      </c>
      <c r="O16" s="477">
        <f t="shared" si="1"/>
        <v>9.6852300242130751E-4</v>
      </c>
      <c r="P16" s="419" t="s">
        <v>210</v>
      </c>
      <c r="Q16" s="382">
        <v>176</v>
      </c>
      <c r="R16" s="348"/>
    </row>
    <row r="17" spans="1:18" x14ac:dyDescent="0.25">
      <c r="A17" s="142"/>
      <c r="B17" s="143"/>
      <c r="C17" s="143"/>
      <c r="D17" s="143"/>
      <c r="E17" s="143"/>
      <c r="F17" s="143"/>
      <c r="G17" s="144"/>
      <c r="H17" s="144"/>
      <c r="I17" s="191"/>
      <c r="J17" s="407"/>
      <c r="K17" s="407"/>
      <c r="L17" s="408"/>
      <c r="M17" s="474"/>
      <c r="N17" s="393">
        <f t="shared" si="0"/>
        <v>0</v>
      </c>
      <c r="O17" s="477">
        <f t="shared" si="1"/>
        <v>0</v>
      </c>
      <c r="P17" s="419" t="s">
        <v>188</v>
      </c>
      <c r="Q17" s="382">
        <v>705</v>
      </c>
      <c r="R17" s="348"/>
    </row>
    <row r="18" spans="1:18" x14ac:dyDescent="0.25">
      <c r="A18" s="142"/>
      <c r="B18" s="143"/>
      <c r="C18" s="143"/>
      <c r="D18" s="143"/>
      <c r="E18" s="143"/>
      <c r="F18" s="143"/>
      <c r="G18" s="144"/>
      <c r="H18" s="144"/>
      <c r="I18" s="191"/>
      <c r="J18" s="407"/>
      <c r="K18" s="407"/>
      <c r="L18" s="408"/>
      <c r="M18" s="474"/>
      <c r="N18" s="393">
        <f t="shared" si="0"/>
        <v>0</v>
      </c>
      <c r="O18" s="477">
        <f t="shared" si="1"/>
        <v>0</v>
      </c>
      <c r="P18" s="419" t="s">
        <v>26</v>
      </c>
      <c r="Q18" s="382">
        <v>58</v>
      </c>
      <c r="R18" s="348"/>
    </row>
    <row r="19" spans="1:18" x14ac:dyDescent="0.25">
      <c r="A19" s="142"/>
      <c r="B19" s="143"/>
      <c r="C19" s="143"/>
      <c r="D19" s="143"/>
      <c r="E19" s="143"/>
      <c r="F19" s="143"/>
      <c r="G19" s="144"/>
      <c r="H19" s="144"/>
      <c r="I19" s="191"/>
      <c r="J19" s="407">
        <v>1</v>
      </c>
      <c r="K19" s="407"/>
      <c r="L19" s="408"/>
      <c r="M19" s="474"/>
      <c r="N19" s="393">
        <f t="shared" si="0"/>
        <v>1</v>
      </c>
      <c r="O19" s="477">
        <f t="shared" si="1"/>
        <v>4.8426150121065375E-4</v>
      </c>
      <c r="P19" s="419" t="s">
        <v>265</v>
      </c>
      <c r="Q19" s="382">
        <v>65</v>
      </c>
      <c r="R19" s="348"/>
    </row>
    <row r="20" spans="1:18" x14ac:dyDescent="0.25">
      <c r="A20" s="142"/>
      <c r="B20" s="143"/>
      <c r="C20" s="143"/>
      <c r="D20" s="143"/>
      <c r="E20" s="143"/>
      <c r="F20" s="143"/>
      <c r="G20" s="144"/>
      <c r="H20" s="144"/>
      <c r="I20" s="191"/>
      <c r="J20" s="407">
        <v>22</v>
      </c>
      <c r="K20" s="407"/>
      <c r="L20" s="408"/>
      <c r="M20" s="474"/>
      <c r="N20" s="393">
        <f t="shared" si="0"/>
        <v>22</v>
      </c>
      <c r="O20" s="477">
        <f t="shared" si="1"/>
        <v>1.0653753026634382E-2</v>
      </c>
      <c r="P20" s="419" t="s">
        <v>236</v>
      </c>
      <c r="Q20" s="382">
        <v>65</v>
      </c>
      <c r="R20" s="348"/>
    </row>
    <row r="21" spans="1:18" x14ac:dyDescent="0.25">
      <c r="A21" s="142"/>
      <c r="B21" s="143"/>
      <c r="C21" s="143"/>
      <c r="D21" s="143"/>
      <c r="E21" s="143"/>
      <c r="F21" s="143"/>
      <c r="G21" s="144"/>
      <c r="H21" s="144"/>
      <c r="I21" s="191"/>
      <c r="J21" s="407"/>
      <c r="K21" s="471"/>
      <c r="L21" s="412"/>
      <c r="M21" s="475"/>
      <c r="N21" s="393">
        <f t="shared" si="0"/>
        <v>0</v>
      </c>
      <c r="O21" s="477">
        <f t="shared" si="1"/>
        <v>0</v>
      </c>
      <c r="P21" s="441" t="s">
        <v>196</v>
      </c>
      <c r="Q21" s="442">
        <v>265</v>
      </c>
      <c r="R21" s="348"/>
    </row>
    <row r="22" spans="1:18" x14ac:dyDescent="0.25">
      <c r="A22" s="142"/>
      <c r="B22" s="143"/>
      <c r="C22" s="143"/>
      <c r="D22" s="143" t="s">
        <v>98</v>
      </c>
      <c r="E22" s="143"/>
      <c r="F22" s="143"/>
      <c r="G22" s="144"/>
      <c r="H22" s="144"/>
      <c r="I22" s="191"/>
      <c r="J22" s="407">
        <v>2</v>
      </c>
      <c r="K22" s="407"/>
      <c r="L22" s="408"/>
      <c r="M22" s="474"/>
      <c r="N22" s="393">
        <f t="shared" si="0"/>
        <v>2</v>
      </c>
      <c r="O22" s="477">
        <f t="shared" si="1"/>
        <v>9.6852300242130751E-4</v>
      </c>
      <c r="P22" s="419" t="s">
        <v>70</v>
      </c>
      <c r="Q22" s="382">
        <v>388</v>
      </c>
      <c r="R22" s="348"/>
    </row>
    <row r="23" spans="1:18" x14ac:dyDescent="0.25">
      <c r="A23" s="142"/>
      <c r="B23" s="143"/>
      <c r="C23" s="143"/>
      <c r="D23" s="143"/>
      <c r="E23" s="143"/>
      <c r="F23" s="143"/>
      <c r="G23" s="144"/>
      <c r="H23" s="144"/>
      <c r="I23" s="191"/>
      <c r="J23" s="407"/>
      <c r="K23" s="407"/>
      <c r="L23" s="408"/>
      <c r="M23" s="474"/>
      <c r="N23" s="393">
        <f t="shared" si="0"/>
        <v>0</v>
      </c>
      <c r="O23" s="477">
        <f t="shared" si="1"/>
        <v>0</v>
      </c>
      <c r="P23" s="419" t="s">
        <v>84</v>
      </c>
      <c r="Q23" s="382">
        <v>43</v>
      </c>
      <c r="R23" s="348"/>
    </row>
    <row r="24" spans="1:18" x14ac:dyDescent="0.25">
      <c r="A24" s="142"/>
      <c r="B24" s="143"/>
      <c r="C24" s="143"/>
      <c r="D24" s="143"/>
      <c r="E24" s="143"/>
      <c r="F24" s="143"/>
      <c r="G24" s="144"/>
      <c r="H24" s="144"/>
      <c r="I24" s="191"/>
      <c r="J24" s="399"/>
      <c r="K24" s="399"/>
      <c r="L24" s="408"/>
      <c r="M24" s="474"/>
      <c r="N24" s="393">
        <f t="shared" si="0"/>
        <v>0</v>
      </c>
      <c r="O24" s="477">
        <f t="shared" si="1"/>
        <v>0</v>
      </c>
      <c r="P24" s="419" t="s">
        <v>25</v>
      </c>
      <c r="Q24" s="382">
        <v>164</v>
      </c>
      <c r="R24" s="348"/>
    </row>
    <row r="25" spans="1:18" x14ac:dyDescent="0.25">
      <c r="A25" s="142"/>
      <c r="B25" s="143"/>
      <c r="C25" s="143"/>
      <c r="D25" s="143"/>
      <c r="E25" s="143"/>
      <c r="F25" s="143"/>
      <c r="G25" s="144"/>
      <c r="H25" s="144"/>
      <c r="I25" s="191"/>
      <c r="J25" s="399"/>
      <c r="K25" s="399"/>
      <c r="L25" s="408"/>
      <c r="M25" s="474"/>
      <c r="N25" s="393">
        <f t="shared" si="0"/>
        <v>0</v>
      </c>
      <c r="O25" s="477">
        <f t="shared" si="1"/>
        <v>0</v>
      </c>
      <c r="P25" s="419" t="s">
        <v>237</v>
      </c>
      <c r="Q25" s="378">
        <v>46</v>
      </c>
      <c r="R25" s="348"/>
    </row>
    <row r="26" spans="1:18" x14ac:dyDescent="0.25">
      <c r="A26" s="142"/>
      <c r="B26" s="143"/>
      <c r="C26" s="143"/>
      <c r="D26" s="143"/>
      <c r="E26" s="143"/>
      <c r="F26" s="143"/>
      <c r="G26" s="144"/>
      <c r="H26" s="144"/>
      <c r="I26" s="191"/>
      <c r="J26" s="363">
        <v>1</v>
      </c>
      <c r="K26" s="363"/>
      <c r="L26" s="408"/>
      <c r="M26" s="474">
        <v>1</v>
      </c>
      <c r="N26" s="393">
        <f t="shared" si="0"/>
        <v>2</v>
      </c>
      <c r="O26" s="477">
        <f t="shared" si="1"/>
        <v>9.6852300242130751E-4</v>
      </c>
      <c r="P26" s="419" t="s">
        <v>268</v>
      </c>
      <c r="Q26" s="414">
        <v>159</v>
      </c>
      <c r="R26" s="348"/>
    </row>
    <row r="27" spans="1:18" ht="15.75" thickBot="1" x14ac:dyDescent="0.3">
      <c r="A27" s="142"/>
      <c r="B27" s="143"/>
      <c r="C27" s="143"/>
      <c r="D27" s="143"/>
      <c r="E27" s="143"/>
      <c r="F27" s="143"/>
      <c r="G27" s="144"/>
      <c r="H27" s="144"/>
      <c r="I27" s="191"/>
      <c r="J27" s="415"/>
      <c r="K27" s="415"/>
      <c r="L27" s="409"/>
      <c r="M27" s="474"/>
      <c r="N27" s="482">
        <f t="shared" si="0"/>
        <v>0</v>
      </c>
      <c r="O27" s="479">
        <f>N27/$E$3</f>
        <v>0</v>
      </c>
      <c r="P27" s="419" t="s">
        <v>205</v>
      </c>
      <c r="Q27" s="384">
        <v>159</v>
      </c>
      <c r="R27" s="348"/>
    </row>
    <row r="28" spans="1:18" ht="15.75" thickBot="1" x14ac:dyDescent="0.3">
      <c r="A28" s="142"/>
      <c r="B28" s="143"/>
      <c r="C28" s="143"/>
      <c r="D28" s="143"/>
      <c r="E28" s="143"/>
      <c r="F28" s="143"/>
      <c r="G28" s="144"/>
      <c r="H28" s="144"/>
      <c r="I28" s="192"/>
      <c r="J28" s="349"/>
      <c r="K28" s="349"/>
      <c r="L28" s="349"/>
      <c r="M28" s="350"/>
      <c r="N28" s="355"/>
      <c r="O28" s="351"/>
      <c r="P28" s="380" t="s">
        <v>186</v>
      </c>
      <c r="Q28" s="356"/>
      <c r="R28" s="348"/>
    </row>
    <row r="29" spans="1:18" x14ac:dyDescent="0.25">
      <c r="A29" s="142"/>
      <c r="B29" s="143"/>
      <c r="C29" s="143"/>
      <c r="D29" s="143"/>
      <c r="E29" s="143"/>
      <c r="F29" s="143"/>
      <c r="G29" s="144"/>
      <c r="H29" s="144"/>
      <c r="I29" s="191"/>
      <c r="J29" s="396"/>
      <c r="K29" s="396">
        <v>4</v>
      </c>
      <c r="L29" s="416"/>
      <c r="M29" s="483"/>
      <c r="N29" s="481">
        <f>SUM(J29,L29, M29)</f>
        <v>0</v>
      </c>
      <c r="O29" s="485">
        <f>K29/$E$3</f>
        <v>1.937046004842615E-3</v>
      </c>
      <c r="P29" s="417" t="s">
        <v>90</v>
      </c>
      <c r="Q29" s="390">
        <v>159</v>
      </c>
      <c r="R29" s="418"/>
    </row>
    <row r="30" spans="1:18" x14ac:dyDescent="0.25">
      <c r="A30" s="142"/>
      <c r="B30" s="143"/>
      <c r="C30" s="143"/>
      <c r="D30" s="143"/>
      <c r="E30" s="143"/>
      <c r="F30" s="143"/>
      <c r="G30" s="144"/>
      <c r="H30" s="144"/>
      <c r="I30" s="191"/>
      <c r="J30" s="397"/>
      <c r="K30" s="397">
        <v>7</v>
      </c>
      <c r="L30" s="399"/>
      <c r="M30" s="484">
        <v>3</v>
      </c>
      <c r="N30" s="393">
        <f t="shared" ref="N30:N42" si="2">SUM(J30,L30, M30)</f>
        <v>3</v>
      </c>
      <c r="O30" s="478">
        <f>K30/$E$3</f>
        <v>3.3898305084745762E-3</v>
      </c>
      <c r="P30" s="419" t="s">
        <v>9</v>
      </c>
      <c r="Q30" s="391">
        <v>331</v>
      </c>
      <c r="R30" s="418"/>
    </row>
    <row r="31" spans="1:18" x14ac:dyDescent="0.25">
      <c r="A31" s="142"/>
      <c r="B31" s="143"/>
      <c r="C31" s="143"/>
      <c r="D31" s="143"/>
      <c r="E31" s="143"/>
      <c r="F31" s="143"/>
      <c r="G31" s="144"/>
      <c r="H31" s="144"/>
      <c r="I31" s="191"/>
      <c r="J31" s="398"/>
      <c r="K31" s="398">
        <v>9</v>
      </c>
      <c r="L31" s="399"/>
      <c r="M31" s="484">
        <v>1</v>
      </c>
      <c r="N31" s="393">
        <f t="shared" si="2"/>
        <v>1</v>
      </c>
      <c r="O31" s="478">
        <f t="shared" ref="O31:O41" si="3">K31/$E$3</f>
        <v>4.3583535108958835E-3</v>
      </c>
      <c r="P31" s="420" t="s">
        <v>93</v>
      </c>
      <c r="Q31" s="378">
        <v>265</v>
      </c>
      <c r="R31" s="418"/>
    </row>
    <row r="32" spans="1:18" x14ac:dyDescent="0.25">
      <c r="A32" s="142"/>
      <c r="B32" s="143"/>
      <c r="C32" s="143"/>
      <c r="D32" s="143"/>
      <c r="E32" s="143"/>
      <c r="F32" s="143"/>
      <c r="G32" s="144"/>
      <c r="H32" s="144"/>
      <c r="I32" s="191"/>
      <c r="J32" s="397"/>
      <c r="K32" s="397">
        <v>7</v>
      </c>
      <c r="L32" s="399"/>
      <c r="M32" s="484"/>
      <c r="N32" s="393">
        <f t="shared" si="2"/>
        <v>0</v>
      </c>
      <c r="O32" s="478">
        <f t="shared" si="3"/>
        <v>3.3898305084745762E-3</v>
      </c>
      <c r="P32" s="419" t="s">
        <v>91</v>
      </c>
      <c r="Q32" s="391">
        <v>159</v>
      </c>
      <c r="R32" s="421" t="s">
        <v>269</v>
      </c>
    </row>
    <row r="33" spans="1:18" x14ac:dyDescent="0.25">
      <c r="A33" s="142"/>
      <c r="B33" s="143"/>
      <c r="C33" s="143"/>
      <c r="D33" s="143"/>
      <c r="E33" s="143"/>
      <c r="F33" s="143"/>
      <c r="G33" s="144"/>
      <c r="H33" s="144"/>
      <c r="I33" s="191"/>
      <c r="J33" s="397"/>
      <c r="K33" s="397"/>
      <c r="L33" s="399"/>
      <c r="M33" s="484"/>
      <c r="N33" s="393">
        <f t="shared" si="2"/>
        <v>0</v>
      </c>
      <c r="O33" s="478">
        <f t="shared" si="3"/>
        <v>0</v>
      </c>
      <c r="P33" s="422" t="s">
        <v>197</v>
      </c>
      <c r="Q33" s="391">
        <v>73</v>
      </c>
      <c r="R33" s="421"/>
    </row>
    <row r="34" spans="1:18" x14ac:dyDescent="0.25">
      <c r="A34" s="142"/>
      <c r="B34" s="143"/>
      <c r="C34" s="143"/>
      <c r="D34" s="143"/>
      <c r="E34" s="143"/>
      <c r="F34" s="143"/>
      <c r="G34" s="144"/>
      <c r="H34" s="144"/>
      <c r="I34" s="191"/>
      <c r="J34" s="397"/>
      <c r="K34" s="397"/>
      <c r="L34" s="399"/>
      <c r="M34" s="484"/>
      <c r="N34" s="393">
        <f t="shared" si="2"/>
        <v>0</v>
      </c>
      <c r="O34" s="478">
        <f t="shared" si="3"/>
        <v>0</v>
      </c>
      <c r="P34" s="422" t="s">
        <v>34</v>
      </c>
      <c r="Q34" s="391">
        <v>65</v>
      </c>
      <c r="R34" s="421"/>
    </row>
    <row r="35" spans="1:18" x14ac:dyDescent="0.25">
      <c r="A35" s="142"/>
      <c r="B35" s="143"/>
      <c r="C35" s="143"/>
      <c r="D35" s="143"/>
      <c r="E35" s="143"/>
      <c r="F35" s="143"/>
      <c r="G35" s="144"/>
      <c r="H35" s="144"/>
      <c r="I35" s="191"/>
      <c r="J35" s="397"/>
      <c r="K35" s="397"/>
      <c r="L35" s="399"/>
      <c r="M35" s="484"/>
      <c r="N35" s="393">
        <f t="shared" si="2"/>
        <v>0</v>
      </c>
      <c r="O35" s="478">
        <f t="shared" si="3"/>
        <v>0</v>
      </c>
      <c r="P35" s="420" t="s">
        <v>79</v>
      </c>
      <c r="Q35" s="378">
        <v>46</v>
      </c>
      <c r="R35" s="418"/>
    </row>
    <row r="36" spans="1:18" x14ac:dyDescent="0.25">
      <c r="A36" s="142"/>
      <c r="B36" s="143"/>
      <c r="C36" s="143"/>
      <c r="D36" s="143"/>
      <c r="E36" s="143"/>
      <c r="F36" s="143"/>
      <c r="G36" s="144"/>
      <c r="H36" s="144"/>
      <c r="I36" s="191"/>
      <c r="J36" s="398"/>
      <c r="K36" s="398">
        <v>50</v>
      </c>
      <c r="L36" s="399"/>
      <c r="M36" s="484">
        <v>2</v>
      </c>
      <c r="N36" s="393">
        <f t="shared" si="2"/>
        <v>2</v>
      </c>
      <c r="O36" s="478">
        <f t="shared" si="3"/>
        <v>2.4213075060532687E-2</v>
      </c>
      <c r="P36" s="419" t="s">
        <v>92</v>
      </c>
      <c r="Q36" s="391">
        <v>159</v>
      </c>
      <c r="R36" s="421"/>
    </row>
    <row r="37" spans="1:18" x14ac:dyDescent="0.25">
      <c r="A37" s="142"/>
      <c r="B37" s="143"/>
      <c r="C37" s="143"/>
      <c r="D37" s="143"/>
      <c r="E37" s="143"/>
      <c r="F37" s="143"/>
      <c r="G37" s="144"/>
      <c r="H37" s="144"/>
      <c r="I37" s="191"/>
      <c r="J37" s="397"/>
      <c r="K37" s="397">
        <v>27</v>
      </c>
      <c r="L37" s="399"/>
      <c r="M37" s="484"/>
      <c r="N37" s="393">
        <f t="shared" si="2"/>
        <v>0</v>
      </c>
      <c r="O37" s="478">
        <f t="shared" si="3"/>
        <v>1.3075060532687652E-2</v>
      </c>
      <c r="P37" s="419" t="s">
        <v>89</v>
      </c>
      <c r="Q37" s="391">
        <v>159</v>
      </c>
      <c r="R37" s="418"/>
    </row>
    <row r="38" spans="1:18" x14ac:dyDescent="0.25">
      <c r="A38" s="142"/>
      <c r="B38" s="143"/>
      <c r="C38" s="143"/>
      <c r="D38" s="143"/>
      <c r="E38" s="143"/>
      <c r="F38" s="143"/>
      <c r="G38" s="144"/>
      <c r="H38" s="144"/>
      <c r="I38" s="191"/>
      <c r="J38" s="397"/>
      <c r="K38" s="397">
        <v>4</v>
      </c>
      <c r="L38" s="399"/>
      <c r="M38" s="484">
        <v>4</v>
      </c>
      <c r="N38" s="393">
        <f t="shared" si="2"/>
        <v>4</v>
      </c>
      <c r="O38" s="478">
        <f t="shared" si="3"/>
        <v>1.937046004842615E-3</v>
      </c>
      <c r="P38" s="423" t="s">
        <v>107</v>
      </c>
      <c r="Q38" s="382">
        <v>624</v>
      </c>
      <c r="R38" s="418"/>
    </row>
    <row r="39" spans="1:18" x14ac:dyDescent="0.25">
      <c r="A39" s="142"/>
      <c r="B39" s="143"/>
      <c r="C39" s="143"/>
      <c r="D39" s="143"/>
      <c r="E39" s="143"/>
      <c r="F39" s="143"/>
      <c r="G39" s="144"/>
      <c r="H39" s="144"/>
      <c r="I39" s="191"/>
      <c r="J39" s="397"/>
      <c r="K39" s="397"/>
      <c r="L39" s="399"/>
      <c r="M39" s="484"/>
      <c r="N39" s="393">
        <f t="shared" si="2"/>
        <v>0</v>
      </c>
      <c r="O39" s="478">
        <f t="shared" si="3"/>
        <v>0</v>
      </c>
      <c r="P39" s="423" t="s">
        <v>198</v>
      </c>
      <c r="Q39" s="382">
        <v>159</v>
      </c>
      <c r="R39" s="418"/>
    </row>
    <row r="40" spans="1:18" x14ac:dyDescent="0.25">
      <c r="A40" s="142"/>
      <c r="B40" s="143"/>
      <c r="C40" s="143"/>
      <c r="D40" s="143"/>
      <c r="E40" s="143"/>
      <c r="F40" s="143"/>
      <c r="G40" s="144"/>
      <c r="H40" s="144"/>
      <c r="I40" s="191"/>
      <c r="J40" s="397"/>
      <c r="K40" s="397"/>
      <c r="L40" s="399"/>
      <c r="M40" s="484"/>
      <c r="N40" s="393">
        <f t="shared" si="2"/>
        <v>0</v>
      </c>
      <c r="O40" s="478">
        <f t="shared" si="3"/>
        <v>0</v>
      </c>
      <c r="P40" s="423" t="s">
        <v>199</v>
      </c>
      <c r="Q40" s="382">
        <v>159</v>
      </c>
      <c r="R40" s="348" t="s">
        <v>266</v>
      </c>
    </row>
    <row r="41" spans="1:18" x14ac:dyDescent="0.25">
      <c r="A41" s="142"/>
      <c r="B41" s="143"/>
      <c r="C41" s="143"/>
      <c r="D41" s="143"/>
      <c r="E41" s="143"/>
      <c r="F41" s="143"/>
      <c r="G41" s="144"/>
      <c r="H41" s="144"/>
      <c r="I41" s="191"/>
      <c r="J41" s="397"/>
      <c r="K41" s="397"/>
      <c r="L41" s="399"/>
      <c r="M41" s="484"/>
      <c r="N41" s="393">
        <f t="shared" si="2"/>
        <v>0</v>
      </c>
      <c r="O41" s="478">
        <f t="shared" si="3"/>
        <v>0</v>
      </c>
      <c r="P41" s="423" t="s">
        <v>200</v>
      </c>
      <c r="Q41" s="382">
        <v>159</v>
      </c>
      <c r="R41" s="348" t="s">
        <v>267</v>
      </c>
    </row>
    <row r="42" spans="1:18" ht="15.75" thickBot="1" x14ac:dyDescent="0.3">
      <c r="A42" s="142"/>
      <c r="B42" s="143"/>
      <c r="C42" s="143"/>
      <c r="D42" s="143"/>
      <c r="E42" s="143"/>
      <c r="F42" s="143"/>
      <c r="G42" s="144"/>
      <c r="H42" s="144"/>
      <c r="I42" s="191"/>
      <c r="J42" s="424"/>
      <c r="K42" s="424"/>
      <c r="L42" s="415"/>
      <c r="M42" s="425"/>
      <c r="N42" s="482">
        <f t="shared" si="2"/>
        <v>0</v>
      </c>
      <c r="O42" s="486">
        <f>K42/$E$3</f>
        <v>0</v>
      </c>
      <c r="P42" s="426" t="s">
        <v>167</v>
      </c>
      <c r="Q42" s="392">
        <v>159</v>
      </c>
      <c r="R42" s="418" t="s">
        <v>232</v>
      </c>
    </row>
    <row r="43" spans="1:18" ht="15.75" thickBot="1" x14ac:dyDescent="0.3">
      <c r="A43" s="142"/>
      <c r="B43" s="143"/>
      <c r="C43" s="143"/>
      <c r="D43" s="143"/>
      <c r="E43" s="143"/>
      <c r="F43" s="143"/>
      <c r="G43" s="144"/>
      <c r="H43" s="144"/>
      <c r="I43" s="192"/>
      <c r="J43" s="353"/>
      <c r="K43" s="353"/>
      <c r="L43" s="353"/>
      <c r="M43" s="354"/>
      <c r="N43" s="355"/>
      <c r="O43" s="355"/>
      <c r="P43" s="427" t="s">
        <v>189</v>
      </c>
      <c r="Q43" s="356"/>
      <c r="R43" s="348"/>
    </row>
    <row r="44" spans="1:18" x14ac:dyDescent="0.25">
      <c r="A44" s="142"/>
      <c r="B44" s="143"/>
      <c r="C44" s="143"/>
      <c r="D44" s="143"/>
      <c r="E44" s="143"/>
      <c r="F44" s="143"/>
      <c r="G44" s="144"/>
      <c r="H44" s="144"/>
      <c r="I44" s="192"/>
      <c r="J44" s="428">
        <v>7</v>
      </c>
      <c r="K44" s="428"/>
      <c r="L44" s="429"/>
      <c r="M44" s="430"/>
      <c r="N44" s="431">
        <f>SUM(J44,L44,M44)</f>
        <v>7</v>
      </c>
      <c r="O44" s="432">
        <f>N44/$E$3</f>
        <v>3.3898305084745762E-3</v>
      </c>
      <c r="P44" s="433" t="s">
        <v>70</v>
      </c>
      <c r="Q44" s="377">
        <v>388</v>
      </c>
      <c r="R44" s="348"/>
    </row>
    <row r="45" spans="1:18" x14ac:dyDescent="0.25">
      <c r="A45" s="142"/>
      <c r="B45" s="143"/>
      <c r="C45" s="143"/>
      <c r="D45" s="143"/>
      <c r="E45" s="143"/>
      <c r="F45" s="143"/>
      <c r="G45" s="144"/>
      <c r="H45" s="144"/>
      <c r="I45" s="192"/>
      <c r="J45" s="352">
        <v>3</v>
      </c>
      <c r="K45" s="357"/>
      <c r="L45" s="364"/>
      <c r="M45" s="434"/>
      <c r="N45" s="435">
        <v>0</v>
      </c>
      <c r="O45" s="436">
        <f>N45/$E$3</f>
        <v>0</v>
      </c>
      <c r="P45" s="413" t="s">
        <v>164</v>
      </c>
      <c r="Q45" s="378">
        <v>388</v>
      </c>
      <c r="R45" s="348"/>
    </row>
    <row r="46" spans="1:18" x14ac:dyDescent="0.25">
      <c r="A46" s="142"/>
      <c r="B46" s="143"/>
      <c r="C46" s="143"/>
      <c r="D46" s="143"/>
      <c r="E46" s="143"/>
      <c r="F46" s="143"/>
      <c r="G46" s="144"/>
      <c r="H46" s="144"/>
      <c r="I46" s="192"/>
      <c r="J46" s="352">
        <v>10</v>
      </c>
      <c r="K46" s="357"/>
      <c r="L46" s="364"/>
      <c r="M46" s="434"/>
      <c r="N46" s="435">
        <v>0</v>
      </c>
      <c r="O46" s="436">
        <f t="shared" ref="O46:O61" si="4">N46/$E$3</f>
        <v>0</v>
      </c>
      <c r="P46" s="413" t="s">
        <v>114</v>
      </c>
      <c r="Q46" s="378">
        <v>735</v>
      </c>
      <c r="R46" s="348"/>
    </row>
    <row r="47" spans="1:18" x14ac:dyDescent="0.25">
      <c r="A47" s="142"/>
      <c r="B47" s="143"/>
      <c r="C47" s="143"/>
      <c r="D47" s="143"/>
      <c r="E47" s="143"/>
      <c r="F47" s="143"/>
      <c r="G47" s="144"/>
      <c r="H47" s="144"/>
      <c r="I47" s="192"/>
      <c r="J47" s="352">
        <v>1</v>
      </c>
      <c r="K47" s="357"/>
      <c r="L47" s="364"/>
      <c r="M47" s="434"/>
      <c r="N47" s="435">
        <f t="shared" ref="N47:N63" si="5">SUM(J47,L47,M47)</f>
        <v>1</v>
      </c>
      <c r="O47" s="436">
        <f t="shared" si="4"/>
        <v>4.8426150121065375E-4</v>
      </c>
      <c r="P47" s="413" t="s">
        <v>262</v>
      </c>
      <c r="Q47" s="378">
        <v>46</v>
      </c>
      <c r="R47" s="348"/>
    </row>
    <row r="48" spans="1:18" x14ac:dyDescent="0.25">
      <c r="A48" s="142"/>
      <c r="B48" s="143"/>
      <c r="C48" s="143"/>
      <c r="D48" s="143"/>
      <c r="E48" s="143"/>
      <c r="F48" s="143"/>
      <c r="G48" s="144"/>
      <c r="H48" s="144"/>
      <c r="I48" s="145"/>
      <c r="J48" s="352"/>
      <c r="K48" s="357"/>
      <c r="L48" s="364"/>
      <c r="M48" s="434"/>
      <c r="N48" s="435">
        <f t="shared" si="5"/>
        <v>0</v>
      </c>
      <c r="O48" s="436">
        <f t="shared" si="4"/>
        <v>0</v>
      </c>
      <c r="P48" s="413" t="s">
        <v>166</v>
      </c>
      <c r="Q48" s="378">
        <v>736</v>
      </c>
      <c r="R48" s="348"/>
    </row>
    <row r="49" spans="1:18" x14ac:dyDescent="0.25">
      <c r="A49" s="142"/>
      <c r="B49" s="143"/>
      <c r="C49" s="143"/>
      <c r="D49" s="143"/>
      <c r="E49" s="143"/>
      <c r="F49" s="143"/>
      <c r="G49" s="144"/>
      <c r="H49" s="144"/>
      <c r="I49" s="145"/>
      <c r="J49" s="357">
        <v>1</v>
      </c>
      <c r="K49" s="357"/>
      <c r="L49" s="364"/>
      <c r="M49" s="434"/>
      <c r="N49" s="435">
        <v>0</v>
      </c>
      <c r="O49" s="436">
        <f t="shared" si="4"/>
        <v>0</v>
      </c>
      <c r="P49" s="413" t="s">
        <v>263</v>
      </c>
      <c r="Q49" s="378">
        <v>65</v>
      </c>
      <c r="R49" s="348"/>
    </row>
    <row r="50" spans="1:18" x14ac:dyDescent="0.25">
      <c r="A50" s="142"/>
      <c r="B50" s="143"/>
      <c r="C50" s="143"/>
      <c r="D50" s="143"/>
      <c r="E50" s="143"/>
      <c r="F50" s="143"/>
      <c r="G50" s="144"/>
      <c r="H50" s="144"/>
      <c r="I50" s="145"/>
      <c r="J50" s="357">
        <v>1</v>
      </c>
      <c r="K50" s="357"/>
      <c r="L50" s="364"/>
      <c r="M50" s="434"/>
      <c r="N50" s="435">
        <f t="shared" si="5"/>
        <v>1</v>
      </c>
      <c r="O50" s="436">
        <f t="shared" si="4"/>
        <v>4.8426150121065375E-4</v>
      </c>
      <c r="P50" s="413" t="s">
        <v>270</v>
      </c>
      <c r="Q50" s="378">
        <v>265</v>
      </c>
      <c r="R50" s="348"/>
    </row>
    <row r="51" spans="1:18" x14ac:dyDescent="0.25">
      <c r="A51" s="142"/>
      <c r="B51" s="143"/>
      <c r="C51" s="143"/>
      <c r="D51" s="143"/>
      <c r="E51" s="143"/>
      <c r="F51" s="143"/>
      <c r="G51" s="144"/>
      <c r="H51" s="144"/>
      <c r="I51" s="145"/>
      <c r="J51" s="357">
        <v>10</v>
      </c>
      <c r="K51" s="357"/>
      <c r="L51" s="364"/>
      <c r="M51" s="437"/>
      <c r="N51" s="435">
        <f t="shared" si="5"/>
        <v>10</v>
      </c>
      <c r="O51" s="436">
        <f t="shared" si="4"/>
        <v>4.8426150121065378E-3</v>
      </c>
      <c r="P51" s="411" t="s">
        <v>106</v>
      </c>
      <c r="Q51" s="378">
        <v>117</v>
      </c>
      <c r="R51" s="348"/>
    </row>
    <row r="52" spans="1:18" x14ac:dyDescent="0.25">
      <c r="A52" s="142"/>
      <c r="B52" s="143"/>
      <c r="C52" s="143"/>
      <c r="D52" s="143"/>
      <c r="E52" s="143"/>
      <c r="F52" s="143"/>
      <c r="G52" s="144"/>
      <c r="H52" s="144"/>
      <c r="I52" s="145"/>
      <c r="J52" s="357"/>
      <c r="K52" s="357"/>
      <c r="L52" s="364"/>
      <c r="M52" s="437"/>
      <c r="N52" s="435">
        <f t="shared" si="5"/>
        <v>0</v>
      </c>
      <c r="O52" s="436">
        <f t="shared" si="4"/>
        <v>0</v>
      </c>
      <c r="P52" s="413" t="s">
        <v>115</v>
      </c>
      <c r="Q52" s="378">
        <v>665</v>
      </c>
      <c r="R52" s="348"/>
    </row>
    <row r="53" spans="1:18" x14ac:dyDescent="0.25">
      <c r="A53" s="142"/>
      <c r="B53" s="143"/>
      <c r="C53" s="143"/>
      <c r="D53" s="143"/>
      <c r="E53" s="143"/>
      <c r="F53" s="143"/>
      <c r="G53" s="144"/>
      <c r="H53" s="144"/>
      <c r="I53" s="145"/>
      <c r="J53" s="357">
        <v>2</v>
      </c>
      <c r="K53" s="357"/>
      <c r="L53" s="364"/>
      <c r="M53" s="434"/>
      <c r="N53" s="435">
        <f t="shared" si="5"/>
        <v>2</v>
      </c>
      <c r="O53" s="436">
        <f t="shared" si="4"/>
        <v>9.6852300242130751E-4</v>
      </c>
      <c r="P53" s="413" t="s">
        <v>84</v>
      </c>
      <c r="Q53" s="378">
        <v>43</v>
      </c>
      <c r="R53" s="348"/>
    </row>
    <row r="54" spans="1:18" x14ac:dyDescent="0.25">
      <c r="A54" s="142"/>
      <c r="B54" s="143"/>
      <c r="C54" s="143"/>
      <c r="D54" s="143"/>
      <c r="E54" s="143"/>
      <c r="F54" s="143"/>
      <c r="G54" s="144"/>
      <c r="H54" s="144"/>
      <c r="I54" s="145"/>
      <c r="J54" s="357">
        <v>6</v>
      </c>
      <c r="K54" s="357"/>
      <c r="L54" s="364"/>
      <c r="M54" s="434"/>
      <c r="N54" s="435">
        <f t="shared" si="5"/>
        <v>6</v>
      </c>
      <c r="O54" s="436">
        <f t="shared" si="4"/>
        <v>2.9055690072639223E-3</v>
      </c>
      <c r="P54" s="413" t="s">
        <v>25</v>
      </c>
      <c r="Q54" s="378">
        <v>164</v>
      </c>
      <c r="R54" s="348"/>
    </row>
    <row r="55" spans="1:18" x14ac:dyDescent="0.25">
      <c r="A55" s="142"/>
      <c r="B55" s="143"/>
      <c r="C55" s="143"/>
      <c r="D55" s="143"/>
      <c r="E55" s="143"/>
      <c r="F55" s="143"/>
      <c r="G55" s="144"/>
      <c r="H55" s="144"/>
      <c r="I55" s="145"/>
      <c r="J55" s="357">
        <v>110</v>
      </c>
      <c r="K55" s="357"/>
      <c r="L55" s="364"/>
      <c r="M55" s="434"/>
      <c r="N55" s="435">
        <v>0</v>
      </c>
      <c r="O55" s="436">
        <f t="shared" si="4"/>
        <v>0</v>
      </c>
      <c r="P55" s="413" t="s">
        <v>239</v>
      </c>
      <c r="Q55" s="378">
        <v>65</v>
      </c>
      <c r="R55" s="348"/>
    </row>
    <row r="56" spans="1:18" x14ac:dyDescent="0.25">
      <c r="A56" s="142"/>
      <c r="B56" s="143"/>
      <c r="C56" s="143"/>
      <c r="D56" s="143"/>
      <c r="E56" s="143"/>
      <c r="F56" s="143"/>
      <c r="G56" s="144"/>
      <c r="H56" s="144"/>
      <c r="I56" s="145"/>
      <c r="J56" s="357">
        <v>115</v>
      </c>
      <c r="K56" s="357"/>
      <c r="L56" s="364"/>
      <c r="M56" s="434"/>
      <c r="N56" s="435">
        <f t="shared" si="5"/>
        <v>115</v>
      </c>
      <c r="O56" s="436">
        <f t="shared" si="4"/>
        <v>5.569007263922518E-2</v>
      </c>
      <c r="P56" s="413" t="s">
        <v>240</v>
      </c>
      <c r="Q56" s="378">
        <v>65</v>
      </c>
      <c r="R56" s="348"/>
    </row>
    <row r="57" spans="1:18" x14ac:dyDescent="0.25">
      <c r="A57" s="142"/>
      <c r="B57" s="143"/>
      <c r="C57" s="143"/>
      <c r="D57" s="143"/>
      <c r="E57" s="143"/>
      <c r="F57" s="143"/>
      <c r="G57" s="144"/>
      <c r="H57" s="144"/>
      <c r="I57" s="145"/>
      <c r="J57" s="357">
        <v>2</v>
      </c>
      <c r="K57" s="357"/>
      <c r="L57" s="364"/>
      <c r="M57" s="434"/>
      <c r="N57" s="435">
        <f t="shared" si="5"/>
        <v>2</v>
      </c>
      <c r="O57" s="436">
        <f t="shared" si="4"/>
        <v>9.6852300242130751E-4</v>
      </c>
      <c r="P57" s="413" t="s">
        <v>201</v>
      </c>
      <c r="Q57" s="378">
        <v>65</v>
      </c>
      <c r="R57" s="348"/>
    </row>
    <row r="58" spans="1:18" x14ac:dyDescent="0.25">
      <c r="A58" s="142"/>
      <c r="B58" s="143"/>
      <c r="C58" s="143"/>
      <c r="D58" s="143"/>
      <c r="E58" s="143"/>
      <c r="F58" s="143"/>
      <c r="G58" s="144"/>
      <c r="H58" s="144"/>
      <c r="I58" s="145"/>
      <c r="J58" s="357">
        <v>5</v>
      </c>
      <c r="K58" s="357"/>
      <c r="L58" s="364"/>
      <c r="M58" s="434"/>
      <c r="N58" s="435">
        <v>0</v>
      </c>
      <c r="O58" s="436">
        <f t="shared" si="4"/>
        <v>0</v>
      </c>
      <c r="P58" s="419" t="s">
        <v>238</v>
      </c>
      <c r="Q58" s="378">
        <v>46</v>
      </c>
      <c r="R58" s="348"/>
    </row>
    <row r="59" spans="1:18" x14ac:dyDescent="0.25">
      <c r="A59" s="142"/>
      <c r="B59" s="143"/>
      <c r="C59" s="143"/>
      <c r="D59" s="143"/>
      <c r="E59" s="143"/>
      <c r="F59" s="143"/>
      <c r="G59" s="144"/>
      <c r="H59" s="144"/>
      <c r="I59" s="145"/>
      <c r="J59" s="357"/>
      <c r="K59" s="357"/>
      <c r="L59" s="364"/>
      <c r="M59" s="434"/>
      <c r="N59" s="435">
        <f t="shared" si="5"/>
        <v>0</v>
      </c>
      <c r="O59" s="436">
        <f t="shared" si="4"/>
        <v>0</v>
      </c>
      <c r="P59" s="422" t="s">
        <v>91</v>
      </c>
      <c r="Q59" s="378">
        <v>159</v>
      </c>
      <c r="R59" s="348"/>
    </row>
    <row r="60" spans="1:18" x14ac:dyDescent="0.25">
      <c r="A60" s="142"/>
      <c r="B60" s="143"/>
      <c r="C60" s="143"/>
      <c r="D60" s="143"/>
      <c r="E60" s="143"/>
      <c r="F60" s="143"/>
      <c r="G60" s="144"/>
      <c r="H60" s="144"/>
      <c r="I60" s="145"/>
      <c r="J60" s="357"/>
      <c r="K60" s="357"/>
      <c r="L60" s="364"/>
      <c r="M60" s="434"/>
      <c r="N60" s="435">
        <f t="shared" si="5"/>
        <v>0</v>
      </c>
      <c r="O60" s="436">
        <f t="shared" si="4"/>
        <v>0</v>
      </c>
      <c r="P60" s="413" t="s">
        <v>202</v>
      </c>
      <c r="Q60" s="378">
        <v>639</v>
      </c>
      <c r="R60" s="348"/>
    </row>
    <row r="61" spans="1:18" x14ac:dyDescent="0.25">
      <c r="A61" s="142"/>
      <c r="B61" s="143"/>
      <c r="C61" s="143"/>
      <c r="D61" s="143"/>
      <c r="E61" s="143"/>
      <c r="F61" s="143"/>
      <c r="G61" s="144"/>
      <c r="H61" s="144"/>
      <c r="I61" s="145"/>
      <c r="J61" s="352">
        <v>14</v>
      </c>
      <c r="K61" s="357"/>
      <c r="L61" s="364"/>
      <c r="M61" s="434"/>
      <c r="N61" s="435">
        <v>0</v>
      </c>
      <c r="O61" s="436">
        <f t="shared" si="4"/>
        <v>0</v>
      </c>
      <c r="P61" s="413" t="s">
        <v>203</v>
      </c>
      <c r="Q61" s="378">
        <v>639</v>
      </c>
      <c r="R61" s="463"/>
    </row>
    <row r="62" spans="1:18" x14ac:dyDescent="0.25">
      <c r="A62" s="142"/>
      <c r="B62" s="143"/>
      <c r="C62" s="143"/>
      <c r="D62" s="143"/>
      <c r="E62" s="143"/>
      <c r="F62" s="143"/>
      <c r="G62" s="144"/>
      <c r="H62" s="144"/>
      <c r="I62" s="145"/>
      <c r="J62" s="352">
        <v>10</v>
      </c>
      <c r="K62" s="357"/>
      <c r="L62" s="364"/>
      <c r="M62" s="434"/>
      <c r="N62" s="435">
        <v>0</v>
      </c>
      <c r="O62" s="436">
        <f>N62/$E$3</f>
        <v>0</v>
      </c>
      <c r="P62" s="413" t="s">
        <v>204</v>
      </c>
      <c r="Q62" s="378">
        <v>639</v>
      </c>
      <c r="R62" s="348"/>
    </row>
    <row r="63" spans="1:18" ht="15.75" thickBot="1" x14ac:dyDescent="0.3">
      <c r="A63" s="150"/>
      <c r="B63" s="151"/>
      <c r="C63" s="151"/>
      <c r="D63" s="151"/>
      <c r="E63" s="151"/>
      <c r="F63" s="151"/>
      <c r="G63" s="152"/>
      <c r="H63" s="152"/>
      <c r="I63" s="153"/>
      <c r="J63" s="358">
        <v>1</v>
      </c>
      <c r="K63" s="358"/>
      <c r="L63" s="365"/>
      <c r="M63" s="438"/>
      <c r="N63" s="439">
        <f t="shared" si="5"/>
        <v>1</v>
      </c>
      <c r="O63" s="367">
        <f>N63/$E$3</f>
        <v>4.8426150121065375E-4</v>
      </c>
      <c r="P63" s="440" t="s">
        <v>79</v>
      </c>
      <c r="Q63" s="379">
        <v>46</v>
      </c>
      <c r="R63" s="359"/>
    </row>
    <row r="64" spans="1:18" ht="15.75" thickBot="1" x14ac:dyDescent="0.3">
      <c r="I64" s="154" t="s">
        <v>4</v>
      </c>
      <c r="J64" s="360">
        <f>SUM(J4:J63)</f>
        <v>360</v>
      </c>
      <c r="K64" s="360">
        <f>SUM(K4:K63)</f>
        <v>108</v>
      </c>
      <c r="L64" s="360">
        <f>SUM(L4:L63)</f>
        <v>0</v>
      </c>
      <c r="M64" s="360">
        <f>SUM(M4:M63)</f>
        <v>16</v>
      </c>
      <c r="N64" s="368">
        <f>SUM(N4:N42)</f>
        <v>78</v>
      </c>
      <c r="O64" s="366">
        <f>N64/$E$3</f>
        <v>3.777239709443099E-2</v>
      </c>
      <c r="P64" s="361"/>
      <c r="Q64" s="361"/>
      <c r="R64" s="362"/>
    </row>
    <row r="66" spans="1:18" ht="15.75" thickBot="1" x14ac:dyDescent="0.3"/>
    <row r="67" spans="1:18" ht="26.25" thickBot="1" x14ac:dyDescent="0.3">
      <c r="A67" s="385" t="s">
        <v>184</v>
      </c>
      <c r="B67" s="385" t="s">
        <v>46</v>
      </c>
      <c r="C67" s="385" t="s">
        <v>180</v>
      </c>
      <c r="D67" s="385" t="s">
        <v>179</v>
      </c>
      <c r="E67" s="385" t="s">
        <v>181</v>
      </c>
      <c r="F67" s="385" t="s">
        <v>16</v>
      </c>
      <c r="G67" s="76" t="s">
        <v>1</v>
      </c>
      <c r="H67" s="76" t="s">
        <v>85</v>
      </c>
      <c r="I67" s="386" t="s">
        <v>23</v>
      </c>
      <c r="J67" s="76" t="s">
        <v>190</v>
      </c>
      <c r="K67" s="76" t="s">
        <v>250</v>
      </c>
      <c r="L67" s="387" t="s">
        <v>182</v>
      </c>
      <c r="M67" s="385" t="s">
        <v>183</v>
      </c>
      <c r="N67" s="385" t="s">
        <v>4</v>
      </c>
      <c r="O67" s="385" t="s">
        <v>2</v>
      </c>
      <c r="P67" s="385" t="s">
        <v>20</v>
      </c>
      <c r="Q67" s="385" t="s">
        <v>68</v>
      </c>
      <c r="R67" s="388" t="s">
        <v>6</v>
      </c>
    </row>
    <row r="68" spans="1:18" ht="15.75" thickBot="1" x14ac:dyDescent="0.3">
      <c r="A68" s="369">
        <v>1528058</v>
      </c>
      <c r="B68" s="369" t="s">
        <v>260</v>
      </c>
      <c r="C68" s="369" t="s">
        <v>261</v>
      </c>
      <c r="D68" s="369">
        <v>1920</v>
      </c>
      <c r="E68" s="369">
        <v>1952</v>
      </c>
      <c r="F68" s="370">
        <v>1841</v>
      </c>
      <c r="G68" s="371">
        <f>F68/E68</f>
        <v>0.94313524590163933</v>
      </c>
      <c r="H68" s="371">
        <f>K129/E68</f>
        <v>3.9959016393442626E-2</v>
      </c>
      <c r="I68" s="372">
        <v>45490</v>
      </c>
      <c r="J68" s="373"/>
      <c r="K68" s="373"/>
      <c r="L68" s="373"/>
      <c r="M68" s="374"/>
      <c r="N68" s="480"/>
      <c r="O68" s="375"/>
      <c r="P68" s="376" t="s">
        <v>185</v>
      </c>
      <c r="Q68" s="376"/>
      <c r="R68" s="346"/>
    </row>
    <row r="69" spans="1:18" x14ac:dyDescent="0.25">
      <c r="A69" s="139"/>
      <c r="B69" s="140"/>
      <c r="C69" s="140"/>
      <c r="D69" s="140"/>
      <c r="E69" s="140"/>
      <c r="F69" s="140"/>
      <c r="G69" s="141"/>
      <c r="H69" s="141"/>
      <c r="I69" s="190"/>
      <c r="J69" s="405">
        <v>10</v>
      </c>
      <c r="K69" s="405"/>
      <c r="L69" s="406"/>
      <c r="M69" s="472"/>
      <c r="N69" s="481">
        <f>SUM(J69,L69,M69)</f>
        <v>10</v>
      </c>
      <c r="O69" s="476">
        <f>N69/$E$68</f>
        <v>5.1229508196721308E-3</v>
      </c>
      <c r="P69" s="419" t="s">
        <v>187</v>
      </c>
      <c r="Q69" s="381">
        <v>211</v>
      </c>
      <c r="R69" s="347" t="s">
        <v>168</v>
      </c>
    </row>
    <row r="70" spans="1:18" x14ac:dyDescent="0.25">
      <c r="A70" s="142"/>
      <c r="B70" s="143"/>
      <c r="C70" s="143"/>
      <c r="D70" s="143"/>
      <c r="E70" s="143"/>
      <c r="F70" s="143"/>
      <c r="G70" s="144"/>
      <c r="H70" s="144"/>
      <c r="I70" s="191"/>
      <c r="J70" s="407">
        <v>2</v>
      </c>
      <c r="K70" s="407"/>
      <c r="L70" s="408"/>
      <c r="M70" s="473"/>
      <c r="N70" s="393">
        <f t="shared" ref="N70:N92" si="6">SUM(J70,L70,M70)</f>
        <v>2</v>
      </c>
      <c r="O70" s="477">
        <f>N70/$E$68</f>
        <v>1.0245901639344263E-3</v>
      </c>
      <c r="P70" s="419" t="s">
        <v>86</v>
      </c>
      <c r="Q70" s="382">
        <v>141</v>
      </c>
      <c r="R70" s="348"/>
    </row>
    <row r="71" spans="1:18" x14ac:dyDescent="0.25">
      <c r="A71" s="142"/>
      <c r="B71" s="143"/>
      <c r="C71" s="143"/>
      <c r="D71" s="143"/>
      <c r="E71" s="143"/>
      <c r="F71" s="143"/>
      <c r="G71" s="144"/>
      <c r="H71" s="144"/>
      <c r="I71" s="191"/>
      <c r="J71" s="407"/>
      <c r="K71" s="407"/>
      <c r="L71" s="409"/>
      <c r="M71" s="474"/>
      <c r="N71" s="393">
        <f t="shared" si="6"/>
        <v>0</v>
      </c>
      <c r="O71" s="477">
        <f t="shared" ref="O71:O91" si="7">N71/$E$68</f>
        <v>0</v>
      </c>
      <c r="P71" s="419" t="s">
        <v>7</v>
      </c>
      <c r="Q71" s="383">
        <v>140</v>
      </c>
      <c r="R71" s="348"/>
    </row>
    <row r="72" spans="1:18" x14ac:dyDescent="0.25">
      <c r="A72" s="142"/>
      <c r="B72" s="143"/>
      <c r="C72" s="143"/>
      <c r="D72" s="143"/>
      <c r="E72" s="143"/>
      <c r="F72" s="143"/>
      <c r="G72" s="144"/>
      <c r="H72" s="144"/>
      <c r="I72" s="191"/>
      <c r="J72" s="407"/>
      <c r="K72" s="407"/>
      <c r="L72" s="408"/>
      <c r="M72" s="474"/>
      <c r="N72" s="393">
        <f t="shared" si="6"/>
        <v>0</v>
      </c>
      <c r="O72" s="477">
        <f t="shared" si="7"/>
        <v>0</v>
      </c>
      <c r="P72" s="419" t="s">
        <v>8</v>
      </c>
      <c r="Q72" s="383">
        <v>210</v>
      </c>
      <c r="R72" s="348"/>
    </row>
    <row r="73" spans="1:18" x14ac:dyDescent="0.25">
      <c r="A73" s="142"/>
      <c r="B73" s="143"/>
      <c r="C73" s="143"/>
      <c r="D73" s="143"/>
      <c r="E73" s="143"/>
      <c r="F73" s="143"/>
      <c r="G73" s="144"/>
      <c r="H73" s="144"/>
      <c r="I73" s="191"/>
      <c r="J73" s="407">
        <v>32</v>
      </c>
      <c r="K73" s="407"/>
      <c r="L73" s="409"/>
      <c r="M73" s="474">
        <v>1</v>
      </c>
      <c r="N73" s="393">
        <f t="shared" si="6"/>
        <v>33</v>
      </c>
      <c r="O73" s="477">
        <f t="shared" si="7"/>
        <v>1.6905737704918034E-2</v>
      </c>
      <c r="P73" s="419" t="s">
        <v>15</v>
      </c>
      <c r="Q73" s="382">
        <v>355</v>
      </c>
      <c r="R73" s="348"/>
    </row>
    <row r="74" spans="1:18" x14ac:dyDescent="0.25">
      <c r="A74" s="142"/>
      <c r="B74" s="143"/>
      <c r="C74" s="143"/>
      <c r="D74" s="143"/>
      <c r="E74" s="143"/>
      <c r="F74" s="143"/>
      <c r="G74" s="144"/>
      <c r="H74" s="144"/>
      <c r="I74" s="191"/>
      <c r="J74" s="407"/>
      <c r="K74" s="407"/>
      <c r="L74" s="409"/>
      <c r="M74" s="474"/>
      <c r="N74" s="393">
        <f t="shared" si="6"/>
        <v>0</v>
      </c>
      <c r="O74" s="477">
        <f t="shared" si="7"/>
        <v>0</v>
      </c>
      <c r="P74" s="419" t="s">
        <v>194</v>
      </c>
      <c r="Q74" s="382">
        <v>738</v>
      </c>
      <c r="R74" s="348"/>
    </row>
    <row r="75" spans="1:18" x14ac:dyDescent="0.25">
      <c r="A75" s="142"/>
      <c r="B75" s="143"/>
      <c r="C75" s="143"/>
      <c r="D75" s="143"/>
      <c r="E75" s="143"/>
      <c r="F75" s="143"/>
      <c r="G75" s="144"/>
      <c r="H75" s="144"/>
      <c r="I75" s="191"/>
      <c r="J75" s="407"/>
      <c r="K75" s="407"/>
      <c r="L75" s="409"/>
      <c r="M75" s="474"/>
      <c r="N75" s="393">
        <f t="shared" si="6"/>
        <v>0</v>
      </c>
      <c r="O75" s="477">
        <f t="shared" si="7"/>
        <v>0</v>
      </c>
      <c r="P75" s="419" t="s">
        <v>87</v>
      </c>
      <c r="Q75" s="382">
        <v>737</v>
      </c>
      <c r="R75" s="348"/>
    </row>
    <row r="76" spans="1:18" x14ac:dyDescent="0.25">
      <c r="A76" s="142"/>
      <c r="B76" s="143"/>
      <c r="C76" s="143"/>
      <c r="D76" s="143"/>
      <c r="E76" s="143"/>
      <c r="F76" s="143"/>
      <c r="G76" s="144"/>
      <c r="H76" s="144"/>
      <c r="I76" s="191"/>
      <c r="J76" s="407">
        <v>2</v>
      </c>
      <c r="K76" s="407"/>
      <c r="L76" s="408"/>
      <c r="M76" s="474"/>
      <c r="N76" s="393">
        <f t="shared" si="6"/>
        <v>2</v>
      </c>
      <c r="O76" s="477">
        <f t="shared" si="7"/>
        <v>1.0245901639344263E-3</v>
      </c>
      <c r="P76" s="419" t="s">
        <v>195</v>
      </c>
      <c r="Q76" s="382">
        <v>736</v>
      </c>
      <c r="R76" s="348"/>
    </row>
    <row r="77" spans="1:18" x14ac:dyDescent="0.25">
      <c r="A77" s="142"/>
      <c r="B77" s="143"/>
      <c r="C77" s="143"/>
      <c r="D77" s="143"/>
      <c r="E77" s="143"/>
      <c r="F77" s="143"/>
      <c r="G77" s="144"/>
      <c r="H77" s="144"/>
      <c r="I77" s="191"/>
      <c r="J77" s="407">
        <v>1</v>
      </c>
      <c r="K77" s="407"/>
      <c r="L77" s="409"/>
      <c r="M77" s="474">
        <v>1</v>
      </c>
      <c r="N77" s="393">
        <f t="shared" si="6"/>
        <v>2</v>
      </c>
      <c r="O77" s="477">
        <f t="shared" si="7"/>
        <v>1.0245901639344263E-3</v>
      </c>
      <c r="P77" s="419" t="s">
        <v>3</v>
      </c>
      <c r="Q77" s="382">
        <v>44</v>
      </c>
      <c r="R77" s="348"/>
    </row>
    <row r="78" spans="1:18" x14ac:dyDescent="0.25">
      <c r="A78" s="142"/>
      <c r="B78" s="143"/>
      <c r="C78" s="143"/>
      <c r="D78" s="143"/>
      <c r="E78" s="143"/>
      <c r="F78" s="143"/>
      <c r="G78" s="144"/>
      <c r="H78" s="144"/>
      <c r="I78" s="191"/>
      <c r="J78" s="407"/>
      <c r="K78" s="407"/>
      <c r="L78" s="409"/>
      <c r="M78" s="474"/>
      <c r="N78" s="393">
        <f t="shared" si="6"/>
        <v>0</v>
      </c>
      <c r="O78" s="477">
        <f t="shared" si="7"/>
        <v>0</v>
      </c>
      <c r="P78" s="419" t="s">
        <v>167</v>
      </c>
      <c r="Q78" s="382">
        <v>119</v>
      </c>
      <c r="R78" s="348"/>
    </row>
    <row r="79" spans="1:18" x14ac:dyDescent="0.25">
      <c r="A79" s="142"/>
      <c r="B79" s="143"/>
      <c r="C79" s="143"/>
      <c r="D79" s="143"/>
      <c r="E79" s="143"/>
      <c r="F79" s="143"/>
      <c r="G79" s="144"/>
      <c r="H79" s="144"/>
      <c r="I79" s="191"/>
      <c r="J79" s="407"/>
      <c r="K79" s="470"/>
      <c r="L79" s="410"/>
      <c r="M79" s="434"/>
      <c r="N79" s="393">
        <f t="shared" si="6"/>
        <v>0</v>
      </c>
      <c r="O79" s="477">
        <f t="shared" si="7"/>
        <v>0</v>
      </c>
      <c r="P79" s="419" t="s">
        <v>264</v>
      </c>
      <c r="Q79" s="382">
        <v>739</v>
      </c>
      <c r="R79" s="348"/>
    </row>
    <row r="80" spans="1:18" x14ac:dyDescent="0.25">
      <c r="A80" s="142"/>
      <c r="B80" s="143"/>
      <c r="C80" s="143"/>
      <c r="D80" s="143"/>
      <c r="E80" s="143"/>
      <c r="F80" s="143"/>
      <c r="G80" s="144"/>
      <c r="H80" s="144"/>
      <c r="I80" s="191"/>
      <c r="J80" s="407"/>
      <c r="K80" s="407"/>
      <c r="L80" s="408"/>
      <c r="M80" s="474"/>
      <c r="N80" s="393">
        <f t="shared" si="6"/>
        <v>0</v>
      </c>
      <c r="O80" s="477">
        <f t="shared" si="7"/>
        <v>0</v>
      </c>
      <c r="P80" s="419" t="s">
        <v>106</v>
      </c>
      <c r="Q80" s="382">
        <v>117</v>
      </c>
      <c r="R80" s="348"/>
    </row>
    <row r="81" spans="1:18" x14ac:dyDescent="0.25">
      <c r="A81" s="142"/>
      <c r="B81" s="143"/>
      <c r="C81" s="143"/>
      <c r="D81" s="143"/>
      <c r="E81" s="143"/>
      <c r="F81" s="143"/>
      <c r="G81" s="144"/>
      <c r="H81" s="144"/>
      <c r="I81" s="191"/>
      <c r="J81" s="407">
        <v>2</v>
      </c>
      <c r="K81" s="407"/>
      <c r="L81" s="408"/>
      <c r="M81" s="474">
        <v>5</v>
      </c>
      <c r="N81" s="393">
        <f t="shared" si="6"/>
        <v>7</v>
      </c>
      <c r="O81" s="477">
        <f t="shared" si="7"/>
        <v>3.5860655737704919E-3</v>
      </c>
      <c r="P81" s="419" t="s">
        <v>210</v>
      </c>
      <c r="Q81" s="382">
        <v>176</v>
      </c>
      <c r="R81" s="348"/>
    </row>
    <row r="82" spans="1:18" x14ac:dyDescent="0.25">
      <c r="A82" s="142"/>
      <c r="B82" s="143"/>
      <c r="C82" s="143"/>
      <c r="D82" s="143"/>
      <c r="E82" s="143"/>
      <c r="F82" s="143"/>
      <c r="G82" s="144"/>
      <c r="H82" s="144"/>
      <c r="I82" s="191"/>
      <c r="J82" s="407"/>
      <c r="K82" s="407"/>
      <c r="L82" s="408"/>
      <c r="M82" s="474"/>
      <c r="N82" s="393">
        <f t="shared" si="6"/>
        <v>0</v>
      </c>
      <c r="O82" s="477">
        <f t="shared" si="7"/>
        <v>0</v>
      </c>
      <c r="P82" s="419" t="s">
        <v>188</v>
      </c>
      <c r="Q82" s="382">
        <v>705</v>
      </c>
      <c r="R82" s="348"/>
    </row>
    <row r="83" spans="1:18" x14ac:dyDescent="0.25">
      <c r="A83" s="142"/>
      <c r="B83" s="143"/>
      <c r="C83" s="143"/>
      <c r="D83" s="143"/>
      <c r="E83" s="143"/>
      <c r="F83" s="143"/>
      <c r="G83" s="144"/>
      <c r="H83" s="144"/>
      <c r="I83" s="191"/>
      <c r="J83" s="407">
        <v>2</v>
      </c>
      <c r="K83" s="407"/>
      <c r="L83" s="408"/>
      <c r="M83" s="474"/>
      <c r="N83" s="393">
        <f t="shared" si="6"/>
        <v>2</v>
      </c>
      <c r="O83" s="477">
        <f t="shared" si="7"/>
        <v>1.0245901639344263E-3</v>
      </c>
      <c r="P83" s="419" t="s">
        <v>26</v>
      </c>
      <c r="Q83" s="382">
        <v>58</v>
      </c>
      <c r="R83" s="348"/>
    </row>
    <row r="84" spans="1:18" x14ac:dyDescent="0.25">
      <c r="A84" s="142"/>
      <c r="B84" s="143"/>
      <c r="C84" s="143"/>
      <c r="D84" s="143"/>
      <c r="E84" s="143"/>
      <c r="F84" s="143"/>
      <c r="G84" s="144"/>
      <c r="H84" s="144"/>
      <c r="I84" s="191"/>
      <c r="J84" s="407"/>
      <c r="K84" s="407"/>
      <c r="L84" s="408"/>
      <c r="M84" s="474"/>
      <c r="N84" s="393">
        <f t="shared" si="6"/>
        <v>0</v>
      </c>
      <c r="O84" s="477">
        <f t="shared" si="7"/>
        <v>0</v>
      </c>
      <c r="P84" s="419" t="s">
        <v>265</v>
      </c>
      <c r="Q84" s="382">
        <v>65</v>
      </c>
      <c r="R84" s="348"/>
    </row>
    <row r="85" spans="1:18" x14ac:dyDescent="0.25">
      <c r="A85" s="142"/>
      <c r="B85" s="143"/>
      <c r="C85" s="143"/>
      <c r="D85" s="143"/>
      <c r="E85" s="143"/>
      <c r="F85" s="143"/>
      <c r="G85" s="144"/>
      <c r="H85" s="144"/>
      <c r="I85" s="191"/>
      <c r="J85" s="407">
        <v>1</v>
      </c>
      <c r="K85" s="407"/>
      <c r="L85" s="408"/>
      <c r="M85" s="474"/>
      <c r="N85" s="393">
        <f t="shared" si="6"/>
        <v>1</v>
      </c>
      <c r="O85" s="477">
        <f t="shared" si="7"/>
        <v>5.1229508196721314E-4</v>
      </c>
      <c r="P85" s="419" t="s">
        <v>236</v>
      </c>
      <c r="Q85" s="382">
        <v>65</v>
      </c>
      <c r="R85" s="348"/>
    </row>
    <row r="86" spans="1:18" x14ac:dyDescent="0.25">
      <c r="A86" s="142"/>
      <c r="B86" s="143"/>
      <c r="C86" s="143"/>
      <c r="D86" s="143"/>
      <c r="E86" s="143"/>
      <c r="F86" s="143"/>
      <c r="G86" s="144"/>
      <c r="H86" s="144"/>
      <c r="I86" s="191"/>
      <c r="J86" s="407"/>
      <c r="K86" s="471"/>
      <c r="L86" s="412"/>
      <c r="M86" s="475"/>
      <c r="N86" s="393">
        <f t="shared" si="6"/>
        <v>0</v>
      </c>
      <c r="O86" s="477">
        <f t="shared" si="7"/>
        <v>0</v>
      </c>
      <c r="P86" s="441" t="s">
        <v>196</v>
      </c>
      <c r="Q86" s="442">
        <v>265</v>
      </c>
      <c r="R86" s="348"/>
    </row>
    <row r="87" spans="1:18" x14ac:dyDescent="0.25">
      <c r="A87" s="142"/>
      <c r="B87" s="143"/>
      <c r="C87" s="143"/>
      <c r="D87" s="143" t="s">
        <v>98</v>
      </c>
      <c r="E87" s="143"/>
      <c r="F87" s="143"/>
      <c r="G87" s="144"/>
      <c r="H87" s="144"/>
      <c r="I87" s="191"/>
      <c r="J87" s="407">
        <v>1</v>
      </c>
      <c r="K87" s="407"/>
      <c r="L87" s="408"/>
      <c r="M87" s="474"/>
      <c r="N87" s="393">
        <f t="shared" si="6"/>
        <v>1</v>
      </c>
      <c r="O87" s="477">
        <f t="shared" si="7"/>
        <v>5.1229508196721314E-4</v>
      </c>
      <c r="P87" s="419" t="s">
        <v>70</v>
      </c>
      <c r="Q87" s="382">
        <v>388</v>
      </c>
      <c r="R87" s="348"/>
    </row>
    <row r="88" spans="1:18" x14ac:dyDescent="0.25">
      <c r="A88" s="142"/>
      <c r="B88" s="143"/>
      <c r="C88" s="143"/>
      <c r="D88" s="143"/>
      <c r="E88" s="143"/>
      <c r="F88" s="143"/>
      <c r="G88" s="144"/>
      <c r="H88" s="144"/>
      <c r="I88" s="191"/>
      <c r="J88" s="407"/>
      <c r="K88" s="407"/>
      <c r="L88" s="408"/>
      <c r="M88" s="474"/>
      <c r="N88" s="393">
        <f t="shared" si="6"/>
        <v>0</v>
      </c>
      <c r="O88" s="477">
        <f t="shared" si="7"/>
        <v>0</v>
      </c>
      <c r="P88" s="419" t="s">
        <v>84</v>
      </c>
      <c r="Q88" s="382">
        <v>43</v>
      </c>
      <c r="R88" s="348"/>
    </row>
    <row r="89" spans="1:18" x14ac:dyDescent="0.25">
      <c r="A89" s="142"/>
      <c r="B89" s="143"/>
      <c r="C89" s="143"/>
      <c r="D89" s="143"/>
      <c r="E89" s="143"/>
      <c r="F89" s="143"/>
      <c r="G89" s="144"/>
      <c r="H89" s="144"/>
      <c r="I89" s="191"/>
      <c r="J89" s="399"/>
      <c r="K89" s="399"/>
      <c r="L89" s="408"/>
      <c r="M89" s="474"/>
      <c r="N89" s="393">
        <f t="shared" si="6"/>
        <v>0</v>
      </c>
      <c r="O89" s="477">
        <f t="shared" si="7"/>
        <v>0</v>
      </c>
      <c r="P89" s="419" t="s">
        <v>25</v>
      </c>
      <c r="Q89" s="382">
        <v>164</v>
      </c>
      <c r="R89" s="348"/>
    </row>
    <row r="90" spans="1:18" x14ac:dyDescent="0.25">
      <c r="A90" s="142"/>
      <c r="B90" s="143"/>
      <c r="C90" s="143"/>
      <c r="D90" s="143"/>
      <c r="E90" s="143"/>
      <c r="F90" s="143"/>
      <c r="G90" s="144"/>
      <c r="H90" s="144"/>
      <c r="I90" s="191"/>
      <c r="J90" s="399">
        <v>1</v>
      </c>
      <c r="K90" s="399"/>
      <c r="L90" s="408"/>
      <c r="M90" s="474"/>
      <c r="N90" s="393">
        <f t="shared" si="6"/>
        <v>1</v>
      </c>
      <c r="O90" s="477">
        <f t="shared" si="7"/>
        <v>5.1229508196721314E-4</v>
      </c>
      <c r="P90" s="419" t="s">
        <v>237</v>
      </c>
      <c r="Q90" s="378">
        <v>46</v>
      </c>
      <c r="R90" s="348"/>
    </row>
    <row r="91" spans="1:18" x14ac:dyDescent="0.25">
      <c r="A91" s="142"/>
      <c r="B91" s="143"/>
      <c r="C91" s="143"/>
      <c r="D91" s="143"/>
      <c r="E91" s="143"/>
      <c r="F91" s="143"/>
      <c r="G91" s="144"/>
      <c r="H91" s="144"/>
      <c r="I91" s="191"/>
      <c r="J91" s="363"/>
      <c r="K91" s="363"/>
      <c r="L91" s="408"/>
      <c r="M91" s="474"/>
      <c r="N91" s="393">
        <f t="shared" si="6"/>
        <v>0</v>
      </c>
      <c r="O91" s="477">
        <f t="shared" si="7"/>
        <v>0</v>
      </c>
      <c r="P91" s="419" t="s">
        <v>268</v>
      </c>
      <c r="Q91" s="414">
        <v>159</v>
      </c>
      <c r="R91" s="348"/>
    </row>
    <row r="92" spans="1:18" ht="15.75" thickBot="1" x14ac:dyDescent="0.3">
      <c r="A92" s="142"/>
      <c r="B92" s="143"/>
      <c r="C92" s="143"/>
      <c r="D92" s="143"/>
      <c r="E92" s="143"/>
      <c r="F92" s="143"/>
      <c r="G92" s="144"/>
      <c r="H92" s="144"/>
      <c r="I92" s="191"/>
      <c r="J92" s="415">
        <v>1</v>
      </c>
      <c r="K92" s="415"/>
      <c r="L92" s="409"/>
      <c r="M92" s="474"/>
      <c r="N92" s="482">
        <f t="shared" si="6"/>
        <v>1</v>
      </c>
      <c r="O92" s="479">
        <f>N92/$E$68</f>
        <v>5.1229508196721314E-4</v>
      </c>
      <c r="P92" s="419" t="s">
        <v>205</v>
      </c>
      <c r="Q92" s="384">
        <v>159</v>
      </c>
      <c r="R92" s="348"/>
    </row>
    <row r="93" spans="1:18" ht="15.75" thickBot="1" x14ac:dyDescent="0.3">
      <c r="A93" s="142"/>
      <c r="B93" s="143"/>
      <c r="C93" s="143"/>
      <c r="D93" s="143"/>
      <c r="E93" s="143"/>
      <c r="F93" s="143"/>
      <c r="G93" s="144"/>
      <c r="H93" s="144"/>
      <c r="I93" s="192"/>
      <c r="J93" s="349"/>
      <c r="K93" s="349"/>
      <c r="L93" s="349"/>
      <c r="M93" s="350"/>
      <c r="N93" s="355"/>
      <c r="O93" s="351"/>
      <c r="P93" s="380" t="s">
        <v>186</v>
      </c>
      <c r="Q93" s="356"/>
      <c r="R93" s="348"/>
    </row>
    <row r="94" spans="1:18" x14ac:dyDescent="0.25">
      <c r="A94" s="142"/>
      <c r="B94" s="143"/>
      <c r="C94" s="143"/>
      <c r="D94" s="143"/>
      <c r="E94" s="143"/>
      <c r="F94" s="143"/>
      <c r="G94" s="144"/>
      <c r="H94" s="144"/>
      <c r="I94" s="191"/>
      <c r="J94" s="396"/>
      <c r="K94" s="396">
        <v>9</v>
      </c>
      <c r="L94" s="416"/>
      <c r="M94" s="483"/>
      <c r="N94" s="481">
        <f>SUM(J94,L94, M94)</f>
        <v>0</v>
      </c>
      <c r="O94" s="485">
        <f>K94/$E$68</f>
        <v>4.6106557377049179E-3</v>
      </c>
      <c r="P94" s="417" t="s">
        <v>90</v>
      </c>
      <c r="Q94" s="390">
        <v>159</v>
      </c>
      <c r="R94" s="418"/>
    </row>
    <row r="95" spans="1:18" x14ac:dyDescent="0.25">
      <c r="A95" s="142"/>
      <c r="B95" s="143"/>
      <c r="C95" s="143"/>
      <c r="D95" s="143"/>
      <c r="E95" s="143"/>
      <c r="F95" s="143"/>
      <c r="G95" s="144"/>
      <c r="H95" s="144"/>
      <c r="I95" s="191"/>
      <c r="J95" s="397"/>
      <c r="K95" s="397">
        <v>13</v>
      </c>
      <c r="L95" s="399"/>
      <c r="M95" s="484"/>
      <c r="N95" s="393">
        <f t="shared" ref="N95:N107" si="8">SUM(J95,L95, M95)</f>
        <v>0</v>
      </c>
      <c r="O95" s="478">
        <f>K95/$E$68</f>
        <v>6.6598360655737701E-3</v>
      </c>
      <c r="P95" s="419" t="s">
        <v>9</v>
      </c>
      <c r="Q95" s="391">
        <v>331</v>
      </c>
      <c r="R95" s="418"/>
    </row>
    <row r="96" spans="1:18" x14ac:dyDescent="0.25">
      <c r="A96" s="142"/>
      <c r="B96" s="143"/>
      <c r="C96" s="143"/>
      <c r="D96" s="143"/>
      <c r="E96" s="143"/>
      <c r="F96" s="143"/>
      <c r="G96" s="144"/>
      <c r="H96" s="144"/>
      <c r="I96" s="191"/>
      <c r="J96" s="398"/>
      <c r="K96" s="398">
        <v>2</v>
      </c>
      <c r="L96" s="399"/>
      <c r="M96" s="484">
        <v>2</v>
      </c>
      <c r="N96" s="393">
        <f t="shared" si="8"/>
        <v>2</v>
      </c>
      <c r="O96" s="478">
        <f t="shared" ref="O96:O106" si="9">K96/$E$68</f>
        <v>1.0245901639344263E-3</v>
      </c>
      <c r="P96" s="420" t="s">
        <v>93</v>
      </c>
      <c r="Q96" s="378">
        <v>265</v>
      </c>
      <c r="R96" s="418"/>
    </row>
    <row r="97" spans="1:18" x14ac:dyDescent="0.25">
      <c r="A97" s="142"/>
      <c r="B97" s="143"/>
      <c r="C97" s="143"/>
      <c r="D97" s="143"/>
      <c r="E97" s="143"/>
      <c r="F97" s="143"/>
      <c r="G97" s="144"/>
      <c r="H97" s="144"/>
      <c r="I97" s="191"/>
      <c r="J97" s="397"/>
      <c r="K97" s="397">
        <v>3</v>
      </c>
      <c r="L97" s="399"/>
      <c r="M97" s="484"/>
      <c r="N97" s="393">
        <f t="shared" si="8"/>
        <v>0</v>
      </c>
      <c r="O97" s="478">
        <f t="shared" si="9"/>
        <v>1.5368852459016393E-3</v>
      </c>
      <c r="P97" s="419" t="s">
        <v>91</v>
      </c>
      <c r="Q97" s="391">
        <v>159</v>
      </c>
      <c r="R97" s="421" t="s">
        <v>303</v>
      </c>
    </row>
    <row r="98" spans="1:18" x14ac:dyDescent="0.25">
      <c r="A98" s="142"/>
      <c r="B98" s="143"/>
      <c r="C98" s="143"/>
      <c r="D98" s="143"/>
      <c r="E98" s="143"/>
      <c r="F98" s="143"/>
      <c r="G98" s="144"/>
      <c r="H98" s="144"/>
      <c r="I98" s="191"/>
      <c r="J98" s="397"/>
      <c r="K98" s="397"/>
      <c r="L98" s="399"/>
      <c r="M98" s="484"/>
      <c r="N98" s="393">
        <f t="shared" si="8"/>
        <v>0</v>
      </c>
      <c r="O98" s="478">
        <f t="shared" si="9"/>
        <v>0</v>
      </c>
      <c r="P98" s="422" t="s">
        <v>197</v>
      </c>
      <c r="Q98" s="391">
        <v>73</v>
      </c>
      <c r="R98" s="421"/>
    </row>
    <row r="99" spans="1:18" x14ac:dyDescent="0.25">
      <c r="A99" s="142"/>
      <c r="B99" s="143"/>
      <c r="C99" s="143"/>
      <c r="D99" s="143"/>
      <c r="E99" s="143"/>
      <c r="F99" s="143"/>
      <c r="G99" s="144"/>
      <c r="H99" s="144"/>
      <c r="I99" s="191"/>
      <c r="J99" s="397"/>
      <c r="K99" s="397"/>
      <c r="L99" s="399"/>
      <c r="M99" s="484">
        <v>12</v>
      </c>
      <c r="N99" s="393">
        <f t="shared" si="8"/>
        <v>12</v>
      </c>
      <c r="O99" s="478">
        <f t="shared" si="9"/>
        <v>0</v>
      </c>
      <c r="P99" s="422" t="s">
        <v>34</v>
      </c>
      <c r="Q99" s="391">
        <v>65</v>
      </c>
      <c r="R99" s="421"/>
    </row>
    <row r="100" spans="1:18" x14ac:dyDescent="0.25">
      <c r="A100" s="142"/>
      <c r="B100" s="143"/>
      <c r="C100" s="143"/>
      <c r="D100" s="143"/>
      <c r="E100" s="143"/>
      <c r="F100" s="143"/>
      <c r="G100" s="144"/>
      <c r="H100" s="144"/>
      <c r="I100" s="191"/>
      <c r="J100" s="397"/>
      <c r="K100" s="397"/>
      <c r="L100" s="399"/>
      <c r="M100" s="484"/>
      <c r="N100" s="393">
        <f t="shared" si="8"/>
        <v>0</v>
      </c>
      <c r="O100" s="478">
        <f t="shared" si="9"/>
        <v>0</v>
      </c>
      <c r="P100" s="420" t="s">
        <v>79</v>
      </c>
      <c r="Q100" s="378">
        <v>46</v>
      </c>
      <c r="R100" s="418"/>
    </row>
    <row r="101" spans="1:18" x14ac:dyDescent="0.25">
      <c r="A101" s="142"/>
      <c r="B101" s="143"/>
      <c r="C101" s="143"/>
      <c r="D101" s="143"/>
      <c r="E101" s="143"/>
      <c r="F101" s="143"/>
      <c r="G101" s="144"/>
      <c r="H101" s="144"/>
      <c r="I101" s="191"/>
      <c r="J101" s="398"/>
      <c r="K101" s="398">
        <v>27</v>
      </c>
      <c r="L101" s="399"/>
      <c r="M101" s="484"/>
      <c r="N101" s="393">
        <f t="shared" si="8"/>
        <v>0</v>
      </c>
      <c r="O101" s="478">
        <f t="shared" si="9"/>
        <v>1.3831967213114754E-2</v>
      </c>
      <c r="P101" s="419" t="s">
        <v>92</v>
      </c>
      <c r="Q101" s="391">
        <v>159</v>
      </c>
      <c r="R101" s="421"/>
    </row>
    <row r="102" spans="1:18" x14ac:dyDescent="0.25">
      <c r="A102" s="142"/>
      <c r="B102" s="143"/>
      <c r="C102" s="143"/>
      <c r="D102" s="143"/>
      <c r="E102" s="143"/>
      <c r="F102" s="143"/>
      <c r="G102" s="144"/>
      <c r="H102" s="144"/>
      <c r="I102" s="191"/>
      <c r="J102" s="397"/>
      <c r="K102" s="397">
        <v>3</v>
      </c>
      <c r="L102" s="399"/>
      <c r="M102" s="484"/>
      <c r="N102" s="393">
        <f t="shared" si="8"/>
        <v>0</v>
      </c>
      <c r="O102" s="478">
        <f t="shared" si="9"/>
        <v>1.5368852459016393E-3</v>
      </c>
      <c r="P102" s="419" t="s">
        <v>89</v>
      </c>
      <c r="Q102" s="391">
        <v>159</v>
      </c>
      <c r="R102" s="418"/>
    </row>
    <row r="103" spans="1:18" x14ac:dyDescent="0.25">
      <c r="A103" s="142"/>
      <c r="B103" s="143"/>
      <c r="C103" s="143"/>
      <c r="D103" s="143"/>
      <c r="E103" s="143"/>
      <c r="F103" s="143"/>
      <c r="G103" s="144"/>
      <c r="H103" s="144"/>
      <c r="I103" s="191"/>
      <c r="J103" s="397"/>
      <c r="K103" s="397">
        <v>6</v>
      </c>
      <c r="L103" s="399"/>
      <c r="M103" s="484">
        <v>3</v>
      </c>
      <c r="N103" s="393">
        <f>SUM(J103,L103, M103)</f>
        <v>3</v>
      </c>
      <c r="O103" s="478">
        <f t="shared" si="9"/>
        <v>3.0737704918032786E-3</v>
      </c>
      <c r="P103" s="423" t="s">
        <v>107</v>
      </c>
      <c r="Q103" s="382">
        <v>624</v>
      </c>
      <c r="R103" s="418"/>
    </row>
    <row r="104" spans="1:18" x14ac:dyDescent="0.25">
      <c r="A104" s="142"/>
      <c r="B104" s="143"/>
      <c r="C104" s="143"/>
      <c r="D104" s="143"/>
      <c r="E104" s="143"/>
      <c r="F104" s="143"/>
      <c r="G104" s="144"/>
      <c r="H104" s="144"/>
      <c r="I104" s="191"/>
      <c r="J104" s="397"/>
      <c r="K104" s="397"/>
      <c r="L104" s="399"/>
      <c r="M104" s="484"/>
      <c r="N104" s="393">
        <f t="shared" si="8"/>
        <v>0</v>
      </c>
      <c r="O104" s="478">
        <f t="shared" si="9"/>
        <v>0</v>
      </c>
      <c r="P104" s="423" t="s">
        <v>198</v>
      </c>
      <c r="Q104" s="382">
        <v>159</v>
      </c>
      <c r="R104" s="418"/>
    </row>
    <row r="105" spans="1:18" x14ac:dyDescent="0.25">
      <c r="A105" s="142"/>
      <c r="B105" s="143"/>
      <c r="C105" s="143"/>
      <c r="D105" s="143"/>
      <c r="E105" s="143"/>
      <c r="F105" s="143"/>
      <c r="G105" s="144"/>
      <c r="H105" s="144"/>
      <c r="I105" s="191"/>
      <c r="J105" s="397"/>
      <c r="K105" s="397"/>
      <c r="L105" s="399"/>
      <c r="M105" s="484"/>
      <c r="N105" s="393">
        <f t="shared" si="8"/>
        <v>0</v>
      </c>
      <c r="O105" s="478">
        <f t="shared" si="9"/>
        <v>0</v>
      </c>
      <c r="P105" s="423" t="s">
        <v>199</v>
      </c>
      <c r="Q105" s="382">
        <v>159</v>
      </c>
      <c r="R105" s="348" t="s">
        <v>308</v>
      </c>
    </row>
    <row r="106" spans="1:18" x14ac:dyDescent="0.25">
      <c r="A106" s="142"/>
      <c r="B106" s="143"/>
      <c r="C106" s="143"/>
      <c r="D106" s="143"/>
      <c r="E106" s="143"/>
      <c r="F106" s="143"/>
      <c r="G106" s="144"/>
      <c r="H106" s="144"/>
      <c r="I106" s="191"/>
      <c r="J106" s="397"/>
      <c r="K106" s="397">
        <v>14</v>
      </c>
      <c r="L106" s="399"/>
      <c r="M106" s="484"/>
      <c r="N106" s="393">
        <f t="shared" si="8"/>
        <v>0</v>
      </c>
      <c r="O106" s="478">
        <f t="shared" si="9"/>
        <v>7.1721311475409838E-3</v>
      </c>
      <c r="P106" s="423" t="s">
        <v>304</v>
      </c>
      <c r="Q106" s="382">
        <v>159</v>
      </c>
      <c r="R106" s="348" t="s">
        <v>307</v>
      </c>
    </row>
    <row r="107" spans="1:18" ht="15.75" thickBot="1" x14ac:dyDescent="0.3">
      <c r="A107" s="142"/>
      <c r="B107" s="143"/>
      <c r="C107" s="143"/>
      <c r="D107" s="143"/>
      <c r="E107" s="143"/>
      <c r="F107" s="143"/>
      <c r="G107" s="144"/>
      <c r="H107" s="144"/>
      <c r="I107" s="191"/>
      <c r="J107" s="424"/>
      <c r="K107" s="424">
        <v>1</v>
      </c>
      <c r="L107" s="415"/>
      <c r="M107" s="425"/>
      <c r="N107" s="482">
        <f t="shared" si="8"/>
        <v>0</v>
      </c>
      <c r="O107" s="486">
        <f>K107/$E$68</f>
        <v>5.1229508196721314E-4</v>
      </c>
      <c r="P107" s="426" t="s">
        <v>167</v>
      </c>
      <c r="Q107" s="392">
        <v>159</v>
      </c>
      <c r="R107" s="418" t="s">
        <v>232</v>
      </c>
    </row>
    <row r="108" spans="1:18" ht="15.75" thickBot="1" x14ac:dyDescent="0.3">
      <c r="A108" s="142"/>
      <c r="B108" s="143"/>
      <c r="C108" s="143"/>
      <c r="D108" s="143"/>
      <c r="E108" s="143"/>
      <c r="F108" s="143"/>
      <c r="G108" s="144"/>
      <c r="H108" s="144"/>
      <c r="I108" s="192"/>
      <c r="J108" s="353"/>
      <c r="K108" s="353"/>
      <c r="L108" s="353"/>
      <c r="M108" s="354"/>
      <c r="N108" s="355"/>
      <c r="O108" s="355"/>
      <c r="P108" s="427" t="s">
        <v>189</v>
      </c>
      <c r="Q108" s="356"/>
      <c r="R108" s="348"/>
    </row>
    <row r="109" spans="1:18" x14ac:dyDescent="0.25">
      <c r="A109" s="142"/>
      <c r="B109" s="143"/>
      <c r="C109" s="143"/>
      <c r="D109" s="143"/>
      <c r="E109" s="143"/>
      <c r="F109" s="143"/>
      <c r="G109" s="144"/>
      <c r="H109" s="144"/>
      <c r="I109" s="192"/>
      <c r="J109" s="428">
        <v>3</v>
      </c>
      <c r="K109" s="428"/>
      <c r="L109" s="429"/>
      <c r="M109" s="430"/>
      <c r="N109" s="431">
        <f>SUM(J109,L109,M109)</f>
        <v>3</v>
      </c>
      <c r="O109" s="432">
        <f>N109/$E$68</f>
        <v>1.5368852459016393E-3</v>
      </c>
      <c r="P109" s="433" t="s">
        <v>70</v>
      </c>
      <c r="Q109" s="377">
        <v>388</v>
      </c>
      <c r="R109" s="348"/>
    </row>
    <row r="110" spans="1:18" x14ac:dyDescent="0.25">
      <c r="A110" s="142"/>
      <c r="B110" s="143"/>
      <c r="C110" s="143"/>
      <c r="D110" s="143"/>
      <c r="E110" s="143"/>
      <c r="F110" s="143"/>
      <c r="G110" s="144"/>
      <c r="H110" s="144"/>
      <c r="I110" s="192"/>
      <c r="J110" s="352">
        <v>3</v>
      </c>
      <c r="K110" s="357"/>
      <c r="L110" s="364"/>
      <c r="M110" s="434"/>
      <c r="N110" s="435">
        <v>0</v>
      </c>
      <c r="O110" s="436">
        <f>N110/$E$68</f>
        <v>0</v>
      </c>
      <c r="P110" s="413" t="s">
        <v>164</v>
      </c>
      <c r="Q110" s="378">
        <v>388</v>
      </c>
      <c r="R110" s="348"/>
    </row>
    <row r="111" spans="1:18" x14ac:dyDescent="0.25">
      <c r="A111" s="142"/>
      <c r="B111" s="143"/>
      <c r="C111" s="143"/>
      <c r="D111" s="143"/>
      <c r="E111" s="143"/>
      <c r="F111" s="143"/>
      <c r="G111" s="144"/>
      <c r="H111" s="144"/>
      <c r="I111" s="192"/>
      <c r="J111" s="352">
        <v>23</v>
      </c>
      <c r="K111" s="357"/>
      <c r="L111" s="364"/>
      <c r="M111" s="434"/>
      <c r="N111" s="435">
        <v>0</v>
      </c>
      <c r="O111" s="436">
        <f t="shared" ref="O111:O127" si="10">N111/$E$68</f>
        <v>0</v>
      </c>
      <c r="P111" s="413" t="s">
        <v>114</v>
      </c>
      <c r="Q111" s="378">
        <v>735</v>
      </c>
      <c r="R111" s="348"/>
    </row>
    <row r="112" spans="1:18" x14ac:dyDescent="0.25">
      <c r="A112" s="142"/>
      <c r="B112" s="143"/>
      <c r="C112" s="143"/>
      <c r="D112" s="143"/>
      <c r="E112" s="143"/>
      <c r="F112" s="143"/>
      <c r="G112" s="144"/>
      <c r="H112" s="144"/>
      <c r="I112" s="192"/>
      <c r="J112" s="352"/>
      <c r="K112" s="357"/>
      <c r="L112" s="364"/>
      <c r="M112" s="434"/>
      <c r="N112" s="435">
        <f t="shared" ref="N112:N113" si="11">SUM(J112,L112,M112)</f>
        <v>0</v>
      </c>
      <c r="O112" s="436">
        <f t="shared" si="10"/>
        <v>0</v>
      </c>
      <c r="P112" s="413" t="s">
        <v>262</v>
      </c>
      <c r="Q112" s="378">
        <v>46</v>
      </c>
      <c r="R112" s="348"/>
    </row>
    <row r="113" spans="1:18" x14ac:dyDescent="0.25">
      <c r="A113" s="142"/>
      <c r="B113" s="143"/>
      <c r="C113" s="143"/>
      <c r="D113" s="143"/>
      <c r="E113" s="143"/>
      <c r="F113" s="143"/>
      <c r="G113" s="144"/>
      <c r="H113" s="144"/>
      <c r="I113" s="145"/>
      <c r="J113" s="352"/>
      <c r="K113" s="357"/>
      <c r="L113" s="364"/>
      <c r="M113" s="434"/>
      <c r="N113" s="435">
        <f t="shared" si="11"/>
        <v>0</v>
      </c>
      <c r="O113" s="436">
        <f t="shared" si="10"/>
        <v>0</v>
      </c>
      <c r="P113" s="413" t="s">
        <v>166</v>
      </c>
      <c r="Q113" s="378">
        <v>736</v>
      </c>
      <c r="R113" s="348"/>
    </row>
    <row r="114" spans="1:18" x14ac:dyDescent="0.25">
      <c r="A114" s="142"/>
      <c r="B114" s="143"/>
      <c r="C114" s="143"/>
      <c r="D114" s="143"/>
      <c r="E114" s="143"/>
      <c r="F114" s="143"/>
      <c r="G114" s="144"/>
      <c r="H114" s="144"/>
      <c r="I114" s="145"/>
      <c r="J114" s="357"/>
      <c r="K114" s="357"/>
      <c r="L114" s="364"/>
      <c r="M114" s="434"/>
      <c r="N114" s="435">
        <v>0</v>
      </c>
      <c r="O114" s="436">
        <f t="shared" si="10"/>
        <v>0</v>
      </c>
      <c r="P114" s="413" t="s">
        <v>263</v>
      </c>
      <c r="Q114" s="378">
        <v>65</v>
      </c>
      <c r="R114" s="348"/>
    </row>
    <row r="115" spans="1:18" x14ac:dyDescent="0.25">
      <c r="A115" s="142"/>
      <c r="B115" s="143"/>
      <c r="C115" s="143"/>
      <c r="D115" s="143"/>
      <c r="E115" s="143"/>
      <c r="F115" s="143"/>
      <c r="G115" s="144"/>
      <c r="H115" s="144"/>
      <c r="I115" s="145"/>
      <c r="J115" s="357">
        <v>4</v>
      </c>
      <c r="K115" s="357"/>
      <c r="L115" s="364"/>
      <c r="M115" s="434"/>
      <c r="N115" s="435">
        <f t="shared" ref="N115" si="12">SUM(J115,L115,M115)</f>
        <v>4</v>
      </c>
      <c r="O115" s="436">
        <f t="shared" si="10"/>
        <v>2.0491803278688526E-3</v>
      </c>
      <c r="P115" s="413" t="s">
        <v>270</v>
      </c>
      <c r="Q115" s="378">
        <v>265</v>
      </c>
      <c r="R115" s="348"/>
    </row>
    <row r="116" spans="1:18" x14ac:dyDescent="0.25">
      <c r="A116" s="142"/>
      <c r="B116" s="143"/>
      <c r="C116" s="143"/>
      <c r="D116" s="143"/>
      <c r="E116" s="143"/>
      <c r="F116" s="143"/>
      <c r="G116" s="144"/>
      <c r="H116" s="144"/>
      <c r="I116" s="145"/>
      <c r="J116" s="357">
        <f>6+4</f>
        <v>10</v>
      </c>
      <c r="K116" s="357"/>
      <c r="L116" s="364"/>
      <c r="M116" s="437"/>
      <c r="N116" s="435">
        <f t="shared" ref="N116:N119" si="13">SUM(J116,L116,M116)</f>
        <v>10</v>
      </c>
      <c r="O116" s="436">
        <f t="shared" si="10"/>
        <v>5.1229508196721308E-3</v>
      </c>
      <c r="P116" s="411" t="s">
        <v>106</v>
      </c>
      <c r="Q116" s="378">
        <v>117</v>
      </c>
      <c r="R116" s="348"/>
    </row>
    <row r="117" spans="1:18" x14ac:dyDescent="0.25">
      <c r="A117" s="142"/>
      <c r="B117" s="143"/>
      <c r="C117" s="143"/>
      <c r="D117" s="143"/>
      <c r="E117" s="143"/>
      <c r="F117" s="143"/>
      <c r="G117" s="144"/>
      <c r="H117" s="144"/>
      <c r="I117" s="145"/>
      <c r="J117" s="357">
        <v>1</v>
      </c>
      <c r="K117" s="357"/>
      <c r="L117" s="364"/>
      <c r="M117" s="437"/>
      <c r="N117" s="435">
        <f t="shared" si="13"/>
        <v>1</v>
      </c>
      <c r="O117" s="436">
        <f t="shared" si="10"/>
        <v>5.1229508196721314E-4</v>
      </c>
      <c r="P117" s="413" t="s">
        <v>115</v>
      </c>
      <c r="Q117" s="378">
        <v>665</v>
      </c>
      <c r="R117" s="348"/>
    </row>
    <row r="118" spans="1:18" x14ac:dyDescent="0.25">
      <c r="A118" s="142"/>
      <c r="B118" s="143"/>
      <c r="C118" s="143"/>
      <c r="D118" s="143"/>
      <c r="E118" s="143"/>
      <c r="F118" s="143"/>
      <c r="G118" s="144"/>
      <c r="H118" s="144"/>
      <c r="I118" s="145"/>
      <c r="J118" s="357">
        <v>1</v>
      </c>
      <c r="K118" s="357"/>
      <c r="L118" s="364"/>
      <c r="M118" s="434"/>
      <c r="N118" s="435">
        <v>0</v>
      </c>
      <c r="O118" s="436">
        <f t="shared" si="10"/>
        <v>0</v>
      </c>
      <c r="P118" s="413" t="s">
        <v>306</v>
      </c>
      <c r="Q118" s="378">
        <v>43</v>
      </c>
      <c r="R118" s="348"/>
    </row>
    <row r="119" spans="1:18" x14ac:dyDescent="0.25">
      <c r="A119" s="142"/>
      <c r="B119" s="143"/>
      <c r="C119" s="143"/>
      <c r="D119" s="143"/>
      <c r="E119" s="143"/>
      <c r="F119" s="143"/>
      <c r="G119" s="144"/>
      <c r="H119" s="144"/>
      <c r="I119" s="145"/>
      <c r="J119" s="357">
        <v>5</v>
      </c>
      <c r="K119" s="357"/>
      <c r="L119" s="364"/>
      <c r="M119" s="434"/>
      <c r="N119" s="435">
        <f t="shared" si="13"/>
        <v>5</v>
      </c>
      <c r="O119" s="436">
        <f t="shared" si="10"/>
        <v>2.5614754098360654E-3</v>
      </c>
      <c r="P119" s="413" t="s">
        <v>25</v>
      </c>
      <c r="Q119" s="378">
        <v>164</v>
      </c>
      <c r="R119" s="348"/>
    </row>
    <row r="120" spans="1:18" x14ac:dyDescent="0.25">
      <c r="A120" s="142"/>
      <c r="B120" s="143"/>
      <c r="C120" s="143"/>
      <c r="D120" s="143"/>
      <c r="E120" s="143"/>
      <c r="F120" s="143"/>
      <c r="G120" s="144"/>
      <c r="H120" s="144"/>
      <c r="I120" s="145"/>
      <c r="J120" s="357"/>
      <c r="K120" s="357"/>
      <c r="L120" s="364"/>
      <c r="M120" s="434"/>
      <c r="N120" s="435">
        <v>0</v>
      </c>
      <c r="O120" s="436">
        <f t="shared" si="10"/>
        <v>0</v>
      </c>
      <c r="P120" s="413" t="s">
        <v>239</v>
      </c>
      <c r="Q120" s="378">
        <v>65</v>
      </c>
      <c r="R120" s="348"/>
    </row>
    <row r="121" spans="1:18" x14ac:dyDescent="0.25">
      <c r="A121" s="142"/>
      <c r="B121" s="143"/>
      <c r="C121" s="143"/>
      <c r="D121" s="143"/>
      <c r="E121" s="143"/>
      <c r="F121" s="143"/>
      <c r="G121" s="144"/>
      <c r="H121" s="144"/>
      <c r="I121" s="145"/>
      <c r="J121" s="357">
        <v>5</v>
      </c>
      <c r="K121" s="357"/>
      <c r="L121" s="364"/>
      <c r="M121" s="434"/>
      <c r="N121" s="435">
        <f t="shared" ref="N121:N122" si="14">SUM(J121,L121,M121)</f>
        <v>5</v>
      </c>
      <c r="O121" s="436">
        <f t="shared" si="10"/>
        <v>2.5614754098360654E-3</v>
      </c>
      <c r="P121" s="413" t="s">
        <v>240</v>
      </c>
      <c r="Q121" s="378">
        <v>65</v>
      </c>
      <c r="R121" s="348"/>
    </row>
    <row r="122" spans="1:18" x14ac:dyDescent="0.25">
      <c r="A122" s="142"/>
      <c r="B122" s="143"/>
      <c r="C122" s="143"/>
      <c r="D122" s="143"/>
      <c r="E122" s="143"/>
      <c r="F122" s="143"/>
      <c r="G122" s="144"/>
      <c r="H122" s="144"/>
      <c r="I122" s="145"/>
      <c r="J122" s="357">
        <v>1</v>
      </c>
      <c r="K122" s="357"/>
      <c r="L122" s="364"/>
      <c r="M122" s="434"/>
      <c r="N122" s="435">
        <f t="shared" si="14"/>
        <v>1</v>
      </c>
      <c r="O122" s="436">
        <f t="shared" si="10"/>
        <v>5.1229508196721314E-4</v>
      </c>
      <c r="P122" s="413" t="s">
        <v>305</v>
      </c>
      <c r="Q122" s="378">
        <v>65</v>
      </c>
      <c r="R122" s="348"/>
    </row>
    <row r="123" spans="1:18" x14ac:dyDescent="0.25">
      <c r="A123" s="142"/>
      <c r="B123" s="143"/>
      <c r="C123" s="143"/>
      <c r="D123" s="143"/>
      <c r="E123" s="143"/>
      <c r="F123" s="143"/>
      <c r="G123" s="144"/>
      <c r="H123" s="144"/>
      <c r="I123" s="145"/>
      <c r="J123" s="357"/>
      <c r="K123" s="357"/>
      <c r="L123" s="364"/>
      <c r="M123" s="434"/>
      <c r="N123" s="435">
        <v>0</v>
      </c>
      <c r="O123" s="436">
        <f t="shared" si="10"/>
        <v>0</v>
      </c>
      <c r="P123" s="419" t="s">
        <v>238</v>
      </c>
      <c r="Q123" s="378">
        <v>46</v>
      </c>
      <c r="R123" s="348"/>
    </row>
    <row r="124" spans="1:18" x14ac:dyDescent="0.25">
      <c r="A124" s="142"/>
      <c r="B124" s="143"/>
      <c r="C124" s="143"/>
      <c r="D124" s="143"/>
      <c r="E124" s="143"/>
      <c r="F124" s="143"/>
      <c r="G124" s="144"/>
      <c r="H124" s="144"/>
      <c r="I124" s="145"/>
      <c r="J124" s="357">
        <v>1</v>
      </c>
      <c r="K124" s="357"/>
      <c r="L124" s="364"/>
      <c r="M124" s="434"/>
      <c r="N124" s="435">
        <f t="shared" ref="N124:N125" si="15">SUM(J124,L124,M124)</f>
        <v>1</v>
      </c>
      <c r="O124" s="436">
        <f t="shared" si="10"/>
        <v>5.1229508196721314E-4</v>
      </c>
      <c r="P124" s="422" t="s">
        <v>91</v>
      </c>
      <c r="Q124" s="378">
        <v>159</v>
      </c>
      <c r="R124" s="348"/>
    </row>
    <row r="125" spans="1:18" x14ac:dyDescent="0.25">
      <c r="A125" s="142"/>
      <c r="B125" s="143"/>
      <c r="C125" s="143"/>
      <c r="D125" s="143"/>
      <c r="E125" s="143"/>
      <c r="F125" s="143"/>
      <c r="G125" s="144"/>
      <c r="H125" s="144"/>
      <c r="I125" s="145"/>
      <c r="J125" s="357"/>
      <c r="K125" s="357"/>
      <c r="L125" s="364"/>
      <c r="M125" s="434"/>
      <c r="N125" s="435">
        <f t="shared" si="15"/>
        <v>0</v>
      </c>
      <c r="O125" s="436">
        <f t="shared" si="10"/>
        <v>0</v>
      </c>
      <c r="P125" s="413" t="s">
        <v>202</v>
      </c>
      <c r="Q125" s="378">
        <v>639</v>
      </c>
      <c r="R125" s="348"/>
    </row>
    <row r="126" spans="1:18" x14ac:dyDescent="0.25">
      <c r="A126" s="142"/>
      <c r="B126" s="143"/>
      <c r="C126" s="143"/>
      <c r="D126" s="143"/>
      <c r="E126" s="143"/>
      <c r="F126" s="143"/>
      <c r="G126" s="144"/>
      <c r="H126" s="144"/>
      <c r="I126" s="145"/>
      <c r="J126" s="352">
        <v>5</v>
      </c>
      <c r="K126" s="357"/>
      <c r="L126" s="364"/>
      <c r="M126" s="434"/>
      <c r="N126" s="435">
        <v>0</v>
      </c>
      <c r="O126" s="436">
        <f t="shared" si="10"/>
        <v>0</v>
      </c>
      <c r="P126" s="413" t="s">
        <v>203</v>
      </c>
      <c r="Q126" s="378">
        <v>639</v>
      </c>
      <c r="R126" s="463"/>
    </row>
    <row r="127" spans="1:18" x14ac:dyDescent="0.25">
      <c r="A127" s="142"/>
      <c r="B127" s="143"/>
      <c r="C127" s="143"/>
      <c r="D127" s="143"/>
      <c r="E127" s="143"/>
      <c r="F127" s="143"/>
      <c r="G127" s="144"/>
      <c r="H127" s="144"/>
      <c r="I127" s="145"/>
      <c r="J127" s="352">
        <v>34</v>
      </c>
      <c r="K127" s="357"/>
      <c r="L127" s="364"/>
      <c r="M127" s="434"/>
      <c r="N127" s="435">
        <v>0</v>
      </c>
      <c r="O127" s="436">
        <f t="shared" si="10"/>
        <v>0</v>
      </c>
      <c r="P127" s="413" t="s">
        <v>204</v>
      </c>
      <c r="Q127" s="378">
        <v>639</v>
      </c>
      <c r="R127" s="348"/>
    </row>
    <row r="128" spans="1:18" ht="15.75" thickBot="1" x14ac:dyDescent="0.3">
      <c r="A128" s="150"/>
      <c r="B128" s="151"/>
      <c r="C128" s="151"/>
      <c r="D128" s="151"/>
      <c r="E128" s="151"/>
      <c r="F128" s="151"/>
      <c r="G128" s="152"/>
      <c r="H128" s="152"/>
      <c r="I128" s="153"/>
      <c r="J128" s="358">
        <v>2</v>
      </c>
      <c r="K128" s="358"/>
      <c r="L128" s="365"/>
      <c r="M128" s="438"/>
      <c r="N128" s="439">
        <f t="shared" ref="N128" si="16">SUM(J128,L128,M128)</f>
        <v>2</v>
      </c>
      <c r="O128" s="367">
        <f>N128/$E$68</f>
        <v>1.0245901639344263E-3</v>
      </c>
      <c r="P128" s="440" t="s">
        <v>79</v>
      </c>
      <c r="Q128" s="379">
        <v>46</v>
      </c>
      <c r="R128" s="359"/>
    </row>
    <row r="129" spans="1:18" ht="15.75" thickBot="1" x14ac:dyDescent="0.3">
      <c r="I129" s="154" t="s">
        <v>4</v>
      </c>
      <c r="J129" s="360">
        <f>SUM(J69:J128)</f>
        <v>153</v>
      </c>
      <c r="K129" s="360">
        <f>SUM(K69:K128)</f>
        <v>78</v>
      </c>
      <c r="L129" s="360">
        <f>SUM(L69:L128)</f>
        <v>0</v>
      </c>
      <c r="M129" s="360">
        <f>SUM(M69:M128)</f>
        <v>24</v>
      </c>
      <c r="N129" s="368">
        <f>SUM(N69:N107)</f>
        <v>79</v>
      </c>
      <c r="O129" s="366">
        <f>N129/$E$68</f>
        <v>4.0471311475409839E-2</v>
      </c>
      <c r="P129" s="361"/>
      <c r="Q129" s="361"/>
      <c r="R129" s="362"/>
    </row>
    <row r="131" spans="1:18" ht="15.75" thickBot="1" x14ac:dyDescent="0.3"/>
    <row r="132" spans="1:18" ht="26.25" thickBot="1" x14ac:dyDescent="0.3">
      <c r="A132" s="385" t="s">
        <v>184</v>
      </c>
      <c r="B132" s="385" t="s">
        <v>46</v>
      </c>
      <c r="C132" s="385" t="s">
        <v>180</v>
      </c>
      <c r="D132" s="385" t="s">
        <v>179</v>
      </c>
      <c r="E132" s="385" t="s">
        <v>181</v>
      </c>
      <c r="F132" s="385" t="s">
        <v>16</v>
      </c>
      <c r="G132" s="76" t="s">
        <v>1</v>
      </c>
      <c r="H132" s="76" t="s">
        <v>85</v>
      </c>
      <c r="I132" s="386" t="s">
        <v>23</v>
      </c>
      <c r="J132" s="76" t="s">
        <v>190</v>
      </c>
      <c r="K132" s="76" t="s">
        <v>250</v>
      </c>
      <c r="L132" s="387" t="s">
        <v>182</v>
      </c>
      <c r="M132" s="385" t="s">
        <v>183</v>
      </c>
      <c r="N132" s="385" t="s">
        <v>4</v>
      </c>
      <c r="O132" s="385" t="s">
        <v>2</v>
      </c>
      <c r="P132" s="385" t="s">
        <v>20</v>
      </c>
      <c r="Q132" s="385" t="s">
        <v>68</v>
      </c>
      <c r="R132" s="388" t="s">
        <v>6</v>
      </c>
    </row>
    <row r="133" spans="1:18" ht="15.75" thickBot="1" x14ac:dyDescent="0.3">
      <c r="A133" s="369">
        <v>1529061</v>
      </c>
      <c r="B133" s="369" t="s">
        <v>260</v>
      </c>
      <c r="C133" s="369" t="s">
        <v>261</v>
      </c>
      <c r="D133" s="369">
        <v>1920</v>
      </c>
      <c r="E133" s="369">
        <v>1956</v>
      </c>
      <c r="F133" s="370">
        <v>1848</v>
      </c>
      <c r="G133" s="371">
        <f>F133/E133</f>
        <v>0.94478527607361962</v>
      </c>
      <c r="H133" s="371">
        <f>K194/E133</f>
        <v>4.396728016359918E-2</v>
      </c>
      <c r="I133" s="372">
        <v>45503</v>
      </c>
      <c r="J133" s="373"/>
      <c r="K133" s="373"/>
      <c r="L133" s="373"/>
      <c r="M133" s="374"/>
      <c r="N133" s="480"/>
      <c r="O133" s="375"/>
      <c r="P133" s="376" t="s">
        <v>185</v>
      </c>
      <c r="Q133" s="376"/>
      <c r="R133" s="346"/>
    </row>
    <row r="134" spans="1:18" x14ac:dyDescent="0.25">
      <c r="A134" s="139"/>
      <c r="B134" s="140"/>
      <c r="C134" s="140"/>
      <c r="D134" s="140"/>
      <c r="E134" s="140"/>
      <c r="F134" s="140"/>
      <c r="G134" s="141"/>
      <c r="H134" s="141"/>
      <c r="I134" s="190"/>
      <c r="J134" s="405">
        <v>3</v>
      </c>
      <c r="K134" s="405"/>
      <c r="L134" s="406"/>
      <c r="M134" s="472">
        <v>2</v>
      </c>
      <c r="N134" s="481">
        <f>SUM(J134,L134,M134)</f>
        <v>5</v>
      </c>
      <c r="O134" s="476">
        <f>N134/$E$133</f>
        <v>2.5562372188139061E-3</v>
      </c>
      <c r="P134" s="419" t="s">
        <v>187</v>
      </c>
      <c r="Q134" s="381">
        <v>211</v>
      </c>
      <c r="R134" s="347" t="s">
        <v>168</v>
      </c>
    </row>
    <row r="135" spans="1:18" x14ac:dyDescent="0.25">
      <c r="A135" s="142"/>
      <c r="B135" s="143"/>
      <c r="C135" s="143"/>
      <c r="D135" s="143"/>
      <c r="E135" s="143"/>
      <c r="F135" s="143"/>
      <c r="G135" s="144"/>
      <c r="H135" s="144"/>
      <c r="I135" s="191"/>
      <c r="J135" s="407">
        <v>1</v>
      </c>
      <c r="K135" s="407"/>
      <c r="L135" s="408"/>
      <c r="M135" s="473">
        <v>1</v>
      </c>
      <c r="N135" s="393">
        <f t="shared" ref="N135:N157" si="17">SUM(J135,L135,M135)</f>
        <v>2</v>
      </c>
      <c r="O135" s="477">
        <f>N135/$E$133</f>
        <v>1.0224948875255625E-3</v>
      </c>
      <c r="P135" s="419" t="s">
        <v>86</v>
      </c>
      <c r="Q135" s="382">
        <v>141</v>
      </c>
      <c r="R135" s="348"/>
    </row>
    <row r="136" spans="1:18" x14ac:dyDescent="0.25">
      <c r="A136" s="142"/>
      <c r="B136" s="143"/>
      <c r="C136" s="143"/>
      <c r="D136" s="143"/>
      <c r="E136" s="143"/>
      <c r="F136" s="143"/>
      <c r="G136" s="144"/>
      <c r="H136" s="144"/>
      <c r="I136" s="191"/>
      <c r="J136" s="407">
        <v>2</v>
      </c>
      <c r="K136" s="407"/>
      <c r="L136" s="409"/>
      <c r="M136" s="474"/>
      <c r="N136" s="393">
        <f t="shared" si="17"/>
        <v>2</v>
      </c>
      <c r="O136" s="477">
        <f t="shared" ref="O136:O156" si="18">N136/$E$133</f>
        <v>1.0224948875255625E-3</v>
      </c>
      <c r="P136" s="419" t="s">
        <v>7</v>
      </c>
      <c r="Q136" s="383">
        <v>140</v>
      </c>
      <c r="R136" s="348"/>
    </row>
    <row r="137" spans="1:18" x14ac:dyDescent="0.25">
      <c r="A137" s="142"/>
      <c r="B137" s="143"/>
      <c r="C137" s="143"/>
      <c r="D137" s="143"/>
      <c r="E137" s="143"/>
      <c r="F137" s="143"/>
      <c r="G137" s="144"/>
      <c r="H137" s="144"/>
      <c r="I137" s="191"/>
      <c r="J137" s="407">
        <v>1</v>
      </c>
      <c r="K137" s="407"/>
      <c r="L137" s="408"/>
      <c r="M137" s="474"/>
      <c r="N137" s="393">
        <f t="shared" si="17"/>
        <v>1</v>
      </c>
      <c r="O137" s="477">
        <f t="shared" si="18"/>
        <v>5.1124744376278123E-4</v>
      </c>
      <c r="P137" s="419" t="s">
        <v>8</v>
      </c>
      <c r="Q137" s="383">
        <v>210</v>
      </c>
      <c r="R137" s="348"/>
    </row>
    <row r="138" spans="1:18" x14ac:dyDescent="0.25">
      <c r="A138" s="142"/>
      <c r="B138" s="143"/>
      <c r="C138" s="143"/>
      <c r="D138" s="143"/>
      <c r="E138" s="143"/>
      <c r="F138" s="143"/>
      <c r="G138" s="144"/>
      <c r="H138" s="144"/>
      <c r="I138" s="191"/>
      <c r="J138" s="407">
        <v>3</v>
      </c>
      <c r="K138" s="407"/>
      <c r="L138" s="409"/>
      <c r="M138" s="474">
        <v>3</v>
      </c>
      <c r="N138" s="393">
        <f t="shared" si="17"/>
        <v>6</v>
      </c>
      <c r="O138" s="477">
        <f t="shared" si="18"/>
        <v>3.0674846625766872E-3</v>
      </c>
      <c r="P138" s="419" t="s">
        <v>15</v>
      </c>
      <c r="Q138" s="382">
        <v>355</v>
      </c>
      <c r="R138" s="348"/>
    </row>
    <row r="139" spans="1:18" x14ac:dyDescent="0.25">
      <c r="A139" s="142"/>
      <c r="B139" s="143"/>
      <c r="C139" s="143"/>
      <c r="D139" s="143"/>
      <c r="E139" s="143"/>
      <c r="F139" s="143"/>
      <c r="G139" s="144"/>
      <c r="H139" s="144"/>
      <c r="I139" s="191"/>
      <c r="J139" s="407"/>
      <c r="K139" s="407"/>
      <c r="L139" s="409"/>
      <c r="M139" s="474"/>
      <c r="N139" s="393">
        <f t="shared" si="17"/>
        <v>0</v>
      </c>
      <c r="O139" s="477">
        <f t="shared" si="18"/>
        <v>0</v>
      </c>
      <c r="P139" s="419" t="s">
        <v>194</v>
      </c>
      <c r="Q139" s="382">
        <v>738</v>
      </c>
      <c r="R139" s="348"/>
    </row>
    <row r="140" spans="1:18" x14ac:dyDescent="0.25">
      <c r="A140" s="142"/>
      <c r="B140" s="143"/>
      <c r="C140" s="143"/>
      <c r="D140" s="143"/>
      <c r="E140" s="143"/>
      <c r="F140" s="143"/>
      <c r="G140" s="144"/>
      <c r="H140" s="144"/>
      <c r="I140" s="191"/>
      <c r="J140" s="407"/>
      <c r="K140" s="407"/>
      <c r="L140" s="409"/>
      <c r="M140" s="474"/>
      <c r="N140" s="393">
        <f t="shared" si="17"/>
        <v>0</v>
      </c>
      <c r="O140" s="477">
        <f t="shared" si="18"/>
        <v>0</v>
      </c>
      <c r="P140" s="419" t="s">
        <v>87</v>
      </c>
      <c r="Q140" s="382">
        <v>737</v>
      </c>
      <c r="R140" s="348"/>
    </row>
    <row r="141" spans="1:18" x14ac:dyDescent="0.25">
      <c r="A141" s="142"/>
      <c r="B141" s="143"/>
      <c r="C141" s="143"/>
      <c r="D141" s="143"/>
      <c r="E141" s="143"/>
      <c r="F141" s="143"/>
      <c r="G141" s="144"/>
      <c r="H141" s="144"/>
      <c r="I141" s="191"/>
      <c r="J141" s="407"/>
      <c r="K141" s="407"/>
      <c r="L141" s="408"/>
      <c r="M141" s="474"/>
      <c r="N141" s="393">
        <f t="shared" si="17"/>
        <v>0</v>
      </c>
      <c r="O141" s="477">
        <f t="shared" si="18"/>
        <v>0</v>
      </c>
      <c r="P141" s="419" t="s">
        <v>195</v>
      </c>
      <c r="Q141" s="382">
        <v>736</v>
      </c>
      <c r="R141" s="348"/>
    </row>
    <row r="142" spans="1:18" x14ac:dyDescent="0.25">
      <c r="A142" s="142"/>
      <c r="B142" s="143"/>
      <c r="C142" s="143"/>
      <c r="D142" s="143"/>
      <c r="E142" s="143"/>
      <c r="F142" s="143"/>
      <c r="G142" s="144"/>
      <c r="H142" s="144"/>
      <c r="I142" s="191"/>
      <c r="J142" s="407">
        <v>3</v>
      </c>
      <c r="K142" s="407"/>
      <c r="L142" s="409"/>
      <c r="M142" s="474">
        <v>1</v>
      </c>
      <c r="N142" s="393">
        <f t="shared" si="17"/>
        <v>4</v>
      </c>
      <c r="O142" s="477">
        <f t="shared" si="18"/>
        <v>2.0449897750511249E-3</v>
      </c>
      <c r="P142" s="419" t="s">
        <v>3</v>
      </c>
      <c r="Q142" s="382">
        <v>44</v>
      </c>
      <c r="R142" s="348"/>
    </row>
    <row r="143" spans="1:18" x14ac:dyDescent="0.25">
      <c r="A143" s="142"/>
      <c r="B143" s="143"/>
      <c r="C143" s="143"/>
      <c r="D143" s="143"/>
      <c r="E143" s="143"/>
      <c r="F143" s="143"/>
      <c r="G143" s="144"/>
      <c r="H143" s="144"/>
      <c r="I143" s="191"/>
      <c r="J143" s="407"/>
      <c r="K143" s="407"/>
      <c r="L143" s="409"/>
      <c r="M143" s="474"/>
      <c r="N143" s="393">
        <f t="shared" si="17"/>
        <v>0</v>
      </c>
      <c r="O143" s="477">
        <f t="shared" si="18"/>
        <v>0</v>
      </c>
      <c r="P143" s="419" t="s">
        <v>167</v>
      </c>
      <c r="Q143" s="382">
        <v>119</v>
      </c>
      <c r="R143" s="348"/>
    </row>
    <row r="144" spans="1:18" x14ac:dyDescent="0.25">
      <c r="A144" s="142"/>
      <c r="B144" s="143"/>
      <c r="C144" s="143"/>
      <c r="D144" s="143"/>
      <c r="E144" s="143"/>
      <c r="F144" s="143"/>
      <c r="G144" s="144"/>
      <c r="H144" s="144"/>
      <c r="I144" s="191"/>
      <c r="J144" s="407">
        <v>6</v>
      </c>
      <c r="K144" s="470"/>
      <c r="L144" s="410"/>
      <c r="M144" s="434"/>
      <c r="N144" s="393">
        <f t="shared" si="17"/>
        <v>6</v>
      </c>
      <c r="O144" s="477">
        <f t="shared" si="18"/>
        <v>3.0674846625766872E-3</v>
      </c>
      <c r="P144" s="419" t="s">
        <v>264</v>
      </c>
      <c r="Q144" s="382">
        <v>739</v>
      </c>
      <c r="R144" s="348"/>
    </row>
    <row r="145" spans="1:18" x14ac:dyDescent="0.25">
      <c r="A145" s="142"/>
      <c r="B145" s="143"/>
      <c r="C145" s="143"/>
      <c r="D145" s="143"/>
      <c r="E145" s="143"/>
      <c r="F145" s="143"/>
      <c r="G145" s="144"/>
      <c r="H145" s="144"/>
      <c r="I145" s="191"/>
      <c r="J145" s="407"/>
      <c r="K145" s="407"/>
      <c r="L145" s="408"/>
      <c r="M145" s="474"/>
      <c r="N145" s="393">
        <f t="shared" si="17"/>
        <v>0</v>
      </c>
      <c r="O145" s="477">
        <f t="shared" si="18"/>
        <v>0</v>
      </c>
      <c r="P145" s="419" t="s">
        <v>106</v>
      </c>
      <c r="Q145" s="382">
        <v>117</v>
      </c>
      <c r="R145" s="348"/>
    </row>
    <row r="146" spans="1:18" x14ac:dyDescent="0.25">
      <c r="A146" s="142"/>
      <c r="B146" s="143"/>
      <c r="C146" s="143"/>
      <c r="D146" s="143"/>
      <c r="E146" s="143"/>
      <c r="F146" s="143"/>
      <c r="G146" s="144"/>
      <c r="H146" s="144"/>
      <c r="I146" s="191"/>
      <c r="J146" s="407">
        <v>1</v>
      </c>
      <c r="K146" s="407"/>
      <c r="L146" s="408"/>
      <c r="M146" s="474"/>
      <c r="N146" s="393">
        <f t="shared" si="17"/>
        <v>1</v>
      </c>
      <c r="O146" s="477">
        <f t="shared" si="18"/>
        <v>5.1124744376278123E-4</v>
      </c>
      <c r="P146" s="419" t="s">
        <v>210</v>
      </c>
      <c r="Q146" s="382">
        <v>176</v>
      </c>
      <c r="R146" s="348"/>
    </row>
    <row r="147" spans="1:18" x14ac:dyDescent="0.25">
      <c r="A147" s="142"/>
      <c r="B147" s="143"/>
      <c r="C147" s="143"/>
      <c r="D147" s="143"/>
      <c r="E147" s="143"/>
      <c r="F147" s="143"/>
      <c r="G147" s="144"/>
      <c r="H147" s="144"/>
      <c r="I147" s="191"/>
      <c r="J147" s="407"/>
      <c r="K147" s="407"/>
      <c r="L147" s="408"/>
      <c r="M147" s="474"/>
      <c r="N147" s="393">
        <f t="shared" si="17"/>
        <v>0</v>
      </c>
      <c r="O147" s="477">
        <f t="shared" si="18"/>
        <v>0</v>
      </c>
      <c r="P147" s="419" t="s">
        <v>188</v>
      </c>
      <c r="Q147" s="382">
        <v>705</v>
      </c>
      <c r="R147" s="348"/>
    </row>
    <row r="148" spans="1:18" x14ac:dyDescent="0.25">
      <c r="A148" s="142"/>
      <c r="B148" s="143"/>
      <c r="C148" s="143"/>
      <c r="D148" s="143"/>
      <c r="E148" s="143"/>
      <c r="F148" s="143"/>
      <c r="G148" s="144"/>
      <c r="H148" s="144"/>
      <c r="I148" s="191"/>
      <c r="J148" s="407">
        <v>3</v>
      </c>
      <c r="K148" s="407"/>
      <c r="L148" s="408"/>
      <c r="M148" s="474"/>
      <c r="N148" s="393">
        <f t="shared" si="17"/>
        <v>3</v>
      </c>
      <c r="O148" s="477">
        <f t="shared" si="18"/>
        <v>1.5337423312883436E-3</v>
      </c>
      <c r="P148" s="419" t="s">
        <v>26</v>
      </c>
      <c r="Q148" s="382">
        <v>58</v>
      </c>
      <c r="R148" s="348"/>
    </row>
    <row r="149" spans="1:18" x14ac:dyDescent="0.25">
      <c r="A149" s="142"/>
      <c r="B149" s="143"/>
      <c r="C149" s="143"/>
      <c r="D149" s="143"/>
      <c r="E149" s="143"/>
      <c r="F149" s="143"/>
      <c r="G149" s="144"/>
      <c r="H149" s="144"/>
      <c r="I149" s="191"/>
      <c r="J149" s="407">
        <v>5</v>
      </c>
      <c r="K149" s="407"/>
      <c r="L149" s="408"/>
      <c r="M149" s="474"/>
      <c r="N149" s="393">
        <f t="shared" si="17"/>
        <v>5</v>
      </c>
      <c r="O149" s="477">
        <f t="shared" si="18"/>
        <v>2.5562372188139061E-3</v>
      </c>
      <c r="P149" s="419" t="s">
        <v>265</v>
      </c>
      <c r="Q149" s="382">
        <v>65</v>
      </c>
      <c r="R149" s="348"/>
    </row>
    <row r="150" spans="1:18" x14ac:dyDescent="0.25">
      <c r="A150" s="142"/>
      <c r="B150" s="143"/>
      <c r="C150" s="143"/>
      <c r="D150" s="143"/>
      <c r="E150" s="143"/>
      <c r="F150" s="143"/>
      <c r="G150" s="144"/>
      <c r="H150" s="144"/>
      <c r="I150" s="191"/>
      <c r="J150" s="407">
        <v>4</v>
      </c>
      <c r="K150" s="407"/>
      <c r="L150" s="408"/>
      <c r="M150" s="474"/>
      <c r="N150" s="393">
        <f t="shared" si="17"/>
        <v>4</v>
      </c>
      <c r="O150" s="477">
        <f t="shared" si="18"/>
        <v>2.0449897750511249E-3</v>
      </c>
      <c r="P150" s="419" t="s">
        <v>236</v>
      </c>
      <c r="Q150" s="382">
        <v>65</v>
      </c>
      <c r="R150" s="348"/>
    </row>
    <row r="151" spans="1:18" x14ac:dyDescent="0.25">
      <c r="A151" s="142"/>
      <c r="B151" s="143"/>
      <c r="C151" s="143"/>
      <c r="D151" s="143"/>
      <c r="E151" s="143"/>
      <c r="F151" s="143"/>
      <c r="G151" s="144"/>
      <c r="H151" s="144"/>
      <c r="I151" s="191"/>
      <c r="J151" s="407"/>
      <c r="K151" s="471"/>
      <c r="L151" s="412"/>
      <c r="M151" s="475"/>
      <c r="N151" s="393">
        <f t="shared" si="17"/>
        <v>0</v>
      </c>
      <c r="O151" s="477">
        <f t="shared" si="18"/>
        <v>0</v>
      </c>
      <c r="P151" s="441" t="s">
        <v>196</v>
      </c>
      <c r="Q151" s="442">
        <v>265</v>
      </c>
      <c r="R151" s="348"/>
    </row>
    <row r="152" spans="1:18" x14ac:dyDescent="0.25">
      <c r="A152" s="142"/>
      <c r="B152" s="143"/>
      <c r="C152" s="143"/>
      <c r="D152" s="143" t="s">
        <v>98</v>
      </c>
      <c r="E152" s="143"/>
      <c r="F152" s="143"/>
      <c r="G152" s="144"/>
      <c r="H152" s="144"/>
      <c r="I152" s="191"/>
      <c r="J152" s="407">
        <v>8</v>
      </c>
      <c r="K152" s="407"/>
      <c r="L152" s="408"/>
      <c r="M152" s="474"/>
      <c r="N152" s="393">
        <f t="shared" si="17"/>
        <v>8</v>
      </c>
      <c r="O152" s="477">
        <f t="shared" si="18"/>
        <v>4.0899795501022499E-3</v>
      </c>
      <c r="P152" s="419" t="s">
        <v>70</v>
      </c>
      <c r="Q152" s="382">
        <v>388</v>
      </c>
      <c r="R152" s="348"/>
    </row>
    <row r="153" spans="1:18" x14ac:dyDescent="0.25">
      <c r="A153" s="142"/>
      <c r="B153" s="143"/>
      <c r="C153" s="143"/>
      <c r="D153" s="143"/>
      <c r="E153" s="143"/>
      <c r="F153" s="143"/>
      <c r="G153" s="144"/>
      <c r="H153" s="144"/>
      <c r="I153" s="191"/>
      <c r="J153" s="407"/>
      <c r="K153" s="407"/>
      <c r="L153" s="408"/>
      <c r="M153" s="474"/>
      <c r="N153" s="393">
        <f t="shared" si="17"/>
        <v>0</v>
      </c>
      <c r="O153" s="477">
        <f t="shared" si="18"/>
        <v>0</v>
      </c>
      <c r="P153" s="419" t="s">
        <v>84</v>
      </c>
      <c r="Q153" s="382">
        <v>43</v>
      </c>
      <c r="R153" s="348"/>
    </row>
    <row r="154" spans="1:18" x14ac:dyDescent="0.25">
      <c r="A154" s="142"/>
      <c r="B154" s="143"/>
      <c r="C154" s="143"/>
      <c r="D154" s="143"/>
      <c r="E154" s="143"/>
      <c r="F154" s="143"/>
      <c r="G154" s="144"/>
      <c r="H154" s="144"/>
      <c r="I154" s="191"/>
      <c r="J154" s="399"/>
      <c r="K154" s="399"/>
      <c r="L154" s="408"/>
      <c r="M154" s="474"/>
      <c r="N154" s="393">
        <f t="shared" si="17"/>
        <v>0</v>
      </c>
      <c r="O154" s="477">
        <f t="shared" si="18"/>
        <v>0</v>
      </c>
      <c r="P154" s="419" t="s">
        <v>25</v>
      </c>
      <c r="Q154" s="382">
        <v>164</v>
      </c>
      <c r="R154" s="348"/>
    </row>
    <row r="155" spans="1:18" x14ac:dyDescent="0.25">
      <c r="A155" s="142"/>
      <c r="B155" s="143"/>
      <c r="C155" s="143"/>
      <c r="D155" s="143"/>
      <c r="E155" s="143"/>
      <c r="F155" s="143"/>
      <c r="G155" s="144"/>
      <c r="H155" s="144"/>
      <c r="I155" s="191"/>
      <c r="J155" s="399">
        <v>4</v>
      </c>
      <c r="K155" s="399"/>
      <c r="L155" s="408"/>
      <c r="M155" s="474">
        <v>1</v>
      </c>
      <c r="N155" s="393">
        <f t="shared" si="17"/>
        <v>5</v>
      </c>
      <c r="O155" s="477">
        <f t="shared" si="18"/>
        <v>2.5562372188139061E-3</v>
      </c>
      <c r="P155" s="419" t="s">
        <v>79</v>
      </c>
      <c r="Q155" s="378">
        <v>46</v>
      </c>
      <c r="R155" s="348"/>
    </row>
    <row r="156" spans="1:18" x14ac:dyDescent="0.25">
      <c r="A156" s="142"/>
      <c r="B156" s="143"/>
      <c r="C156" s="143"/>
      <c r="D156" s="143"/>
      <c r="E156" s="143"/>
      <c r="F156" s="143"/>
      <c r="G156" s="144"/>
      <c r="H156" s="144"/>
      <c r="I156" s="191"/>
      <c r="J156" s="363"/>
      <c r="K156" s="363"/>
      <c r="L156" s="408"/>
      <c r="M156" s="474"/>
      <c r="N156" s="393">
        <f t="shared" si="17"/>
        <v>0</v>
      </c>
      <c r="O156" s="477">
        <f t="shared" si="18"/>
        <v>0</v>
      </c>
      <c r="P156" s="419" t="s">
        <v>268</v>
      </c>
      <c r="Q156" s="414">
        <v>159</v>
      </c>
      <c r="R156" s="348"/>
    </row>
    <row r="157" spans="1:18" ht="15.75" thickBot="1" x14ac:dyDescent="0.3">
      <c r="A157" s="142"/>
      <c r="B157" s="143"/>
      <c r="C157" s="143"/>
      <c r="D157" s="143"/>
      <c r="E157" s="143"/>
      <c r="F157" s="143"/>
      <c r="G157" s="144"/>
      <c r="H157" s="144"/>
      <c r="I157" s="191"/>
      <c r="J157" s="415"/>
      <c r="K157" s="415"/>
      <c r="L157" s="409"/>
      <c r="M157" s="474"/>
      <c r="N157" s="482">
        <f t="shared" si="17"/>
        <v>0</v>
      </c>
      <c r="O157" s="479">
        <f>N157/$E$133</f>
        <v>0</v>
      </c>
      <c r="P157" s="419" t="s">
        <v>205</v>
      </c>
      <c r="Q157" s="384">
        <v>159</v>
      </c>
      <c r="R157" s="348"/>
    </row>
    <row r="158" spans="1:18" ht="15.75" thickBot="1" x14ac:dyDescent="0.3">
      <c r="A158" s="142"/>
      <c r="B158" s="143"/>
      <c r="C158" s="143"/>
      <c r="D158" s="143"/>
      <c r="E158" s="143"/>
      <c r="F158" s="143"/>
      <c r="G158" s="144"/>
      <c r="H158" s="144"/>
      <c r="I158" s="192"/>
      <c r="J158" s="349"/>
      <c r="K158" s="349"/>
      <c r="L158" s="349"/>
      <c r="M158" s="350"/>
      <c r="N158" s="355"/>
      <c r="O158" s="351"/>
      <c r="P158" s="380" t="s">
        <v>186</v>
      </c>
      <c r="Q158" s="356"/>
      <c r="R158" s="348"/>
    </row>
    <row r="159" spans="1:18" x14ac:dyDescent="0.25">
      <c r="A159" s="142"/>
      <c r="B159" s="143"/>
      <c r="C159" s="143"/>
      <c r="D159" s="143"/>
      <c r="E159" s="143"/>
      <c r="F159" s="143"/>
      <c r="G159" s="144"/>
      <c r="H159" s="144"/>
      <c r="I159" s="191"/>
      <c r="J159" s="396"/>
      <c r="K159" s="396">
        <v>4</v>
      </c>
      <c r="L159" s="416">
        <v>3</v>
      </c>
      <c r="M159" s="483"/>
      <c r="N159" s="481">
        <f>SUM(J159,L159, M159)</f>
        <v>3</v>
      </c>
      <c r="O159" s="485">
        <f>K159/$E$133</f>
        <v>2.0449897750511249E-3</v>
      </c>
      <c r="P159" s="417" t="s">
        <v>90</v>
      </c>
      <c r="Q159" s="390">
        <v>159</v>
      </c>
      <c r="R159" s="418"/>
    </row>
    <row r="160" spans="1:18" x14ac:dyDescent="0.25">
      <c r="A160" s="142"/>
      <c r="B160" s="143"/>
      <c r="C160" s="143"/>
      <c r="D160" s="143"/>
      <c r="E160" s="143"/>
      <c r="F160" s="143"/>
      <c r="G160" s="144"/>
      <c r="H160" s="144"/>
      <c r="I160" s="191"/>
      <c r="J160" s="397"/>
      <c r="K160" s="397"/>
      <c r="L160" s="399">
        <v>1</v>
      </c>
      <c r="M160" s="484"/>
      <c r="N160" s="393">
        <f t="shared" ref="N160:N167" si="19">SUM(J160,L160, M160)</f>
        <v>1</v>
      </c>
      <c r="O160" s="478">
        <f>K160/$E$133</f>
        <v>0</v>
      </c>
      <c r="P160" s="419" t="s">
        <v>9</v>
      </c>
      <c r="Q160" s="391">
        <v>331</v>
      </c>
      <c r="R160" s="418"/>
    </row>
    <row r="161" spans="1:18" x14ac:dyDescent="0.25">
      <c r="A161" s="142"/>
      <c r="B161" s="143"/>
      <c r="C161" s="143"/>
      <c r="D161" s="143"/>
      <c r="E161" s="143"/>
      <c r="F161" s="143"/>
      <c r="G161" s="144"/>
      <c r="H161" s="144"/>
      <c r="I161" s="191"/>
      <c r="J161" s="398"/>
      <c r="K161" s="398">
        <v>8</v>
      </c>
      <c r="L161" s="399"/>
      <c r="M161" s="484">
        <v>2</v>
      </c>
      <c r="N161" s="393">
        <f t="shared" si="19"/>
        <v>2</v>
      </c>
      <c r="O161" s="478">
        <f t="shared" ref="O161:O171" si="20">K161/$E$133</f>
        <v>4.0899795501022499E-3</v>
      </c>
      <c r="P161" s="420" t="s">
        <v>93</v>
      </c>
      <c r="Q161" s="378">
        <v>265</v>
      </c>
      <c r="R161" s="418"/>
    </row>
    <row r="162" spans="1:18" x14ac:dyDescent="0.25">
      <c r="A162" s="142"/>
      <c r="B162" s="143"/>
      <c r="C162" s="143"/>
      <c r="D162" s="143"/>
      <c r="E162" s="143"/>
      <c r="F162" s="143"/>
      <c r="G162" s="144"/>
      <c r="H162" s="144"/>
      <c r="I162" s="191"/>
      <c r="J162" s="397"/>
      <c r="K162" s="397">
        <v>2</v>
      </c>
      <c r="L162" s="399"/>
      <c r="M162" s="484"/>
      <c r="N162" s="393">
        <f t="shared" si="19"/>
        <v>0</v>
      </c>
      <c r="O162" s="478">
        <f t="shared" si="20"/>
        <v>1.0224948875255625E-3</v>
      </c>
      <c r="P162" s="419" t="s">
        <v>91</v>
      </c>
      <c r="Q162" s="391">
        <v>159</v>
      </c>
      <c r="R162" s="421" t="s">
        <v>303</v>
      </c>
    </row>
    <row r="163" spans="1:18" x14ac:dyDescent="0.25">
      <c r="A163" s="142"/>
      <c r="B163" s="143"/>
      <c r="C163" s="143"/>
      <c r="D163" s="143"/>
      <c r="E163" s="143"/>
      <c r="F163" s="143"/>
      <c r="G163" s="144"/>
      <c r="H163" s="144"/>
      <c r="I163" s="191"/>
      <c r="J163" s="397"/>
      <c r="K163" s="397"/>
      <c r="L163" s="399"/>
      <c r="M163" s="484"/>
      <c r="N163" s="393">
        <f t="shared" si="19"/>
        <v>0</v>
      </c>
      <c r="O163" s="478">
        <f t="shared" si="20"/>
        <v>0</v>
      </c>
      <c r="P163" s="422" t="s">
        <v>197</v>
      </c>
      <c r="Q163" s="391">
        <v>73</v>
      </c>
      <c r="R163" s="421"/>
    </row>
    <row r="164" spans="1:18" x14ac:dyDescent="0.25">
      <c r="A164" s="142"/>
      <c r="B164" s="143"/>
      <c r="C164" s="143"/>
      <c r="D164" s="143"/>
      <c r="E164" s="143"/>
      <c r="F164" s="143"/>
      <c r="G164" s="144"/>
      <c r="H164" s="144"/>
      <c r="I164" s="191"/>
      <c r="J164" s="397"/>
      <c r="K164" s="397"/>
      <c r="L164" s="399"/>
      <c r="M164" s="484"/>
      <c r="N164" s="393">
        <f t="shared" si="19"/>
        <v>0</v>
      </c>
      <c r="O164" s="478">
        <f t="shared" si="20"/>
        <v>0</v>
      </c>
      <c r="P164" s="422" t="s">
        <v>34</v>
      </c>
      <c r="Q164" s="391">
        <v>65</v>
      </c>
      <c r="R164" s="421"/>
    </row>
    <row r="165" spans="1:18" x14ac:dyDescent="0.25">
      <c r="A165" s="142"/>
      <c r="B165" s="143"/>
      <c r="C165" s="143"/>
      <c r="D165" s="143"/>
      <c r="E165" s="143"/>
      <c r="F165" s="143"/>
      <c r="G165" s="144"/>
      <c r="H165" s="144"/>
      <c r="I165" s="191"/>
      <c r="J165" s="397"/>
      <c r="K165" s="397"/>
      <c r="L165" s="399"/>
      <c r="M165" s="484"/>
      <c r="N165" s="393">
        <f t="shared" si="19"/>
        <v>0</v>
      </c>
      <c r="O165" s="478">
        <f t="shared" si="20"/>
        <v>0</v>
      </c>
      <c r="P165" s="420" t="s">
        <v>79</v>
      </c>
      <c r="Q165" s="378">
        <v>46</v>
      </c>
      <c r="R165" s="418"/>
    </row>
    <row r="166" spans="1:18" x14ac:dyDescent="0.25">
      <c r="A166" s="142"/>
      <c r="B166" s="143"/>
      <c r="C166" s="143"/>
      <c r="D166" s="143"/>
      <c r="E166" s="143"/>
      <c r="F166" s="143"/>
      <c r="G166" s="144"/>
      <c r="H166" s="144"/>
      <c r="I166" s="191"/>
      <c r="J166" s="398"/>
      <c r="K166" s="398">
        <v>54</v>
      </c>
      <c r="L166" s="399">
        <v>10</v>
      </c>
      <c r="M166" s="484"/>
      <c r="N166" s="393">
        <f t="shared" si="19"/>
        <v>10</v>
      </c>
      <c r="O166" s="478">
        <f t="shared" si="20"/>
        <v>2.7607361963190184E-2</v>
      </c>
      <c r="P166" s="419" t="s">
        <v>92</v>
      </c>
      <c r="Q166" s="391">
        <v>159</v>
      </c>
      <c r="R166" s="421"/>
    </row>
    <row r="167" spans="1:18" x14ac:dyDescent="0.25">
      <c r="A167" s="142"/>
      <c r="B167" s="143"/>
      <c r="C167" s="143"/>
      <c r="D167" s="143"/>
      <c r="E167" s="143"/>
      <c r="F167" s="143"/>
      <c r="G167" s="144"/>
      <c r="H167" s="144"/>
      <c r="I167" s="191"/>
      <c r="J167" s="397"/>
      <c r="K167" s="397">
        <v>15</v>
      </c>
      <c r="L167" s="399">
        <v>3</v>
      </c>
      <c r="M167" s="484"/>
      <c r="N167" s="393">
        <f t="shared" si="19"/>
        <v>3</v>
      </c>
      <c r="O167" s="478">
        <f t="shared" si="20"/>
        <v>7.6687116564417178E-3</v>
      </c>
      <c r="P167" s="419" t="s">
        <v>89</v>
      </c>
      <c r="Q167" s="391">
        <v>159</v>
      </c>
      <c r="R167" s="418"/>
    </row>
    <row r="168" spans="1:18" x14ac:dyDescent="0.25">
      <c r="A168" s="142"/>
      <c r="B168" s="143"/>
      <c r="C168" s="143"/>
      <c r="D168" s="143"/>
      <c r="E168" s="143"/>
      <c r="F168" s="143"/>
      <c r="G168" s="144"/>
      <c r="H168" s="144"/>
      <c r="I168" s="191"/>
      <c r="J168" s="397"/>
      <c r="K168" s="397">
        <v>3</v>
      </c>
      <c r="L168" s="399"/>
      <c r="M168" s="484">
        <v>1</v>
      </c>
      <c r="N168" s="393">
        <f>SUM(J168,L168, M168)</f>
        <v>1</v>
      </c>
      <c r="O168" s="478">
        <f t="shared" si="20"/>
        <v>1.5337423312883436E-3</v>
      </c>
      <c r="P168" s="423" t="s">
        <v>107</v>
      </c>
      <c r="Q168" s="382">
        <v>624</v>
      </c>
      <c r="R168" s="418"/>
    </row>
    <row r="169" spans="1:18" x14ac:dyDescent="0.25">
      <c r="A169" s="142"/>
      <c r="B169" s="143"/>
      <c r="C169" s="143"/>
      <c r="D169" s="143"/>
      <c r="E169" s="143"/>
      <c r="F169" s="143"/>
      <c r="G169" s="144"/>
      <c r="H169" s="144"/>
      <c r="I169" s="191"/>
      <c r="J169" s="397"/>
      <c r="K169" s="397"/>
      <c r="L169" s="399"/>
      <c r="M169" s="484"/>
      <c r="N169" s="393">
        <f t="shared" ref="N169:N172" si="21">SUM(J169,L169, M169)</f>
        <v>0</v>
      </c>
      <c r="O169" s="478">
        <f t="shared" si="20"/>
        <v>0</v>
      </c>
      <c r="P169" s="423" t="s">
        <v>198</v>
      </c>
      <c r="Q169" s="382">
        <v>159</v>
      </c>
      <c r="R169" s="418"/>
    </row>
    <row r="170" spans="1:18" x14ac:dyDescent="0.25">
      <c r="A170" s="142"/>
      <c r="B170" s="143"/>
      <c r="C170" s="143"/>
      <c r="D170" s="143"/>
      <c r="E170" s="143"/>
      <c r="F170" s="143"/>
      <c r="G170" s="144"/>
      <c r="H170" s="144"/>
      <c r="I170" s="191"/>
      <c r="J170" s="397"/>
      <c r="K170" s="397"/>
      <c r="L170" s="399"/>
      <c r="M170" s="484"/>
      <c r="N170" s="393">
        <f t="shared" si="21"/>
        <v>0</v>
      </c>
      <c r="O170" s="478">
        <f t="shared" si="20"/>
        <v>0</v>
      </c>
      <c r="P170" s="423" t="s">
        <v>199</v>
      </c>
      <c r="Q170" s="382">
        <v>159</v>
      </c>
      <c r="R170" s="348" t="s">
        <v>336</v>
      </c>
    </row>
    <row r="171" spans="1:18" x14ac:dyDescent="0.25">
      <c r="A171" s="142"/>
      <c r="B171" s="143"/>
      <c r="C171" s="143"/>
      <c r="D171" s="143"/>
      <c r="E171" s="143"/>
      <c r="F171" s="143"/>
      <c r="G171" s="144"/>
      <c r="H171" s="144"/>
      <c r="I171" s="191"/>
      <c r="J171" s="397"/>
      <c r="K171" s="397"/>
      <c r="L171" s="399"/>
      <c r="M171" s="484"/>
      <c r="N171" s="393">
        <f t="shared" si="21"/>
        <v>0</v>
      </c>
      <c r="O171" s="478">
        <f t="shared" si="20"/>
        <v>0</v>
      </c>
      <c r="P171" s="423" t="s">
        <v>304</v>
      </c>
      <c r="Q171" s="382">
        <v>159</v>
      </c>
      <c r="R171" s="348" t="s">
        <v>337</v>
      </c>
    </row>
    <row r="172" spans="1:18" ht="15.75" thickBot="1" x14ac:dyDescent="0.3">
      <c r="A172" s="142"/>
      <c r="B172" s="143"/>
      <c r="C172" s="143"/>
      <c r="D172" s="143"/>
      <c r="E172" s="143"/>
      <c r="F172" s="143"/>
      <c r="G172" s="144"/>
      <c r="H172" s="144"/>
      <c r="I172" s="191"/>
      <c r="J172" s="424"/>
      <c r="K172" s="424"/>
      <c r="L172" s="415"/>
      <c r="M172" s="425"/>
      <c r="N172" s="482">
        <f t="shared" si="21"/>
        <v>0</v>
      </c>
      <c r="O172" s="486">
        <f>K172/$E$133</f>
        <v>0</v>
      </c>
      <c r="P172" s="426" t="s">
        <v>167</v>
      </c>
      <c r="Q172" s="392">
        <v>159</v>
      </c>
      <c r="R172" s="418" t="s">
        <v>232</v>
      </c>
    </row>
    <row r="173" spans="1:18" ht="15.75" thickBot="1" x14ac:dyDescent="0.3">
      <c r="A173" s="142"/>
      <c r="B173" s="143"/>
      <c r="C173" s="143"/>
      <c r="D173" s="143"/>
      <c r="E173" s="143"/>
      <c r="F173" s="143"/>
      <c r="G173" s="144"/>
      <c r="H173" s="144"/>
      <c r="I173" s="192"/>
      <c r="J173" s="353"/>
      <c r="K173" s="353"/>
      <c r="L173" s="353"/>
      <c r="M173" s="354"/>
      <c r="N173" s="355"/>
      <c r="O173" s="355"/>
      <c r="P173" s="427" t="s">
        <v>189</v>
      </c>
      <c r="Q173" s="356"/>
      <c r="R173" s="348"/>
    </row>
    <row r="174" spans="1:18" x14ac:dyDescent="0.25">
      <c r="A174" s="142"/>
      <c r="B174" s="143"/>
      <c r="C174" s="143"/>
      <c r="D174" s="143"/>
      <c r="E174" s="143"/>
      <c r="F174" s="143"/>
      <c r="G174" s="144"/>
      <c r="H174" s="144"/>
      <c r="I174" s="192"/>
      <c r="J174" s="428">
        <v>3</v>
      </c>
      <c r="K174" s="428"/>
      <c r="L174" s="429"/>
      <c r="M174" s="430"/>
      <c r="N174" s="431">
        <f>SUM(J174,L174,M174)</f>
        <v>3</v>
      </c>
      <c r="O174" s="432">
        <f>N174/$E$133</f>
        <v>1.5337423312883436E-3</v>
      </c>
      <c r="P174" s="433" t="s">
        <v>70</v>
      </c>
      <c r="Q174" s="377">
        <v>388</v>
      </c>
      <c r="R174" s="348"/>
    </row>
    <row r="175" spans="1:18" x14ac:dyDescent="0.25">
      <c r="A175" s="142"/>
      <c r="B175" s="143"/>
      <c r="C175" s="143"/>
      <c r="D175" s="143"/>
      <c r="E175" s="143"/>
      <c r="F175" s="143"/>
      <c r="G175" s="144"/>
      <c r="H175" s="144"/>
      <c r="I175" s="192"/>
      <c r="J175" s="352">
        <v>4</v>
      </c>
      <c r="K175" s="357"/>
      <c r="L175" s="364"/>
      <c r="M175" s="434"/>
      <c r="N175" s="435">
        <v>0</v>
      </c>
      <c r="O175" s="436">
        <f>N175/$E$133</f>
        <v>0</v>
      </c>
      <c r="P175" s="413" t="s">
        <v>164</v>
      </c>
      <c r="Q175" s="378">
        <v>388</v>
      </c>
      <c r="R175" s="348"/>
    </row>
    <row r="176" spans="1:18" x14ac:dyDescent="0.25">
      <c r="A176" s="142"/>
      <c r="B176" s="143"/>
      <c r="C176" s="143"/>
      <c r="D176" s="143"/>
      <c r="E176" s="143"/>
      <c r="F176" s="143"/>
      <c r="G176" s="144"/>
      <c r="H176" s="144"/>
      <c r="I176" s="192"/>
      <c r="J176" s="352">
        <v>31</v>
      </c>
      <c r="K176" s="357"/>
      <c r="L176" s="364"/>
      <c r="M176" s="434"/>
      <c r="N176" s="435">
        <v>0</v>
      </c>
      <c r="O176" s="436">
        <f t="shared" ref="O176:O192" si="22">N176/$E$133</f>
        <v>0</v>
      </c>
      <c r="P176" s="413" t="s">
        <v>114</v>
      </c>
      <c r="Q176" s="378">
        <v>735</v>
      </c>
      <c r="R176" s="348"/>
    </row>
    <row r="177" spans="1:18" x14ac:dyDescent="0.25">
      <c r="A177" s="142"/>
      <c r="B177" s="143"/>
      <c r="C177" s="143"/>
      <c r="D177" s="143"/>
      <c r="E177" s="143"/>
      <c r="F177" s="143"/>
      <c r="G177" s="144"/>
      <c r="H177" s="144"/>
      <c r="I177" s="192"/>
      <c r="J177" s="352"/>
      <c r="K177" s="357"/>
      <c r="L177" s="364"/>
      <c r="M177" s="434"/>
      <c r="N177" s="435">
        <f t="shared" ref="N177:N178" si="23">SUM(J177,L177,M177)</f>
        <v>0</v>
      </c>
      <c r="O177" s="436">
        <f t="shared" si="22"/>
        <v>0</v>
      </c>
      <c r="P177" s="413" t="s">
        <v>262</v>
      </c>
      <c r="Q177" s="378">
        <v>46</v>
      </c>
      <c r="R177" s="348"/>
    </row>
    <row r="178" spans="1:18" x14ac:dyDescent="0.25">
      <c r="A178" s="142"/>
      <c r="B178" s="143"/>
      <c r="C178" s="143"/>
      <c r="D178" s="143"/>
      <c r="E178" s="143"/>
      <c r="F178" s="143"/>
      <c r="G178" s="144"/>
      <c r="H178" s="144"/>
      <c r="I178" s="145"/>
      <c r="J178" s="352"/>
      <c r="K178" s="357"/>
      <c r="L178" s="364"/>
      <c r="M178" s="434"/>
      <c r="N178" s="435">
        <f t="shared" si="23"/>
        <v>0</v>
      </c>
      <c r="O178" s="436">
        <f t="shared" si="22"/>
        <v>0</v>
      </c>
      <c r="P178" s="413" t="s">
        <v>166</v>
      </c>
      <c r="Q178" s="378">
        <v>736</v>
      </c>
      <c r="R178" s="348"/>
    </row>
    <row r="179" spans="1:18" x14ac:dyDescent="0.25">
      <c r="A179" s="142"/>
      <c r="B179" s="143"/>
      <c r="C179" s="143"/>
      <c r="D179" s="143"/>
      <c r="E179" s="143"/>
      <c r="F179" s="143"/>
      <c r="G179" s="144"/>
      <c r="H179" s="144"/>
      <c r="I179" s="145"/>
      <c r="J179" s="357"/>
      <c r="K179" s="357"/>
      <c r="L179" s="364"/>
      <c r="M179" s="434"/>
      <c r="N179" s="435">
        <f t="shared" ref="N179:N183" si="24">SUM(J179,L179,M179)</f>
        <v>0</v>
      </c>
      <c r="O179" s="436">
        <f t="shared" si="22"/>
        <v>0</v>
      </c>
      <c r="P179" s="413" t="s">
        <v>265</v>
      </c>
      <c r="Q179" s="378">
        <v>65</v>
      </c>
      <c r="R179" s="348"/>
    </row>
    <row r="180" spans="1:18" x14ac:dyDescent="0.25">
      <c r="A180" s="142"/>
      <c r="B180" s="143"/>
      <c r="C180" s="143"/>
      <c r="D180" s="143"/>
      <c r="E180" s="143"/>
      <c r="F180" s="143"/>
      <c r="G180" s="144"/>
      <c r="H180" s="144"/>
      <c r="I180" s="145"/>
      <c r="J180" s="357"/>
      <c r="K180" s="357"/>
      <c r="L180" s="364"/>
      <c r="M180" s="434"/>
      <c r="N180" s="435">
        <f t="shared" si="24"/>
        <v>0</v>
      </c>
      <c r="O180" s="436">
        <f t="shared" si="22"/>
        <v>0</v>
      </c>
      <c r="P180" s="413" t="s">
        <v>270</v>
      </c>
      <c r="Q180" s="378">
        <v>265</v>
      </c>
      <c r="R180" s="348"/>
    </row>
    <row r="181" spans="1:18" x14ac:dyDescent="0.25">
      <c r="A181" s="142"/>
      <c r="B181" s="143"/>
      <c r="C181" s="143"/>
      <c r="D181" s="143"/>
      <c r="E181" s="143"/>
      <c r="F181" s="143"/>
      <c r="G181" s="144"/>
      <c r="H181" s="144"/>
      <c r="I181" s="145"/>
      <c r="J181" s="357">
        <v>26</v>
      </c>
      <c r="K181" s="357"/>
      <c r="L181" s="364"/>
      <c r="M181" s="437"/>
      <c r="N181" s="435">
        <f t="shared" si="24"/>
        <v>26</v>
      </c>
      <c r="O181" s="436">
        <f t="shared" si="22"/>
        <v>1.3292433537832311E-2</v>
      </c>
      <c r="P181" s="411" t="s">
        <v>106</v>
      </c>
      <c r="Q181" s="378">
        <v>117</v>
      </c>
      <c r="R181" s="348"/>
    </row>
    <row r="182" spans="1:18" x14ac:dyDescent="0.25">
      <c r="A182" s="142"/>
      <c r="B182" s="143"/>
      <c r="C182" s="143"/>
      <c r="D182" s="143"/>
      <c r="E182" s="143"/>
      <c r="F182" s="143"/>
      <c r="G182" s="144"/>
      <c r="H182" s="144"/>
      <c r="I182" s="145"/>
      <c r="J182" s="357">
        <v>1</v>
      </c>
      <c r="K182" s="357"/>
      <c r="L182" s="364"/>
      <c r="M182" s="437"/>
      <c r="N182" s="435">
        <f t="shared" si="24"/>
        <v>1</v>
      </c>
      <c r="O182" s="436">
        <f t="shared" si="22"/>
        <v>5.1124744376278123E-4</v>
      </c>
      <c r="P182" s="413" t="s">
        <v>115</v>
      </c>
      <c r="Q182" s="378">
        <v>665</v>
      </c>
      <c r="R182" s="348"/>
    </row>
    <row r="183" spans="1:18" x14ac:dyDescent="0.25">
      <c r="A183" s="142"/>
      <c r="B183" s="143"/>
      <c r="C183" s="143"/>
      <c r="D183" s="143"/>
      <c r="E183" s="143"/>
      <c r="F183" s="143"/>
      <c r="G183" s="144"/>
      <c r="H183" s="144"/>
      <c r="I183" s="145"/>
      <c r="J183" s="357">
        <v>2</v>
      </c>
      <c r="K183" s="357"/>
      <c r="L183" s="364"/>
      <c r="M183" s="434"/>
      <c r="N183" s="435">
        <f t="shared" si="24"/>
        <v>2</v>
      </c>
      <c r="O183" s="436">
        <f t="shared" si="22"/>
        <v>1.0224948875255625E-3</v>
      </c>
      <c r="P183" s="413" t="s">
        <v>84</v>
      </c>
      <c r="Q183" s="378">
        <v>43</v>
      </c>
      <c r="R183" s="348"/>
    </row>
    <row r="184" spans="1:18" x14ac:dyDescent="0.25">
      <c r="A184" s="142"/>
      <c r="B184" s="143"/>
      <c r="C184" s="143"/>
      <c r="D184" s="143"/>
      <c r="E184" s="143"/>
      <c r="F184" s="143"/>
      <c r="G184" s="144"/>
      <c r="H184" s="144"/>
      <c r="I184" s="145"/>
      <c r="J184" s="357">
        <v>1</v>
      </c>
      <c r="K184" s="357"/>
      <c r="L184" s="364"/>
      <c r="M184" s="434"/>
      <c r="N184" s="435">
        <f t="shared" ref="N184" si="25">SUM(J184,L184,M184)</f>
        <v>1</v>
      </c>
      <c r="O184" s="436">
        <f t="shared" si="22"/>
        <v>5.1124744376278123E-4</v>
      </c>
      <c r="P184" s="413" t="s">
        <v>25</v>
      </c>
      <c r="Q184" s="378">
        <v>164</v>
      </c>
      <c r="R184" s="348"/>
    </row>
    <row r="185" spans="1:18" x14ac:dyDescent="0.25">
      <c r="A185" s="142"/>
      <c r="B185" s="143"/>
      <c r="C185" s="143"/>
      <c r="D185" s="143"/>
      <c r="E185" s="143"/>
      <c r="F185" s="143"/>
      <c r="G185" s="144"/>
      <c r="H185" s="144" t="s">
        <v>321</v>
      </c>
      <c r="I185" s="145"/>
      <c r="J185" s="357">
        <v>4</v>
      </c>
      <c r="K185" s="357"/>
      <c r="L185" s="364"/>
      <c r="M185" s="434"/>
      <c r="N185" s="435">
        <v>0</v>
      </c>
      <c r="O185" s="436">
        <f t="shared" si="22"/>
        <v>0</v>
      </c>
      <c r="P185" s="413" t="s">
        <v>239</v>
      </c>
      <c r="Q185" s="378">
        <v>65</v>
      </c>
      <c r="R185" s="348"/>
    </row>
    <row r="186" spans="1:18" x14ac:dyDescent="0.25">
      <c r="A186" s="142"/>
      <c r="B186" s="143"/>
      <c r="C186" s="143"/>
      <c r="D186" s="143"/>
      <c r="E186" s="143"/>
      <c r="F186" s="143"/>
      <c r="G186" s="144"/>
      <c r="H186" s="144"/>
      <c r="I186" s="145"/>
      <c r="J186" s="357">
        <v>3</v>
      </c>
      <c r="K186" s="357"/>
      <c r="L186" s="364"/>
      <c r="M186" s="434"/>
      <c r="N186" s="435">
        <f t="shared" ref="N186:N187" si="26">SUM(J186,L186,M186)</f>
        <v>3</v>
      </c>
      <c r="O186" s="436">
        <f t="shared" si="22"/>
        <v>1.5337423312883436E-3</v>
      </c>
      <c r="P186" s="413" t="s">
        <v>240</v>
      </c>
      <c r="Q186" s="378">
        <v>65</v>
      </c>
      <c r="R186" s="348"/>
    </row>
    <row r="187" spans="1:18" x14ac:dyDescent="0.25">
      <c r="A187" s="142"/>
      <c r="B187" s="143"/>
      <c r="C187" s="143"/>
      <c r="D187" s="143"/>
      <c r="E187" s="143"/>
      <c r="F187" s="143"/>
      <c r="G187" s="144"/>
      <c r="H187" s="144"/>
      <c r="I187" s="145"/>
      <c r="J187" s="357"/>
      <c r="K187" s="357"/>
      <c r="L187" s="364"/>
      <c r="M187" s="434"/>
      <c r="N187" s="435">
        <f t="shared" si="26"/>
        <v>0</v>
      </c>
      <c r="O187" s="436">
        <f t="shared" si="22"/>
        <v>0</v>
      </c>
      <c r="P187" s="413" t="s">
        <v>305</v>
      </c>
      <c r="Q187" s="378">
        <v>65</v>
      </c>
      <c r="R187" s="348"/>
    </row>
    <row r="188" spans="1:18" x14ac:dyDescent="0.25">
      <c r="A188" s="142"/>
      <c r="B188" s="143"/>
      <c r="C188" s="143"/>
      <c r="D188" s="143"/>
      <c r="E188" s="143"/>
      <c r="F188" s="143"/>
      <c r="G188" s="144"/>
      <c r="H188" s="144"/>
      <c r="I188" s="145"/>
      <c r="J188" s="357">
        <v>3</v>
      </c>
      <c r="K188" s="357"/>
      <c r="L188" s="364"/>
      <c r="M188" s="434"/>
      <c r="N188" s="435">
        <v>0</v>
      </c>
      <c r="O188" s="436">
        <f t="shared" si="22"/>
        <v>0</v>
      </c>
      <c r="P188" s="419" t="s">
        <v>335</v>
      </c>
      <c r="Q188" s="378">
        <v>46</v>
      </c>
      <c r="R188" s="348"/>
    </row>
    <row r="189" spans="1:18" x14ac:dyDescent="0.25">
      <c r="A189" s="142"/>
      <c r="B189" s="143"/>
      <c r="C189" s="143"/>
      <c r="D189" s="143"/>
      <c r="E189" s="143"/>
      <c r="F189" s="143"/>
      <c r="G189" s="144"/>
      <c r="H189" s="144"/>
      <c r="I189" s="145"/>
      <c r="J189" s="357"/>
      <c r="K189" s="357"/>
      <c r="L189" s="364"/>
      <c r="M189" s="434"/>
      <c r="N189" s="435">
        <f t="shared" ref="N189:N190" si="27">SUM(J189,L189,M189)</f>
        <v>0</v>
      </c>
      <c r="O189" s="436">
        <f t="shared" si="22"/>
        <v>0</v>
      </c>
      <c r="P189" s="422" t="s">
        <v>91</v>
      </c>
      <c r="Q189" s="378">
        <v>159</v>
      </c>
      <c r="R189" s="348"/>
    </row>
    <row r="190" spans="1:18" x14ac:dyDescent="0.25">
      <c r="A190" s="142"/>
      <c r="B190" s="143"/>
      <c r="C190" s="143"/>
      <c r="D190" s="143"/>
      <c r="E190" s="143"/>
      <c r="F190" s="143"/>
      <c r="G190" s="144"/>
      <c r="H190" s="144"/>
      <c r="I190" s="145"/>
      <c r="J190" s="357"/>
      <c r="K190" s="357"/>
      <c r="L190" s="364"/>
      <c r="M190" s="434"/>
      <c r="N190" s="435">
        <f t="shared" si="27"/>
        <v>0</v>
      </c>
      <c r="O190" s="436">
        <f t="shared" si="22"/>
        <v>0</v>
      </c>
      <c r="P190" s="413" t="s">
        <v>202</v>
      </c>
      <c r="Q190" s="378">
        <v>639</v>
      </c>
      <c r="R190" s="348"/>
    </row>
    <row r="191" spans="1:18" x14ac:dyDescent="0.25">
      <c r="A191" s="142"/>
      <c r="B191" s="143"/>
      <c r="C191" s="143"/>
      <c r="D191" s="143"/>
      <c r="E191" s="143"/>
      <c r="F191" s="143"/>
      <c r="G191" s="144"/>
      <c r="H191" s="144"/>
      <c r="I191" s="145"/>
      <c r="J191" s="352">
        <v>11</v>
      </c>
      <c r="K191" s="357"/>
      <c r="L191" s="364"/>
      <c r="M191" s="434"/>
      <c r="N191" s="435">
        <v>0</v>
      </c>
      <c r="O191" s="436">
        <f t="shared" si="22"/>
        <v>0</v>
      </c>
      <c r="P191" s="413" t="s">
        <v>203</v>
      </c>
      <c r="Q191" s="378">
        <v>639</v>
      </c>
      <c r="R191" s="463"/>
    </row>
    <row r="192" spans="1:18" x14ac:dyDescent="0.25">
      <c r="A192" s="142"/>
      <c r="B192" s="143"/>
      <c r="C192" s="143"/>
      <c r="D192" s="143"/>
      <c r="E192" s="143"/>
      <c r="F192" s="143"/>
      <c r="G192" s="144"/>
      <c r="H192" s="144"/>
      <c r="I192" s="145"/>
      <c r="J192" s="352">
        <v>26</v>
      </c>
      <c r="K192" s="357"/>
      <c r="L192" s="364"/>
      <c r="M192" s="434"/>
      <c r="N192" s="435">
        <v>0</v>
      </c>
      <c r="O192" s="436">
        <f t="shared" si="22"/>
        <v>0</v>
      </c>
      <c r="P192" s="413" t="s">
        <v>204</v>
      </c>
      <c r="Q192" s="378">
        <v>639</v>
      </c>
      <c r="R192" s="348"/>
    </row>
    <row r="193" spans="1:18" ht="15.75" thickBot="1" x14ac:dyDescent="0.3">
      <c r="A193" s="150"/>
      <c r="B193" s="151"/>
      <c r="C193" s="151"/>
      <c r="D193" s="151"/>
      <c r="E193" s="151"/>
      <c r="F193" s="151"/>
      <c r="G193" s="152"/>
      <c r="H193" s="152"/>
      <c r="I193" s="153"/>
      <c r="J193" s="358"/>
      <c r="K193" s="358"/>
      <c r="L193" s="365"/>
      <c r="M193" s="438"/>
      <c r="N193" s="439">
        <f t="shared" ref="N193" si="28">SUM(J193,L193,M193)</f>
        <v>0</v>
      </c>
      <c r="O193" s="367">
        <f>N193/$E$133</f>
        <v>0</v>
      </c>
      <c r="P193" s="440" t="s">
        <v>79</v>
      </c>
      <c r="Q193" s="379">
        <v>46</v>
      </c>
      <c r="R193" s="359"/>
    </row>
    <row r="194" spans="1:18" ht="15.75" thickBot="1" x14ac:dyDescent="0.3">
      <c r="I194" s="154" t="s">
        <v>4</v>
      </c>
      <c r="J194" s="360">
        <f>SUM(J134:J193)</f>
        <v>159</v>
      </c>
      <c r="K194" s="360">
        <f>SUM(K134:K193)</f>
        <v>86</v>
      </c>
      <c r="L194" s="360">
        <f>SUM(L134:L193)</f>
        <v>17</v>
      </c>
      <c r="M194" s="360">
        <f>SUM(M134:M193)</f>
        <v>11</v>
      </c>
      <c r="N194" s="368">
        <f>SUM(N134:N172)</f>
        <v>72</v>
      </c>
      <c r="O194" s="366">
        <f>N194/$E$133</f>
        <v>3.6809815950920248E-2</v>
      </c>
      <c r="P194" s="361"/>
      <c r="Q194" s="361"/>
      <c r="R194" s="362"/>
    </row>
  </sheetData>
  <conditionalFormatting sqref="O42">
    <cfRule type="colorScale" priority="226">
      <colorScale>
        <cfvo type="min"/>
        <cfvo type="max"/>
        <color rgb="FFFCFCFF"/>
        <color rgb="FFF8696B"/>
      </colorScale>
    </cfRule>
  </conditionalFormatting>
  <conditionalFormatting sqref="O27">
    <cfRule type="colorScale" priority="230">
      <colorScale>
        <cfvo type="min"/>
        <cfvo type="max"/>
        <color rgb="FFFCFCFF"/>
        <color rgb="FFF8696B"/>
      </colorScale>
    </cfRule>
  </conditionalFormatting>
  <conditionalFormatting sqref="O3">
    <cfRule type="colorScale" priority="41">
      <colorScale>
        <cfvo type="min"/>
        <cfvo type="max"/>
        <color rgb="FFFCFCFF"/>
        <color rgb="FFF8696B"/>
      </colorScale>
    </cfRule>
  </conditionalFormatting>
  <conditionalFormatting sqref="O3">
    <cfRule type="colorScale" priority="40">
      <colorScale>
        <cfvo type="min"/>
        <cfvo type="max"/>
        <color rgb="FFFCFCFF"/>
        <color rgb="FFF8696B"/>
      </colorScale>
    </cfRule>
  </conditionalFormatting>
  <conditionalFormatting sqref="O3">
    <cfRule type="colorScale" priority="39">
      <colorScale>
        <cfvo type="min"/>
        <cfvo type="max"/>
        <color rgb="FFFCFCFF"/>
        <color rgb="FFF8696B"/>
      </colorScale>
    </cfRule>
  </conditionalFormatting>
  <conditionalFormatting sqref="O29:O41">
    <cfRule type="colorScale" priority="38">
      <colorScale>
        <cfvo type="min"/>
        <cfvo type="max"/>
        <color rgb="FFFCFCFF"/>
        <color rgb="FFF8696B"/>
      </colorScale>
    </cfRule>
  </conditionalFormatting>
  <conditionalFormatting sqref="O45:O63">
    <cfRule type="colorScale" priority="37">
      <colorScale>
        <cfvo type="min"/>
        <cfvo type="max"/>
        <color rgb="FFFCFCFF"/>
        <color rgb="FFF8696B"/>
      </colorScale>
    </cfRule>
  </conditionalFormatting>
  <conditionalFormatting sqref="O64">
    <cfRule type="colorScale" priority="36">
      <colorScale>
        <cfvo type="min"/>
        <cfvo type="max"/>
        <color rgb="FFFCFCFF"/>
        <color rgb="FFF8696B"/>
      </colorScale>
    </cfRule>
  </conditionalFormatting>
  <conditionalFormatting sqref="O4:O26">
    <cfRule type="colorScale" priority="42">
      <colorScale>
        <cfvo type="min"/>
        <cfvo type="max"/>
        <color rgb="FFFCFCFF"/>
        <color rgb="FFF8696B"/>
      </colorScale>
    </cfRule>
  </conditionalFormatting>
  <conditionalFormatting sqref="O44">
    <cfRule type="colorScale" priority="33">
      <colorScale>
        <cfvo type="min"/>
        <cfvo type="max"/>
        <color rgb="FFFCFCFF"/>
        <color rgb="FFF8696B"/>
      </colorScale>
    </cfRule>
  </conditionalFormatting>
  <conditionalFormatting sqref="O107">
    <cfRule type="colorScale" priority="19">
      <colorScale>
        <cfvo type="min"/>
        <cfvo type="max"/>
        <color rgb="FFFCFCFF"/>
        <color rgb="FFF8696B"/>
      </colorScale>
    </cfRule>
  </conditionalFormatting>
  <conditionalFormatting sqref="O92">
    <cfRule type="colorScale" priority="20">
      <colorScale>
        <cfvo type="min"/>
        <cfvo type="max"/>
        <color rgb="FFFCFCFF"/>
        <color rgb="FFF8696B"/>
      </colorScale>
    </cfRule>
  </conditionalFormatting>
  <conditionalFormatting sqref="O68">
    <cfRule type="colorScale" priority="17">
      <colorScale>
        <cfvo type="min"/>
        <cfvo type="max"/>
        <color rgb="FFFCFCFF"/>
        <color rgb="FFF8696B"/>
      </colorScale>
    </cfRule>
  </conditionalFormatting>
  <conditionalFormatting sqref="O68">
    <cfRule type="colorScale" priority="16">
      <colorScale>
        <cfvo type="min"/>
        <cfvo type="max"/>
        <color rgb="FFFCFCFF"/>
        <color rgb="FFF8696B"/>
      </colorScale>
    </cfRule>
  </conditionalFormatting>
  <conditionalFormatting sqref="O68">
    <cfRule type="colorScale" priority="15">
      <colorScale>
        <cfvo type="min"/>
        <cfvo type="max"/>
        <color rgb="FFFCFCFF"/>
        <color rgb="FFF8696B"/>
      </colorScale>
    </cfRule>
  </conditionalFormatting>
  <conditionalFormatting sqref="O94:O106">
    <cfRule type="colorScale" priority="14">
      <colorScale>
        <cfvo type="min"/>
        <cfvo type="max"/>
        <color rgb="FFFCFCFF"/>
        <color rgb="FFF8696B"/>
      </colorScale>
    </cfRule>
  </conditionalFormatting>
  <conditionalFormatting sqref="O110:O128">
    <cfRule type="colorScale" priority="13">
      <colorScale>
        <cfvo type="min"/>
        <cfvo type="max"/>
        <color rgb="FFFCFCFF"/>
        <color rgb="FFF8696B"/>
      </colorScale>
    </cfRule>
  </conditionalFormatting>
  <conditionalFormatting sqref="O129">
    <cfRule type="colorScale" priority="12">
      <colorScale>
        <cfvo type="min"/>
        <cfvo type="max"/>
        <color rgb="FFFCFCFF"/>
        <color rgb="FFF8696B"/>
      </colorScale>
    </cfRule>
  </conditionalFormatting>
  <conditionalFormatting sqref="O69:O91">
    <cfRule type="colorScale" priority="18">
      <colorScale>
        <cfvo type="min"/>
        <cfvo type="max"/>
        <color rgb="FFFCFCFF"/>
        <color rgb="FFF8696B"/>
      </colorScale>
    </cfRule>
  </conditionalFormatting>
  <conditionalFormatting sqref="O109">
    <cfRule type="colorScale" priority="11">
      <colorScale>
        <cfvo type="min"/>
        <cfvo type="max"/>
        <color rgb="FFFCFCFF"/>
        <color rgb="FFF8696B"/>
      </colorScale>
    </cfRule>
  </conditionalFormatting>
  <conditionalFormatting sqref="O172">
    <cfRule type="colorScale" priority="9">
      <colorScale>
        <cfvo type="min"/>
        <cfvo type="max"/>
        <color rgb="FFFCFCFF"/>
        <color rgb="FFF8696B"/>
      </colorScale>
    </cfRule>
  </conditionalFormatting>
  <conditionalFormatting sqref="O157">
    <cfRule type="colorScale" priority="10">
      <colorScale>
        <cfvo type="min"/>
        <cfvo type="max"/>
        <color rgb="FFFCFCFF"/>
        <color rgb="FFF8696B"/>
      </colorScale>
    </cfRule>
  </conditionalFormatting>
  <conditionalFormatting sqref="O133">
    <cfRule type="colorScale" priority="7">
      <colorScale>
        <cfvo type="min"/>
        <cfvo type="max"/>
        <color rgb="FFFCFCFF"/>
        <color rgb="FFF8696B"/>
      </colorScale>
    </cfRule>
  </conditionalFormatting>
  <conditionalFormatting sqref="O133">
    <cfRule type="colorScale" priority="6">
      <colorScale>
        <cfvo type="min"/>
        <cfvo type="max"/>
        <color rgb="FFFCFCFF"/>
        <color rgb="FFF8696B"/>
      </colorScale>
    </cfRule>
  </conditionalFormatting>
  <conditionalFormatting sqref="O133">
    <cfRule type="colorScale" priority="5">
      <colorScale>
        <cfvo type="min"/>
        <cfvo type="max"/>
        <color rgb="FFFCFCFF"/>
        <color rgb="FFF8696B"/>
      </colorScale>
    </cfRule>
  </conditionalFormatting>
  <conditionalFormatting sqref="O159:O171">
    <cfRule type="colorScale" priority="4">
      <colorScale>
        <cfvo type="min"/>
        <cfvo type="max"/>
        <color rgb="FFFCFCFF"/>
        <color rgb="FFF8696B"/>
      </colorScale>
    </cfRule>
  </conditionalFormatting>
  <conditionalFormatting sqref="O175:O193">
    <cfRule type="colorScale" priority="3">
      <colorScale>
        <cfvo type="min"/>
        <cfvo type="max"/>
        <color rgb="FFFCFCFF"/>
        <color rgb="FFF8696B"/>
      </colorScale>
    </cfRule>
  </conditionalFormatting>
  <conditionalFormatting sqref="O194">
    <cfRule type="colorScale" priority="2">
      <colorScale>
        <cfvo type="min"/>
        <cfvo type="max"/>
        <color rgb="FFFCFCFF"/>
        <color rgb="FFF8696B"/>
      </colorScale>
    </cfRule>
  </conditionalFormatting>
  <conditionalFormatting sqref="O134:O156">
    <cfRule type="colorScale" priority="8">
      <colorScale>
        <cfvo type="min"/>
        <cfvo type="max"/>
        <color rgb="FFFCFCFF"/>
        <color rgb="FFF8696B"/>
      </colorScale>
    </cfRule>
  </conditionalFormatting>
  <conditionalFormatting sqref="O174">
    <cfRule type="colorScale" priority="1">
      <colorScale>
        <cfvo type="min"/>
        <cfvo type="max"/>
        <color rgb="FFFCFCFF"/>
        <color rgb="FFF8696B"/>
      </colorScale>
    </cfRule>
  </conditionalFormatting>
  <pageMargins left="0.25" right="0.25" top="0.75" bottom="0.75" header="0.3" footer="0.3"/>
  <pageSetup scale="17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4">
    <pageSetUpPr fitToPage="1"/>
  </sheetPr>
  <dimension ref="A1:R30"/>
  <sheetViews>
    <sheetView showGridLines="0" zoomScaleNormal="100" workbookViewId="0">
      <selection activeCell="K38" sqref="K38"/>
    </sheetView>
  </sheetViews>
  <sheetFormatPr defaultColWidth="9.140625" defaultRowHeight="15" x14ac:dyDescent="0.25"/>
  <cols>
    <col min="1" max="4" width="10.7109375" style="23" customWidth="1"/>
    <col min="5" max="5" width="10.7109375" style="25" customWidth="1"/>
    <col min="6" max="8" width="10.7109375" style="23" customWidth="1"/>
    <col min="9" max="9" width="12.5703125" style="23" customWidth="1"/>
    <col min="10" max="13" width="10.7109375" style="23" customWidth="1"/>
    <col min="14" max="14" width="11.7109375" style="23" bestFit="1" customWidth="1"/>
    <col min="15" max="15" width="23.140625" style="23" customWidth="1"/>
    <col min="16" max="16" width="10.7109375" style="23" customWidth="1"/>
    <col min="17" max="17" width="6.7109375" style="23" customWidth="1"/>
    <col min="18" max="18" width="10.7109375" style="23" customWidth="1"/>
    <col min="19" max="16384" width="9.140625" style="23"/>
  </cols>
  <sheetData>
    <row r="1" spans="1:18" ht="54" customHeight="1" x14ac:dyDescent="0.25">
      <c r="A1" s="566" t="s">
        <v>103</v>
      </c>
      <c r="B1" s="566"/>
      <c r="C1" s="566"/>
      <c r="D1" s="566"/>
      <c r="E1" s="566"/>
      <c r="F1" s="566"/>
      <c r="G1" s="566"/>
      <c r="H1" s="566"/>
      <c r="I1" s="566"/>
      <c r="J1" s="566"/>
      <c r="K1" s="566"/>
      <c r="L1" s="566"/>
      <c r="M1" s="566"/>
      <c r="N1" s="566"/>
      <c r="O1" s="566"/>
      <c r="P1" s="566"/>
      <c r="Q1" s="566"/>
      <c r="R1" s="566"/>
    </row>
    <row r="3" spans="1:18" ht="26.25" customHeight="1" x14ac:dyDescent="0.25">
      <c r="O3" s="567" t="s">
        <v>49</v>
      </c>
      <c r="P3" s="568"/>
      <c r="Q3" s="568"/>
      <c r="R3" s="568"/>
    </row>
    <row r="4" spans="1:18" x14ac:dyDescent="0.25">
      <c r="O4" s="569" t="s">
        <v>20</v>
      </c>
      <c r="P4" s="570"/>
      <c r="Q4" s="571"/>
      <c r="R4" s="158" t="s">
        <v>24</v>
      </c>
    </row>
    <row r="5" spans="1:18" x14ac:dyDescent="0.25">
      <c r="O5" s="199" t="s">
        <v>15</v>
      </c>
      <c r="P5" s="200"/>
      <c r="Q5" s="201"/>
      <c r="R5" s="251">
        <f>SUMIF('EB230'!$P$1:$P$193,O5,'EB230'!$N$1:$N$193)</f>
        <v>65</v>
      </c>
    </row>
    <row r="6" spans="1:18" x14ac:dyDescent="0.25">
      <c r="O6" s="199" t="s">
        <v>106</v>
      </c>
      <c r="P6" s="200"/>
      <c r="Q6" s="201"/>
      <c r="R6" s="251">
        <f>SUMIF('EB230'!$P$1:$P$193,O6,'EB230'!$N$1:$N$193)</f>
        <v>46</v>
      </c>
    </row>
    <row r="7" spans="1:18" x14ac:dyDescent="0.25">
      <c r="O7" s="199" t="s">
        <v>70</v>
      </c>
      <c r="P7" s="200"/>
      <c r="Q7" s="201"/>
      <c r="R7" s="251">
        <f>SUMIF('EB230'!$P$1:$P$193,O7,'EB230'!$N$1:$N$193)</f>
        <v>24</v>
      </c>
    </row>
    <row r="8" spans="1:18" x14ac:dyDescent="0.25">
      <c r="O8" s="199" t="s">
        <v>33</v>
      </c>
      <c r="P8" s="200"/>
      <c r="Q8" s="201"/>
      <c r="R8" s="251">
        <f>SUMIF('EB230'!$P$1:$P$193,O8,'EB230'!$N$1:$N$193)</f>
        <v>10</v>
      </c>
    </row>
    <row r="9" spans="1:18" x14ac:dyDescent="0.25">
      <c r="O9" s="199" t="s">
        <v>26</v>
      </c>
      <c r="P9" s="200"/>
      <c r="Q9" s="201"/>
      <c r="R9" s="251">
        <f>SUMIF('EB230'!$P$1:$P$193,O9,'EB230'!$N$1:$N$193)</f>
        <v>5</v>
      </c>
    </row>
    <row r="10" spans="1:18" x14ac:dyDescent="0.25">
      <c r="O10" s="199" t="s">
        <v>3</v>
      </c>
      <c r="P10" s="200"/>
      <c r="Q10" s="201"/>
      <c r="R10" s="251">
        <f>SUMIF('EB230'!$P$1:$P$193,O10,'EB230'!$N$1:$N$193)</f>
        <v>9</v>
      </c>
    </row>
    <row r="11" spans="1:18" x14ac:dyDescent="0.25">
      <c r="O11" s="199" t="s">
        <v>79</v>
      </c>
      <c r="P11" s="200"/>
      <c r="Q11" s="201"/>
      <c r="R11" s="251">
        <f>SUMIF('EB230'!$P$1:$P$193,O11,'EB230'!$N$1:$N$193)</f>
        <v>8</v>
      </c>
    </row>
    <row r="12" spans="1:18" x14ac:dyDescent="0.25">
      <c r="O12" s="199" t="s">
        <v>86</v>
      </c>
      <c r="P12" s="200"/>
      <c r="Q12" s="201"/>
      <c r="R12" s="251">
        <f>SUMIF('EB230'!$P$1:$P$193,O12,'EB230'!$N$1:$N$193)</f>
        <v>6</v>
      </c>
    </row>
    <row r="13" spans="1:18" x14ac:dyDescent="0.25">
      <c r="O13" s="199" t="s">
        <v>84</v>
      </c>
      <c r="P13" s="200"/>
      <c r="Q13" s="201"/>
      <c r="R13" s="251">
        <f>SUMIF('EB230'!$P$1:$P$193,O13,'EB230'!$N$1:$N$193)</f>
        <v>4</v>
      </c>
    </row>
    <row r="14" spans="1:18" x14ac:dyDescent="0.25">
      <c r="O14" s="199" t="s">
        <v>7</v>
      </c>
      <c r="P14" s="200"/>
      <c r="Q14" s="201"/>
      <c r="R14" s="251">
        <f>SUMIF('EB230'!$P$1:$P$193,O14,'EB230'!$N$1:$N$193)</f>
        <v>3</v>
      </c>
    </row>
    <row r="15" spans="1:18" x14ac:dyDescent="0.25">
      <c r="O15" s="199" t="s">
        <v>8</v>
      </c>
      <c r="P15" s="200"/>
      <c r="Q15" s="201"/>
      <c r="R15" s="251">
        <f>SUMIF('EB230'!$P$1:$P$193,O15,'EB230'!$N$1:$N$193)</f>
        <v>1</v>
      </c>
    </row>
    <row r="16" spans="1:18" x14ac:dyDescent="0.25">
      <c r="O16" s="199" t="s">
        <v>156</v>
      </c>
      <c r="P16" s="200"/>
      <c r="Q16" s="201"/>
      <c r="R16" s="251">
        <f>SUMIF('EB230'!$P$1:$P$193,O16,'EB230'!$N$1:$N$193)</f>
        <v>0</v>
      </c>
    </row>
    <row r="17" spans="1:18" x14ac:dyDescent="0.25">
      <c r="O17" s="199" t="s">
        <v>87</v>
      </c>
      <c r="P17" s="200"/>
      <c r="Q17" s="201"/>
      <c r="R17" s="251">
        <f>SUMIF('EB230'!$P$1:$P$193,O17,'EB230'!$N$1:$N$193)</f>
        <v>0</v>
      </c>
    </row>
    <row r="18" spans="1:18" x14ac:dyDescent="0.25">
      <c r="O18" s="199" t="s">
        <v>19</v>
      </c>
      <c r="P18" s="200"/>
      <c r="Q18" s="201"/>
      <c r="R18" s="251">
        <f>SUMIF('EB230'!$P$1:$P$193,O18,'EB230'!$N$1:$N$193)</f>
        <v>0</v>
      </c>
    </row>
    <row r="19" spans="1:18" x14ac:dyDescent="0.25">
      <c r="O19" s="199" t="s">
        <v>13</v>
      </c>
      <c r="P19" s="200"/>
      <c r="Q19" s="201"/>
      <c r="R19" s="251">
        <f>SUMIF('EB230'!$P$1:$P$193,O19,'EB230'!$N$1:$N$193)</f>
        <v>0</v>
      </c>
    </row>
    <row r="20" spans="1:18" x14ac:dyDescent="0.25">
      <c r="O20" s="199" t="s">
        <v>42</v>
      </c>
      <c r="P20" s="200"/>
      <c r="Q20" s="201"/>
      <c r="R20" s="251">
        <f>SUMIF('EB230'!$P$1:$P$193,O20,'EB230'!$N$1:$N$193)</f>
        <v>0</v>
      </c>
    </row>
    <row r="21" spans="1:18" ht="27.75" customHeight="1" x14ac:dyDescent="0.25">
      <c r="A21" s="575" t="s">
        <v>61</v>
      </c>
      <c r="B21" s="576"/>
      <c r="C21" s="576"/>
      <c r="D21" s="576"/>
      <c r="E21" s="577"/>
      <c r="O21" s="199" t="s">
        <v>45</v>
      </c>
      <c r="P21" s="200"/>
      <c r="Q21" s="201"/>
      <c r="R21" s="251">
        <f>SUMIF('EB230'!$P$1:$P$193,O21,'EB230'!$N$1:$N$193)</f>
        <v>0</v>
      </c>
    </row>
    <row r="22" spans="1:18" ht="19.5" customHeight="1" x14ac:dyDescent="0.25">
      <c r="A22" s="28" t="s">
        <v>22</v>
      </c>
      <c r="B22" s="28" t="s">
        <v>17</v>
      </c>
      <c r="C22" s="28" t="s">
        <v>16</v>
      </c>
      <c r="D22" s="28" t="s">
        <v>1</v>
      </c>
      <c r="E22" s="16" t="s">
        <v>23</v>
      </c>
      <c r="O22" s="199"/>
      <c r="P22" s="200"/>
      <c r="Q22" s="201"/>
      <c r="R22" s="251"/>
    </row>
    <row r="23" spans="1:18" x14ac:dyDescent="0.25">
      <c r="A23" s="323">
        <v>1526067</v>
      </c>
      <c r="B23" s="237">
        <f>VLOOKUP(Table14310[[#This Row],[Shop Order]],'EB230'!A:AE,5,FALSE)</f>
        <v>2065</v>
      </c>
      <c r="C23" s="237">
        <f>VLOOKUP(Table14310[[#This Row],[Shop Order]],'EB230'!A:AE,6,FALSE)</f>
        <v>1842</v>
      </c>
      <c r="D23" s="238">
        <f>VLOOKUP(Table14310[[#This Row],[Shop Order]],'EB230'!A:AE,7,FALSE)</f>
        <v>0.89200968523002422</v>
      </c>
      <c r="E23" s="239">
        <f>VLOOKUP(Table14310[[#This Row],[Shop Order]],'EB230'!A:AE,9,FALSE)</f>
        <v>45474</v>
      </c>
      <c r="O23" s="199"/>
      <c r="P23" s="200"/>
      <c r="Q23" s="201"/>
      <c r="R23" s="18"/>
    </row>
    <row r="24" spans="1:18" s="138" customFormat="1" x14ac:dyDescent="0.25">
      <c r="A24" s="323">
        <v>1528058</v>
      </c>
      <c r="B24" s="237">
        <f>VLOOKUP(Table14310[[#This Row],[Shop Order]],'EB230'!A:AE,5,FALSE)</f>
        <v>1952</v>
      </c>
      <c r="C24" s="237">
        <f>VLOOKUP(Table14310[[#This Row],[Shop Order]],'EB230'!A:AE,6,FALSE)</f>
        <v>1841</v>
      </c>
      <c r="D24" s="238">
        <f>VLOOKUP(Table14310[[#This Row],[Shop Order]],'EB230'!A:AE,7,FALSE)</f>
        <v>0.94313524590163933</v>
      </c>
      <c r="E24" s="239">
        <f>VLOOKUP(Table14310[[#This Row],[Shop Order]],'EB230'!A:AE,9,FALSE)</f>
        <v>45490</v>
      </c>
      <c r="F24" s="137"/>
      <c r="O24" s="199"/>
      <c r="P24" s="200"/>
      <c r="Q24" s="201"/>
      <c r="R24" s="18"/>
    </row>
    <row r="25" spans="1:18" s="138" customFormat="1" x14ac:dyDescent="0.25">
      <c r="A25" s="324">
        <v>1529061</v>
      </c>
      <c r="B25" s="237">
        <f>VLOOKUP(Table14310[[#This Row],[Shop Order]],'EB230'!A:AE,5,FALSE)</f>
        <v>1956</v>
      </c>
      <c r="C25" s="237">
        <f>VLOOKUP(Table14310[[#This Row],[Shop Order]],'EB230'!A:AE,6,FALSE)</f>
        <v>1848</v>
      </c>
      <c r="D25" s="238">
        <f>VLOOKUP(Table14310[[#This Row],[Shop Order]],'EB230'!A:AE,7,FALSE)</f>
        <v>0.94478527607361962</v>
      </c>
      <c r="E25" s="239">
        <f>VLOOKUP(Table14310[[#This Row],[Shop Order]],'EB230'!A:AE,9,FALSE)</f>
        <v>45503</v>
      </c>
      <c r="O25" s="199"/>
      <c r="P25" s="200"/>
      <c r="Q25" s="201"/>
      <c r="R25" s="18"/>
    </row>
    <row r="26" spans="1:18" s="138" customFormat="1" x14ac:dyDescent="0.25">
      <c r="A26" s="323"/>
      <c r="B26" s="237" t="e">
        <f>VLOOKUP(Table14310[[#This Row],[Shop Order]],'EB230'!A:AE,5,FALSE)</f>
        <v>#N/A</v>
      </c>
      <c r="C26" s="237" t="e">
        <f>VLOOKUP(Table14310[[#This Row],[Shop Order]],'EB230'!A:AE,6,FALSE)</f>
        <v>#N/A</v>
      </c>
      <c r="D26" s="238" t="e">
        <f>VLOOKUP(Table14310[[#This Row],[Shop Order]],'EB230'!A:AE,7,FALSE)</f>
        <v>#N/A</v>
      </c>
      <c r="E26" s="239" t="e">
        <f>VLOOKUP(Table14310[[#This Row],[Shop Order]],'EB230'!A:AE,9,FALSE)</f>
        <v>#N/A</v>
      </c>
      <c r="O26" s="199"/>
      <c r="P26" s="200"/>
      <c r="Q26" s="201"/>
      <c r="R26" s="18"/>
    </row>
    <row r="27" spans="1:18" x14ac:dyDescent="0.25">
      <c r="A27" s="323"/>
      <c r="B27" s="237" t="e">
        <f>VLOOKUP(Table14310[[#This Row],[Shop Order]],'EB230'!A:AE,5,FALSE)</f>
        <v>#N/A</v>
      </c>
      <c r="C27" s="237" t="e">
        <f>VLOOKUP(Table14310[[#This Row],[Shop Order]],'EB230'!A:AE,6,FALSE)</f>
        <v>#N/A</v>
      </c>
      <c r="D27" s="238" t="e">
        <f>VLOOKUP(Table14310[[#This Row],[Shop Order]],'EB230'!A:AE,7,FALSE)</f>
        <v>#N/A</v>
      </c>
      <c r="E27" s="239" t="e">
        <f>VLOOKUP(Table14310[[#This Row],[Shop Order]],'EB230'!A:AE,9,FALSE)</f>
        <v>#N/A</v>
      </c>
      <c r="F27" s="138"/>
      <c r="O27" s="199"/>
      <c r="P27" s="200"/>
      <c r="Q27" s="201"/>
      <c r="R27" s="18"/>
    </row>
    <row r="28" spans="1:18" x14ac:dyDescent="0.25">
      <c r="A28" s="323"/>
      <c r="B28" s="237" t="e">
        <f>VLOOKUP(Table14310[[#This Row],[Shop Order]],'EB230'!A:AE,5,FALSE)</f>
        <v>#N/A</v>
      </c>
      <c r="C28" s="237" t="e">
        <f>VLOOKUP(Table14310[[#This Row],[Shop Order]],'EB230'!A:AE,6,FALSE)</f>
        <v>#N/A</v>
      </c>
      <c r="D28" s="238" t="e">
        <f>VLOOKUP(Table14310[[#This Row],[Shop Order]],'EB230'!A:AE,7,FALSE)</f>
        <v>#N/A</v>
      </c>
      <c r="E28" s="239" t="e">
        <f>VLOOKUP(Table14310[[#This Row],[Shop Order]],'EB230'!A:AE,9,FALSE)</f>
        <v>#N/A</v>
      </c>
      <c r="F28" s="138"/>
      <c r="O28" s="199"/>
      <c r="P28" s="200"/>
      <c r="Q28" s="201"/>
      <c r="R28" s="18"/>
    </row>
    <row r="29" spans="1:18" ht="15.75" thickBot="1" x14ac:dyDescent="0.3">
      <c r="A29" s="323"/>
      <c r="B29" s="130" t="e">
        <f>VLOOKUP(Table14310[[#This Row],[Shop Order]],'EB230'!A:AE,5,FALSE)</f>
        <v>#N/A</v>
      </c>
      <c r="C29" s="130" t="e">
        <f>VLOOKUP(Table14310[[#This Row],[Shop Order]],'EB230'!A:AE,6,FALSE)</f>
        <v>#N/A</v>
      </c>
      <c r="D29" s="131" t="e">
        <f>VLOOKUP(Table14310[[#This Row],[Shop Order]],'EB230'!A:AE,7,FALSE)</f>
        <v>#N/A</v>
      </c>
      <c r="E29" s="132" t="e">
        <f>VLOOKUP(Table14310[[#This Row],[Shop Order]],'EB230'!A:AE,9,FALSE)</f>
        <v>#N/A</v>
      </c>
      <c r="F29" s="138"/>
      <c r="O29" s="199"/>
      <c r="P29" s="200"/>
      <c r="Q29" s="201"/>
      <c r="R29" s="18"/>
    </row>
    <row r="30" spans="1:18" ht="15.75" thickBot="1" x14ac:dyDescent="0.3">
      <c r="A30" s="572" t="s">
        <v>48</v>
      </c>
      <c r="B30" s="573"/>
      <c r="C30" s="574"/>
      <c r="D30" s="75">
        <f>AVERAGE(D23)</f>
        <v>0.89200968523002422</v>
      </c>
      <c r="E30" s="26"/>
      <c r="O30" s="199"/>
      <c r="P30" s="200"/>
      <c r="Q30" s="201"/>
      <c r="R30" s="18"/>
    </row>
  </sheetData>
  <autoFilter ref="O4:R4" xr:uid="{00000000-0009-0000-0000-000011000000}">
    <filterColumn colId="0" showButton="0"/>
    <filterColumn colId="1" showButton="0"/>
    <sortState xmlns:xlrd2="http://schemas.microsoft.com/office/spreadsheetml/2017/richdata2" ref="O5:R21">
      <sortCondition descending="1" ref="R4"/>
    </sortState>
  </autoFilter>
  <sortState xmlns:xlrd2="http://schemas.microsoft.com/office/spreadsheetml/2017/richdata2" ref="O5:R21">
    <sortCondition descending="1" ref="R5:R21"/>
  </sortState>
  <dataConsolidate/>
  <mergeCells count="5">
    <mergeCell ref="A1:R1"/>
    <mergeCell ref="O3:R3"/>
    <mergeCell ref="O4:Q4"/>
    <mergeCell ref="A21:E21"/>
    <mergeCell ref="A30:C30"/>
  </mergeCells>
  <pageMargins left="0" right="0" top="0.75" bottom="0.75" header="0.3" footer="0.3"/>
  <pageSetup scale="70" orientation="landscape" r:id="rId1"/>
  <ignoredErrors>
    <ignoredError sqref="F29" calculatedColumn="1"/>
  </ignoredErrors>
  <drawing r:id="rId2"/>
  <tableParts count="1">
    <tablePart r:id="rId3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7">
    <pageSetUpPr fitToPage="1"/>
  </sheetPr>
  <dimension ref="A1:Y203"/>
  <sheetViews>
    <sheetView topLeftCell="A115" zoomScale="70" zoomScaleNormal="70" workbookViewId="0">
      <selection activeCell="E124" sqref="E124"/>
    </sheetView>
  </sheetViews>
  <sheetFormatPr defaultColWidth="9.140625" defaultRowHeight="15" x14ac:dyDescent="0.25"/>
  <cols>
    <col min="1" max="1" width="13.140625" style="11" bestFit="1" customWidth="1"/>
    <col min="2" max="2" width="11.7109375" style="11" customWidth="1"/>
    <col min="3" max="3" width="6.5703125" style="11" bestFit="1" customWidth="1"/>
    <col min="4" max="4" width="8.28515625" style="11" bestFit="1" customWidth="1"/>
    <col min="5" max="5" width="8" style="11" customWidth="1"/>
    <col min="6" max="6" width="11.140625" style="11" bestFit="1" customWidth="1"/>
    <col min="7" max="7" width="12.7109375" style="15" bestFit="1" customWidth="1"/>
    <col min="8" max="8" width="14.42578125" style="3" customWidth="1"/>
    <col min="9" max="9" width="15.140625" style="3" customWidth="1"/>
    <col min="10" max="11" width="10.7109375" style="3" customWidth="1"/>
    <col min="12" max="12" width="10.7109375" style="5" customWidth="1"/>
    <col min="13" max="14" width="10.7109375" style="11" customWidth="1"/>
    <col min="15" max="15" width="10.7109375" style="2" customWidth="1"/>
    <col min="16" max="19" width="10.7109375" style="11" customWidth="1"/>
    <col min="20" max="20" width="14.28515625" style="11" bestFit="1" customWidth="1"/>
    <col min="21" max="21" width="14.7109375" style="11" customWidth="1"/>
    <col min="22" max="22" width="8.42578125" style="11" customWidth="1"/>
    <col min="23" max="23" width="12" style="11" bestFit="1" customWidth="1"/>
    <col min="24" max="24" width="41.140625" style="11" bestFit="1" customWidth="1"/>
    <col min="25" max="25" width="47" style="11" bestFit="1" customWidth="1"/>
    <col min="26" max="16384" width="9.140625" style="11"/>
  </cols>
  <sheetData>
    <row r="1" spans="1:25" ht="15.75" thickBot="1" x14ac:dyDescent="0.3"/>
    <row r="2" spans="1:25" ht="60.75" thickBot="1" x14ac:dyDescent="0.3">
      <c r="A2" s="43" t="s">
        <v>22</v>
      </c>
      <c r="B2" s="43" t="s">
        <v>46</v>
      </c>
      <c r="C2" s="43" t="s">
        <v>51</v>
      </c>
      <c r="D2" s="43" t="s">
        <v>17</v>
      </c>
      <c r="E2" s="42" t="s">
        <v>16</v>
      </c>
      <c r="F2" s="44" t="s">
        <v>1</v>
      </c>
      <c r="G2" s="45" t="s">
        <v>23</v>
      </c>
      <c r="H2" s="76" t="s">
        <v>65</v>
      </c>
      <c r="I2" s="46" t="s">
        <v>66</v>
      </c>
      <c r="J2" s="46" t="s">
        <v>52</v>
      </c>
      <c r="K2" s="46" t="s">
        <v>57</v>
      </c>
      <c r="L2" s="46" t="s">
        <v>53</v>
      </c>
      <c r="M2" s="46" t="s">
        <v>58</v>
      </c>
      <c r="N2" s="46" t="s">
        <v>54</v>
      </c>
      <c r="O2" s="46" t="s">
        <v>59</v>
      </c>
      <c r="P2" s="46" t="s">
        <v>55</v>
      </c>
      <c r="Q2" s="46" t="s">
        <v>62</v>
      </c>
      <c r="R2" s="46" t="s">
        <v>56</v>
      </c>
      <c r="S2" s="46" t="s">
        <v>63</v>
      </c>
      <c r="T2" s="46" t="s">
        <v>112</v>
      </c>
      <c r="U2" s="46" t="s">
        <v>40</v>
      </c>
      <c r="V2" s="46" t="s">
        <v>4</v>
      </c>
      <c r="W2" s="42" t="s">
        <v>2</v>
      </c>
      <c r="X2" s="33" t="s">
        <v>20</v>
      </c>
      <c r="Y2" s="32" t="s">
        <v>6</v>
      </c>
    </row>
    <row r="3" spans="1:25" ht="15.75" thickBot="1" x14ac:dyDescent="0.3">
      <c r="A3" s="73">
        <v>1527167</v>
      </c>
      <c r="B3" s="73" t="s">
        <v>271</v>
      </c>
      <c r="C3" s="312">
        <v>576</v>
      </c>
      <c r="D3" s="312">
        <v>609</v>
      </c>
      <c r="E3" s="312">
        <v>567</v>
      </c>
      <c r="F3" s="313">
        <f>E3/D3</f>
        <v>0.93103448275862066</v>
      </c>
      <c r="G3" s="48">
        <v>45470</v>
      </c>
      <c r="H3" s="82"/>
      <c r="I3" s="83"/>
      <c r="J3" s="83"/>
      <c r="K3" s="83"/>
      <c r="L3" s="83"/>
      <c r="M3" s="83"/>
      <c r="N3" s="83"/>
      <c r="O3" s="83"/>
      <c r="P3" s="83"/>
      <c r="Q3" s="83"/>
      <c r="R3" s="83"/>
      <c r="S3" s="84"/>
      <c r="T3" s="291"/>
      <c r="U3" s="115"/>
      <c r="V3" s="115"/>
      <c r="W3" s="84"/>
      <c r="X3" s="86" t="s">
        <v>74</v>
      </c>
      <c r="Y3" s="341" t="s">
        <v>69</v>
      </c>
    </row>
    <row r="4" spans="1:25" x14ac:dyDescent="0.25">
      <c r="A4" s="52"/>
      <c r="B4" s="260"/>
      <c r="C4" s="260"/>
      <c r="D4" s="260"/>
      <c r="E4" s="260"/>
      <c r="F4" s="260"/>
      <c r="G4" s="261"/>
      <c r="H4" s="257"/>
      <c r="I4" s="59">
        <v>6</v>
      </c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487">
        <f>SUM(H4,J4,L4,N4,P4,R4,U4,T4)</f>
        <v>0</v>
      </c>
      <c r="W4" s="490">
        <f>$V4/$D$3</f>
        <v>0</v>
      </c>
      <c r="X4" s="35" t="s">
        <v>219</v>
      </c>
      <c r="Y4" s="255"/>
    </row>
    <row r="5" spans="1:25" x14ac:dyDescent="0.25">
      <c r="A5" s="52"/>
      <c r="B5" s="260"/>
      <c r="C5" s="260"/>
      <c r="D5" s="260"/>
      <c r="E5" s="260"/>
      <c r="F5" s="260"/>
      <c r="G5" s="261"/>
      <c r="H5" s="262">
        <v>5</v>
      </c>
      <c r="I5" s="61"/>
      <c r="J5" s="61"/>
      <c r="K5" s="61"/>
      <c r="L5" s="61"/>
      <c r="M5" s="61"/>
      <c r="N5" s="66"/>
      <c r="O5" s="61"/>
      <c r="P5" s="61"/>
      <c r="Q5" s="61"/>
      <c r="R5" s="61"/>
      <c r="S5" s="61"/>
      <c r="T5" s="61"/>
      <c r="U5" s="61"/>
      <c r="V5" s="488">
        <f>SUM(H5,J5,L5,N5,P5,R5,U5,T5)</f>
        <v>5</v>
      </c>
      <c r="W5" s="491">
        <f t="shared" ref="W5:W24" si="0">$V5/$D$3</f>
        <v>8.2101806239737278E-3</v>
      </c>
      <c r="X5" s="196" t="s">
        <v>47</v>
      </c>
      <c r="Y5" s="255"/>
    </row>
    <row r="6" spans="1:25" x14ac:dyDescent="0.25">
      <c r="A6" s="52"/>
      <c r="B6" s="260"/>
      <c r="C6" s="260"/>
      <c r="D6" s="260"/>
      <c r="E6" s="260"/>
      <c r="F6" s="260"/>
      <c r="G6" s="261"/>
      <c r="H6" s="262">
        <v>2</v>
      </c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488">
        <f t="shared" ref="V6:V23" si="1">SUM(H6,J6,L6,N6,P6,R6,U6,T6)</f>
        <v>2</v>
      </c>
      <c r="W6" s="491">
        <f t="shared" si="0"/>
        <v>3.2840722495894909E-3</v>
      </c>
      <c r="X6" s="36" t="s">
        <v>15</v>
      </c>
      <c r="Y6" s="277"/>
    </row>
    <row r="7" spans="1:25" x14ac:dyDescent="0.25">
      <c r="A7" s="52"/>
      <c r="B7" s="260"/>
      <c r="C7" s="260"/>
      <c r="D7" s="260"/>
      <c r="E7" s="260"/>
      <c r="F7" s="260"/>
      <c r="G7" s="261"/>
      <c r="H7" s="262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488">
        <f t="shared" si="1"/>
        <v>0</v>
      </c>
      <c r="W7" s="491">
        <f t="shared" si="0"/>
        <v>0</v>
      </c>
      <c r="X7" s="489" t="s">
        <v>206</v>
      </c>
      <c r="Y7" s="277"/>
    </row>
    <row r="8" spans="1:25" x14ac:dyDescent="0.25">
      <c r="A8" s="52"/>
      <c r="B8" s="260"/>
      <c r="C8" s="260"/>
      <c r="D8" s="260"/>
      <c r="E8" s="260"/>
      <c r="F8" s="260"/>
      <c r="G8" s="261"/>
      <c r="H8" s="262"/>
      <c r="I8" s="61"/>
      <c r="J8" s="285"/>
      <c r="K8" s="285"/>
      <c r="L8" s="285"/>
      <c r="M8" s="61"/>
      <c r="N8" s="61"/>
      <c r="O8" s="61"/>
      <c r="P8" s="61"/>
      <c r="Q8" s="61"/>
      <c r="R8" s="61"/>
      <c r="S8" s="61"/>
      <c r="T8" s="61"/>
      <c r="U8" s="61"/>
      <c r="V8" s="488">
        <f t="shared" si="1"/>
        <v>0</v>
      </c>
      <c r="W8" s="491">
        <f t="shared" si="0"/>
        <v>0</v>
      </c>
      <c r="X8" s="489" t="s">
        <v>83</v>
      </c>
      <c r="Y8" s="277"/>
    </row>
    <row r="9" spans="1:25" x14ac:dyDescent="0.25">
      <c r="A9" s="52"/>
      <c r="B9" s="260"/>
      <c r="C9" s="260"/>
      <c r="D9" s="260"/>
      <c r="E9" s="260"/>
      <c r="F9" s="260"/>
      <c r="G9" s="261"/>
      <c r="H9" s="262"/>
      <c r="I9" s="61">
        <v>1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>
        <v>1</v>
      </c>
      <c r="V9" s="488">
        <f t="shared" si="1"/>
        <v>1</v>
      </c>
      <c r="W9" s="491">
        <f t="shared" si="0"/>
        <v>1.6420361247947454E-3</v>
      </c>
      <c r="X9" s="36" t="s">
        <v>13</v>
      </c>
      <c r="Y9" s="146"/>
    </row>
    <row r="10" spans="1:25" x14ac:dyDescent="0.25">
      <c r="A10" s="52"/>
      <c r="B10" s="260"/>
      <c r="C10" s="260"/>
      <c r="D10" s="260"/>
      <c r="E10" s="260"/>
      <c r="F10" s="260"/>
      <c r="G10" s="261"/>
      <c r="H10" s="262"/>
      <c r="I10" s="61">
        <v>2</v>
      </c>
      <c r="J10" s="61">
        <v>2</v>
      </c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>
        <v>1</v>
      </c>
      <c r="V10" s="488">
        <f t="shared" si="1"/>
        <v>3</v>
      </c>
      <c r="W10" s="491">
        <f t="shared" si="0"/>
        <v>4.9261083743842365E-3</v>
      </c>
      <c r="X10" s="36" t="s">
        <v>14</v>
      </c>
      <c r="Y10" s="259"/>
    </row>
    <row r="11" spans="1:25" x14ac:dyDescent="0.25">
      <c r="A11" s="52" t="s">
        <v>151</v>
      </c>
      <c r="B11" s="260"/>
      <c r="C11" s="260"/>
      <c r="D11" s="260"/>
      <c r="E11" s="260"/>
      <c r="F11" s="260"/>
      <c r="G11" s="261"/>
      <c r="H11" s="262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488">
        <f t="shared" si="1"/>
        <v>0</v>
      </c>
      <c r="W11" s="491">
        <f t="shared" si="0"/>
        <v>0</v>
      </c>
      <c r="X11" s="36" t="s">
        <v>7</v>
      </c>
      <c r="Y11" s="259"/>
    </row>
    <row r="12" spans="1:25" x14ac:dyDescent="0.25">
      <c r="A12" s="52"/>
      <c r="B12" s="260"/>
      <c r="C12" s="260" t="s">
        <v>98</v>
      </c>
      <c r="D12" s="260"/>
      <c r="E12" s="260"/>
      <c r="F12" s="260"/>
      <c r="G12" s="261"/>
      <c r="H12" s="262"/>
      <c r="I12" s="61">
        <v>1</v>
      </c>
      <c r="J12" s="61">
        <v>2</v>
      </c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488">
        <f t="shared" si="1"/>
        <v>2</v>
      </c>
      <c r="W12" s="491">
        <f t="shared" si="0"/>
        <v>3.2840722495894909E-3</v>
      </c>
      <c r="X12" s="36" t="s">
        <v>8</v>
      </c>
      <c r="Y12" s="286"/>
    </row>
    <row r="13" spans="1:25" x14ac:dyDescent="0.25">
      <c r="A13" s="52"/>
      <c r="B13" s="260"/>
      <c r="C13" s="260"/>
      <c r="D13" s="260"/>
      <c r="E13" s="260"/>
      <c r="F13" s="260"/>
      <c r="G13" s="261"/>
      <c r="H13" s="280"/>
      <c r="I13" s="61">
        <v>1</v>
      </c>
      <c r="J13" s="61">
        <v>1</v>
      </c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488">
        <f t="shared" si="1"/>
        <v>1</v>
      </c>
      <c r="W13" s="491">
        <f t="shared" si="0"/>
        <v>1.6420361247947454E-3</v>
      </c>
      <c r="X13" s="36" t="s">
        <v>67</v>
      </c>
      <c r="Y13" s="286"/>
    </row>
    <row r="14" spans="1:25" x14ac:dyDescent="0.25">
      <c r="A14" s="52"/>
      <c r="B14" s="260"/>
      <c r="C14" s="260"/>
      <c r="D14" s="260"/>
      <c r="E14" s="260"/>
      <c r="F14" s="260"/>
      <c r="G14" s="261"/>
      <c r="H14" s="280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488">
        <f t="shared" si="1"/>
        <v>0</v>
      </c>
      <c r="W14" s="491">
        <f t="shared" si="0"/>
        <v>0</v>
      </c>
      <c r="X14" s="36" t="s">
        <v>0</v>
      </c>
      <c r="Y14" s="287"/>
    </row>
    <row r="15" spans="1:25" x14ac:dyDescent="0.25">
      <c r="A15" s="52"/>
      <c r="B15" s="260"/>
      <c r="C15" s="260"/>
      <c r="D15" s="260"/>
      <c r="E15" s="260"/>
      <c r="F15" s="260"/>
      <c r="G15" s="261"/>
      <c r="H15" s="280"/>
      <c r="I15" s="61">
        <v>1</v>
      </c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488">
        <f t="shared" si="1"/>
        <v>0</v>
      </c>
      <c r="W15" s="491">
        <f t="shared" si="0"/>
        <v>0</v>
      </c>
      <c r="X15" s="36" t="s">
        <v>19</v>
      </c>
      <c r="Y15" s="287"/>
    </row>
    <row r="16" spans="1:25" x14ac:dyDescent="0.25">
      <c r="A16" s="52"/>
      <c r="B16" s="260"/>
      <c r="C16" s="260"/>
      <c r="D16" s="260"/>
      <c r="E16" s="260"/>
      <c r="F16" s="260" t="s">
        <v>98</v>
      </c>
      <c r="G16" s="261"/>
      <c r="H16" s="280"/>
      <c r="I16" s="61">
        <v>3</v>
      </c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488">
        <f t="shared" si="1"/>
        <v>0</v>
      </c>
      <c r="W16" s="491">
        <f t="shared" si="0"/>
        <v>0</v>
      </c>
      <c r="X16" s="36" t="s">
        <v>3</v>
      </c>
      <c r="Y16" s="287"/>
    </row>
    <row r="17" spans="1:25" x14ac:dyDescent="0.25">
      <c r="A17" s="298"/>
      <c r="B17" s="300"/>
      <c r="C17" s="300"/>
      <c r="D17" s="300"/>
      <c r="E17" s="300"/>
      <c r="F17" s="300"/>
      <c r="G17" s="299"/>
      <c r="H17" s="288"/>
      <c r="I17" s="61"/>
      <c r="J17" s="66"/>
      <c r="K17" s="66"/>
      <c r="L17" s="66"/>
      <c r="M17" s="61"/>
      <c r="N17" s="66"/>
      <c r="O17" s="66"/>
      <c r="P17" s="66"/>
      <c r="Q17" s="66"/>
      <c r="R17" s="66"/>
      <c r="S17" s="66"/>
      <c r="T17" s="66"/>
      <c r="U17" s="66"/>
      <c r="V17" s="488">
        <f t="shared" si="1"/>
        <v>0</v>
      </c>
      <c r="W17" s="491">
        <f t="shared" si="0"/>
        <v>0</v>
      </c>
      <c r="X17" s="36" t="s">
        <v>174</v>
      </c>
      <c r="Y17" s="287"/>
    </row>
    <row r="18" spans="1:25" x14ac:dyDescent="0.25">
      <c r="A18" s="298"/>
      <c r="B18" s="300"/>
      <c r="C18" s="300"/>
      <c r="D18" s="300"/>
      <c r="E18" s="300"/>
      <c r="F18" s="300"/>
      <c r="G18" s="299"/>
      <c r="H18" s="284"/>
      <c r="I18" s="61">
        <v>1</v>
      </c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488">
        <f t="shared" si="1"/>
        <v>0</v>
      </c>
      <c r="W18" s="491">
        <f t="shared" si="0"/>
        <v>0</v>
      </c>
      <c r="X18" s="196" t="s">
        <v>157</v>
      </c>
      <c r="Y18" s="287"/>
    </row>
    <row r="19" spans="1:25" x14ac:dyDescent="0.25">
      <c r="A19" s="52"/>
      <c r="B19" s="260"/>
      <c r="C19" s="260"/>
      <c r="D19" s="260"/>
      <c r="E19" s="260"/>
      <c r="F19" s="260"/>
      <c r="G19" s="56"/>
      <c r="H19" s="271"/>
      <c r="I19" s="271"/>
      <c r="J19" s="61"/>
      <c r="K19" s="61"/>
      <c r="L19" s="61"/>
      <c r="M19" s="271"/>
      <c r="N19" s="61"/>
      <c r="O19" s="61"/>
      <c r="P19" s="61"/>
      <c r="Q19" s="61"/>
      <c r="R19" s="61"/>
      <c r="S19" s="61"/>
      <c r="T19" s="61"/>
      <c r="U19" s="61">
        <v>1</v>
      </c>
      <c r="V19" s="488">
        <f t="shared" si="1"/>
        <v>1</v>
      </c>
      <c r="W19" s="491">
        <f t="shared" si="0"/>
        <v>1.6420361247947454E-3</v>
      </c>
      <c r="X19" s="196" t="s">
        <v>12</v>
      </c>
      <c r="Y19" s="289"/>
    </row>
    <row r="20" spans="1:25" x14ac:dyDescent="0.25">
      <c r="A20" s="52"/>
      <c r="B20" s="260"/>
      <c r="C20" s="260"/>
      <c r="D20" s="260"/>
      <c r="E20" s="260"/>
      <c r="F20" s="260"/>
      <c r="G20" s="56"/>
      <c r="H20" s="271"/>
      <c r="I20" s="61">
        <v>4</v>
      </c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>
        <v>1</v>
      </c>
      <c r="V20" s="488">
        <f t="shared" si="1"/>
        <v>1</v>
      </c>
      <c r="W20" s="491">
        <f t="shared" si="0"/>
        <v>1.6420361247947454E-3</v>
      </c>
      <c r="X20" s="36" t="s">
        <v>91</v>
      </c>
      <c r="Y20" s="147" t="s">
        <v>272</v>
      </c>
    </row>
    <row r="21" spans="1:25" x14ac:dyDescent="0.25">
      <c r="A21" s="52"/>
      <c r="B21" s="260"/>
      <c r="C21" s="260"/>
      <c r="D21" s="260"/>
      <c r="E21" s="260"/>
      <c r="F21" s="260"/>
      <c r="G21" s="261"/>
      <c r="H21" s="262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488">
        <f t="shared" si="1"/>
        <v>0</v>
      </c>
      <c r="W21" s="491">
        <f t="shared" si="0"/>
        <v>0</v>
      </c>
      <c r="X21" s="197" t="s">
        <v>26</v>
      </c>
      <c r="Y21" s="287"/>
    </row>
    <row r="22" spans="1:25" x14ac:dyDescent="0.25">
      <c r="A22" s="52"/>
      <c r="B22" s="260"/>
      <c r="C22" s="260"/>
      <c r="D22" s="260"/>
      <c r="E22" s="260"/>
      <c r="F22" s="260"/>
      <c r="G22" s="261"/>
      <c r="H22" s="262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488">
        <f t="shared" si="1"/>
        <v>0</v>
      </c>
      <c r="W22" s="491">
        <f t="shared" si="0"/>
        <v>0</v>
      </c>
      <c r="X22" s="36" t="s">
        <v>93</v>
      </c>
      <c r="Y22" s="287"/>
    </row>
    <row r="23" spans="1:25" x14ac:dyDescent="0.25">
      <c r="A23" s="52"/>
      <c r="B23" s="260"/>
      <c r="C23" s="260"/>
      <c r="D23" s="260"/>
      <c r="E23" s="260"/>
      <c r="F23" s="260" t="s">
        <v>98</v>
      </c>
      <c r="G23" s="261"/>
      <c r="H23" s="268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488">
        <f t="shared" si="1"/>
        <v>0</v>
      </c>
      <c r="W23" s="491">
        <f t="shared" si="0"/>
        <v>0</v>
      </c>
      <c r="X23" s="36" t="s">
        <v>211</v>
      </c>
      <c r="Y23" s="286"/>
    </row>
    <row r="24" spans="1:25" ht="15.75" thickBot="1" x14ac:dyDescent="0.3">
      <c r="A24" s="52"/>
      <c r="B24" s="260"/>
      <c r="C24" s="260"/>
      <c r="D24" s="260"/>
      <c r="E24" s="260"/>
      <c r="F24" s="260"/>
      <c r="G24" s="261"/>
      <c r="H24" s="268"/>
      <c r="I24" s="66">
        <v>1</v>
      </c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488">
        <f>SUM(H24,J24,L24,N24,P24,R24,U24,T24)</f>
        <v>0</v>
      </c>
      <c r="W24" s="492">
        <f t="shared" si="0"/>
        <v>0</v>
      </c>
      <c r="X24" s="197" t="s">
        <v>9</v>
      </c>
      <c r="Y24" s="287"/>
    </row>
    <row r="25" spans="1:25" ht="15.75" thickBot="1" x14ac:dyDescent="0.3">
      <c r="A25" s="52"/>
      <c r="B25" s="260"/>
      <c r="C25" s="260"/>
      <c r="D25" s="260"/>
      <c r="E25" s="260"/>
      <c r="F25" s="260"/>
      <c r="G25" s="261"/>
      <c r="H25" s="290"/>
      <c r="I25" s="166"/>
      <c r="J25" s="166"/>
      <c r="K25" s="166"/>
      <c r="L25" s="166"/>
      <c r="M25" s="166"/>
      <c r="N25" s="166"/>
      <c r="O25" s="166"/>
      <c r="P25" s="166"/>
      <c r="Q25" s="166"/>
      <c r="R25" s="166"/>
      <c r="S25" s="166"/>
      <c r="T25" s="166"/>
      <c r="U25" s="166"/>
      <c r="V25" s="291"/>
      <c r="W25" s="493"/>
      <c r="X25" s="74" t="s">
        <v>21</v>
      </c>
      <c r="Y25" s="287"/>
    </row>
    <row r="26" spans="1:25" x14ac:dyDescent="0.25">
      <c r="A26" s="52"/>
      <c r="B26" s="260"/>
      <c r="C26" s="260"/>
      <c r="D26" s="260"/>
      <c r="E26" s="260"/>
      <c r="F26" s="260"/>
      <c r="G26" s="261"/>
      <c r="H26" s="292">
        <v>3</v>
      </c>
      <c r="I26" s="62"/>
      <c r="J26" s="62"/>
      <c r="K26" s="62"/>
      <c r="L26" s="62"/>
      <c r="M26" s="62"/>
      <c r="N26" s="62"/>
      <c r="O26" s="62"/>
      <c r="P26" s="62"/>
      <c r="Q26" s="61"/>
      <c r="R26" s="62"/>
      <c r="S26" s="62"/>
      <c r="T26" s="62"/>
      <c r="U26" s="62"/>
      <c r="V26" s="488">
        <f t="shared" ref="V26:V39" si="2">SUM(H26,J26,L26,N26,P26,R26,U26)</f>
        <v>3</v>
      </c>
      <c r="W26" s="490">
        <f>$V26/$D$3</f>
        <v>4.9261083743842365E-3</v>
      </c>
      <c r="X26" s="495" t="s">
        <v>70</v>
      </c>
      <c r="Y26" s="287"/>
    </row>
    <row r="27" spans="1:25" x14ac:dyDescent="0.25">
      <c r="A27" s="52"/>
      <c r="B27" s="260"/>
      <c r="C27" s="260"/>
      <c r="D27" s="260"/>
      <c r="E27" s="260"/>
      <c r="F27" s="260"/>
      <c r="G27" s="261"/>
      <c r="H27" s="262">
        <v>11</v>
      </c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488">
        <f t="shared" si="2"/>
        <v>11</v>
      </c>
      <c r="W27" s="491">
        <f t="shared" ref="W27:W38" si="3">$V27/$D$3</f>
        <v>1.8062397372742199E-2</v>
      </c>
      <c r="X27" s="496" t="s">
        <v>25</v>
      </c>
      <c r="Y27" s="146"/>
    </row>
    <row r="28" spans="1:25" x14ac:dyDescent="0.25">
      <c r="A28" s="52"/>
      <c r="B28" s="260"/>
      <c r="C28" s="260"/>
      <c r="D28" s="260"/>
      <c r="E28" s="260"/>
      <c r="F28" s="260"/>
      <c r="G28" s="261"/>
      <c r="H28" s="262">
        <v>2</v>
      </c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488">
        <f t="shared" si="2"/>
        <v>2</v>
      </c>
      <c r="W28" s="491">
        <f t="shared" si="3"/>
        <v>3.2840722495894909E-3</v>
      </c>
      <c r="X28" s="497" t="s">
        <v>162</v>
      </c>
      <c r="Y28" s="286" t="s">
        <v>273</v>
      </c>
    </row>
    <row r="29" spans="1:25" x14ac:dyDescent="0.25">
      <c r="A29" s="52"/>
      <c r="B29" s="260"/>
      <c r="C29" s="260"/>
      <c r="D29" s="260"/>
      <c r="E29" s="260"/>
      <c r="F29" s="260"/>
      <c r="G29" s="261"/>
      <c r="H29" s="262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488">
        <f t="shared" si="2"/>
        <v>0</v>
      </c>
      <c r="W29" s="491">
        <f t="shared" si="3"/>
        <v>0</v>
      </c>
      <c r="X29" s="489" t="s">
        <v>15</v>
      </c>
      <c r="Y29" s="286" t="s">
        <v>274</v>
      </c>
    </row>
    <row r="30" spans="1:25" x14ac:dyDescent="0.25">
      <c r="A30" s="52"/>
      <c r="B30" s="260"/>
      <c r="C30" s="260"/>
      <c r="D30" s="260"/>
      <c r="E30" s="260"/>
      <c r="F30" s="260" t="s">
        <v>98</v>
      </c>
      <c r="G30" s="261"/>
      <c r="H30" s="262">
        <v>1</v>
      </c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488">
        <f t="shared" si="2"/>
        <v>1</v>
      </c>
      <c r="W30" s="491">
        <f t="shared" si="3"/>
        <v>1.6420361247947454E-3</v>
      </c>
      <c r="X30" s="497" t="s">
        <v>50</v>
      </c>
      <c r="Y30" s="286"/>
    </row>
    <row r="31" spans="1:25" x14ac:dyDescent="0.25">
      <c r="A31" s="52"/>
      <c r="B31" s="260"/>
      <c r="C31" s="260"/>
      <c r="D31" s="260"/>
      <c r="E31" s="260"/>
      <c r="F31" s="260"/>
      <c r="G31" s="261"/>
      <c r="H31" s="262">
        <v>5</v>
      </c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488">
        <f t="shared" si="2"/>
        <v>5</v>
      </c>
      <c r="W31" s="491">
        <f t="shared" si="3"/>
        <v>8.2101806239737278E-3</v>
      </c>
      <c r="X31" s="196" t="s">
        <v>12</v>
      </c>
      <c r="Y31" s="286"/>
    </row>
    <row r="32" spans="1:25" x14ac:dyDescent="0.25">
      <c r="A32" s="52"/>
      <c r="B32" s="260"/>
      <c r="C32" s="260"/>
      <c r="D32" s="260"/>
      <c r="E32" s="260"/>
      <c r="F32" s="260"/>
      <c r="G32" s="261"/>
      <c r="H32" s="262">
        <v>1</v>
      </c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488">
        <f t="shared" si="2"/>
        <v>1</v>
      </c>
      <c r="W32" s="491">
        <f t="shared" si="3"/>
        <v>1.6420361247947454E-3</v>
      </c>
      <c r="X32" s="498" t="s">
        <v>154</v>
      </c>
      <c r="Y32" s="286"/>
    </row>
    <row r="33" spans="1:25" x14ac:dyDescent="0.25">
      <c r="A33" s="52"/>
      <c r="B33" s="260"/>
      <c r="C33" s="260"/>
      <c r="D33" s="260"/>
      <c r="E33" s="260"/>
      <c r="F33" s="260"/>
      <c r="G33" s="261"/>
      <c r="H33" s="262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488">
        <f t="shared" si="2"/>
        <v>0</v>
      </c>
      <c r="W33" s="491">
        <f t="shared" si="3"/>
        <v>0</v>
      </c>
      <c r="X33" s="489" t="s">
        <v>212</v>
      </c>
      <c r="Y33" s="286"/>
    </row>
    <row r="34" spans="1:25" x14ac:dyDescent="0.25">
      <c r="A34" s="52"/>
      <c r="B34" s="260"/>
      <c r="C34" s="260"/>
      <c r="D34" s="260"/>
      <c r="E34" s="260"/>
      <c r="F34" s="260"/>
      <c r="G34" s="261"/>
      <c r="H34" s="262">
        <v>2</v>
      </c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488">
        <f t="shared" si="2"/>
        <v>2</v>
      </c>
      <c r="W34" s="491">
        <f t="shared" si="3"/>
        <v>3.2840722495894909E-3</v>
      </c>
      <c r="X34" s="489" t="s">
        <v>172</v>
      </c>
      <c r="Y34" s="286"/>
    </row>
    <row r="35" spans="1:25" x14ac:dyDescent="0.25">
      <c r="A35" s="52"/>
      <c r="B35" s="260"/>
      <c r="C35" s="260"/>
      <c r="D35" s="260"/>
      <c r="E35" s="260"/>
      <c r="F35" s="260"/>
      <c r="G35" s="261"/>
      <c r="H35" s="262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488">
        <f t="shared" si="2"/>
        <v>0</v>
      </c>
      <c r="W35" s="491">
        <f t="shared" si="3"/>
        <v>0</v>
      </c>
      <c r="X35" s="489" t="s">
        <v>99</v>
      </c>
      <c r="Y35" s="286"/>
    </row>
    <row r="36" spans="1:25" x14ac:dyDescent="0.25">
      <c r="A36" s="52"/>
      <c r="B36" s="260"/>
      <c r="C36" s="260"/>
      <c r="D36" s="260"/>
      <c r="E36" s="260"/>
      <c r="F36" s="260"/>
      <c r="G36" s="261"/>
      <c r="H36" s="262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488">
        <f t="shared" si="2"/>
        <v>0</v>
      </c>
      <c r="W36" s="491">
        <f t="shared" si="3"/>
        <v>0</v>
      </c>
      <c r="X36" s="196" t="s">
        <v>230</v>
      </c>
      <c r="Y36" s="286"/>
    </row>
    <row r="37" spans="1:25" x14ac:dyDescent="0.25">
      <c r="A37" s="52"/>
      <c r="B37" s="260"/>
      <c r="C37" s="260"/>
      <c r="D37" s="260"/>
      <c r="E37" s="260"/>
      <c r="F37" s="260"/>
      <c r="G37" s="261"/>
      <c r="H37" s="262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488">
        <f t="shared" si="2"/>
        <v>0</v>
      </c>
      <c r="W37" s="491">
        <f t="shared" si="3"/>
        <v>0</v>
      </c>
      <c r="X37" s="196" t="s">
        <v>207</v>
      </c>
      <c r="Y37" s="286"/>
    </row>
    <row r="38" spans="1:25" ht="15.75" thickBot="1" x14ac:dyDescent="0.3">
      <c r="A38" s="155"/>
      <c r="B38" s="156"/>
      <c r="C38" s="156"/>
      <c r="D38" s="156"/>
      <c r="E38" s="156"/>
      <c r="F38" s="156"/>
      <c r="G38" s="261"/>
      <c r="H38" s="262">
        <v>1</v>
      </c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488">
        <f t="shared" si="2"/>
        <v>1</v>
      </c>
      <c r="W38" s="492">
        <f t="shared" si="3"/>
        <v>1.6420361247947454E-3</v>
      </c>
      <c r="X38" s="38" t="s">
        <v>84</v>
      </c>
      <c r="Y38" s="293"/>
    </row>
    <row r="39" spans="1:25" ht="15.75" thickBot="1" x14ac:dyDescent="0.3">
      <c r="A39" s="41"/>
      <c r="B39" s="41"/>
      <c r="C39" s="41"/>
      <c r="D39" s="41"/>
      <c r="E39" s="41"/>
      <c r="F39" s="41"/>
      <c r="G39" s="47" t="s">
        <v>4</v>
      </c>
      <c r="H39" s="57">
        <f>SUM(H5:H38)</f>
        <v>33</v>
      </c>
      <c r="I39" s="57">
        <f>SUM(I4:I38)</f>
        <v>21</v>
      </c>
      <c r="J39" s="57">
        <f t="shared" ref="J39:U39" si="4">SUM(J4:J38)</f>
        <v>5</v>
      </c>
      <c r="K39" s="57">
        <f t="shared" si="4"/>
        <v>0</v>
      </c>
      <c r="L39" s="57">
        <f t="shared" si="4"/>
        <v>0</v>
      </c>
      <c r="M39" s="57">
        <f t="shared" si="4"/>
        <v>0</v>
      </c>
      <c r="N39" s="57">
        <f t="shared" si="4"/>
        <v>0</v>
      </c>
      <c r="O39" s="57">
        <f t="shared" si="4"/>
        <v>0</v>
      </c>
      <c r="P39" s="57">
        <f t="shared" si="4"/>
        <v>0</v>
      </c>
      <c r="Q39" s="57">
        <f t="shared" si="4"/>
        <v>0</v>
      </c>
      <c r="R39" s="57">
        <f t="shared" si="4"/>
        <v>0</v>
      </c>
      <c r="S39" s="57">
        <f t="shared" si="4"/>
        <v>0</v>
      </c>
      <c r="T39" s="57">
        <f t="shared" si="4"/>
        <v>0</v>
      </c>
      <c r="U39" s="57">
        <f t="shared" si="4"/>
        <v>4</v>
      </c>
      <c r="V39" s="283">
        <f t="shared" si="2"/>
        <v>42</v>
      </c>
      <c r="W39" s="494">
        <f>$V39/$D$3</f>
        <v>6.8965517241379309E-2</v>
      </c>
    </row>
    <row r="41" spans="1:25" ht="15.75" thickBot="1" x14ac:dyDescent="0.3"/>
    <row r="42" spans="1:25" ht="60.75" thickBot="1" x14ac:dyDescent="0.3">
      <c r="A42" s="43" t="s">
        <v>22</v>
      </c>
      <c r="B42" s="43" t="s">
        <v>46</v>
      </c>
      <c r="C42" s="43" t="s">
        <v>51</v>
      </c>
      <c r="D42" s="43" t="s">
        <v>17</v>
      </c>
      <c r="E42" s="42" t="s">
        <v>16</v>
      </c>
      <c r="F42" s="44" t="s">
        <v>1</v>
      </c>
      <c r="G42" s="45" t="s">
        <v>23</v>
      </c>
      <c r="H42" s="76" t="s">
        <v>65</v>
      </c>
      <c r="I42" s="46" t="s">
        <v>66</v>
      </c>
      <c r="J42" s="46" t="s">
        <v>52</v>
      </c>
      <c r="K42" s="46" t="s">
        <v>57</v>
      </c>
      <c r="L42" s="46" t="s">
        <v>53</v>
      </c>
      <c r="M42" s="46" t="s">
        <v>58</v>
      </c>
      <c r="N42" s="46" t="s">
        <v>54</v>
      </c>
      <c r="O42" s="46" t="s">
        <v>59</v>
      </c>
      <c r="P42" s="46" t="s">
        <v>55</v>
      </c>
      <c r="Q42" s="46" t="s">
        <v>62</v>
      </c>
      <c r="R42" s="46" t="s">
        <v>56</v>
      </c>
      <c r="S42" s="46" t="s">
        <v>63</v>
      </c>
      <c r="T42" s="46" t="s">
        <v>112</v>
      </c>
      <c r="U42" s="46" t="s">
        <v>40</v>
      </c>
      <c r="V42" s="46" t="s">
        <v>4</v>
      </c>
      <c r="W42" s="42" t="s">
        <v>2</v>
      </c>
      <c r="X42" s="33" t="s">
        <v>20</v>
      </c>
      <c r="Y42" s="32" t="s">
        <v>6</v>
      </c>
    </row>
    <row r="43" spans="1:25" ht="15.75" thickBot="1" x14ac:dyDescent="0.3">
      <c r="A43" s="73">
        <v>1528175</v>
      </c>
      <c r="B43" s="73" t="s">
        <v>271</v>
      </c>
      <c r="C43" s="312">
        <v>576</v>
      </c>
      <c r="D43" s="312">
        <v>595</v>
      </c>
      <c r="E43" s="312">
        <v>571</v>
      </c>
      <c r="F43" s="313">
        <f>E43/D43</f>
        <v>0.95966386554621852</v>
      </c>
      <c r="G43" s="48">
        <v>45485</v>
      </c>
      <c r="H43" s="82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4"/>
      <c r="T43" s="291"/>
      <c r="U43" s="115"/>
      <c r="V43" s="115"/>
      <c r="W43" s="84"/>
      <c r="X43" s="86" t="s">
        <v>74</v>
      </c>
      <c r="Y43" s="341" t="s">
        <v>69</v>
      </c>
    </row>
    <row r="44" spans="1:25" x14ac:dyDescent="0.25">
      <c r="A44" s="52"/>
      <c r="B44" s="260"/>
      <c r="C44" s="260"/>
      <c r="D44" s="260"/>
      <c r="E44" s="260"/>
      <c r="F44" s="260"/>
      <c r="G44" s="261"/>
      <c r="H44" s="257"/>
      <c r="I44" s="59">
        <v>7</v>
      </c>
      <c r="J44" s="59">
        <v>1</v>
      </c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487">
        <f>SUM(H44,J44,L44,N44,P44,R44,U44,T44)</f>
        <v>1</v>
      </c>
      <c r="W44" s="490">
        <f>$V44/$D$43</f>
        <v>1.6806722689075631E-3</v>
      </c>
      <c r="X44" s="35" t="s">
        <v>219</v>
      </c>
      <c r="Y44" s="255"/>
    </row>
    <row r="45" spans="1:25" x14ac:dyDescent="0.25">
      <c r="A45" s="52"/>
      <c r="B45" s="260"/>
      <c r="C45" s="260"/>
      <c r="D45" s="260"/>
      <c r="E45" s="260"/>
      <c r="F45" s="260"/>
      <c r="G45" s="261"/>
      <c r="H45" s="262">
        <v>6</v>
      </c>
      <c r="I45" s="61"/>
      <c r="J45" s="61"/>
      <c r="K45" s="61"/>
      <c r="L45" s="61"/>
      <c r="M45" s="61"/>
      <c r="N45" s="66"/>
      <c r="O45" s="61"/>
      <c r="P45" s="61"/>
      <c r="Q45" s="61"/>
      <c r="R45" s="61"/>
      <c r="S45" s="61"/>
      <c r="T45" s="61"/>
      <c r="U45" s="61"/>
      <c r="V45" s="488">
        <f>SUM(H45,J45,L45,N45,P45,R45,U45,T45)</f>
        <v>6</v>
      </c>
      <c r="W45" s="491">
        <f>$V45/$D$43</f>
        <v>1.0084033613445379E-2</v>
      </c>
      <c r="X45" s="196" t="s">
        <v>47</v>
      </c>
      <c r="Y45" s="255"/>
    </row>
    <row r="46" spans="1:25" x14ac:dyDescent="0.25">
      <c r="A46" s="52"/>
      <c r="B46" s="260"/>
      <c r="C46" s="260"/>
      <c r="D46" s="260"/>
      <c r="E46" s="260"/>
      <c r="F46" s="260"/>
      <c r="G46" s="261"/>
      <c r="H46" s="262">
        <v>3</v>
      </c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488">
        <f t="shared" ref="V46:V63" si="5">SUM(H46,J46,L46,N46,P46,R46,U46,T46)</f>
        <v>3</v>
      </c>
      <c r="W46" s="491">
        <f t="shared" ref="W46:W63" si="6">$V46/$D$43</f>
        <v>5.0420168067226894E-3</v>
      </c>
      <c r="X46" s="36" t="s">
        <v>15</v>
      </c>
      <c r="Y46" s="277"/>
    </row>
    <row r="47" spans="1:25" x14ac:dyDescent="0.25">
      <c r="A47" s="52"/>
      <c r="B47" s="260"/>
      <c r="C47" s="260"/>
      <c r="D47" s="260"/>
      <c r="E47" s="260"/>
      <c r="F47" s="260"/>
      <c r="G47" s="261"/>
      <c r="H47" s="262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488">
        <f t="shared" si="5"/>
        <v>0</v>
      </c>
      <c r="W47" s="491">
        <f t="shared" si="6"/>
        <v>0</v>
      </c>
      <c r="X47" s="489" t="s">
        <v>206</v>
      </c>
      <c r="Y47" s="277"/>
    </row>
    <row r="48" spans="1:25" x14ac:dyDescent="0.25">
      <c r="A48" s="52"/>
      <c r="B48" s="260"/>
      <c r="C48" s="260"/>
      <c r="D48" s="260"/>
      <c r="E48" s="260"/>
      <c r="F48" s="260"/>
      <c r="G48" s="261"/>
      <c r="H48" s="262"/>
      <c r="I48" s="61"/>
      <c r="J48" s="285"/>
      <c r="K48" s="285"/>
      <c r="L48" s="285"/>
      <c r="M48" s="61"/>
      <c r="N48" s="61"/>
      <c r="O48" s="61"/>
      <c r="P48" s="61"/>
      <c r="Q48" s="61"/>
      <c r="R48" s="61"/>
      <c r="S48" s="61"/>
      <c r="T48" s="61"/>
      <c r="U48" s="61"/>
      <c r="V48" s="488">
        <f t="shared" si="5"/>
        <v>0</v>
      </c>
      <c r="W48" s="491">
        <f>$V48/$D$43</f>
        <v>0</v>
      </c>
      <c r="X48" s="489" t="s">
        <v>83</v>
      </c>
      <c r="Y48" s="277"/>
    </row>
    <row r="49" spans="1:25" x14ac:dyDescent="0.25">
      <c r="A49" s="52"/>
      <c r="B49" s="260"/>
      <c r="C49" s="260"/>
      <c r="D49" s="260"/>
      <c r="E49" s="260"/>
      <c r="F49" s="260"/>
      <c r="G49" s="261"/>
      <c r="H49" s="262"/>
      <c r="I49" s="61">
        <v>2</v>
      </c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488">
        <f t="shared" si="5"/>
        <v>0</v>
      </c>
      <c r="W49" s="491">
        <f t="shared" si="6"/>
        <v>0</v>
      </c>
      <c r="X49" s="36" t="s">
        <v>13</v>
      </c>
      <c r="Y49" s="146"/>
    </row>
    <row r="50" spans="1:25" x14ac:dyDescent="0.25">
      <c r="A50" s="52"/>
      <c r="B50" s="260"/>
      <c r="C50" s="260"/>
      <c r="D50" s="260"/>
      <c r="E50" s="260"/>
      <c r="F50" s="260"/>
      <c r="G50" s="261"/>
      <c r="H50" s="262"/>
      <c r="I50" s="61">
        <v>1</v>
      </c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488">
        <f t="shared" si="5"/>
        <v>0</v>
      </c>
      <c r="W50" s="491">
        <f t="shared" si="6"/>
        <v>0</v>
      </c>
      <c r="X50" s="36" t="s">
        <v>14</v>
      </c>
      <c r="Y50" s="259"/>
    </row>
    <row r="51" spans="1:25" x14ac:dyDescent="0.25">
      <c r="A51" s="52" t="s">
        <v>151</v>
      </c>
      <c r="B51" s="260"/>
      <c r="C51" s="260"/>
      <c r="D51" s="260"/>
      <c r="E51" s="260"/>
      <c r="F51" s="260"/>
      <c r="G51" s="261"/>
      <c r="H51" s="262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488">
        <f t="shared" si="5"/>
        <v>0</v>
      </c>
      <c r="W51" s="491">
        <f t="shared" si="6"/>
        <v>0</v>
      </c>
      <c r="X51" s="36" t="s">
        <v>7</v>
      </c>
      <c r="Y51" s="259"/>
    </row>
    <row r="52" spans="1:25" x14ac:dyDescent="0.25">
      <c r="A52" s="52"/>
      <c r="B52" s="260"/>
      <c r="C52" s="260" t="s">
        <v>98</v>
      </c>
      <c r="D52" s="260"/>
      <c r="E52" s="260"/>
      <c r="F52" s="260"/>
      <c r="G52" s="261"/>
      <c r="H52" s="262"/>
      <c r="I52" s="61">
        <v>5</v>
      </c>
      <c r="J52" s="61">
        <v>2</v>
      </c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488">
        <f t="shared" si="5"/>
        <v>2</v>
      </c>
      <c r="W52" s="491">
        <f t="shared" si="6"/>
        <v>3.3613445378151263E-3</v>
      </c>
      <c r="X52" s="36" t="s">
        <v>8</v>
      </c>
      <c r="Y52" s="286"/>
    </row>
    <row r="53" spans="1:25" x14ac:dyDescent="0.25">
      <c r="A53" s="52"/>
      <c r="B53" s="260"/>
      <c r="C53" s="260"/>
      <c r="D53" s="260"/>
      <c r="E53" s="260"/>
      <c r="F53" s="260"/>
      <c r="G53" s="261"/>
      <c r="H53" s="280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488">
        <f t="shared" si="5"/>
        <v>0</v>
      </c>
      <c r="W53" s="491">
        <f t="shared" si="6"/>
        <v>0</v>
      </c>
      <c r="X53" s="36" t="s">
        <v>67</v>
      </c>
      <c r="Y53" s="286"/>
    </row>
    <row r="54" spans="1:25" x14ac:dyDescent="0.25">
      <c r="A54" s="52"/>
      <c r="B54" s="260"/>
      <c r="C54" s="260"/>
      <c r="D54" s="260"/>
      <c r="E54" s="260"/>
      <c r="F54" s="260"/>
      <c r="G54" s="261"/>
      <c r="H54" s="280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488">
        <f t="shared" si="5"/>
        <v>0</v>
      </c>
      <c r="W54" s="491">
        <f t="shared" si="6"/>
        <v>0</v>
      </c>
      <c r="X54" s="36" t="s">
        <v>0</v>
      </c>
      <c r="Y54" s="287"/>
    </row>
    <row r="55" spans="1:25" x14ac:dyDescent="0.25">
      <c r="A55" s="52"/>
      <c r="B55" s="260"/>
      <c r="C55" s="260"/>
      <c r="D55" s="260"/>
      <c r="E55" s="260"/>
      <c r="F55" s="260"/>
      <c r="G55" s="261"/>
      <c r="H55" s="280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488">
        <f t="shared" si="5"/>
        <v>0</v>
      </c>
      <c r="W55" s="491">
        <f t="shared" si="6"/>
        <v>0</v>
      </c>
      <c r="X55" s="36" t="s">
        <v>19</v>
      </c>
      <c r="Y55" s="287"/>
    </row>
    <row r="56" spans="1:25" x14ac:dyDescent="0.25">
      <c r="A56" s="52"/>
      <c r="B56" s="260"/>
      <c r="C56" s="260"/>
      <c r="D56" s="260"/>
      <c r="E56" s="260"/>
      <c r="F56" s="260" t="s">
        <v>98</v>
      </c>
      <c r="G56" s="261"/>
      <c r="H56" s="280"/>
      <c r="I56" s="61">
        <v>4</v>
      </c>
      <c r="J56" s="61">
        <v>1</v>
      </c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488">
        <f t="shared" si="5"/>
        <v>1</v>
      </c>
      <c r="W56" s="491">
        <f t="shared" si="6"/>
        <v>1.6806722689075631E-3</v>
      </c>
      <c r="X56" s="36" t="s">
        <v>3</v>
      </c>
      <c r="Y56" s="287"/>
    </row>
    <row r="57" spans="1:25" x14ac:dyDescent="0.25">
      <c r="A57" s="298"/>
      <c r="B57" s="300"/>
      <c r="C57" s="300"/>
      <c r="D57" s="300"/>
      <c r="E57" s="300"/>
      <c r="F57" s="300"/>
      <c r="G57" s="299"/>
      <c r="H57" s="288"/>
      <c r="I57" s="61"/>
      <c r="J57" s="66"/>
      <c r="K57" s="66"/>
      <c r="L57" s="66"/>
      <c r="M57" s="61"/>
      <c r="N57" s="66"/>
      <c r="O57" s="66"/>
      <c r="P57" s="66"/>
      <c r="Q57" s="66"/>
      <c r="R57" s="66"/>
      <c r="S57" s="66"/>
      <c r="T57" s="66"/>
      <c r="U57" s="66"/>
      <c r="V57" s="488">
        <f t="shared" si="5"/>
        <v>0</v>
      </c>
      <c r="W57" s="491">
        <f t="shared" si="6"/>
        <v>0</v>
      </c>
      <c r="X57" s="36" t="s">
        <v>174</v>
      </c>
      <c r="Y57" s="287"/>
    </row>
    <row r="58" spans="1:25" x14ac:dyDescent="0.25">
      <c r="A58" s="298"/>
      <c r="B58" s="300"/>
      <c r="C58" s="300"/>
      <c r="D58" s="300"/>
      <c r="E58" s="300"/>
      <c r="F58" s="300"/>
      <c r="G58" s="299"/>
      <c r="H58" s="284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488">
        <f t="shared" si="5"/>
        <v>0</v>
      </c>
      <c r="W58" s="491">
        <f t="shared" si="6"/>
        <v>0</v>
      </c>
      <c r="X58" s="196" t="s">
        <v>157</v>
      </c>
      <c r="Y58" s="287"/>
    </row>
    <row r="59" spans="1:25" x14ac:dyDescent="0.25">
      <c r="A59" s="52"/>
      <c r="B59" s="260"/>
      <c r="C59" s="260"/>
      <c r="D59" s="260"/>
      <c r="E59" s="260"/>
      <c r="F59" s="260"/>
      <c r="G59" s="56"/>
      <c r="H59" s="271"/>
      <c r="I59" s="271">
        <v>2</v>
      </c>
      <c r="J59" s="61">
        <v>1</v>
      </c>
      <c r="K59" s="61"/>
      <c r="L59" s="61"/>
      <c r="M59" s="271"/>
      <c r="N59" s="61"/>
      <c r="O59" s="61"/>
      <c r="P59" s="61"/>
      <c r="Q59" s="61"/>
      <c r="R59" s="61"/>
      <c r="S59" s="61"/>
      <c r="T59" s="61"/>
      <c r="U59" s="61"/>
      <c r="V59" s="488">
        <f t="shared" si="5"/>
        <v>1</v>
      </c>
      <c r="W59" s="491">
        <f t="shared" si="6"/>
        <v>1.6806722689075631E-3</v>
      </c>
      <c r="X59" s="196" t="s">
        <v>12</v>
      </c>
      <c r="Y59" s="289"/>
    </row>
    <row r="60" spans="1:25" x14ac:dyDescent="0.25">
      <c r="A60" s="52"/>
      <c r="B60" s="260"/>
      <c r="C60" s="260"/>
      <c r="D60" s="260"/>
      <c r="E60" s="260"/>
      <c r="F60" s="260"/>
      <c r="G60" s="56"/>
      <c r="H60" s="271"/>
      <c r="I60" s="61">
        <v>5</v>
      </c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488">
        <f t="shared" si="5"/>
        <v>0</v>
      </c>
      <c r="W60" s="491">
        <f t="shared" si="6"/>
        <v>0</v>
      </c>
      <c r="X60" s="36" t="s">
        <v>91</v>
      </c>
      <c r="Y60" s="147" t="s">
        <v>298</v>
      </c>
    </row>
    <row r="61" spans="1:25" x14ac:dyDescent="0.25">
      <c r="A61" s="52"/>
      <c r="B61" s="260"/>
      <c r="C61" s="260"/>
      <c r="D61" s="260"/>
      <c r="E61" s="260"/>
      <c r="F61" s="260"/>
      <c r="G61" s="261"/>
      <c r="H61" s="262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488">
        <f t="shared" si="5"/>
        <v>0</v>
      </c>
      <c r="W61" s="491">
        <f t="shared" si="6"/>
        <v>0</v>
      </c>
      <c r="X61" s="197" t="s">
        <v>26</v>
      </c>
      <c r="Y61" s="287"/>
    </row>
    <row r="62" spans="1:25" x14ac:dyDescent="0.25">
      <c r="A62" s="52"/>
      <c r="B62" s="260"/>
      <c r="C62" s="260"/>
      <c r="D62" s="260"/>
      <c r="E62" s="260"/>
      <c r="F62" s="260"/>
      <c r="G62" s="261"/>
      <c r="H62" s="262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488">
        <f t="shared" si="5"/>
        <v>0</v>
      </c>
      <c r="W62" s="491">
        <f t="shared" si="6"/>
        <v>0</v>
      </c>
      <c r="X62" s="36" t="s">
        <v>93</v>
      </c>
      <c r="Y62" s="287"/>
    </row>
    <row r="63" spans="1:25" x14ac:dyDescent="0.25">
      <c r="A63" s="52"/>
      <c r="B63" s="260"/>
      <c r="C63" s="260"/>
      <c r="D63" s="260"/>
      <c r="E63" s="260"/>
      <c r="F63" s="260" t="s">
        <v>98</v>
      </c>
      <c r="G63" s="261"/>
      <c r="H63" s="268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488">
        <f t="shared" si="5"/>
        <v>0</v>
      </c>
      <c r="W63" s="491">
        <f t="shared" si="6"/>
        <v>0</v>
      </c>
      <c r="X63" s="36" t="s">
        <v>211</v>
      </c>
      <c r="Y63" s="286"/>
    </row>
    <row r="64" spans="1:25" ht="15.75" thickBot="1" x14ac:dyDescent="0.3">
      <c r="A64" s="52"/>
      <c r="B64" s="260"/>
      <c r="C64" s="260"/>
      <c r="D64" s="260"/>
      <c r="E64" s="260"/>
      <c r="F64" s="260"/>
      <c r="G64" s="261"/>
      <c r="H64" s="268"/>
      <c r="I64" s="66">
        <v>4</v>
      </c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488">
        <f>SUM(H64,J64,L64,N64,P64,R64,U64,T64)</f>
        <v>0</v>
      </c>
      <c r="W64" s="492">
        <f>$V64/$D$43</f>
        <v>0</v>
      </c>
      <c r="X64" s="197" t="s">
        <v>9</v>
      </c>
      <c r="Y64" s="287"/>
    </row>
    <row r="65" spans="1:25" ht="15.75" thickBot="1" x14ac:dyDescent="0.3">
      <c r="A65" s="52"/>
      <c r="B65" s="260"/>
      <c r="C65" s="260"/>
      <c r="D65" s="260"/>
      <c r="E65" s="260"/>
      <c r="F65" s="260"/>
      <c r="G65" s="261"/>
      <c r="H65" s="290"/>
      <c r="I65" s="166"/>
      <c r="J65" s="166"/>
      <c r="K65" s="166"/>
      <c r="L65" s="166"/>
      <c r="M65" s="166"/>
      <c r="N65" s="166"/>
      <c r="O65" s="166"/>
      <c r="P65" s="166"/>
      <c r="Q65" s="166"/>
      <c r="R65" s="166"/>
      <c r="S65" s="166"/>
      <c r="T65" s="166"/>
      <c r="U65" s="166"/>
      <c r="V65" s="291"/>
      <c r="W65" s="493"/>
      <c r="X65" s="74" t="s">
        <v>21</v>
      </c>
      <c r="Y65" s="287"/>
    </row>
    <row r="66" spans="1:25" x14ac:dyDescent="0.25">
      <c r="A66" s="52"/>
      <c r="B66" s="260"/>
      <c r="C66" s="260"/>
      <c r="D66" s="260"/>
      <c r="E66" s="260"/>
      <c r="F66" s="260"/>
      <c r="G66" s="261"/>
      <c r="H66" s="292">
        <v>1</v>
      </c>
      <c r="I66" s="62"/>
      <c r="J66" s="62"/>
      <c r="K66" s="62"/>
      <c r="L66" s="62"/>
      <c r="M66" s="62"/>
      <c r="N66" s="62"/>
      <c r="O66" s="62"/>
      <c r="P66" s="62"/>
      <c r="Q66" s="61"/>
      <c r="R66" s="62"/>
      <c r="S66" s="62"/>
      <c r="T66" s="62"/>
      <c r="U66" s="62"/>
      <c r="V66" s="488">
        <f t="shared" ref="V66:V79" si="7">SUM(H66,J66,L66,N66,P66,R66,U66)</f>
        <v>1</v>
      </c>
      <c r="W66" s="490">
        <f>$V66/$D$43</f>
        <v>1.6806722689075631E-3</v>
      </c>
      <c r="X66" s="495" t="s">
        <v>70</v>
      </c>
      <c r="Y66" s="287"/>
    </row>
    <row r="67" spans="1:25" x14ac:dyDescent="0.25">
      <c r="A67" s="52"/>
      <c r="B67" s="260"/>
      <c r="C67" s="260"/>
      <c r="D67" s="260"/>
      <c r="E67" s="260"/>
      <c r="F67" s="260"/>
      <c r="G67" s="261"/>
      <c r="H67" s="262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488">
        <f t="shared" si="7"/>
        <v>0</v>
      </c>
      <c r="W67" s="491">
        <f>$V67/$D$43</f>
        <v>0</v>
      </c>
      <c r="X67" s="496" t="s">
        <v>25</v>
      </c>
      <c r="Y67" s="146"/>
    </row>
    <row r="68" spans="1:25" x14ac:dyDescent="0.25">
      <c r="A68" s="52"/>
      <c r="B68" s="260"/>
      <c r="C68" s="260"/>
      <c r="D68" s="260"/>
      <c r="E68" s="260"/>
      <c r="F68" s="260"/>
      <c r="G68" s="261"/>
      <c r="H68" s="262">
        <v>7</v>
      </c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488">
        <f t="shared" si="7"/>
        <v>7</v>
      </c>
      <c r="W68" s="491">
        <f t="shared" ref="W68:W77" si="8">$V68/$D$43</f>
        <v>1.1764705882352941E-2</v>
      </c>
      <c r="X68" s="497" t="s">
        <v>162</v>
      </c>
      <c r="Y68" s="286" t="s">
        <v>301</v>
      </c>
    </row>
    <row r="69" spans="1:25" x14ac:dyDescent="0.25">
      <c r="A69" s="52"/>
      <c r="B69" s="260"/>
      <c r="C69" s="260"/>
      <c r="D69" s="260"/>
      <c r="E69" s="260"/>
      <c r="F69" s="260"/>
      <c r="G69" s="261"/>
      <c r="H69" s="262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488">
        <f t="shared" si="7"/>
        <v>0</v>
      </c>
      <c r="W69" s="491">
        <f t="shared" si="8"/>
        <v>0</v>
      </c>
      <c r="X69" s="489" t="s">
        <v>15</v>
      </c>
      <c r="Y69" s="286" t="s">
        <v>300</v>
      </c>
    </row>
    <row r="70" spans="1:25" x14ac:dyDescent="0.25">
      <c r="A70" s="52"/>
      <c r="B70" s="260"/>
      <c r="C70" s="260"/>
      <c r="D70" s="260"/>
      <c r="E70" s="260"/>
      <c r="F70" s="260" t="s">
        <v>98</v>
      </c>
      <c r="G70" s="261"/>
      <c r="H70" s="262">
        <v>1</v>
      </c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488">
        <f t="shared" si="7"/>
        <v>1</v>
      </c>
      <c r="W70" s="491">
        <f t="shared" si="8"/>
        <v>1.6806722689075631E-3</v>
      </c>
      <c r="X70" s="497" t="s">
        <v>50</v>
      </c>
      <c r="Y70" s="286" t="s">
        <v>302</v>
      </c>
    </row>
    <row r="71" spans="1:25" x14ac:dyDescent="0.25">
      <c r="A71" s="52"/>
      <c r="B71" s="260"/>
      <c r="C71" s="260"/>
      <c r="D71" s="260"/>
      <c r="E71" s="260"/>
      <c r="F71" s="260"/>
      <c r="G71" s="261"/>
      <c r="H71" s="262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488">
        <f t="shared" si="7"/>
        <v>0</v>
      </c>
      <c r="W71" s="491">
        <f t="shared" si="8"/>
        <v>0</v>
      </c>
      <c r="X71" s="196" t="s">
        <v>12</v>
      </c>
      <c r="Y71" s="286"/>
    </row>
    <row r="72" spans="1:25" x14ac:dyDescent="0.25">
      <c r="A72" s="52"/>
      <c r="B72" s="260"/>
      <c r="C72" s="260"/>
      <c r="D72" s="260"/>
      <c r="E72" s="260"/>
      <c r="F72" s="260"/>
      <c r="G72" s="261"/>
      <c r="H72" s="262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488">
        <f t="shared" si="7"/>
        <v>0</v>
      </c>
      <c r="W72" s="491">
        <f>$V72/$D$43</f>
        <v>0</v>
      </c>
      <c r="X72" s="498" t="s">
        <v>154</v>
      </c>
      <c r="Y72" s="286"/>
    </row>
    <row r="73" spans="1:25" x14ac:dyDescent="0.25">
      <c r="A73" s="52"/>
      <c r="B73" s="260"/>
      <c r="C73" s="260"/>
      <c r="D73" s="260"/>
      <c r="E73" s="260"/>
      <c r="F73" s="260"/>
      <c r="G73" s="261"/>
      <c r="H73" s="262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488">
        <f t="shared" si="7"/>
        <v>0</v>
      </c>
      <c r="W73" s="491">
        <f t="shared" si="8"/>
        <v>0</v>
      </c>
      <c r="X73" s="489" t="s">
        <v>212</v>
      </c>
      <c r="Y73" s="286"/>
    </row>
    <row r="74" spans="1:25" x14ac:dyDescent="0.25">
      <c r="A74" s="52"/>
      <c r="B74" s="260"/>
      <c r="C74" s="260"/>
      <c r="D74" s="260"/>
      <c r="E74" s="260"/>
      <c r="F74" s="260"/>
      <c r="G74" s="261"/>
      <c r="H74" s="262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488">
        <f t="shared" si="7"/>
        <v>0</v>
      </c>
      <c r="W74" s="491">
        <f t="shared" si="8"/>
        <v>0</v>
      </c>
      <c r="X74" s="489" t="s">
        <v>172</v>
      </c>
      <c r="Y74" s="286"/>
    </row>
    <row r="75" spans="1:25" x14ac:dyDescent="0.25">
      <c r="A75" s="52"/>
      <c r="B75" s="260"/>
      <c r="C75" s="260"/>
      <c r="D75" s="260"/>
      <c r="E75" s="260"/>
      <c r="F75" s="260"/>
      <c r="G75" s="261"/>
      <c r="H75" s="262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488">
        <f t="shared" si="7"/>
        <v>0</v>
      </c>
      <c r="W75" s="491">
        <f t="shared" si="8"/>
        <v>0</v>
      </c>
      <c r="X75" s="489" t="s">
        <v>99</v>
      </c>
      <c r="Y75" s="286"/>
    </row>
    <row r="76" spans="1:25" x14ac:dyDescent="0.25">
      <c r="A76" s="52"/>
      <c r="B76" s="260"/>
      <c r="C76" s="260"/>
      <c r="D76" s="260"/>
      <c r="E76" s="260"/>
      <c r="F76" s="260"/>
      <c r="G76" s="261"/>
      <c r="H76" s="262">
        <v>1</v>
      </c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488">
        <f t="shared" si="7"/>
        <v>1</v>
      </c>
      <c r="W76" s="491">
        <f t="shared" si="8"/>
        <v>1.6806722689075631E-3</v>
      </c>
      <c r="X76" s="196" t="s">
        <v>299</v>
      </c>
      <c r="Y76" s="286"/>
    </row>
    <row r="77" spans="1:25" x14ac:dyDescent="0.25">
      <c r="A77" s="52"/>
      <c r="B77" s="260"/>
      <c r="C77" s="260"/>
      <c r="D77" s="260"/>
      <c r="E77" s="260"/>
      <c r="F77" s="260"/>
      <c r="G77" s="261"/>
      <c r="H77" s="262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488">
        <f t="shared" si="7"/>
        <v>0</v>
      </c>
      <c r="W77" s="491">
        <f t="shared" si="8"/>
        <v>0</v>
      </c>
      <c r="X77" s="196" t="s">
        <v>207</v>
      </c>
      <c r="Y77" s="286"/>
    </row>
    <row r="78" spans="1:25" ht="15.75" thickBot="1" x14ac:dyDescent="0.3">
      <c r="A78" s="155"/>
      <c r="B78" s="156"/>
      <c r="C78" s="156"/>
      <c r="D78" s="156"/>
      <c r="E78" s="156"/>
      <c r="F78" s="156"/>
      <c r="G78" s="261"/>
      <c r="H78" s="262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488">
        <f t="shared" si="7"/>
        <v>0</v>
      </c>
      <c r="W78" s="492">
        <f>$V78/$D$43</f>
        <v>0</v>
      </c>
      <c r="X78" s="38" t="s">
        <v>84</v>
      </c>
      <c r="Y78" s="293"/>
    </row>
    <row r="79" spans="1:25" ht="15.75" thickBot="1" x14ac:dyDescent="0.3">
      <c r="A79" s="41"/>
      <c r="B79" s="41"/>
      <c r="C79" s="41"/>
      <c r="D79" s="41"/>
      <c r="E79" s="41"/>
      <c r="F79" s="41"/>
      <c r="G79" s="47" t="s">
        <v>4</v>
      </c>
      <c r="H79" s="57">
        <f>SUM(H45:H78)</f>
        <v>19</v>
      </c>
      <c r="I79" s="57">
        <f>SUM(I44:I78)</f>
        <v>30</v>
      </c>
      <c r="J79" s="57">
        <f t="shared" ref="J79:U79" si="9">SUM(J44:J78)</f>
        <v>5</v>
      </c>
      <c r="K79" s="57">
        <f t="shared" si="9"/>
        <v>0</v>
      </c>
      <c r="L79" s="57">
        <f t="shared" si="9"/>
        <v>0</v>
      </c>
      <c r="M79" s="57">
        <f t="shared" si="9"/>
        <v>0</v>
      </c>
      <c r="N79" s="57">
        <f t="shared" si="9"/>
        <v>0</v>
      </c>
      <c r="O79" s="57">
        <f t="shared" si="9"/>
        <v>0</v>
      </c>
      <c r="P79" s="57">
        <f t="shared" si="9"/>
        <v>0</v>
      </c>
      <c r="Q79" s="57">
        <f t="shared" si="9"/>
        <v>0</v>
      </c>
      <c r="R79" s="57">
        <f t="shared" si="9"/>
        <v>0</v>
      </c>
      <c r="S79" s="57">
        <f t="shared" si="9"/>
        <v>0</v>
      </c>
      <c r="T79" s="57">
        <f t="shared" si="9"/>
        <v>0</v>
      </c>
      <c r="U79" s="57">
        <f t="shared" si="9"/>
        <v>0</v>
      </c>
      <c r="V79" s="283">
        <f t="shared" si="7"/>
        <v>24</v>
      </c>
      <c r="W79" s="494">
        <f>$V79/$D$43</f>
        <v>4.0336134453781515E-2</v>
      </c>
    </row>
    <row r="81" spans="1:25" ht="15.75" thickBot="1" x14ac:dyDescent="0.3"/>
    <row r="82" spans="1:25" ht="60.75" thickBot="1" x14ac:dyDescent="0.3">
      <c r="A82" s="43" t="s">
        <v>22</v>
      </c>
      <c r="B82" s="43" t="s">
        <v>46</v>
      </c>
      <c r="C82" s="43" t="s">
        <v>51</v>
      </c>
      <c r="D82" s="43" t="s">
        <v>17</v>
      </c>
      <c r="E82" s="42" t="s">
        <v>16</v>
      </c>
      <c r="F82" s="44" t="s">
        <v>1</v>
      </c>
      <c r="G82" s="45" t="s">
        <v>23</v>
      </c>
      <c r="H82" s="76" t="s">
        <v>65</v>
      </c>
      <c r="I82" s="46" t="s">
        <v>66</v>
      </c>
      <c r="J82" s="46" t="s">
        <v>52</v>
      </c>
      <c r="K82" s="46" t="s">
        <v>57</v>
      </c>
      <c r="L82" s="46" t="s">
        <v>53</v>
      </c>
      <c r="M82" s="46" t="s">
        <v>58</v>
      </c>
      <c r="N82" s="46" t="s">
        <v>54</v>
      </c>
      <c r="O82" s="46" t="s">
        <v>59</v>
      </c>
      <c r="P82" s="46" t="s">
        <v>55</v>
      </c>
      <c r="Q82" s="46" t="s">
        <v>62</v>
      </c>
      <c r="R82" s="46" t="s">
        <v>56</v>
      </c>
      <c r="S82" s="46" t="s">
        <v>63</v>
      </c>
      <c r="T82" s="46" t="s">
        <v>112</v>
      </c>
      <c r="U82" s="46" t="s">
        <v>40</v>
      </c>
      <c r="V82" s="46" t="s">
        <v>4</v>
      </c>
      <c r="W82" s="42" t="s">
        <v>2</v>
      </c>
      <c r="X82" s="33" t="s">
        <v>20</v>
      </c>
      <c r="Y82" s="32" t="s">
        <v>6</v>
      </c>
    </row>
    <row r="83" spans="1:25" ht="15.75" thickBot="1" x14ac:dyDescent="0.3">
      <c r="A83" s="73">
        <v>1527168</v>
      </c>
      <c r="B83" s="73" t="s">
        <v>271</v>
      </c>
      <c r="C83" s="312">
        <v>576</v>
      </c>
      <c r="D83" s="312">
        <v>617</v>
      </c>
      <c r="E83" s="312">
        <v>563</v>
      </c>
      <c r="F83" s="313">
        <f>E83/D83</f>
        <v>0.91247974068071314</v>
      </c>
      <c r="G83" s="48">
        <v>45490</v>
      </c>
      <c r="H83" s="82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4"/>
      <c r="T83" s="291"/>
      <c r="U83" s="115"/>
      <c r="V83" s="115"/>
      <c r="W83" s="84"/>
      <c r="X83" s="86" t="s">
        <v>74</v>
      </c>
      <c r="Y83" s="341" t="s">
        <v>69</v>
      </c>
    </row>
    <row r="84" spans="1:25" x14ac:dyDescent="0.25">
      <c r="A84" s="52"/>
      <c r="B84" s="260"/>
      <c r="C84" s="260"/>
      <c r="D84" s="260"/>
      <c r="E84" s="260"/>
      <c r="F84" s="260"/>
      <c r="G84" s="261"/>
      <c r="H84" s="257"/>
      <c r="I84" s="59">
        <v>6</v>
      </c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487">
        <f>SUM(H84,J84,L84,N84,P84,R84,U84,T84)</f>
        <v>0</v>
      </c>
      <c r="W84" s="490">
        <f>$V84/$D$83</f>
        <v>0</v>
      </c>
      <c r="X84" s="35" t="s">
        <v>219</v>
      </c>
      <c r="Y84" s="255"/>
    </row>
    <row r="85" spans="1:25" x14ac:dyDescent="0.25">
      <c r="A85" s="52"/>
      <c r="B85" s="260"/>
      <c r="C85" s="260"/>
      <c r="D85" s="260"/>
      <c r="E85" s="260"/>
      <c r="F85" s="260"/>
      <c r="G85" s="261"/>
      <c r="H85" s="262">
        <v>12</v>
      </c>
      <c r="I85" s="61"/>
      <c r="J85" s="61">
        <v>5</v>
      </c>
      <c r="K85" s="61"/>
      <c r="L85" s="61">
        <v>3</v>
      </c>
      <c r="M85" s="61"/>
      <c r="N85" s="66"/>
      <c r="O85" s="61"/>
      <c r="P85" s="61"/>
      <c r="Q85" s="61"/>
      <c r="R85" s="61"/>
      <c r="S85" s="61"/>
      <c r="T85" s="61"/>
      <c r="U85" s="61"/>
      <c r="V85" s="488">
        <f>SUM(H85,J85,L85,N85,P85,R85,U85,T85)</f>
        <v>20</v>
      </c>
      <c r="W85" s="491">
        <f>$V85/$D$83</f>
        <v>3.2414910858995137E-2</v>
      </c>
      <c r="X85" s="196" t="s">
        <v>47</v>
      </c>
      <c r="Y85" s="255"/>
    </row>
    <row r="86" spans="1:25" x14ac:dyDescent="0.25">
      <c r="A86" s="52"/>
      <c r="B86" s="260"/>
      <c r="C86" s="260"/>
      <c r="D86" s="260"/>
      <c r="E86" s="260"/>
      <c r="F86" s="260"/>
      <c r="G86" s="261"/>
      <c r="H86" s="262">
        <v>2</v>
      </c>
      <c r="I86" s="61"/>
      <c r="J86" s="61">
        <v>1</v>
      </c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488">
        <f t="shared" ref="V86:V103" si="10">SUM(H86,J86,L86,N86,P86,R86,U86,T86)</f>
        <v>3</v>
      </c>
      <c r="W86" s="491">
        <f t="shared" ref="W86:W103" si="11">$V86/$D$83</f>
        <v>4.8622366288492711E-3</v>
      </c>
      <c r="X86" s="36" t="s">
        <v>15</v>
      </c>
      <c r="Y86" s="277"/>
    </row>
    <row r="87" spans="1:25" x14ac:dyDescent="0.25">
      <c r="A87" s="52"/>
      <c r="B87" s="260"/>
      <c r="C87" s="260"/>
      <c r="D87" s="260"/>
      <c r="E87" s="260"/>
      <c r="F87" s="260"/>
      <c r="G87" s="261"/>
      <c r="H87" s="262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488">
        <f t="shared" si="10"/>
        <v>0</v>
      </c>
      <c r="W87" s="491">
        <f t="shared" si="11"/>
        <v>0</v>
      </c>
      <c r="X87" s="489" t="s">
        <v>206</v>
      </c>
      <c r="Y87" s="277"/>
    </row>
    <row r="88" spans="1:25" x14ac:dyDescent="0.25">
      <c r="A88" s="52"/>
      <c r="B88" s="260"/>
      <c r="C88" s="260"/>
      <c r="D88" s="260"/>
      <c r="E88" s="260"/>
      <c r="F88" s="260"/>
      <c r="G88" s="261"/>
      <c r="H88" s="262"/>
      <c r="I88" s="61"/>
      <c r="J88" s="285"/>
      <c r="K88" s="285"/>
      <c r="L88" s="285"/>
      <c r="M88" s="61"/>
      <c r="N88" s="61"/>
      <c r="O88" s="61"/>
      <c r="P88" s="61"/>
      <c r="Q88" s="61"/>
      <c r="R88" s="61"/>
      <c r="S88" s="61"/>
      <c r="T88" s="61"/>
      <c r="U88" s="61"/>
      <c r="V88" s="488">
        <f t="shared" si="10"/>
        <v>0</v>
      </c>
      <c r="W88" s="491">
        <f t="shared" si="11"/>
        <v>0</v>
      </c>
      <c r="X88" s="489" t="s">
        <v>83</v>
      </c>
      <c r="Y88" s="277"/>
    </row>
    <row r="89" spans="1:25" x14ac:dyDescent="0.25">
      <c r="A89" s="52"/>
      <c r="B89" s="260"/>
      <c r="C89" s="260"/>
      <c r="D89" s="260"/>
      <c r="E89" s="260"/>
      <c r="F89" s="260"/>
      <c r="G89" s="261"/>
      <c r="H89" s="262"/>
      <c r="I89" s="61"/>
      <c r="J89" s="61">
        <v>1</v>
      </c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488">
        <f t="shared" si="10"/>
        <v>1</v>
      </c>
      <c r="W89" s="491">
        <f t="shared" si="11"/>
        <v>1.6207455429497568E-3</v>
      </c>
      <c r="X89" s="36" t="s">
        <v>13</v>
      </c>
      <c r="Y89" s="146"/>
    </row>
    <row r="90" spans="1:25" x14ac:dyDescent="0.25">
      <c r="A90" s="52"/>
      <c r="B90" s="260"/>
      <c r="C90" s="260"/>
      <c r="D90" s="260"/>
      <c r="E90" s="260"/>
      <c r="F90" s="260"/>
      <c r="G90" s="261"/>
      <c r="H90" s="262"/>
      <c r="I90" s="61">
        <v>15</v>
      </c>
      <c r="J90" s="61">
        <v>14</v>
      </c>
      <c r="K90" s="61"/>
      <c r="L90" s="61">
        <v>1</v>
      </c>
      <c r="M90" s="61"/>
      <c r="N90" s="61"/>
      <c r="O90" s="61"/>
      <c r="P90" s="61"/>
      <c r="Q90" s="61"/>
      <c r="R90" s="61"/>
      <c r="S90" s="61"/>
      <c r="T90" s="61"/>
      <c r="U90" s="61"/>
      <c r="V90" s="488">
        <f t="shared" si="10"/>
        <v>15</v>
      </c>
      <c r="W90" s="491">
        <f t="shared" si="11"/>
        <v>2.4311183144246355E-2</v>
      </c>
      <c r="X90" s="36" t="s">
        <v>14</v>
      </c>
      <c r="Y90" s="259"/>
    </row>
    <row r="91" spans="1:25" x14ac:dyDescent="0.25">
      <c r="A91" s="52" t="s">
        <v>151</v>
      </c>
      <c r="B91" s="260"/>
      <c r="C91" s="260"/>
      <c r="D91" s="260"/>
      <c r="E91" s="260"/>
      <c r="F91" s="260"/>
      <c r="G91" s="261"/>
      <c r="H91" s="262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488">
        <f t="shared" si="10"/>
        <v>0</v>
      </c>
      <c r="W91" s="491">
        <f t="shared" si="11"/>
        <v>0</v>
      </c>
      <c r="X91" s="36" t="s">
        <v>7</v>
      </c>
      <c r="Y91" s="259"/>
    </row>
    <row r="92" spans="1:25" x14ac:dyDescent="0.25">
      <c r="A92" s="52"/>
      <c r="B92" s="260"/>
      <c r="C92" s="260" t="s">
        <v>98</v>
      </c>
      <c r="D92" s="260"/>
      <c r="E92" s="260"/>
      <c r="F92" s="260"/>
      <c r="G92" s="261"/>
      <c r="H92" s="262"/>
      <c r="I92" s="61">
        <v>3</v>
      </c>
      <c r="J92" s="61">
        <v>1</v>
      </c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488">
        <f t="shared" si="10"/>
        <v>1</v>
      </c>
      <c r="W92" s="491">
        <f t="shared" si="11"/>
        <v>1.6207455429497568E-3</v>
      </c>
      <c r="X92" s="36" t="s">
        <v>8</v>
      </c>
      <c r="Y92" s="286"/>
    </row>
    <row r="93" spans="1:25" x14ac:dyDescent="0.25">
      <c r="A93" s="52"/>
      <c r="B93" s="260"/>
      <c r="C93" s="260"/>
      <c r="D93" s="260"/>
      <c r="E93" s="260"/>
      <c r="F93" s="260"/>
      <c r="G93" s="261"/>
      <c r="H93" s="280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488">
        <f t="shared" si="10"/>
        <v>0</v>
      </c>
      <c r="W93" s="491">
        <f t="shared" si="11"/>
        <v>0</v>
      </c>
      <c r="X93" s="36" t="s">
        <v>67</v>
      </c>
      <c r="Y93" s="286"/>
    </row>
    <row r="94" spans="1:25" x14ac:dyDescent="0.25">
      <c r="A94" s="52"/>
      <c r="B94" s="260"/>
      <c r="C94" s="260"/>
      <c r="D94" s="260"/>
      <c r="E94" s="260"/>
      <c r="F94" s="260"/>
      <c r="G94" s="261"/>
      <c r="H94" s="280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>
        <v>1</v>
      </c>
      <c r="V94" s="488">
        <f t="shared" si="10"/>
        <v>1</v>
      </c>
      <c r="W94" s="491">
        <f t="shared" si="11"/>
        <v>1.6207455429497568E-3</v>
      </c>
      <c r="X94" s="36" t="s">
        <v>0</v>
      </c>
      <c r="Y94" s="287"/>
    </row>
    <row r="95" spans="1:25" x14ac:dyDescent="0.25">
      <c r="A95" s="52"/>
      <c r="B95" s="260"/>
      <c r="C95" s="260"/>
      <c r="D95" s="260"/>
      <c r="E95" s="260"/>
      <c r="F95" s="260"/>
      <c r="G95" s="261"/>
      <c r="H95" s="280"/>
      <c r="I95" s="61">
        <v>1</v>
      </c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488">
        <f t="shared" si="10"/>
        <v>0</v>
      </c>
      <c r="W95" s="491">
        <f t="shared" si="11"/>
        <v>0</v>
      </c>
      <c r="X95" s="36" t="s">
        <v>19</v>
      </c>
      <c r="Y95" s="287"/>
    </row>
    <row r="96" spans="1:25" x14ac:dyDescent="0.25">
      <c r="A96" s="52"/>
      <c r="B96" s="260"/>
      <c r="C96" s="260"/>
      <c r="D96" s="260"/>
      <c r="E96" s="260"/>
      <c r="F96" s="260" t="s">
        <v>98</v>
      </c>
      <c r="G96" s="261"/>
      <c r="H96" s="280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488">
        <f t="shared" si="10"/>
        <v>0</v>
      </c>
      <c r="W96" s="491">
        <f t="shared" si="11"/>
        <v>0</v>
      </c>
      <c r="X96" s="36" t="s">
        <v>3</v>
      </c>
      <c r="Y96" s="287"/>
    </row>
    <row r="97" spans="1:25" x14ac:dyDescent="0.25">
      <c r="A97" s="298"/>
      <c r="B97" s="300"/>
      <c r="C97" s="300"/>
      <c r="D97" s="300"/>
      <c r="E97" s="300"/>
      <c r="F97" s="300"/>
      <c r="G97" s="299"/>
      <c r="H97" s="288"/>
      <c r="I97" s="61"/>
      <c r="J97" s="66"/>
      <c r="K97" s="66"/>
      <c r="L97" s="66"/>
      <c r="M97" s="61"/>
      <c r="N97" s="66"/>
      <c r="O97" s="66"/>
      <c r="P97" s="66"/>
      <c r="Q97" s="66"/>
      <c r="R97" s="66"/>
      <c r="S97" s="66"/>
      <c r="T97" s="66"/>
      <c r="U97" s="66"/>
      <c r="V97" s="488">
        <f t="shared" si="10"/>
        <v>0</v>
      </c>
      <c r="W97" s="491">
        <f t="shared" si="11"/>
        <v>0</v>
      </c>
      <c r="X97" s="36" t="s">
        <v>174</v>
      </c>
      <c r="Y97" s="287"/>
    </row>
    <row r="98" spans="1:25" x14ac:dyDescent="0.25">
      <c r="A98" s="298"/>
      <c r="B98" s="300"/>
      <c r="C98" s="300"/>
      <c r="D98" s="300"/>
      <c r="E98" s="300"/>
      <c r="F98" s="300"/>
      <c r="G98" s="299"/>
      <c r="H98" s="284"/>
      <c r="I98" s="61">
        <v>1</v>
      </c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>
        <v>3</v>
      </c>
      <c r="V98" s="488">
        <f t="shared" si="10"/>
        <v>3</v>
      </c>
      <c r="W98" s="491">
        <f t="shared" si="11"/>
        <v>4.8622366288492711E-3</v>
      </c>
      <c r="X98" s="196" t="s">
        <v>157</v>
      </c>
      <c r="Y98" s="287"/>
    </row>
    <row r="99" spans="1:25" x14ac:dyDescent="0.25">
      <c r="A99" s="52"/>
      <c r="B99" s="260"/>
      <c r="C99" s="260"/>
      <c r="D99" s="260"/>
      <c r="E99" s="260"/>
      <c r="F99" s="260"/>
      <c r="G99" s="56"/>
      <c r="H99" s="271"/>
      <c r="I99" s="271">
        <v>3</v>
      </c>
      <c r="J99" s="61"/>
      <c r="K99" s="61"/>
      <c r="L99" s="61"/>
      <c r="M99" s="271"/>
      <c r="N99" s="61"/>
      <c r="O99" s="61"/>
      <c r="P99" s="61"/>
      <c r="Q99" s="61"/>
      <c r="R99" s="61"/>
      <c r="S99" s="61"/>
      <c r="T99" s="61"/>
      <c r="U99" s="61">
        <v>1</v>
      </c>
      <c r="V99" s="488">
        <f t="shared" si="10"/>
        <v>1</v>
      </c>
      <c r="W99" s="491">
        <f t="shared" si="11"/>
        <v>1.6207455429497568E-3</v>
      </c>
      <c r="X99" s="196" t="s">
        <v>12</v>
      </c>
      <c r="Y99" s="289"/>
    </row>
    <row r="100" spans="1:25" x14ac:dyDescent="0.25">
      <c r="A100" s="52"/>
      <c r="B100" s="260"/>
      <c r="C100" s="260"/>
      <c r="D100" s="260"/>
      <c r="E100" s="260"/>
      <c r="F100" s="260"/>
      <c r="G100" s="56"/>
      <c r="H100" s="271"/>
      <c r="I100" s="61">
        <v>1</v>
      </c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488">
        <f t="shared" si="10"/>
        <v>0</v>
      </c>
      <c r="W100" s="491">
        <f t="shared" si="11"/>
        <v>0</v>
      </c>
      <c r="X100" s="36" t="s">
        <v>91</v>
      </c>
      <c r="Y100" s="147" t="s">
        <v>309</v>
      </c>
    </row>
    <row r="101" spans="1:25" x14ac:dyDescent="0.25">
      <c r="A101" s="52"/>
      <c r="B101" s="260"/>
      <c r="C101" s="260"/>
      <c r="D101" s="260"/>
      <c r="E101" s="260"/>
      <c r="F101" s="260"/>
      <c r="G101" s="261"/>
      <c r="H101" s="262"/>
      <c r="I101" s="61"/>
      <c r="J101" s="61"/>
      <c r="K101" s="61"/>
      <c r="L101" s="61">
        <v>3</v>
      </c>
      <c r="M101" s="61"/>
      <c r="N101" s="61"/>
      <c r="O101" s="61"/>
      <c r="P101" s="61"/>
      <c r="Q101" s="61"/>
      <c r="R101" s="61"/>
      <c r="S101" s="61"/>
      <c r="T101" s="61"/>
      <c r="U101" s="61"/>
      <c r="V101" s="488">
        <f t="shared" si="10"/>
        <v>3</v>
      </c>
      <c r="W101" s="491">
        <f t="shared" si="11"/>
        <v>4.8622366288492711E-3</v>
      </c>
      <c r="X101" s="197" t="s">
        <v>26</v>
      </c>
      <c r="Y101" s="287"/>
    </row>
    <row r="102" spans="1:25" x14ac:dyDescent="0.25">
      <c r="A102" s="52"/>
      <c r="B102" s="260"/>
      <c r="C102" s="260"/>
      <c r="D102" s="260"/>
      <c r="E102" s="260"/>
      <c r="F102" s="260"/>
      <c r="G102" s="261"/>
      <c r="H102" s="262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>
        <v>1</v>
      </c>
      <c r="V102" s="488">
        <f t="shared" si="10"/>
        <v>1</v>
      </c>
      <c r="W102" s="491">
        <f t="shared" si="11"/>
        <v>1.6207455429497568E-3</v>
      </c>
      <c r="X102" s="36" t="s">
        <v>93</v>
      </c>
      <c r="Y102" s="287"/>
    </row>
    <row r="103" spans="1:25" x14ac:dyDescent="0.25">
      <c r="A103" s="52"/>
      <c r="B103" s="260"/>
      <c r="C103" s="260"/>
      <c r="D103" s="260"/>
      <c r="E103" s="260"/>
      <c r="F103" s="260" t="s">
        <v>98</v>
      </c>
      <c r="G103" s="261"/>
      <c r="H103" s="268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488">
        <f t="shared" si="10"/>
        <v>0</v>
      </c>
      <c r="W103" s="491">
        <f t="shared" si="11"/>
        <v>0</v>
      </c>
      <c r="X103" s="36" t="s">
        <v>211</v>
      </c>
      <c r="Y103" s="286"/>
    </row>
    <row r="104" spans="1:25" ht="15.75" thickBot="1" x14ac:dyDescent="0.3">
      <c r="A104" s="52"/>
      <c r="B104" s="260"/>
      <c r="C104" s="260"/>
      <c r="D104" s="260"/>
      <c r="E104" s="260"/>
      <c r="F104" s="260"/>
      <c r="G104" s="261"/>
      <c r="H104" s="268"/>
      <c r="I104" s="66">
        <v>9</v>
      </c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488">
        <f>SUM(H104,J104,L104,N104,P104,R104,U104,T104)</f>
        <v>0</v>
      </c>
      <c r="W104" s="492">
        <f>$V104/$D$83</f>
        <v>0</v>
      </c>
      <c r="X104" s="197" t="s">
        <v>9</v>
      </c>
      <c r="Y104" s="287"/>
    </row>
    <row r="105" spans="1:25" ht="15.75" thickBot="1" x14ac:dyDescent="0.3">
      <c r="A105" s="52"/>
      <c r="B105" s="260"/>
      <c r="C105" s="260"/>
      <c r="D105" s="260"/>
      <c r="E105" s="260"/>
      <c r="F105" s="260"/>
      <c r="G105" s="261"/>
      <c r="H105" s="290"/>
      <c r="I105" s="166"/>
      <c r="J105" s="166"/>
      <c r="K105" s="166"/>
      <c r="L105" s="166"/>
      <c r="M105" s="166"/>
      <c r="N105" s="166"/>
      <c r="O105" s="166"/>
      <c r="P105" s="166"/>
      <c r="Q105" s="166"/>
      <c r="R105" s="166"/>
      <c r="S105" s="166"/>
      <c r="T105" s="166"/>
      <c r="U105" s="166"/>
      <c r="V105" s="291"/>
      <c r="W105" s="493"/>
      <c r="X105" s="74" t="s">
        <v>21</v>
      </c>
      <c r="Y105" s="287"/>
    </row>
    <row r="106" spans="1:25" x14ac:dyDescent="0.25">
      <c r="A106" s="52"/>
      <c r="B106" s="260"/>
      <c r="C106" s="260"/>
      <c r="D106" s="260"/>
      <c r="E106" s="260"/>
      <c r="F106" s="260"/>
      <c r="G106" s="261"/>
      <c r="H106" s="292"/>
      <c r="I106" s="62"/>
      <c r="J106" s="62"/>
      <c r="K106" s="62"/>
      <c r="L106" s="62"/>
      <c r="M106" s="62"/>
      <c r="N106" s="62"/>
      <c r="O106" s="62"/>
      <c r="P106" s="62"/>
      <c r="Q106" s="61"/>
      <c r="R106" s="62"/>
      <c r="S106" s="62"/>
      <c r="T106" s="62"/>
      <c r="U106" s="62"/>
      <c r="V106" s="488">
        <f t="shared" ref="V106:V119" si="12">SUM(H106,J106,L106,N106,P106,R106,U106)</f>
        <v>0</v>
      </c>
      <c r="W106" s="490">
        <f>$V106/$D$83</f>
        <v>0</v>
      </c>
      <c r="X106" s="495" t="s">
        <v>70</v>
      </c>
      <c r="Y106" s="287"/>
    </row>
    <row r="107" spans="1:25" x14ac:dyDescent="0.25">
      <c r="A107" s="52"/>
      <c r="B107" s="260"/>
      <c r="C107" s="260"/>
      <c r="D107" s="260"/>
      <c r="E107" s="260"/>
      <c r="F107" s="260"/>
      <c r="G107" s="261"/>
      <c r="H107" s="262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488">
        <f t="shared" si="12"/>
        <v>0</v>
      </c>
      <c r="W107" s="491">
        <f>$V107/$D$83</f>
        <v>0</v>
      </c>
      <c r="X107" s="496" t="s">
        <v>25</v>
      </c>
      <c r="Y107" s="146"/>
    </row>
    <row r="108" spans="1:25" x14ac:dyDescent="0.25">
      <c r="A108" s="52"/>
      <c r="B108" s="260"/>
      <c r="C108" s="260"/>
      <c r="D108" s="260"/>
      <c r="E108" s="260"/>
      <c r="F108" s="260"/>
      <c r="G108" s="261"/>
      <c r="H108" s="262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488">
        <f t="shared" si="12"/>
        <v>0</v>
      </c>
      <c r="W108" s="491">
        <f t="shared" ref="W108:W117" si="13">$V108/$D$83</f>
        <v>0</v>
      </c>
      <c r="X108" s="497" t="s">
        <v>162</v>
      </c>
      <c r="Y108" s="286" t="s">
        <v>312</v>
      </c>
    </row>
    <row r="109" spans="1:25" x14ac:dyDescent="0.25">
      <c r="A109" s="52"/>
      <c r="B109" s="260"/>
      <c r="C109" s="260"/>
      <c r="D109" s="260"/>
      <c r="E109" s="260"/>
      <c r="F109" s="260"/>
      <c r="G109" s="261"/>
      <c r="H109" s="262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488">
        <f t="shared" si="12"/>
        <v>0</v>
      </c>
      <c r="W109" s="491">
        <f t="shared" si="13"/>
        <v>0</v>
      </c>
      <c r="X109" s="489" t="s">
        <v>15</v>
      </c>
      <c r="Y109" s="286" t="s">
        <v>310</v>
      </c>
    </row>
    <row r="110" spans="1:25" x14ac:dyDescent="0.25">
      <c r="A110" s="52"/>
      <c r="B110" s="260"/>
      <c r="C110" s="260"/>
      <c r="D110" s="260"/>
      <c r="E110" s="260"/>
      <c r="F110" s="260" t="s">
        <v>98</v>
      </c>
      <c r="G110" s="261"/>
      <c r="H110" s="262">
        <v>1</v>
      </c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488">
        <f t="shared" si="12"/>
        <v>1</v>
      </c>
      <c r="W110" s="491">
        <f t="shared" si="13"/>
        <v>1.6207455429497568E-3</v>
      </c>
      <c r="X110" s="497" t="s">
        <v>50</v>
      </c>
      <c r="Y110" s="286"/>
    </row>
    <row r="111" spans="1:25" x14ac:dyDescent="0.25">
      <c r="A111" s="52"/>
      <c r="B111" s="260"/>
      <c r="C111" s="260"/>
      <c r="D111" s="260"/>
      <c r="E111" s="260"/>
      <c r="F111" s="260"/>
      <c r="G111" s="261"/>
      <c r="H111" s="262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488">
        <f t="shared" si="12"/>
        <v>0</v>
      </c>
      <c r="W111" s="491">
        <f t="shared" si="13"/>
        <v>0</v>
      </c>
      <c r="X111" s="196" t="s">
        <v>12</v>
      </c>
      <c r="Y111" s="286"/>
    </row>
    <row r="112" spans="1:25" x14ac:dyDescent="0.25">
      <c r="A112" s="52"/>
      <c r="B112" s="260"/>
      <c r="C112" s="260"/>
      <c r="D112" s="260"/>
      <c r="E112" s="260"/>
      <c r="F112" s="260"/>
      <c r="G112" s="261"/>
      <c r="H112" s="262">
        <v>1</v>
      </c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488">
        <f t="shared" si="12"/>
        <v>1</v>
      </c>
      <c r="W112" s="491">
        <f t="shared" si="13"/>
        <v>1.6207455429497568E-3</v>
      </c>
      <c r="X112" s="498" t="s">
        <v>311</v>
      </c>
      <c r="Y112" s="286"/>
    </row>
    <row r="113" spans="1:25" x14ac:dyDescent="0.25">
      <c r="A113" s="52"/>
      <c r="B113" s="260"/>
      <c r="C113" s="260"/>
      <c r="D113" s="260"/>
      <c r="E113" s="260"/>
      <c r="F113" s="260"/>
      <c r="G113" s="261"/>
      <c r="H113" s="262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488">
        <f t="shared" si="12"/>
        <v>0</v>
      </c>
      <c r="W113" s="491">
        <f t="shared" si="13"/>
        <v>0</v>
      </c>
      <c r="X113" s="489" t="s">
        <v>212</v>
      </c>
      <c r="Y113" s="286"/>
    </row>
    <row r="114" spans="1:25" x14ac:dyDescent="0.25">
      <c r="A114" s="52"/>
      <c r="B114" s="260"/>
      <c r="C114" s="260"/>
      <c r="D114" s="260"/>
      <c r="E114" s="260"/>
      <c r="F114" s="260"/>
      <c r="G114" s="261"/>
      <c r="H114" s="262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488">
        <f t="shared" si="12"/>
        <v>0</v>
      </c>
      <c r="W114" s="491">
        <f t="shared" si="13"/>
        <v>0</v>
      </c>
      <c r="X114" s="489" t="s">
        <v>172</v>
      </c>
      <c r="Y114" s="286"/>
    </row>
    <row r="115" spans="1:25" x14ac:dyDescent="0.25">
      <c r="A115" s="52"/>
      <c r="B115" s="260"/>
      <c r="C115" s="260"/>
      <c r="D115" s="260"/>
      <c r="E115" s="260"/>
      <c r="F115" s="260"/>
      <c r="G115" s="261"/>
      <c r="H115" s="262">
        <v>3</v>
      </c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488">
        <f t="shared" si="12"/>
        <v>3</v>
      </c>
      <c r="W115" s="491">
        <f t="shared" si="13"/>
        <v>4.8622366288492711E-3</v>
      </c>
      <c r="X115" s="489" t="s">
        <v>99</v>
      </c>
      <c r="Y115" s="286"/>
    </row>
    <row r="116" spans="1:25" x14ac:dyDescent="0.25">
      <c r="A116" s="52"/>
      <c r="B116" s="260"/>
      <c r="C116" s="260"/>
      <c r="D116" s="260"/>
      <c r="E116" s="260"/>
      <c r="F116" s="260"/>
      <c r="G116" s="261"/>
      <c r="H116" s="262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488">
        <f t="shared" si="12"/>
        <v>0</v>
      </c>
      <c r="W116" s="491">
        <f t="shared" si="13"/>
        <v>0</v>
      </c>
      <c r="X116" s="196" t="s">
        <v>299</v>
      </c>
      <c r="Y116" s="286"/>
    </row>
    <row r="117" spans="1:25" x14ac:dyDescent="0.25">
      <c r="A117" s="52"/>
      <c r="B117" s="260"/>
      <c r="C117" s="260"/>
      <c r="D117" s="260"/>
      <c r="E117" s="260"/>
      <c r="F117" s="260"/>
      <c r="G117" s="261"/>
      <c r="H117" s="262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488">
        <f t="shared" si="12"/>
        <v>0</v>
      </c>
      <c r="W117" s="491">
        <f t="shared" si="13"/>
        <v>0</v>
      </c>
      <c r="X117" s="196" t="s">
        <v>207</v>
      </c>
      <c r="Y117" s="286"/>
    </row>
    <row r="118" spans="1:25" ht="15.75" thickBot="1" x14ac:dyDescent="0.3">
      <c r="A118" s="155"/>
      <c r="B118" s="156"/>
      <c r="C118" s="156"/>
      <c r="D118" s="156"/>
      <c r="E118" s="156"/>
      <c r="F118" s="156"/>
      <c r="G118" s="261"/>
      <c r="H118" s="262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488">
        <f t="shared" si="12"/>
        <v>0</v>
      </c>
      <c r="W118" s="492">
        <f>$V118/$D$83</f>
        <v>0</v>
      </c>
      <c r="X118" s="38" t="s">
        <v>84</v>
      </c>
      <c r="Y118" s="293"/>
    </row>
    <row r="119" spans="1:25" ht="15.75" thickBot="1" x14ac:dyDescent="0.3">
      <c r="A119" s="41"/>
      <c r="B119" s="41"/>
      <c r="C119" s="41"/>
      <c r="D119" s="41"/>
      <c r="E119" s="41"/>
      <c r="F119" s="41"/>
      <c r="G119" s="47" t="s">
        <v>4</v>
      </c>
      <c r="H119" s="57">
        <f>SUM(H85:H118)</f>
        <v>19</v>
      </c>
      <c r="I119" s="57">
        <f>SUM(I84:I118)</f>
        <v>39</v>
      </c>
      <c r="J119" s="57">
        <f t="shared" ref="J119:U119" si="14">SUM(J84:J118)</f>
        <v>22</v>
      </c>
      <c r="K119" s="57">
        <f t="shared" si="14"/>
        <v>0</v>
      </c>
      <c r="L119" s="57">
        <f t="shared" si="14"/>
        <v>7</v>
      </c>
      <c r="M119" s="57">
        <f t="shared" si="14"/>
        <v>0</v>
      </c>
      <c r="N119" s="57">
        <f t="shared" si="14"/>
        <v>0</v>
      </c>
      <c r="O119" s="57">
        <f t="shared" si="14"/>
        <v>0</v>
      </c>
      <c r="P119" s="57">
        <f t="shared" si="14"/>
        <v>0</v>
      </c>
      <c r="Q119" s="57">
        <f t="shared" si="14"/>
        <v>0</v>
      </c>
      <c r="R119" s="57">
        <f t="shared" si="14"/>
        <v>0</v>
      </c>
      <c r="S119" s="57">
        <f t="shared" si="14"/>
        <v>0</v>
      </c>
      <c r="T119" s="57">
        <f t="shared" si="14"/>
        <v>0</v>
      </c>
      <c r="U119" s="57">
        <f t="shared" si="14"/>
        <v>6</v>
      </c>
      <c r="V119" s="283">
        <f t="shared" si="12"/>
        <v>54</v>
      </c>
      <c r="W119" s="494">
        <f>$V119/$D$83</f>
        <v>8.7520259319286878E-2</v>
      </c>
    </row>
    <row r="121" spans="1:25" ht="15.75" thickBot="1" x14ac:dyDescent="0.3"/>
    <row r="122" spans="1:25" ht="60.75" thickBot="1" x14ac:dyDescent="0.3">
      <c r="A122" s="503" t="s">
        <v>22</v>
      </c>
      <c r="B122" s="503" t="s">
        <v>46</v>
      </c>
      <c r="C122" s="503" t="s">
        <v>51</v>
      </c>
      <c r="D122" s="503" t="s">
        <v>17</v>
      </c>
      <c r="E122" s="504" t="s">
        <v>16</v>
      </c>
      <c r="F122" s="505" t="s">
        <v>1</v>
      </c>
      <c r="G122" s="506" t="s">
        <v>23</v>
      </c>
      <c r="H122" s="507" t="s">
        <v>65</v>
      </c>
      <c r="I122" s="508" t="s">
        <v>66</v>
      </c>
      <c r="J122" s="508" t="s">
        <v>52</v>
      </c>
      <c r="K122" s="508" t="s">
        <v>57</v>
      </c>
      <c r="L122" s="508" t="s">
        <v>53</v>
      </c>
      <c r="M122" s="508" t="s">
        <v>58</v>
      </c>
      <c r="N122" s="508" t="s">
        <v>54</v>
      </c>
      <c r="O122" s="508" t="s">
        <v>59</v>
      </c>
      <c r="P122" s="508" t="s">
        <v>55</v>
      </c>
      <c r="Q122" s="508" t="s">
        <v>62</v>
      </c>
      <c r="R122" s="508" t="s">
        <v>56</v>
      </c>
      <c r="S122" s="508" t="s">
        <v>63</v>
      </c>
      <c r="T122" s="508" t="s">
        <v>112</v>
      </c>
      <c r="U122" s="508" t="s">
        <v>40</v>
      </c>
      <c r="V122" s="508" t="s">
        <v>4</v>
      </c>
      <c r="W122" s="504" t="s">
        <v>2</v>
      </c>
      <c r="X122" s="509" t="s">
        <v>20</v>
      </c>
      <c r="Y122" s="510" t="s">
        <v>6</v>
      </c>
    </row>
    <row r="123" spans="1:25" ht="15.75" thickBot="1" x14ac:dyDescent="0.3">
      <c r="A123" s="511">
        <v>1530362</v>
      </c>
      <c r="B123" s="511" t="s">
        <v>271</v>
      </c>
      <c r="C123" s="512">
        <v>576</v>
      </c>
      <c r="D123" s="512">
        <v>607</v>
      </c>
      <c r="E123" s="512">
        <v>568</v>
      </c>
      <c r="F123" s="513">
        <f>E123/D123</f>
        <v>0.93574958813838549</v>
      </c>
      <c r="G123" s="514">
        <v>45497</v>
      </c>
      <c r="H123" s="82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4"/>
      <c r="T123" s="115"/>
      <c r="U123" s="115"/>
      <c r="V123" s="115"/>
      <c r="W123" s="84"/>
      <c r="X123" s="515" t="s">
        <v>74</v>
      </c>
      <c r="Y123" s="516" t="s">
        <v>69</v>
      </c>
    </row>
    <row r="124" spans="1:25" x14ac:dyDescent="0.25">
      <c r="A124" s="96"/>
      <c r="B124" s="517"/>
      <c r="C124" s="517"/>
      <c r="D124" s="517"/>
      <c r="E124" s="517"/>
      <c r="F124" s="517"/>
      <c r="G124" s="518"/>
      <c r="H124" s="519"/>
      <c r="I124" s="92">
        <v>13</v>
      </c>
      <c r="J124" s="92"/>
      <c r="K124" s="92"/>
      <c r="L124" s="92"/>
      <c r="M124" s="92"/>
      <c r="N124" s="92"/>
      <c r="O124" s="92"/>
      <c r="P124" s="92"/>
      <c r="Q124" s="92"/>
      <c r="R124" s="92"/>
      <c r="S124" s="92"/>
      <c r="T124" s="92"/>
      <c r="U124" s="92"/>
      <c r="V124" s="520">
        <f>SUM(H124,J124,L124,N124,P124,R124,U124,T124)</f>
        <v>0</v>
      </c>
      <c r="W124" s="521">
        <f>$V124/$D$123</f>
        <v>0</v>
      </c>
      <c r="X124" s="522" t="s">
        <v>219</v>
      </c>
      <c r="Y124" s="321"/>
    </row>
    <row r="125" spans="1:25" x14ac:dyDescent="0.25">
      <c r="A125" s="96"/>
      <c r="B125" s="517"/>
      <c r="C125" s="517"/>
      <c r="D125" s="517"/>
      <c r="E125" s="517"/>
      <c r="F125" s="517"/>
      <c r="G125" s="518"/>
      <c r="H125" s="523">
        <v>3</v>
      </c>
      <c r="I125" s="101"/>
      <c r="J125" s="101"/>
      <c r="K125" s="101"/>
      <c r="L125" s="101"/>
      <c r="M125" s="101"/>
      <c r="N125" s="108"/>
      <c r="O125" s="101"/>
      <c r="P125" s="101"/>
      <c r="Q125" s="101"/>
      <c r="R125" s="101"/>
      <c r="S125" s="101"/>
      <c r="T125" s="101"/>
      <c r="U125" s="101"/>
      <c r="V125" s="524">
        <f>SUM(H125,J125,L125,N125,P125,R125,U125,T125)</f>
        <v>3</v>
      </c>
      <c r="W125" s="525">
        <f>$V125/$D$123</f>
        <v>4.9423393739703456E-3</v>
      </c>
      <c r="X125" s="526" t="s">
        <v>47</v>
      </c>
      <c r="Y125" s="321"/>
    </row>
    <row r="126" spans="1:25" x14ac:dyDescent="0.25">
      <c r="A126" s="96"/>
      <c r="B126" s="517"/>
      <c r="C126" s="517"/>
      <c r="D126" s="517"/>
      <c r="E126" s="517"/>
      <c r="F126" s="517"/>
      <c r="G126" s="518"/>
      <c r="H126" s="523">
        <v>8</v>
      </c>
      <c r="I126" s="101"/>
      <c r="J126" s="101"/>
      <c r="K126" s="101"/>
      <c r="L126" s="101"/>
      <c r="M126" s="101"/>
      <c r="N126" s="101"/>
      <c r="O126" s="101"/>
      <c r="P126" s="101"/>
      <c r="Q126" s="101"/>
      <c r="R126" s="101"/>
      <c r="S126" s="101"/>
      <c r="T126" s="101"/>
      <c r="U126" s="101"/>
      <c r="V126" s="524">
        <f t="shared" ref="V126:V143" si="15">SUM(H126,J126,L126,N126,P126,R126,U126,T126)</f>
        <v>8</v>
      </c>
      <c r="W126" s="525">
        <f t="shared" ref="W126:W145" si="16">$V126/$D$123</f>
        <v>1.3179571663920923E-2</v>
      </c>
      <c r="X126" s="527" t="s">
        <v>15</v>
      </c>
      <c r="Y126" s="528"/>
    </row>
    <row r="127" spans="1:25" x14ac:dyDescent="0.25">
      <c r="A127" s="96"/>
      <c r="B127" s="517"/>
      <c r="C127" s="517"/>
      <c r="D127" s="517"/>
      <c r="E127" s="517"/>
      <c r="F127" s="517"/>
      <c r="G127" s="518"/>
      <c r="H127" s="523">
        <v>1</v>
      </c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101"/>
      <c r="T127" s="101"/>
      <c r="U127" s="101"/>
      <c r="V127" s="524">
        <f t="shared" si="15"/>
        <v>1</v>
      </c>
      <c r="W127" s="525">
        <f t="shared" si="16"/>
        <v>1.6474464579901153E-3</v>
      </c>
      <c r="X127" s="529" t="s">
        <v>206</v>
      </c>
      <c r="Y127" s="528"/>
    </row>
    <row r="128" spans="1:25" x14ac:dyDescent="0.25">
      <c r="A128" s="96"/>
      <c r="B128" s="517"/>
      <c r="C128" s="517"/>
      <c r="D128" s="517"/>
      <c r="E128" s="517"/>
      <c r="F128" s="517"/>
      <c r="G128" s="518"/>
      <c r="H128" s="523"/>
      <c r="I128" s="101"/>
      <c r="J128" s="285"/>
      <c r="K128" s="285"/>
      <c r="L128" s="285"/>
      <c r="M128" s="101"/>
      <c r="N128" s="101"/>
      <c r="O128" s="101"/>
      <c r="P128" s="101"/>
      <c r="Q128" s="101"/>
      <c r="R128" s="101"/>
      <c r="S128" s="101"/>
      <c r="T128" s="101"/>
      <c r="U128" s="101"/>
      <c r="V128" s="524">
        <f t="shared" si="15"/>
        <v>0</v>
      </c>
      <c r="W128" s="525">
        <f t="shared" si="16"/>
        <v>0</v>
      </c>
      <c r="X128" s="529" t="s">
        <v>83</v>
      </c>
      <c r="Y128" s="528"/>
    </row>
    <row r="129" spans="1:25" x14ac:dyDescent="0.25">
      <c r="A129" s="96"/>
      <c r="B129" s="517"/>
      <c r="C129" s="517"/>
      <c r="D129" s="517"/>
      <c r="E129" s="517"/>
      <c r="F129" s="517"/>
      <c r="G129" s="518"/>
      <c r="H129" s="523"/>
      <c r="I129" s="101"/>
      <c r="J129" s="101"/>
      <c r="K129" s="101"/>
      <c r="L129" s="101"/>
      <c r="M129" s="101"/>
      <c r="N129" s="101"/>
      <c r="O129" s="101"/>
      <c r="P129" s="101"/>
      <c r="Q129" s="101"/>
      <c r="R129" s="101"/>
      <c r="S129" s="101"/>
      <c r="T129" s="101"/>
      <c r="U129" s="101">
        <v>2</v>
      </c>
      <c r="V129" s="524">
        <f t="shared" si="15"/>
        <v>2</v>
      </c>
      <c r="W129" s="525">
        <f t="shared" si="16"/>
        <v>3.2948929159802307E-3</v>
      </c>
      <c r="X129" s="527" t="s">
        <v>13</v>
      </c>
      <c r="Y129" s="530"/>
    </row>
    <row r="130" spans="1:25" x14ac:dyDescent="0.25">
      <c r="A130" s="96"/>
      <c r="B130" s="517"/>
      <c r="C130" s="517"/>
      <c r="D130" s="517"/>
      <c r="E130" s="517"/>
      <c r="F130" s="517"/>
      <c r="G130" s="518"/>
      <c r="H130" s="523"/>
      <c r="I130" s="101">
        <v>13</v>
      </c>
      <c r="J130" s="101"/>
      <c r="K130" s="101"/>
      <c r="L130" s="101"/>
      <c r="M130" s="101"/>
      <c r="N130" s="101"/>
      <c r="O130" s="101"/>
      <c r="P130" s="101"/>
      <c r="Q130" s="101"/>
      <c r="R130" s="101"/>
      <c r="S130" s="101"/>
      <c r="T130" s="101"/>
      <c r="U130" s="101"/>
      <c r="V130" s="524">
        <f t="shared" si="15"/>
        <v>0</v>
      </c>
      <c r="W130" s="525">
        <f t="shared" si="16"/>
        <v>0</v>
      </c>
      <c r="X130" s="527" t="s">
        <v>14</v>
      </c>
      <c r="Y130" s="295"/>
    </row>
    <row r="131" spans="1:25" x14ac:dyDescent="0.25">
      <c r="A131" s="96" t="s">
        <v>151</v>
      </c>
      <c r="B131" s="517"/>
      <c r="C131" s="517"/>
      <c r="D131" s="517"/>
      <c r="E131" s="517"/>
      <c r="F131" s="517"/>
      <c r="G131" s="518"/>
      <c r="H131" s="523"/>
      <c r="I131" s="101"/>
      <c r="J131" s="101"/>
      <c r="K131" s="101"/>
      <c r="L131" s="101"/>
      <c r="M131" s="101"/>
      <c r="N131" s="101"/>
      <c r="O131" s="101"/>
      <c r="P131" s="101"/>
      <c r="Q131" s="101"/>
      <c r="R131" s="101"/>
      <c r="S131" s="101"/>
      <c r="T131" s="101"/>
      <c r="U131" s="101"/>
      <c r="V131" s="524">
        <f t="shared" si="15"/>
        <v>0</v>
      </c>
      <c r="W131" s="525">
        <f t="shared" si="16"/>
        <v>0</v>
      </c>
      <c r="X131" s="527" t="s">
        <v>7</v>
      </c>
      <c r="Y131" s="295"/>
    </row>
    <row r="132" spans="1:25" x14ac:dyDescent="0.25">
      <c r="A132" s="96"/>
      <c r="B132" s="517"/>
      <c r="C132" s="517" t="s">
        <v>98</v>
      </c>
      <c r="D132" s="517"/>
      <c r="E132" s="517"/>
      <c r="F132" s="517"/>
      <c r="G132" s="518"/>
      <c r="H132" s="523"/>
      <c r="I132" s="101"/>
      <c r="J132" s="101"/>
      <c r="K132" s="101"/>
      <c r="L132" s="101"/>
      <c r="M132" s="101"/>
      <c r="N132" s="101"/>
      <c r="O132" s="101"/>
      <c r="P132" s="101"/>
      <c r="Q132" s="101"/>
      <c r="R132" s="101"/>
      <c r="S132" s="101"/>
      <c r="T132" s="101"/>
      <c r="U132" s="101"/>
      <c r="V132" s="524">
        <f t="shared" si="15"/>
        <v>0</v>
      </c>
      <c r="W132" s="525">
        <f t="shared" si="16"/>
        <v>0</v>
      </c>
      <c r="X132" s="527" t="s">
        <v>8</v>
      </c>
      <c r="Y132" s="531"/>
    </row>
    <row r="133" spans="1:25" x14ac:dyDescent="0.25">
      <c r="A133" s="96"/>
      <c r="B133" s="517"/>
      <c r="C133" s="517"/>
      <c r="D133" s="517"/>
      <c r="E133" s="517"/>
      <c r="F133" s="517"/>
      <c r="G133" s="518"/>
      <c r="H133" s="532"/>
      <c r="I133" s="101">
        <v>1</v>
      </c>
      <c r="J133" s="101"/>
      <c r="K133" s="101"/>
      <c r="L133" s="101"/>
      <c r="M133" s="101"/>
      <c r="N133" s="101"/>
      <c r="O133" s="101"/>
      <c r="P133" s="101"/>
      <c r="Q133" s="101"/>
      <c r="R133" s="101"/>
      <c r="S133" s="101"/>
      <c r="T133" s="101"/>
      <c r="U133" s="101">
        <v>2</v>
      </c>
      <c r="V133" s="524">
        <f t="shared" si="15"/>
        <v>2</v>
      </c>
      <c r="W133" s="525">
        <f t="shared" si="16"/>
        <v>3.2948929159802307E-3</v>
      </c>
      <c r="X133" s="527" t="s">
        <v>67</v>
      </c>
      <c r="Y133" s="531"/>
    </row>
    <row r="134" spans="1:25" x14ac:dyDescent="0.25">
      <c r="A134" s="96"/>
      <c r="B134" s="517"/>
      <c r="C134" s="517"/>
      <c r="D134" s="517"/>
      <c r="E134" s="517"/>
      <c r="F134" s="517"/>
      <c r="G134" s="518"/>
      <c r="H134" s="532"/>
      <c r="I134" s="101"/>
      <c r="J134" s="101"/>
      <c r="K134" s="101"/>
      <c r="L134" s="101"/>
      <c r="M134" s="101"/>
      <c r="N134" s="101"/>
      <c r="O134" s="101"/>
      <c r="P134" s="101"/>
      <c r="Q134" s="101"/>
      <c r="R134" s="101"/>
      <c r="S134" s="101"/>
      <c r="T134" s="101"/>
      <c r="U134" s="101"/>
      <c r="V134" s="524">
        <f t="shared" si="15"/>
        <v>0</v>
      </c>
      <c r="W134" s="525">
        <f t="shared" si="16"/>
        <v>0</v>
      </c>
      <c r="X134" s="527" t="s">
        <v>0</v>
      </c>
      <c r="Y134" s="533"/>
    </row>
    <row r="135" spans="1:25" x14ac:dyDescent="0.25">
      <c r="A135" s="96"/>
      <c r="B135" s="517"/>
      <c r="C135" s="517"/>
      <c r="D135" s="517"/>
      <c r="E135" s="517"/>
      <c r="F135" s="517"/>
      <c r="G135" s="518"/>
      <c r="H135" s="532"/>
      <c r="I135" s="101">
        <v>4</v>
      </c>
      <c r="J135" s="101"/>
      <c r="K135" s="101"/>
      <c r="L135" s="101"/>
      <c r="M135" s="101"/>
      <c r="N135" s="101"/>
      <c r="O135" s="101"/>
      <c r="P135" s="101"/>
      <c r="Q135" s="101"/>
      <c r="R135" s="101"/>
      <c r="S135" s="101"/>
      <c r="T135" s="101"/>
      <c r="U135" s="101"/>
      <c r="V135" s="524">
        <f t="shared" si="15"/>
        <v>0</v>
      </c>
      <c r="W135" s="525">
        <f t="shared" si="16"/>
        <v>0</v>
      </c>
      <c r="X135" s="527" t="s">
        <v>19</v>
      </c>
      <c r="Y135" s="533"/>
    </row>
    <row r="136" spans="1:25" x14ac:dyDescent="0.25">
      <c r="A136" s="96"/>
      <c r="B136" s="517"/>
      <c r="C136" s="517"/>
      <c r="D136" s="517"/>
      <c r="E136" s="517"/>
      <c r="F136" s="517" t="s">
        <v>98</v>
      </c>
      <c r="G136" s="518"/>
      <c r="H136" s="532"/>
      <c r="I136" s="101"/>
      <c r="J136" s="101"/>
      <c r="K136" s="101"/>
      <c r="L136" s="101"/>
      <c r="M136" s="101"/>
      <c r="N136" s="101"/>
      <c r="O136" s="101"/>
      <c r="P136" s="101"/>
      <c r="Q136" s="101"/>
      <c r="R136" s="101"/>
      <c r="S136" s="101"/>
      <c r="T136" s="101"/>
      <c r="U136" s="101"/>
      <c r="V136" s="524">
        <f t="shared" si="15"/>
        <v>0</v>
      </c>
      <c r="W136" s="525">
        <f t="shared" si="16"/>
        <v>0</v>
      </c>
      <c r="X136" s="527" t="s">
        <v>3</v>
      </c>
      <c r="Y136" s="533"/>
    </row>
    <row r="137" spans="1:25" x14ac:dyDescent="0.25">
      <c r="A137" s="96"/>
      <c r="B137" s="517"/>
      <c r="C137" s="517"/>
      <c r="D137" s="517"/>
      <c r="E137" s="517"/>
      <c r="F137" s="517"/>
      <c r="G137" s="534"/>
      <c r="H137" s="535"/>
      <c r="I137" s="101"/>
      <c r="J137" s="108"/>
      <c r="K137" s="108"/>
      <c r="L137" s="108"/>
      <c r="M137" s="101"/>
      <c r="N137" s="108"/>
      <c r="O137" s="108"/>
      <c r="P137" s="108"/>
      <c r="Q137" s="108"/>
      <c r="R137" s="108"/>
      <c r="S137" s="108"/>
      <c r="T137" s="108"/>
      <c r="U137" s="108"/>
      <c r="V137" s="524">
        <f t="shared" si="15"/>
        <v>0</v>
      </c>
      <c r="W137" s="525">
        <f t="shared" si="16"/>
        <v>0</v>
      </c>
      <c r="X137" s="527" t="s">
        <v>174</v>
      </c>
      <c r="Y137" s="533"/>
    </row>
    <row r="138" spans="1:25" x14ac:dyDescent="0.25">
      <c r="A138" s="96"/>
      <c r="B138" s="517"/>
      <c r="C138" s="517"/>
      <c r="D138" s="517"/>
      <c r="E138" s="517"/>
      <c r="F138" s="517"/>
      <c r="G138" s="534"/>
      <c r="H138" s="536"/>
      <c r="I138" s="101"/>
      <c r="J138" s="101"/>
      <c r="K138" s="101"/>
      <c r="L138" s="101"/>
      <c r="M138" s="101"/>
      <c r="N138" s="101"/>
      <c r="O138" s="101"/>
      <c r="P138" s="101"/>
      <c r="Q138" s="101"/>
      <c r="R138" s="101"/>
      <c r="S138" s="101"/>
      <c r="T138" s="101"/>
      <c r="U138" s="101">
        <v>2</v>
      </c>
      <c r="V138" s="524">
        <f t="shared" si="15"/>
        <v>2</v>
      </c>
      <c r="W138" s="525">
        <f t="shared" si="16"/>
        <v>3.2948929159802307E-3</v>
      </c>
      <c r="X138" s="526" t="s">
        <v>157</v>
      </c>
      <c r="Y138" s="533"/>
    </row>
    <row r="139" spans="1:25" x14ac:dyDescent="0.25">
      <c r="A139" s="96"/>
      <c r="B139" s="517"/>
      <c r="C139" s="517"/>
      <c r="D139" s="517"/>
      <c r="E139" s="517"/>
      <c r="F139" s="517"/>
      <c r="G139" s="109"/>
      <c r="H139" s="496"/>
      <c r="I139" s="556">
        <v>1</v>
      </c>
      <c r="J139" s="101"/>
      <c r="K139" s="101"/>
      <c r="L139" s="101"/>
      <c r="M139" s="496"/>
      <c r="N139" s="101"/>
      <c r="O139" s="101" t="s">
        <v>321</v>
      </c>
      <c r="P139" s="101"/>
      <c r="Q139" s="101"/>
      <c r="R139" s="101"/>
      <c r="S139" s="101"/>
      <c r="T139" s="101"/>
      <c r="U139" s="101"/>
      <c r="V139" s="524">
        <f t="shared" si="15"/>
        <v>0</v>
      </c>
      <c r="W139" s="525">
        <f t="shared" si="16"/>
        <v>0</v>
      </c>
      <c r="X139" s="526" t="s">
        <v>12</v>
      </c>
      <c r="Y139" s="537"/>
    </row>
    <row r="140" spans="1:25" x14ac:dyDescent="0.25">
      <c r="A140" s="96"/>
      <c r="B140" s="517"/>
      <c r="C140" s="517"/>
      <c r="D140" s="517"/>
      <c r="E140" s="517"/>
      <c r="F140" s="517"/>
      <c r="G140" s="109"/>
      <c r="H140" s="496"/>
      <c r="I140" s="285">
        <v>6</v>
      </c>
      <c r="J140" s="101"/>
      <c r="K140" s="101"/>
      <c r="L140" s="101"/>
      <c r="M140" s="101"/>
      <c r="N140" s="101"/>
      <c r="O140" s="101"/>
      <c r="P140" s="101"/>
      <c r="Q140" s="101"/>
      <c r="R140" s="101"/>
      <c r="S140" s="101"/>
      <c r="T140" s="101"/>
      <c r="U140" s="101"/>
      <c r="V140" s="524">
        <f t="shared" si="15"/>
        <v>0</v>
      </c>
      <c r="W140" s="525">
        <f t="shared" si="16"/>
        <v>0</v>
      </c>
      <c r="X140" s="527" t="s">
        <v>91</v>
      </c>
      <c r="Y140" s="538" t="s">
        <v>324</v>
      </c>
    </row>
    <row r="141" spans="1:25" x14ac:dyDescent="0.25">
      <c r="A141" s="96"/>
      <c r="B141" s="517"/>
      <c r="C141" s="517"/>
      <c r="D141" s="517"/>
      <c r="E141" s="517"/>
      <c r="F141" s="517"/>
      <c r="G141" s="518"/>
      <c r="H141" s="523"/>
      <c r="I141" s="101"/>
      <c r="J141" s="101"/>
      <c r="K141" s="101"/>
      <c r="L141" s="101">
        <v>2</v>
      </c>
      <c r="M141" s="101"/>
      <c r="N141" s="101"/>
      <c r="O141" s="101"/>
      <c r="P141" s="101"/>
      <c r="Q141" s="101"/>
      <c r="R141" s="101"/>
      <c r="S141" s="101"/>
      <c r="T141" s="101"/>
      <c r="U141" s="101"/>
      <c r="V141" s="524">
        <f t="shared" si="15"/>
        <v>2</v>
      </c>
      <c r="W141" s="525">
        <f t="shared" si="16"/>
        <v>3.2948929159802307E-3</v>
      </c>
      <c r="X141" s="539" t="s">
        <v>26</v>
      </c>
      <c r="Y141" s="533"/>
    </row>
    <row r="142" spans="1:25" x14ac:dyDescent="0.25">
      <c r="A142" s="96"/>
      <c r="B142" s="517"/>
      <c r="C142" s="517"/>
      <c r="D142" s="517"/>
      <c r="E142" s="517"/>
      <c r="F142" s="517"/>
      <c r="G142" s="518"/>
      <c r="H142" s="523"/>
      <c r="I142" s="101">
        <v>1</v>
      </c>
      <c r="J142" s="101"/>
      <c r="K142" s="101"/>
      <c r="L142" s="101"/>
      <c r="M142" s="101"/>
      <c r="N142" s="101"/>
      <c r="O142" s="101"/>
      <c r="P142" s="101"/>
      <c r="Q142" s="101"/>
      <c r="R142" s="101"/>
      <c r="S142" s="101"/>
      <c r="T142" s="101"/>
      <c r="U142" s="101"/>
      <c r="V142" s="524">
        <f t="shared" si="15"/>
        <v>0</v>
      </c>
      <c r="W142" s="525">
        <f t="shared" si="16"/>
        <v>0</v>
      </c>
      <c r="X142" s="527" t="s">
        <v>93</v>
      </c>
      <c r="Y142" s="533"/>
    </row>
    <row r="143" spans="1:25" x14ac:dyDescent="0.25">
      <c r="A143" s="96"/>
      <c r="B143" s="517"/>
      <c r="C143" s="517"/>
      <c r="D143" s="517"/>
      <c r="E143" s="517"/>
      <c r="F143" s="517" t="s">
        <v>98</v>
      </c>
      <c r="G143" s="518"/>
      <c r="H143" s="540"/>
      <c r="I143" s="108">
        <v>5</v>
      </c>
      <c r="J143" s="108"/>
      <c r="K143" s="108"/>
      <c r="L143" s="108"/>
      <c r="M143" s="108"/>
      <c r="N143" s="108"/>
      <c r="O143" s="108"/>
      <c r="P143" s="108"/>
      <c r="Q143" s="108"/>
      <c r="R143" s="108"/>
      <c r="S143" s="108"/>
      <c r="T143" s="108"/>
      <c r="U143" s="108"/>
      <c r="V143" s="524">
        <f t="shared" si="15"/>
        <v>0</v>
      </c>
      <c r="W143" s="525">
        <f t="shared" si="16"/>
        <v>0</v>
      </c>
      <c r="X143" s="527" t="s">
        <v>326</v>
      </c>
      <c r="Y143" s="531"/>
    </row>
    <row r="144" spans="1:25" x14ac:dyDescent="0.25">
      <c r="A144" s="96"/>
      <c r="B144" s="517"/>
      <c r="C144" s="517"/>
      <c r="D144" s="517"/>
      <c r="E144" s="517"/>
      <c r="F144" s="517"/>
      <c r="G144" s="518"/>
      <c r="H144" s="540"/>
      <c r="I144" s="108"/>
      <c r="J144" s="108">
        <v>10</v>
      </c>
      <c r="K144" s="108"/>
      <c r="L144" s="108"/>
      <c r="M144" s="108"/>
      <c r="N144" s="108"/>
      <c r="O144" s="108"/>
      <c r="P144" s="108"/>
      <c r="Q144" s="108"/>
      <c r="R144" s="108"/>
      <c r="S144" s="108"/>
      <c r="T144" s="108"/>
      <c r="U144" s="108"/>
      <c r="V144" s="524">
        <f>SUM(H144,J144,L144,N144,P144,R144,U144,T144)</f>
        <v>10</v>
      </c>
      <c r="W144" s="525">
        <f t="shared" si="16"/>
        <v>1.6474464579901153E-2</v>
      </c>
      <c r="X144" s="527" t="s">
        <v>322</v>
      </c>
      <c r="Y144" s="531"/>
    </row>
    <row r="145" spans="1:25" x14ac:dyDescent="0.25">
      <c r="A145" s="96"/>
      <c r="B145" s="517"/>
      <c r="C145" s="517"/>
      <c r="D145" s="517"/>
      <c r="E145" s="517"/>
      <c r="F145" s="517"/>
      <c r="G145" s="518"/>
      <c r="H145" s="540"/>
      <c r="I145" s="108"/>
      <c r="J145" s="108">
        <v>1</v>
      </c>
      <c r="K145" s="108"/>
      <c r="L145" s="108"/>
      <c r="M145" s="108"/>
      <c r="N145" s="108"/>
      <c r="O145" s="108"/>
      <c r="P145" s="108"/>
      <c r="Q145" s="108"/>
      <c r="R145" s="108"/>
      <c r="S145" s="108"/>
      <c r="T145" s="108"/>
      <c r="U145" s="108"/>
      <c r="V145" s="524">
        <f>SUM(H145,J145,L145,N145,P145,R145,U145,T145)</f>
        <v>1</v>
      </c>
      <c r="W145" s="525">
        <f t="shared" si="16"/>
        <v>1.6474464579901153E-3</v>
      </c>
      <c r="X145" s="554" t="s">
        <v>323</v>
      </c>
      <c r="Y145" s="531"/>
    </row>
    <row r="146" spans="1:25" ht="15.75" thickBot="1" x14ac:dyDescent="0.3">
      <c r="A146" s="96"/>
      <c r="B146" s="517"/>
      <c r="C146" s="517"/>
      <c r="D146" s="517"/>
      <c r="E146" s="517"/>
      <c r="F146" s="517"/>
      <c r="G146" s="518"/>
      <c r="H146" s="540"/>
      <c r="I146" s="108">
        <v>1</v>
      </c>
      <c r="J146" s="108"/>
      <c r="K146" s="108"/>
      <c r="L146" s="108"/>
      <c r="M146" s="108"/>
      <c r="N146" s="108"/>
      <c r="O146" s="108"/>
      <c r="P146" s="108"/>
      <c r="Q146" s="108"/>
      <c r="R146" s="108"/>
      <c r="S146" s="108"/>
      <c r="T146" s="108"/>
      <c r="U146" s="108"/>
      <c r="V146" s="524">
        <f>SUM(H146,J146,L146,N146,P146,R146,U146,T146)</f>
        <v>0</v>
      </c>
      <c r="W146" s="541">
        <f>$V146/$D$123</f>
        <v>0</v>
      </c>
      <c r="X146" s="539" t="s">
        <v>9</v>
      </c>
      <c r="Y146" s="533"/>
    </row>
    <row r="147" spans="1:25" ht="15.75" thickBot="1" x14ac:dyDescent="0.3">
      <c r="A147" s="96"/>
      <c r="B147" s="517"/>
      <c r="C147" s="517"/>
      <c r="D147" s="517"/>
      <c r="E147" s="517"/>
      <c r="F147" s="517"/>
      <c r="G147" s="518"/>
      <c r="H147" s="542"/>
      <c r="I147" s="115"/>
      <c r="J147" s="115"/>
      <c r="K147" s="115"/>
      <c r="L147" s="115"/>
      <c r="M147" s="115"/>
      <c r="N147" s="115"/>
      <c r="O147" s="115"/>
      <c r="P147" s="115"/>
      <c r="Q147" s="115"/>
      <c r="R147" s="115"/>
      <c r="S147" s="115"/>
      <c r="T147" s="115"/>
      <c r="U147" s="115"/>
      <c r="V147" s="115"/>
      <c r="W147" s="543"/>
      <c r="X147" s="544" t="s">
        <v>21</v>
      </c>
      <c r="Y147" s="533"/>
    </row>
    <row r="148" spans="1:25" x14ac:dyDescent="0.25">
      <c r="A148" s="96"/>
      <c r="B148" s="517"/>
      <c r="C148" s="517"/>
      <c r="D148" s="517"/>
      <c r="E148" s="517"/>
      <c r="F148" s="517"/>
      <c r="G148" s="518"/>
      <c r="H148" s="545">
        <v>2</v>
      </c>
      <c r="I148" s="112"/>
      <c r="J148" s="112"/>
      <c r="K148" s="112"/>
      <c r="L148" s="112"/>
      <c r="M148" s="112"/>
      <c r="N148" s="112"/>
      <c r="O148" s="112"/>
      <c r="P148" s="112"/>
      <c r="Q148" s="101"/>
      <c r="R148" s="112"/>
      <c r="S148" s="112"/>
      <c r="T148" s="112"/>
      <c r="U148" s="112"/>
      <c r="V148" s="524">
        <f t="shared" ref="V148:V160" si="17">SUM(H148,J148,L148,N148,P148,R148,U148)</f>
        <v>2</v>
      </c>
      <c r="W148" s="521">
        <f>$V148/$D$123</f>
        <v>3.2948929159802307E-3</v>
      </c>
      <c r="X148" s="546" t="s">
        <v>70</v>
      </c>
      <c r="Y148" s="533"/>
    </row>
    <row r="149" spans="1:25" x14ac:dyDescent="0.25">
      <c r="A149" s="96"/>
      <c r="B149" s="517"/>
      <c r="C149" s="517"/>
      <c r="D149" s="517"/>
      <c r="E149" s="517"/>
      <c r="F149" s="517"/>
      <c r="G149" s="518"/>
      <c r="H149" s="555"/>
      <c r="I149" s="101"/>
      <c r="J149" s="101"/>
      <c r="K149" s="101"/>
      <c r="L149" s="101"/>
      <c r="M149" s="101"/>
      <c r="N149" s="101"/>
      <c r="O149" s="101"/>
      <c r="P149" s="101"/>
      <c r="Q149" s="101"/>
      <c r="R149" s="101"/>
      <c r="S149" s="101"/>
      <c r="T149" s="101"/>
      <c r="U149" s="101"/>
      <c r="V149" s="524">
        <f t="shared" si="17"/>
        <v>0</v>
      </c>
      <c r="W149" s="525">
        <f>$V149/$D$123</f>
        <v>0</v>
      </c>
      <c r="X149" s="496" t="s">
        <v>25</v>
      </c>
      <c r="Y149" s="530"/>
    </row>
    <row r="150" spans="1:25" x14ac:dyDescent="0.25">
      <c r="A150" s="96"/>
      <c r="B150" s="517"/>
      <c r="C150" s="517"/>
      <c r="D150" s="517"/>
      <c r="E150" s="517"/>
      <c r="F150" s="517"/>
      <c r="G150" s="518"/>
      <c r="H150" s="555"/>
      <c r="I150" s="101"/>
      <c r="J150" s="101"/>
      <c r="K150" s="101"/>
      <c r="L150" s="101"/>
      <c r="M150" s="101"/>
      <c r="N150" s="101"/>
      <c r="O150" s="101"/>
      <c r="P150" s="101"/>
      <c r="Q150" s="101"/>
      <c r="R150" s="101"/>
      <c r="S150" s="101"/>
      <c r="T150" s="101"/>
      <c r="U150" s="101"/>
      <c r="V150" s="524">
        <f t="shared" si="17"/>
        <v>0</v>
      </c>
      <c r="W150" s="525">
        <f t="shared" ref="W150:W159" si="18">$V150/$D$123</f>
        <v>0</v>
      </c>
      <c r="X150" s="547" t="s">
        <v>162</v>
      </c>
      <c r="Y150" s="531"/>
    </row>
    <row r="151" spans="1:25" x14ac:dyDescent="0.25">
      <c r="A151" s="96"/>
      <c r="B151" s="517"/>
      <c r="C151" s="517"/>
      <c r="D151" s="517"/>
      <c r="E151" s="517"/>
      <c r="F151" s="517"/>
      <c r="G151" s="518"/>
      <c r="H151" s="523"/>
      <c r="I151" s="101"/>
      <c r="J151" s="101"/>
      <c r="K151" s="101"/>
      <c r="L151" s="101"/>
      <c r="M151" s="101"/>
      <c r="N151" s="101"/>
      <c r="O151" s="101"/>
      <c r="P151" s="101"/>
      <c r="Q151" s="101"/>
      <c r="R151" s="101"/>
      <c r="S151" s="101"/>
      <c r="T151" s="101"/>
      <c r="U151" s="101"/>
      <c r="V151" s="524">
        <f t="shared" si="17"/>
        <v>0</v>
      </c>
      <c r="W151" s="525">
        <f t="shared" si="18"/>
        <v>0</v>
      </c>
      <c r="X151" s="529" t="s">
        <v>15</v>
      </c>
      <c r="Y151" s="531"/>
    </row>
    <row r="152" spans="1:25" x14ac:dyDescent="0.25">
      <c r="A152" s="96"/>
      <c r="B152" s="517"/>
      <c r="C152" s="517"/>
      <c r="D152" s="517"/>
      <c r="E152" s="517"/>
      <c r="F152" s="517" t="s">
        <v>98</v>
      </c>
      <c r="G152" s="518"/>
      <c r="H152" s="523">
        <v>1</v>
      </c>
      <c r="I152" s="101"/>
      <c r="J152" s="101"/>
      <c r="K152" s="101"/>
      <c r="L152" s="101"/>
      <c r="M152" s="101"/>
      <c r="N152" s="101"/>
      <c r="O152" s="101"/>
      <c r="P152" s="101"/>
      <c r="Q152" s="101"/>
      <c r="R152" s="101"/>
      <c r="S152" s="101"/>
      <c r="T152" s="101"/>
      <c r="U152" s="101"/>
      <c r="V152" s="524">
        <f t="shared" si="17"/>
        <v>1</v>
      </c>
      <c r="W152" s="525">
        <f t="shared" si="18"/>
        <v>1.6474464579901153E-3</v>
      </c>
      <c r="X152" s="547" t="s">
        <v>50</v>
      </c>
      <c r="Y152" s="531" t="s">
        <v>325</v>
      </c>
    </row>
    <row r="153" spans="1:25" x14ac:dyDescent="0.25">
      <c r="A153" s="96"/>
      <c r="B153" s="517"/>
      <c r="C153" s="517"/>
      <c r="D153" s="517"/>
      <c r="E153" s="517"/>
      <c r="F153" s="517"/>
      <c r="G153" s="518"/>
      <c r="H153" s="523">
        <v>2</v>
      </c>
      <c r="I153" s="101"/>
      <c r="J153" s="101"/>
      <c r="K153" s="101"/>
      <c r="L153" s="101"/>
      <c r="M153" s="101"/>
      <c r="N153" s="101"/>
      <c r="O153" s="101"/>
      <c r="P153" s="101"/>
      <c r="Q153" s="101"/>
      <c r="R153" s="101"/>
      <c r="S153" s="101"/>
      <c r="T153" s="101"/>
      <c r="U153" s="101"/>
      <c r="V153" s="524">
        <f t="shared" si="17"/>
        <v>2</v>
      </c>
      <c r="W153" s="525">
        <f t="shared" si="18"/>
        <v>3.2948929159802307E-3</v>
      </c>
      <c r="X153" s="526" t="s">
        <v>12</v>
      </c>
      <c r="Y153" s="531"/>
    </row>
    <row r="154" spans="1:25" x14ac:dyDescent="0.25">
      <c r="A154" s="96"/>
      <c r="B154" s="517"/>
      <c r="C154" s="517"/>
      <c r="D154" s="517"/>
      <c r="E154" s="517"/>
      <c r="F154" s="517"/>
      <c r="G154" s="518"/>
      <c r="H154" s="523">
        <v>2</v>
      </c>
      <c r="I154" s="101"/>
      <c r="J154" s="101"/>
      <c r="K154" s="101"/>
      <c r="L154" s="101"/>
      <c r="M154" s="101"/>
      <c r="N154" s="101"/>
      <c r="O154" s="101"/>
      <c r="P154" s="101"/>
      <c r="Q154" s="101"/>
      <c r="R154" s="101"/>
      <c r="S154" s="101"/>
      <c r="T154" s="101"/>
      <c r="U154" s="101"/>
      <c r="V154" s="524">
        <f t="shared" si="17"/>
        <v>2</v>
      </c>
      <c r="W154" s="525">
        <f t="shared" si="18"/>
        <v>3.2948929159802307E-3</v>
      </c>
      <c r="X154" s="548" t="s">
        <v>311</v>
      </c>
      <c r="Y154" s="531"/>
    </row>
    <row r="155" spans="1:25" x14ac:dyDescent="0.25">
      <c r="A155" s="96"/>
      <c r="B155" s="517"/>
      <c r="C155" s="517"/>
      <c r="D155" s="517"/>
      <c r="E155" s="517"/>
      <c r="F155" s="517"/>
      <c r="G155" s="518"/>
      <c r="H155" s="523"/>
      <c r="I155" s="101"/>
      <c r="J155" s="101"/>
      <c r="K155" s="101"/>
      <c r="L155" s="101"/>
      <c r="M155" s="101"/>
      <c r="N155" s="101"/>
      <c r="O155" s="101"/>
      <c r="P155" s="101"/>
      <c r="Q155" s="101"/>
      <c r="R155" s="101"/>
      <c r="S155" s="101"/>
      <c r="T155" s="101"/>
      <c r="U155" s="101"/>
      <c r="V155" s="524">
        <f t="shared" si="17"/>
        <v>0</v>
      </c>
      <c r="W155" s="525">
        <f t="shared" si="18"/>
        <v>0</v>
      </c>
      <c r="X155" s="529" t="s">
        <v>212</v>
      </c>
      <c r="Y155" s="531"/>
    </row>
    <row r="156" spans="1:25" x14ac:dyDescent="0.25">
      <c r="A156" s="96"/>
      <c r="B156" s="517"/>
      <c r="C156" s="517"/>
      <c r="D156" s="517"/>
      <c r="E156" s="517"/>
      <c r="F156" s="517"/>
      <c r="G156" s="518"/>
      <c r="H156" s="523"/>
      <c r="I156" s="101"/>
      <c r="J156" s="101"/>
      <c r="K156" s="101"/>
      <c r="L156" s="101"/>
      <c r="M156" s="101"/>
      <c r="N156" s="101"/>
      <c r="O156" s="101"/>
      <c r="P156" s="101"/>
      <c r="Q156" s="101"/>
      <c r="R156" s="101"/>
      <c r="S156" s="101"/>
      <c r="T156" s="101"/>
      <c r="U156" s="101"/>
      <c r="V156" s="524">
        <f t="shared" si="17"/>
        <v>0</v>
      </c>
      <c r="W156" s="525">
        <f t="shared" si="18"/>
        <v>0</v>
      </c>
      <c r="X156" s="529" t="s">
        <v>172</v>
      </c>
      <c r="Y156" s="531"/>
    </row>
    <row r="157" spans="1:25" x14ac:dyDescent="0.25">
      <c r="A157" s="96"/>
      <c r="B157" s="517"/>
      <c r="C157" s="517"/>
      <c r="D157" s="517"/>
      <c r="E157" s="517"/>
      <c r="F157" s="517"/>
      <c r="G157" s="518"/>
      <c r="H157" s="523">
        <v>1</v>
      </c>
      <c r="I157" s="101"/>
      <c r="J157" s="101"/>
      <c r="K157" s="101"/>
      <c r="L157" s="101"/>
      <c r="M157" s="101"/>
      <c r="N157" s="101"/>
      <c r="O157" s="101"/>
      <c r="P157" s="101"/>
      <c r="Q157" s="101"/>
      <c r="R157" s="101"/>
      <c r="S157" s="101"/>
      <c r="T157" s="101"/>
      <c r="U157" s="101"/>
      <c r="V157" s="524">
        <f t="shared" si="17"/>
        <v>1</v>
      </c>
      <c r="W157" s="525">
        <f t="shared" si="18"/>
        <v>1.6474464579901153E-3</v>
      </c>
      <c r="X157" s="529" t="s">
        <v>99</v>
      </c>
      <c r="Y157" s="531"/>
    </row>
    <row r="158" spans="1:25" x14ac:dyDescent="0.25">
      <c r="A158" s="96"/>
      <c r="B158" s="517"/>
      <c r="C158" s="517"/>
      <c r="D158" s="517"/>
      <c r="E158" s="517"/>
      <c r="F158" s="517"/>
      <c r="G158" s="518"/>
      <c r="H158" s="523"/>
      <c r="I158" s="101"/>
      <c r="J158" s="101"/>
      <c r="K158" s="101"/>
      <c r="L158" s="101"/>
      <c r="M158" s="101"/>
      <c r="N158" s="101"/>
      <c r="O158" s="101"/>
      <c r="P158" s="101"/>
      <c r="Q158" s="101"/>
      <c r="R158" s="101"/>
      <c r="S158" s="101"/>
      <c r="T158" s="101"/>
      <c r="U158" s="101"/>
      <c r="V158" s="524">
        <f t="shared" si="17"/>
        <v>0</v>
      </c>
      <c r="W158" s="525">
        <f t="shared" si="18"/>
        <v>0</v>
      </c>
      <c r="X158" s="526" t="s">
        <v>299</v>
      </c>
      <c r="Y158" s="531"/>
    </row>
    <row r="159" spans="1:25" x14ac:dyDescent="0.25">
      <c r="A159" s="96"/>
      <c r="B159" s="517"/>
      <c r="C159" s="517"/>
      <c r="D159" s="517"/>
      <c r="E159" s="517"/>
      <c r="F159" s="517"/>
      <c r="G159" s="518"/>
      <c r="H159" s="523"/>
      <c r="I159" s="101"/>
      <c r="J159" s="101"/>
      <c r="K159" s="101"/>
      <c r="L159" s="101"/>
      <c r="M159" s="101"/>
      <c r="N159" s="101"/>
      <c r="O159" s="101"/>
      <c r="P159" s="101"/>
      <c r="Q159" s="101"/>
      <c r="R159" s="101"/>
      <c r="S159" s="101"/>
      <c r="T159" s="101"/>
      <c r="U159" s="101"/>
      <c r="V159" s="524">
        <f t="shared" si="17"/>
        <v>0</v>
      </c>
      <c r="W159" s="525">
        <f t="shared" si="18"/>
        <v>0</v>
      </c>
      <c r="X159" s="526" t="s">
        <v>207</v>
      </c>
      <c r="Y159" s="531"/>
    </row>
    <row r="160" spans="1:25" ht="15.75" thickBot="1" x14ac:dyDescent="0.3">
      <c r="A160" s="117"/>
      <c r="B160" s="118"/>
      <c r="C160" s="118"/>
      <c r="D160" s="118"/>
      <c r="E160" s="118"/>
      <c r="F160" s="118"/>
      <c r="G160" s="518"/>
      <c r="H160" s="523"/>
      <c r="I160" s="101"/>
      <c r="J160" s="101"/>
      <c r="K160" s="101"/>
      <c r="L160" s="101"/>
      <c r="M160" s="101"/>
      <c r="N160" s="101"/>
      <c r="O160" s="101"/>
      <c r="P160" s="101"/>
      <c r="Q160" s="101"/>
      <c r="R160" s="101"/>
      <c r="S160" s="101"/>
      <c r="T160" s="101"/>
      <c r="U160" s="101"/>
      <c r="V160" s="524">
        <f t="shared" si="17"/>
        <v>0</v>
      </c>
      <c r="W160" s="541">
        <f>$V160/$D$123</f>
        <v>0</v>
      </c>
      <c r="X160" s="549" t="s">
        <v>84</v>
      </c>
      <c r="Y160" s="550"/>
    </row>
    <row r="161" spans="1:25" ht="15.75" thickBot="1" x14ac:dyDescent="0.3">
      <c r="A161" s="122"/>
      <c r="B161" s="122"/>
      <c r="C161" s="122"/>
      <c r="D161" s="122"/>
      <c r="E161" s="122"/>
      <c r="F161" s="122"/>
      <c r="G161" s="551" t="s">
        <v>4</v>
      </c>
      <c r="H161" s="123">
        <f>SUM(H125:H160)</f>
        <v>20</v>
      </c>
      <c r="I161" s="123">
        <f>SUM(I124:I160)</f>
        <v>45</v>
      </c>
      <c r="J161" s="123">
        <f t="shared" ref="J161:U161" si="19">SUM(J124:J160)</f>
        <v>11</v>
      </c>
      <c r="K161" s="123">
        <f t="shared" si="19"/>
        <v>0</v>
      </c>
      <c r="L161" s="123">
        <f t="shared" si="19"/>
        <v>2</v>
      </c>
      <c r="M161" s="123">
        <f t="shared" si="19"/>
        <v>0</v>
      </c>
      <c r="N161" s="123">
        <f t="shared" si="19"/>
        <v>0</v>
      </c>
      <c r="O161" s="123">
        <f t="shared" si="19"/>
        <v>0</v>
      </c>
      <c r="P161" s="123">
        <f t="shared" si="19"/>
        <v>0</v>
      </c>
      <c r="Q161" s="123">
        <f t="shared" si="19"/>
        <v>0</v>
      </c>
      <c r="R161" s="123">
        <f t="shared" si="19"/>
        <v>0</v>
      </c>
      <c r="S161" s="123">
        <f t="shared" si="19"/>
        <v>0</v>
      </c>
      <c r="T161" s="123">
        <f t="shared" si="19"/>
        <v>0</v>
      </c>
      <c r="U161" s="123">
        <f t="shared" si="19"/>
        <v>6</v>
      </c>
      <c r="V161" s="123">
        <f>SUM(H161,J161,L161,N161,P161,R161,U161)</f>
        <v>39</v>
      </c>
      <c r="W161" s="552">
        <f>$V161/$D$123</f>
        <v>6.4250411861614495E-2</v>
      </c>
      <c r="X161" s="553"/>
      <c r="Y161" s="553"/>
    </row>
    <row r="163" spans="1:25" ht="15.75" thickBot="1" x14ac:dyDescent="0.3"/>
    <row r="164" spans="1:25" ht="60.75" thickBot="1" x14ac:dyDescent="0.3">
      <c r="A164" s="503" t="s">
        <v>22</v>
      </c>
      <c r="B164" s="503" t="s">
        <v>46</v>
      </c>
      <c r="C164" s="503" t="s">
        <v>51</v>
      </c>
      <c r="D164" s="503" t="s">
        <v>17</v>
      </c>
      <c r="E164" s="504" t="s">
        <v>16</v>
      </c>
      <c r="F164" s="505" t="s">
        <v>1</v>
      </c>
      <c r="G164" s="506" t="s">
        <v>23</v>
      </c>
      <c r="H164" s="507" t="s">
        <v>65</v>
      </c>
      <c r="I164" s="508" t="s">
        <v>66</v>
      </c>
      <c r="J164" s="508" t="s">
        <v>52</v>
      </c>
      <c r="K164" s="508" t="s">
        <v>57</v>
      </c>
      <c r="L164" s="508" t="s">
        <v>53</v>
      </c>
      <c r="M164" s="508" t="s">
        <v>58</v>
      </c>
      <c r="N164" s="508" t="s">
        <v>54</v>
      </c>
      <c r="O164" s="508" t="s">
        <v>59</v>
      </c>
      <c r="P164" s="508" t="s">
        <v>55</v>
      </c>
      <c r="Q164" s="508" t="s">
        <v>62</v>
      </c>
      <c r="R164" s="508" t="s">
        <v>56</v>
      </c>
      <c r="S164" s="508" t="s">
        <v>63</v>
      </c>
      <c r="T164" s="508" t="s">
        <v>112</v>
      </c>
      <c r="U164" s="508" t="s">
        <v>40</v>
      </c>
      <c r="V164" s="508" t="s">
        <v>4</v>
      </c>
      <c r="W164" s="504" t="s">
        <v>2</v>
      </c>
      <c r="X164" s="509" t="s">
        <v>20</v>
      </c>
      <c r="Y164" s="510" t="s">
        <v>6</v>
      </c>
    </row>
    <row r="165" spans="1:25" ht="15.75" thickBot="1" x14ac:dyDescent="0.3">
      <c r="A165" s="511">
        <v>1528993</v>
      </c>
      <c r="B165" s="511" t="s">
        <v>271</v>
      </c>
      <c r="C165" s="512">
        <v>576</v>
      </c>
      <c r="D165" s="512">
        <v>616</v>
      </c>
      <c r="E165" s="512">
        <v>571</v>
      </c>
      <c r="F165" s="513">
        <f>E165/D165</f>
        <v>0.92694805194805197</v>
      </c>
      <c r="G165" s="514">
        <v>45499</v>
      </c>
      <c r="H165" s="82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4"/>
      <c r="T165" s="115"/>
      <c r="U165" s="115"/>
      <c r="V165" s="115"/>
      <c r="W165" s="84"/>
      <c r="X165" s="515" t="s">
        <v>74</v>
      </c>
      <c r="Y165" s="516" t="s">
        <v>69</v>
      </c>
    </row>
    <row r="166" spans="1:25" x14ac:dyDescent="0.25">
      <c r="A166" s="96"/>
      <c r="B166" s="517"/>
      <c r="C166" s="517"/>
      <c r="D166" s="517"/>
      <c r="E166" s="517"/>
      <c r="F166" s="517"/>
      <c r="G166" s="518"/>
      <c r="H166" s="519"/>
      <c r="I166" s="92"/>
      <c r="J166" s="92"/>
      <c r="K166" s="92"/>
      <c r="L166" s="92"/>
      <c r="M166" s="92"/>
      <c r="N166" s="92"/>
      <c r="O166" s="92"/>
      <c r="P166" s="92"/>
      <c r="Q166" s="92"/>
      <c r="R166" s="92"/>
      <c r="S166" s="92"/>
      <c r="T166" s="92"/>
      <c r="U166" s="92"/>
      <c r="V166" s="520">
        <f>SUM(H166,J166,L166,N166,P166,R166,U166,T166)</f>
        <v>0</v>
      </c>
      <c r="W166" s="521">
        <f>$V166/$D$123</f>
        <v>0</v>
      </c>
      <c r="X166" s="522" t="s">
        <v>219</v>
      </c>
      <c r="Y166" s="321"/>
    </row>
    <row r="167" spans="1:25" x14ac:dyDescent="0.25">
      <c r="A167" s="96"/>
      <c r="B167" s="517"/>
      <c r="C167" s="517"/>
      <c r="D167" s="517"/>
      <c r="E167" s="517"/>
      <c r="F167" s="517"/>
      <c r="G167" s="518"/>
      <c r="H167" s="523">
        <v>13</v>
      </c>
      <c r="I167" s="101"/>
      <c r="J167" s="101"/>
      <c r="K167" s="101"/>
      <c r="L167" s="101"/>
      <c r="M167" s="101"/>
      <c r="N167" s="108"/>
      <c r="O167" s="101"/>
      <c r="P167" s="101"/>
      <c r="Q167" s="101"/>
      <c r="R167" s="101"/>
      <c r="S167" s="101"/>
      <c r="T167" s="101"/>
      <c r="U167" s="101"/>
      <c r="V167" s="524">
        <f>SUM(H167,J167,L167,N167,P167,R167,U167,T167)</f>
        <v>13</v>
      </c>
      <c r="W167" s="525">
        <f>$V167/$D$123</f>
        <v>2.1416803953871501E-2</v>
      </c>
      <c r="X167" s="526" t="s">
        <v>47</v>
      </c>
      <c r="Y167" s="321"/>
    </row>
    <row r="168" spans="1:25" x14ac:dyDescent="0.25">
      <c r="A168" s="96"/>
      <c r="B168" s="517"/>
      <c r="C168" s="517"/>
      <c r="D168" s="517"/>
      <c r="E168" s="517"/>
      <c r="F168" s="517"/>
      <c r="G168" s="518"/>
      <c r="H168" s="523">
        <v>5</v>
      </c>
      <c r="I168" s="101"/>
      <c r="J168" s="101"/>
      <c r="K168" s="101"/>
      <c r="L168" s="101"/>
      <c r="M168" s="101"/>
      <c r="N168" s="101"/>
      <c r="O168" s="101"/>
      <c r="P168" s="101"/>
      <c r="Q168" s="101"/>
      <c r="R168" s="101"/>
      <c r="S168" s="101"/>
      <c r="T168" s="101"/>
      <c r="U168" s="101"/>
      <c r="V168" s="524">
        <f t="shared" ref="V168:V185" si="20">SUM(H168,J168,L168,N168,P168,R168,U168,T168)</f>
        <v>5</v>
      </c>
      <c r="W168" s="525">
        <f t="shared" ref="W168:W187" si="21">$V168/$D$123</f>
        <v>8.2372322899505763E-3</v>
      </c>
      <c r="X168" s="527" t="s">
        <v>15</v>
      </c>
      <c r="Y168" s="528"/>
    </row>
    <row r="169" spans="1:25" x14ac:dyDescent="0.25">
      <c r="A169" s="96"/>
      <c r="B169" s="517"/>
      <c r="C169" s="517"/>
      <c r="D169" s="517"/>
      <c r="E169" s="517"/>
      <c r="F169" s="517"/>
      <c r="G169" s="518"/>
      <c r="H169" s="523">
        <v>1</v>
      </c>
      <c r="I169" s="101"/>
      <c r="J169" s="101"/>
      <c r="K169" s="101"/>
      <c r="L169" s="101"/>
      <c r="M169" s="101"/>
      <c r="N169" s="101"/>
      <c r="O169" s="101"/>
      <c r="P169" s="101"/>
      <c r="Q169" s="101"/>
      <c r="R169" s="101"/>
      <c r="S169" s="101"/>
      <c r="T169" s="101"/>
      <c r="U169" s="101"/>
      <c r="V169" s="524">
        <f t="shared" si="20"/>
        <v>1</v>
      </c>
      <c r="W169" s="525">
        <f t="shared" si="21"/>
        <v>1.6474464579901153E-3</v>
      </c>
      <c r="X169" s="529" t="s">
        <v>206</v>
      </c>
      <c r="Y169" s="528"/>
    </row>
    <row r="170" spans="1:25" x14ac:dyDescent="0.25">
      <c r="A170" s="96"/>
      <c r="B170" s="517"/>
      <c r="C170" s="517"/>
      <c r="D170" s="517"/>
      <c r="E170" s="517"/>
      <c r="F170" s="517"/>
      <c r="G170" s="518"/>
      <c r="H170" s="523"/>
      <c r="I170" s="101"/>
      <c r="J170" s="285"/>
      <c r="K170" s="285"/>
      <c r="L170" s="285"/>
      <c r="M170" s="101"/>
      <c r="N170" s="101"/>
      <c r="O170" s="101"/>
      <c r="P170" s="101"/>
      <c r="Q170" s="101"/>
      <c r="R170" s="101"/>
      <c r="S170" s="101"/>
      <c r="T170" s="101"/>
      <c r="U170" s="101"/>
      <c r="V170" s="524">
        <f t="shared" si="20"/>
        <v>0</v>
      </c>
      <c r="W170" s="525">
        <f t="shared" si="21"/>
        <v>0</v>
      </c>
      <c r="X170" s="529" t="s">
        <v>83</v>
      </c>
      <c r="Y170" s="528"/>
    </row>
    <row r="171" spans="1:25" x14ac:dyDescent="0.25">
      <c r="A171" s="96"/>
      <c r="B171" s="517"/>
      <c r="C171" s="517"/>
      <c r="D171" s="517"/>
      <c r="E171" s="517"/>
      <c r="F171" s="517"/>
      <c r="G171" s="518"/>
      <c r="H171" s="523"/>
      <c r="I171" s="101"/>
      <c r="J171" s="101"/>
      <c r="K171" s="101"/>
      <c r="L171" s="101"/>
      <c r="M171" s="101"/>
      <c r="N171" s="101"/>
      <c r="O171" s="101"/>
      <c r="P171" s="101"/>
      <c r="Q171" s="101"/>
      <c r="R171" s="101"/>
      <c r="S171" s="101"/>
      <c r="T171" s="101"/>
      <c r="U171" s="101"/>
      <c r="V171" s="524">
        <f t="shared" si="20"/>
        <v>0</v>
      </c>
      <c r="W171" s="525">
        <f t="shared" si="21"/>
        <v>0</v>
      </c>
      <c r="X171" s="527" t="s">
        <v>13</v>
      </c>
      <c r="Y171" s="530"/>
    </row>
    <row r="172" spans="1:25" x14ac:dyDescent="0.25">
      <c r="A172" s="96"/>
      <c r="B172" s="517"/>
      <c r="C172" s="517"/>
      <c r="D172" s="517"/>
      <c r="E172" s="517"/>
      <c r="F172" s="517"/>
      <c r="G172" s="518"/>
      <c r="H172" s="523"/>
      <c r="I172" s="101">
        <v>4</v>
      </c>
      <c r="J172" s="101">
        <v>1</v>
      </c>
      <c r="K172" s="101"/>
      <c r="L172" s="101"/>
      <c r="M172" s="101"/>
      <c r="N172" s="101"/>
      <c r="O172" s="101"/>
      <c r="P172" s="101"/>
      <c r="Q172" s="101"/>
      <c r="R172" s="101"/>
      <c r="S172" s="101"/>
      <c r="T172" s="101"/>
      <c r="U172" s="101">
        <v>2</v>
      </c>
      <c r="V172" s="524">
        <f t="shared" si="20"/>
        <v>3</v>
      </c>
      <c r="W172" s="525">
        <f t="shared" si="21"/>
        <v>4.9423393739703456E-3</v>
      </c>
      <c r="X172" s="527" t="s">
        <v>14</v>
      </c>
      <c r="Y172" s="295"/>
    </row>
    <row r="173" spans="1:25" x14ac:dyDescent="0.25">
      <c r="A173" s="96" t="s">
        <v>151</v>
      </c>
      <c r="B173" s="517"/>
      <c r="C173" s="517"/>
      <c r="D173" s="517"/>
      <c r="E173" s="517"/>
      <c r="F173" s="517"/>
      <c r="G173" s="518"/>
      <c r="H173" s="523"/>
      <c r="I173" s="101"/>
      <c r="J173" s="101"/>
      <c r="K173" s="101"/>
      <c r="L173" s="101"/>
      <c r="M173" s="101"/>
      <c r="N173" s="101"/>
      <c r="O173" s="101"/>
      <c r="P173" s="101"/>
      <c r="Q173" s="101"/>
      <c r="R173" s="101"/>
      <c r="S173" s="101"/>
      <c r="T173" s="101"/>
      <c r="U173" s="101"/>
      <c r="V173" s="524">
        <f t="shared" si="20"/>
        <v>0</v>
      </c>
      <c r="W173" s="525">
        <f t="shared" si="21"/>
        <v>0</v>
      </c>
      <c r="X173" s="527" t="s">
        <v>7</v>
      </c>
      <c r="Y173" s="295"/>
    </row>
    <row r="174" spans="1:25" x14ac:dyDescent="0.25">
      <c r="A174" s="96"/>
      <c r="B174" s="517"/>
      <c r="C174" s="517" t="s">
        <v>98</v>
      </c>
      <c r="D174" s="517"/>
      <c r="E174" s="517"/>
      <c r="F174" s="517"/>
      <c r="G174" s="518"/>
      <c r="H174" s="523"/>
      <c r="I174" s="101">
        <v>1</v>
      </c>
      <c r="J174" s="101"/>
      <c r="K174" s="101"/>
      <c r="L174" s="101"/>
      <c r="M174" s="101"/>
      <c r="N174" s="101"/>
      <c r="O174" s="101"/>
      <c r="P174" s="101"/>
      <c r="Q174" s="101"/>
      <c r="R174" s="101"/>
      <c r="S174" s="101"/>
      <c r="T174" s="101"/>
      <c r="U174" s="101"/>
      <c r="V174" s="524">
        <f t="shared" si="20"/>
        <v>0</v>
      </c>
      <c r="W174" s="525">
        <f t="shared" si="21"/>
        <v>0</v>
      </c>
      <c r="X174" s="527" t="s">
        <v>8</v>
      </c>
      <c r="Y174" s="531"/>
    </row>
    <row r="175" spans="1:25" x14ac:dyDescent="0.25">
      <c r="A175" s="96"/>
      <c r="B175" s="517"/>
      <c r="C175" s="517"/>
      <c r="D175" s="517"/>
      <c r="E175" s="517"/>
      <c r="F175" s="517"/>
      <c r="G175" s="518"/>
      <c r="H175" s="532"/>
      <c r="I175" s="101"/>
      <c r="J175" s="101"/>
      <c r="K175" s="101"/>
      <c r="L175" s="101"/>
      <c r="M175" s="101"/>
      <c r="N175" s="101"/>
      <c r="O175" s="101"/>
      <c r="P175" s="101"/>
      <c r="Q175" s="101"/>
      <c r="R175" s="101"/>
      <c r="S175" s="101"/>
      <c r="T175" s="101"/>
      <c r="U175" s="101"/>
      <c r="V175" s="524">
        <f t="shared" si="20"/>
        <v>0</v>
      </c>
      <c r="W175" s="525">
        <f t="shared" si="21"/>
        <v>0</v>
      </c>
      <c r="X175" s="527" t="s">
        <v>67</v>
      </c>
      <c r="Y175" s="531"/>
    </row>
    <row r="176" spans="1:25" x14ac:dyDescent="0.25">
      <c r="A176" s="96"/>
      <c r="B176" s="517"/>
      <c r="C176" s="517"/>
      <c r="D176" s="517"/>
      <c r="E176" s="517"/>
      <c r="F176" s="517"/>
      <c r="G176" s="518"/>
      <c r="H176" s="532"/>
      <c r="I176" s="101"/>
      <c r="J176" s="101"/>
      <c r="K176" s="101"/>
      <c r="L176" s="101"/>
      <c r="M176" s="101"/>
      <c r="N176" s="101"/>
      <c r="O176" s="101"/>
      <c r="P176" s="101"/>
      <c r="Q176" s="101"/>
      <c r="R176" s="101"/>
      <c r="S176" s="101"/>
      <c r="T176" s="101"/>
      <c r="U176" s="101"/>
      <c r="V176" s="524">
        <f t="shared" si="20"/>
        <v>0</v>
      </c>
      <c r="W176" s="525">
        <f t="shared" si="21"/>
        <v>0</v>
      </c>
      <c r="X176" s="527" t="s">
        <v>0</v>
      </c>
      <c r="Y176" s="533"/>
    </row>
    <row r="177" spans="1:25" x14ac:dyDescent="0.25">
      <c r="A177" s="96"/>
      <c r="B177" s="517"/>
      <c r="C177" s="517"/>
      <c r="D177" s="517"/>
      <c r="E177" s="517"/>
      <c r="F177" s="517"/>
      <c r="G177" s="518"/>
      <c r="H177" s="532"/>
      <c r="I177" s="101">
        <v>1</v>
      </c>
      <c r="J177" s="101"/>
      <c r="K177" s="101"/>
      <c r="L177" s="101"/>
      <c r="M177" s="101"/>
      <c r="N177" s="101"/>
      <c r="O177" s="101"/>
      <c r="P177" s="101"/>
      <c r="Q177" s="101"/>
      <c r="R177" s="101"/>
      <c r="S177" s="101"/>
      <c r="T177" s="101"/>
      <c r="U177" s="101"/>
      <c r="V177" s="524">
        <f t="shared" si="20"/>
        <v>0</v>
      </c>
      <c r="W177" s="525">
        <f t="shared" si="21"/>
        <v>0</v>
      </c>
      <c r="X177" s="527" t="s">
        <v>19</v>
      </c>
      <c r="Y177" s="533"/>
    </row>
    <row r="178" spans="1:25" x14ac:dyDescent="0.25">
      <c r="A178" s="96"/>
      <c r="B178" s="517"/>
      <c r="C178" s="517"/>
      <c r="D178" s="517"/>
      <c r="E178" s="517"/>
      <c r="F178" s="517" t="s">
        <v>98</v>
      </c>
      <c r="G178" s="518"/>
      <c r="H178" s="532"/>
      <c r="I178" s="101">
        <v>6</v>
      </c>
      <c r="J178" s="101">
        <v>1</v>
      </c>
      <c r="K178" s="101"/>
      <c r="L178" s="101"/>
      <c r="M178" s="101"/>
      <c r="N178" s="101"/>
      <c r="O178" s="101"/>
      <c r="P178" s="101"/>
      <c r="Q178" s="101"/>
      <c r="R178" s="101"/>
      <c r="S178" s="101"/>
      <c r="T178" s="101"/>
      <c r="U178" s="101"/>
      <c r="V178" s="524">
        <f t="shared" si="20"/>
        <v>1</v>
      </c>
      <c r="W178" s="525">
        <f t="shared" si="21"/>
        <v>1.6474464579901153E-3</v>
      </c>
      <c r="X178" s="527" t="s">
        <v>3</v>
      </c>
      <c r="Y178" s="533"/>
    </row>
    <row r="179" spans="1:25" x14ac:dyDescent="0.25">
      <c r="A179" s="96"/>
      <c r="B179" s="517"/>
      <c r="C179" s="517"/>
      <c r="D179" s="517"/>
      <c r="E179" s="517"/>
      <c r="F179" s="517"/>
      <c r="G179" s="534"/>
      <c r="H179" s="535"/>
      <c r="I179" s="101"/>
      <c r="J179" s="108"/>
      <c r="K179" s="108"/>
      <c r="L179" s="108"/>
      <c r="M179" s="101"/>
      <c r="N179" s="108"/>
      <c r="O179" s="108"/>
      <c r="P179" s="108"/>
      <c r="Q179" s="108"/>
      <c r="R179" s="108"/>
      <c r="S179" s="108"/>
      <c r="T179" s="108"/>
      <c r="U179" s="108"/>
      <c r="V179" s="524">
        <f t="shared" si="20"/>
        <v>0</v>
      </c>
      <c r="W179" s="525">
        <f t="shared" si="21"/>
        <v>0</v>
      </c>
      <c r="X179" s="527" t="s">
        <v>174</v>
      </c>
      <c r="Y179" s="533"/>
    </row>
    <row r="180" spans="1:25" x14ac:dyDescent="0.25">
      <c r="A180" s="96"/>
      <c r="B180" s="517"/>
      <c r="C180" s="517"/>
      <c r="D180" s="517"/>
      <c r="E180" s="517"/>
      <c r="F180" s="517"/>
      <c r="G180" s="534"/>
      <c r="H180" s="536"/>
      <c r="I180" s="101"/>
      <c r="J180" s="101"/>
      <c r="K180" s="101"/>
      <c r="L180" s="101"/>
      <c r="M180" s="101"/>
      <c r="N180" s="101"/>
      <c r="O180" s="101"/>
      <c r="P180" s="101"/>
      <c r="Q180" s="101"/>
      <c r="R180" s="101"/>
      <c r="S180" s="101"/>
      <c r="T180" s="101"/>
      <c r="U180" s="101"/>
      <c r="V180" s="524">
        <f t="shared" si="20"/>
        <v>0</v>
      </c>
      <c r="W180" s="525">
        <f t="shared" si="21"/>
        <v>0</v>
      </c>
      <c r="X180" s="526" t="s">
        <v>157</v>
      </c>
      <c r="Y180" s="533"/>
    </row>
    <row r="181" spans="1:25" x14ac:dyDescent="0.25">
      <c r="A181" s="96"/>
      <c r="B181" s="517"/>
      <c r="C181" s="517"/>
      <c r="D181" s="517"/>
      <c r="E181" s="517"/>
      <c r="F181" s="517"/>
      <c r="G181" s="109"/>
      <c r="H181" s="496"/>
      <c r="I181" s="556">
        <v>2</v>
      </c>
      <c r="J181" s="101"/>
      <c r="K181" s="101"/>
      <c r="L181" s="101"/>
      <c r="M181" s="496"/>
      <c r="N181" s="101"/>
      <c r="O181" s="101" t="s">
        <v>321</v>
      </c>
      <c r="P181" s="101"/>
      <c r="Q181" s="101"/>
      <c r="R181" s="101"/>
      <c r="S181" s="101"/>
      <c r="T181" s="101"/>
      <c r="U181" s="101"/>
      <c r="V181" s="524">
        <f t="shared" si="20"/>
        <v>0</v>
      </c>
      <c r="W181" s="525">
        <f t="shared" si="21"/>
        <v>0</v>
      </c>
      <c r="X181" s="526" t="s">
        <v>12</v>
      </c>
      <c r="Y181" s="537"/>
    </row>
    <row r="182" spans="1:25" x14ac:dyDescent="0.25">
      <c r="A182" s="96"/>
      <c r="B182" s="517"/>
      <c r="C182" s="517"/>
      <c r="D182" s="517"/>
      <c r="E182" s="517"/>
      <c r="F182" s="517"/>
      <c r="G182" s="109"/>
      <c r="H182" s="496"/>
      <c r="I182" s="285">
        <v>8</v>
      </c>
      <c r="J182" s="101"/>
      <c r="K182" s="101"/>
      <c r="L182" s="101"/>
      <c r="M182" s="101"/>
      <c r="N182" s="101"/>
      <c r="O182" s="101"/>
      <c r="P182" s="101"/>
      <c r="Q182" s="101"/>
      <c r="R182" s="101"/>
      <c r="S182" s="101"/>
      <c r="T182" s="101"/>
      <c r="U182" s="101"/>
      <c r="V182" s="524">
        <f t="shared" si="20"/>
        <v>0</v>
      </c>
      <c r="W182" s="525">
        <f t="shared" si="21"/>
        <v>0</v>
      </c>
      <c r="X182" s="527" t="s">
        <v>91</v>
      </c>
      <c r="Y182" s="538" t="s">
        <v>324</v>
      </c>
    </row>
    <row r="183" spans="1:25" x14ac:dyDescent="0.25">
      <c r="A183" s="96"/>
      <c r="B183" s="517"/>
      <c r="C183" s="517"/>
      <c r="D183" s="517"/>
      <c r="E183" s="517"/>
      <c r="F183" s="517"/>
      <c r="G183" s="518"/>
      <c r="H183" s="523"/>
      <c r="I183" s="101"/>
      <c r="J183" s="101">
        <v>1</v>
      </c>
      <c r="K183" s="101"/>
      <c r="L183" s="101"/>
      <c r="M183" s="101"/>
      <c r="N183" s="101"/>
      <c r="O183" s="101"/>
      <c r="P183" s="101"/>
      <c r="Q183" s="101"/>
      <c r="R183" s="101"/>
      <c r="S183" s="101"/>
      <c r="T183" s="101"/>
      <c r="U183" s="101"/>
      <c r="V183" s="524">
        <f t="shared" si="20"/>
        <v>1</v>
      </c>
      <c r="W183" s="525">
        <f t="shared" si="21"/>
        <v>1.6474464579901153E-3</v>
      </c>
      <c r="X183" s="539" t="s">
        <v>26</v>
      </c>
      <c r="Y183" s="533"/>
    </row>
    <row r="184" spans="1:25" x14ac:dyDescent="0.25">
      <c r="A184" s="96"/>
      <c r="B184" s="517"/>
      <c r="C184" s="517"/>
      <c r="D184" s="517"/>
      <c r="E184" s="517"/>
      <c r="F184" s="517"/>
      <c r="G184" s="518"/>
      <c r="H184" s="523"/>
      <c r="I184" s="101"/>
      <c r="J184" s="101"/>
      <c r="K184" s="101"/>
      <c r="L184" s="101"/>
      <c r="M184" s="101"/>
      <c r="N184" s="101"/>
      <c r="O184" s="101"/>
      <c r="P184" s="101"/>
      <c r="Q184" s="101"/>
      <c r="R184" s="101"/>
      <c r="S184" s="101"/>
      <c r="T184" s="101"/>
      <c r="U184" s="101"/>
      <c r="V184" s="524">
        <f t="shared" si="20"/>
        <v>0</v>
      </c>
      <c r="W184" s="525">
        <f t="shared" si="21"/>
        <v>0</v>
      </c>
      <c r="X184" s="527" t="s">
        <v>93</v>
      </c>
      <c r="Y184" s="533"/>
    </row>
    <row r="185" spans="1:25" x14ac:dyDescent="0.25">
      <c r="A185" s="96"/>
      <c r="B185" s="517"/>
      <c r="C185" s="517"/>
      <c r="D185" s="517"/>
      <c r="E185" s="517"/>
      <c r="F185" s="517" t="s">
        <v>98</v>
      </c>
      <c r="G185" s="518"/>
      <c r="H185" s="540"/>
      <c r="I185" s="108">
        <v>4</v>
      </c>
      <c r="J185" s="108"/>
      <c r="K185" s="108"/>
      <c r="L185" s="108"/>
      <c r="M185" s="108"/>
      <c r="N185" s="108"/>
      <c r="O185" s="108"/>
      <c r="P185" s="108"/>
      <c r="Q185" s="108"/>
      <c r="R185" s="108"/>
      <c r="S185" s="108"/>
      <c r="T185" s="108"/>
      <c r="U185" s="108"/>
      <c r="V185" s="524">
        <f t="shared" si="20"/>
        <v>0</v>
      </c>
      <c r="W185" s="525">
        <f t="shared" si="21"/>
        <v>0</v>
      </c>
      <c r="X185" s="527" t="s">
        <v>326</v>
      </c>
      <c r="Y185" s="531"/>
    </row>
    <row r="186" spans="1:25" x14ac:dyDescent="0.25">
      <c r="A186" s="96"/>
      <c r="B186" s="517"/>
      <c r="C186" s="517"/>
      <c r="D186" s="517"/>
      <c r="E186" s="517"/>
      <c r="F186" s="517"/>
      <c r="G186" s="518"/>
      <c r="H186" s="540"/>
      <c r="I186" s="108"/>
      <c r="J186" s="108"/>
      <c r="K186" s="108"/>
      <c r="L186" s="108"/>
      <c r="M186" s="108"/>
      <c r="N186" s="108"/>
      <c r="O186" s="108"/>
      <c r="P186" s="108"/>
      <c r="Q186" s="108"/>
      <c r="R186" s="108"/>
      <c r="S186" s="108"/>
      <c r="T186" s="108"/>
      <c r="U186" s="108"/>
      <c r="V186" s="524">
        <f>SUM(H186,J186,L186,N186,P186,R186,U186,T186)</f>
        <v>0</v>
      </c>
      <c r="W186" s="525">
        <f t="shared" si="21"/>
        <v>0</v>
      </c>
      <c r="X186" s="527" t="s">
        <v>322</v>
      </c>
      <c r="Y186" s="531"/>
    </row>
    <row r="187" spans="1:25" x14ac:dyDescent="0.25">
      <c r="A187" s="96"/>
      <c r="B187" s="517"/>
      <c r="C187" s="517"/>
      <c r="D187" s="517"/>
      <c r="E187" s="517"/>
      <c r="F187" s="517"/>
      <c r="G187" s="518"/>
      <c r="H187" s="540"/>
      <c r="I187" s="108"/>
      <c r="J187" s="108"/>
      <c r="K187" s="108"/>
      <c r="L187" s="108"/>
      <c r="M187" s="108"/>
      <c r="N187" s="108"/>
      <c r="O187" s="108"/>
      <c r="P187" s="108"/>
      <c r="Q187" s="108"/>
      <c r="R187" s="108"/>
      <c r="S187" s="108"/>
      <c r="T187" s="108"/>
      <c r="U187" s="108"/>
      <c r="V187" s="524">
        <f>SUM(H187,J187,L187,N187,P187,R187,U187,T187)</f>
        <v>0</v>
      </c>
      <c r="W187" s="525">
        <f t="shared" si="21"/>
        <v>0</v>
      </c>
      <c r="X187" s="554" t="s">
        <v>323</v>
      </c>
      <c r="Y187" s="531"/>
    </row>
    <row r="188" spans="1:25" ht="15.75" thickBot="1" x14ac:dyDescent="0.3">
      <c r="A188" s="96"/>
      <c r="B188" s="517"/>
      <c r="C188" s="517"/>
      <c r="D188" s="517"/>
      <c r="E188" s="517"/>
      <c r="F188" s="517"/>
      <c r="G188" s="518"/>
      <c r="H188" s="540"/>
      <c r="I188" s="108">
        <v>1</v>
      </c>
      <c r="J188" s="108"/>
      <c r="K188" s="108"/>
      <c r="L188" s="108"/>
      <c r="M188" s="108"/>
      <c r="N188" s="108"/>
      <c r="O188" s="108"/>
      <c r="P188" s="108"/>
      <c r="Q188" s="108"/>
      <c r="R188" s="108"/>
      <c r="S188" s="108"/>
      <c r="T188" s="108"/>
      <c r="U188" s="108"/>
      <c r="V188" s="524">
        <f>SUM(H188,J188,L188,N188,P188,R188,U188,T188)</f>
        <v>0</v>
      </c>
      <c r="W188" s="541">
        <f>$V188/$D$123</f>
        <v>0</v>
      </c>
      <c r="X188" s="539" t="s">
        <v>9</v>
      </c>
      <c r="Y188" s="533"/>
    </row>
    <row r="189" spans="1:25" ht="15.75" thickBot="1" x14ac:dyDescent="0.3">
      <c r="A189" s="96"/>
      <c r="B189" s="517"/>
      <c r="C189" s="517"/>
      <c r="D189" s="517"/>
      <c r="E189" s="517"/>
      <c r="F189" s="517"/>
      <c r="G189" s="518"/>
      <c r="H189" s="542"/>
      <c r="I189" s="115"/>
      <c r="J189" s="115"/>
      <c r="K189" s="115"/>
      <c r="L189" s="115"/>
      <c r="M189" s="115"/>
      <c r="N189" s="115"/>
      <c r="O189" s="115"/>
      <c r="P189" s="115"/>
      <c r="Q189" s="115"/>
      <c r="R189" s="115"/>
      <c r="S189" s="115"/>
      <c r="T189" s="115"/>
      <c r="U189" s="115"/>
      <c r="V189" s="115"/>
      <c r="W189" s="543"/>
      <c r="X189" s="544" t="s">
        <v>21</v>
      </c>
      <c r="Y189" s="533"/>
    </row>
    <row r="190" spans="1:25" x14ac:dyDescent="0.25">
      <c r="A190" s="96"/>
      <c r="B190" s="517"/>
      <c r="C190" s="517"/>
      <c r="D190" s="517"/>
      <c r="E190" s="517"/>
      <c r="F190" s="517"/>
      <c r="G190" s="518"/>
      <c r="H190" s="545">
        <v>1</v>
      </c>
      <c r="I190" s="112"/>
      <c r="J190" s="112"/>
      <c r="K190" s="112"/>
      <c r="L190" s="112"/>
      <c r="M190" s="112"/>
      <c r="N190" s="112"/>
      <c r="O190" s="112"/>
      <c r="P190" s="112"/>
      <c r="Q190" s="101"/>
      <c r="R190" s="112"/>
      <c r="S190" s="112"/>
      <c r="T190" s="112"/>
      <c r="U190" s="112"/>
      <c r="V190" s="524">
        <f t="shared" ref="V190:V202" si="22">SUM(H190,J190,L190,N190,P190,R190,U190)</f>
        <v>1</v>
      </c>
      <c r="W190" s="521">
        <f>$V190/$D$123</f>
        <v>1.6474464579901153E-3</v>
      </c>
      <c r="X190" s="546" t="s">
        <v>329</v>
      </c>
      <c r="Y190" s="533"/>
    </row>
    <row r="191" spans="1:25" x14ac:dyDescent="0.25">
      <c r="A191" s="96"/>
      <c r="B191" s="517"/>
      <c r="C191" s="517"/>
      <c r="D191" s="517"/>
      <c r="E191" s="517"/>
      <c r="F191" s="517"/>
      <c r="G191" s="518"/>
      <c r="H191" s="557"/>
      <c r="I191" s="101"/>
      <c r="J191" s="101"/>
      <c r="K191" s="101"/>
      <c r="L191" s="101"/>
      <c r="M191" s="101"/>
      <c r="N191" s="101"/>
      <c r="O191" s="101"/>
      <c r="P191" s="101"/>
      <c r="Q191" s="101"/>
      <c r="R191" s="101"/>
      <c r="S191" s="101"/>
      <c r="T191" s="101"/>
      <c r="U191" s="101"/>
      <c r="V191" s="524">
        <f t="shared" si="22"/>
        <v>0</v>
      </c>
      <c r="W191" s="525">
        <f>$V191/$D$123</f>
        <v>0</v>
      </c>
      <c r="X191" s="496" t="s">
        <v>25</v>
      </c>
      <c r="Y191" s="530"/>
    </row>
    <row r="192" spans="1:25" x14ac:dyDescent="0.25">
      <c r="A192" s="96"/>
      <c r="B192" s="517"/>
      <c r="C192" s="517"/>
      <c r="D192" s="517"/>
      <c r="E192" s="517"/>
      <c r="F192" s="517"/>
      <c r="G192" s="518"/>
      <c r="H192" s="557">
        <v>3</v>
      </c>
      <c r="I192" s="101"/>
      <c r="J192" s="101"/>
      <c r="K192" s="101"/>
      <c r="L192" s="101"/>
      <c r="M192" s="101"/>
      <c r="N192" s="101"/>
      <c r="O192" s="101"/>
      <c r="P192" s="101"/>
      <c r="Q192" s="101"/>
      <c r="R192" s="101"/>
      <c r="S192" s="101"/>
      <c r="T192" s="101"/>
      <c r="U192" s="101"/>
      <c r="V192" s="524">
        <f t="shared" si="22"/>
        <v>3</v>
      </c>
      <c r="W192" s="525">
        <f t="shared" ref="W192:W201" si="23">$V192/$D$123</f>
        <v>4.9423393739703456E-3</v>
      </c>
      <c r="X192" s="547" t="s">
        <v>162</v>
      </c>
      <c r="Y192" s="531"/>
    </row>
    <row r="193" spans="1:25" x14ac:dyDescent="0.25">
      <c r="A193" s="96"/>
      <c r="B193" s="517"/>
      <c r="C193" s="517"/>
      <c r="D193" s="517"/>
      <c r="E193" s="517"/>
      <c r="F193" s="517"/>
      <c r="G193" s="518"/>
      <c r="H193" s="557"/>
      <c r="I193" s="101"/>
      <c r="J193" s="101"/>
      <c r="K193" s="101"/>
      <c r="L193" s="101"/>
      <c r="M193" s="101"/>
      <c r="N193" s="101"/>
      <c r="O193" s="101"/>
      <c r="P193" s="101"/>
      <c r="Q193" s="101"/>
      <c r="R193" s="101"/>
      <c r="S193" s="101"/>
      <c r="T193" s="101"/>
      <c r="U193" s="101"/>
      <c r="V193" s="524">
        <f t="shared" si="22"/>
        <v>0</v>
      </c>
      <c r="W193" s="525">
        <f t="shared" si="23"/>
        <v>0</v>
      </c>
      <c r="X193" s="529" t="s">
        <v>15</v>
      </c>
      <c r="Y193" s="531"/>
    </row>
    <row r="194" spans="1:25" x14ac:dyDescent="0.25">
      <c r="A194" s="96"/>
      <c r="B194" s="517"/>
      <c r="C194" s="517"/>
      <c r="D194" s="517"/>
      <c r="E194" s="517"/>
      <c r="F194" s="517" t="s">
        <v>98</v>
      </c>
      <c r="G194" s="518"/>
      <c r="H194" s="557">
        <v>12</v>
      </c>
      <c r="I194" s="101"/>
      <c r="J194" s="101"/>
      <c r="K194" s="101"/>
      <c r="L194" s="101"/>
      <c r="M194" s="101"/>
      <c r="N194" s="101"/>
      <c r="O194" s="101"/>
      <c r="P194" s="101"/>
      <c r="Q194" s="101"/>
      <c r="R194" s="101"/>
      <c r="S194" s="101"/>
      <c r="T194" s="101"/>
      <c r="U194" s="101"/>
      <c r="V194" s="524">
        <f t="shared" si="22"/>
        <v>12</v>
      </c>
      <c r="W194" s="525">
        <f t="shared" si="23"/>
        <v>1.9769357495881382E-2</v>
      </c>
      <c r="X194" s="547" t="s">
        <v>330</v>
      </c>
      <c r="Y194" s="531"/>
    </row>
    <row r="195" spans="1:25" x14ac:dyDescent="0.25">
      <c r="A195" s="96"/>
      <c r="B195" s="517"/>
      <c r="C195" s="517"/>
      <c r="D195" s="517"/>
      <c r="E195" s="517"/>
      <c r="F195" s="517"/>
      <c r="G195" s="518"/>
      <c r="H195" s="557"/>
      <c r="I195" s="101"/>
      <c r="J195" s="101"/>
      <c r="K195" s="101"/>
      <c r="L195" s="101"/>
      <c r="M195" s="101"/>
      <c r="N195" s="101"/>
      <c r="O195" s="101"/>
      <c r="P195" s="101"/>
      <c r="Q195" s="101"/>
      <c r="R195" s="101"/>
      <c r="S195" s="101"/>
      <c r="T195" s="101"/>
      <c r="U195" s="101"/>
      <c r="V195" s="524">
        <f t="shared" si="22"/>
        <v>0</v>
      </c>
      <c r="W195" s="525">
        <f t="shared" si="23"/>
        <v>0</v>
      </c>
      <c r="X195" s="526" t="s">
        <v>12</v>
      </c>
      <c r="Y195" s="531" t="s">
        <v>325</v>
      </c>
    </row>
    <row r="196" spans="1:25" x14ac:dyDescent="0.25">
      <c r="A196" s="96"/>
      <c r="B196" s="517"/>
      <c r="C196" s="517"/>
      <c r="D196" s="517"/>
      <c r="E196" s="517"/>
      <c r="F196" s="517"/>
      <c r="G196" s="518"/>
      <c r="H196" s="557"/>
      <c r="I196" s="101"/>
      <c r="J196" s="101"/>
      <c r="K196" s="101"/>
      <c r="L196" s="101"/>
      <c r="M196" s="101"/>
      <c r="N196" s="101"/>
      <c r="O196" s="101"/>
      <c r="P196" s="101"/>
      <c r="Q196" s="101"/>
      <c r="R196" s="101"/>
      <c r="S196" s="101"/>
      <c r="T196" s="101"/>
      <c r="U196" s="101"/>
      <c r="V196" s="524">
        <f t="shared" si="22"/>
        <v>0</v>
      </c>
      <c r="W196" s="525">
        <f t="shared" si="23"/>
        <v>0</v>
      </c>
      <c r="X196" s="548" t="s">
        <v>311</v>
      </c>
      <c r="Y196" s="531" t="s">
        <v>327</v>
      </c>
    </row>
    <row r="197" spans="1:25" x14ac:dyDescent="0.25">
      <c r="A197" s="96"/>
      <c r="B197" s="517"/>
      <c r="C197" s="517"/>
      <c r="D197" s="517"/>
      <c r="E197" s="517"/>
      <c r="F197" s="517"/>
      <c r="G197" s="518"/>
      <c r="H197" s="557"/>
      <c r="I197" s="101"/>
      <c r="J197" s="101"/>
      <c r="K197" s="101"/>
      <c r="L197" s="101"/>
      <c r="M197" s="101"/>
      <c r="N197" s="101"/>
      <c r="O197" s="101"/>
      <c r="P197" s="101"/>
      <c r="Q197" s="101"/>
      <c r="R197" s="101"/>
      <c r="S197" s="101"/>
      <c r="T197" s="101"/>
      <c r="U197" s="101"/>
      <c r="V197" s="524">
        <f t="shared" si="22"/>
        <v>0</v>
      </c>
      <c r="W197" s="525">
        <f t="shared" si="23"/>
        <v>0</v>
      </c>
      <c r="X197" s="529" t="s">
        <v>212</v>
      </c>
      <c r="Y197" s="286" t="s">
        <v>328</v>
      </c>
    </row>
    <row r="198" spans="1:25" x14ac:dyDescent="0.25">
      <c r="A198" s="96"/>
      <c r="B198" s="517"/>
      <c r="C198" s="517"/>
      <c r="D198" s="517"/>
      <c r="E198" s="517"/>
      <c r="F198" s="517"/>
      <c r="G198" s="518"/>
      <c r="H198" s="557"/>
      <c r="I198" s="101"/>
      <c r="J198" s="101"/>
      <c r="K198" s="101"/>
      <c r="L198" s="101"/>
      <c r="M198" s="101"/>
      <c r="N198" s="101"/>
      <c r="O198" s="101"/>
      <c r="P198" s="101"/>
      <c r="Q198" s="101"/>
      <c r="R198" s="101"/>
      <c r="S198" s="101"/>
      <c r="T198" s="101"/>
      <c r="U198" s="101"/>
      <c r="V198" s="524">
        <f t="shared" si="22"/>
        <v>0</v>
      </c>
      <c r="W198" s="525">
        <f t="shared" si="23"/>
        <v>0</v>
      </c>
      <c r="X198" s="529" t="s">
        <v>172</v>
      </c>
      <c r="Y198" s="531"/>
    </row>
    <row r="199" spans="1:25" x14ac:dyDescent="0.25">
      <c r="A199" s="96"/>
      <c r="B199" s="517"/>
      <c r="C199" s="517"/>
      <c r="D199" s="517"/>
      <c r="E199" s="517"/>
      <c r="F199" s="517"/>
      <c r="G199" s="518"/>
      <c r="H199" s="557">
        <v>2</v>
      </c>
      <c r="I199" s="101"/>
      <c r="J199" s="101"/>
      <c r="K199" s="101"/>
      <c r="L199" s="101"/>
      <c r="M199" s="101"/>
      <c r="N199" s="101"/>
      <c r="O199" s="101"/>
      <c r="P199" s="101"/>
      <c r="Q199" s="101"/>
      <c r="R199" s="101"/>
      <c r="S199" s="101"/>
      <c r="T199" s="101"/>
      <c r="U199" s="101"/>
      <c r="V199" s="524">
        <f t="shared" si="22"/>
        <v>2</v>
      </c>
      <c r="W199" s="525">
        <f t="shared" si="23"/>
        <v>3.2948929159802307E-3</v>
      </c>
      <c r="X199" s="529" t="s">
        <v>99</v>
      </c>
      <c r="Y199" s="531"/>
    </row>
    <row r="200" spans="1:25" x14ac:dyDescent="0.25">
      <c r="A200" s="96"/>
      <c r="B200" s="517"/>
      <c r="C200" s="517"/>
      <c r="D200" s="517"/>
      <c r="E200" s="517"/>
      <c r="F200" s="517"/>
      <c r="G200" s="518"/>
      <c r="H200" s="557">
        <v>1</v>
      </c>
      <c r="I200" s="101"/>
      <c r="J200" s="101"/>
      <c r="K200" s="101"/>
      <c r="L200" s="101"/>
      <c r="M200" s="101"/>
      <c r="N200" s="101"/>
      <c r="O200" s="101"/>
      <c r="P200" s="101"/>
      <c r="Q200" s="101"/>
      <c r="R200" s="101"/>
      <c r="S200" s="101"/>
      <c r="T200" s="101"/>
      <c r="U200" s="101"/>
      <c r="V200" s="524">
        <f t="shared" si="22"/>
        <v>1</v>
      </c>
      <c r="W200" s="525">
        <f t="shared" si="23"/>
        <v>1.6474464579901153E-3</v>
      </c>
      <c r="X200" s="526" t="s">
        <v>299</v>
      </c>
      <c r="Y200" s="531"/>
    </row>
    <row r="201" spans="1:25" x14ac:dyDescent="0.25">
      <c r="A201" s="96"/>
      <c r="B201" s="517"/>
      <c r="C201" s="517"/>
      <c r="D201" s="517"/>
      <c r="E201" s="517"/>
      <c r="F201" s="517"/>
      <c r="G201" s="518"/>
      <c r="H201" s="557">
        <v>2</v>
      </c>
      <c r="I201" s="101"/>
      <c r="J201" s="101"/>
      <c r="K201" s="101"/>
      <c r="L201" s="101"/>
      <c r="M201" s="101"/>
      <c r="N201" s="101"/>
      <c r="O201" s="101"/>
      <c r="P201" s="101"/>
      <c r="Q201" s="101"/>
      <c r="R201" s="101"/>
      <c r="S201" s="101"/>
      <c r="T201" s="101"/>
      <c r="U201" s="101"/>
      <c r="V201" s="524">
        <f t="shared" si="22"/>
        <v>2</v>
      </c>
      <c r="W201" s="525">
        <f t="shared" si="23"/>
        <v>3.2948929159802307E-3</v>
      </c>
      <c r="X201" s="526" t="s">
        <v>207</v>
      </c>
      <c r="Y201" s="531"/>
    </row>
    <row r="202" spans="1:25" ht="15.75" thickBot="1" x14ac:dyDescent="0.3">
      <c r="A202" s="117"/>
      <c r="B202" s="118"/>
      <c r="C202" s="118"/>
      <c r="D202" s="118"/>
      <c r="E202" s="118"/>
      <c r="F202" s="118"/>
      <c r="G202" s="518"/>
      <c r="H202" s="523"/>
      <c r="I202" s="101"/>
      <c r="J202" s="101"/>
      <c r="K202" s="101"/>
      <c r="L202" s="101"/>
      <c r="M202" s="101"/>
      <c r="N202" s="101"/>
      <c r="O202" s="101"/>
      <c r="P202" s="101"/>
      <c r="Q202" s="101"/>
      <c r="R202" s="101"/>
      <c r="S202" s="101"/>
      <c r="T202" s="101"/>
      <c r="U202" s="101"/>
      <c r="V202" s="524">
        <f t="shared" si="22"/>
        <v>0</v>
      </c>
      <c r="W202" s="541">
        <f>$V202/$D$123</f>
        <v>0</v>
      </c>
      <c r="X202" s="549" t="s">
        <v>84</v>
      </c>
      <c r="Y202" s="550"/>
    </row>
    <row r="203" spans="1:25" ht="15.75" thickBot="1" x14ac:dyDescent="0.3">
      <c r="A203" s="122"/>
      <c r="B203" s="122"/>
      <c r="C203" s="122"/>
      <c r="D203" s="122"/>
      <c r="E203" s="122"/>
      <c r="F203" s="122"/>
      <c r="G203" s="551" t="s">
        <v>4</v>
      </c>
      <c r="H203" s="123">
        <f>SUM(H167:H202)</f>
        <v>40</v>
      </c>
      <c r="I203" s="123">
        <f>SUM(I166:I202)</f>
        <v>27</v>
      </c>
      <c r="J203" s="123">
        <f t="shared" ref="J203:U203" si="24">SUM(J166:J202)</f>
        <v>3</v>
      </c>
      <c r="K203" s="123">
        <f t="shared" si="24"/>
        <v>0</v>
      </c>
      <c r="L203" s="123">
        <f t="shared" si="24"/>
        <v>0</v>
      </c>
      <c r="M203" s="123">
        <f t="shared" si="24"/>
        <v>0</v>
      </c>
      <c r="N203" s="123">
        <f t="shared" si="24"/>
        <v>0</v>
      </c>
      <c r="O203" s="123">
        <f t="shared" si="24"/>
        <v>0</v>
      </c>
      <c r="P203" s="123">
        <f t="shared" si="24"/>
        <v>0</v>
      </c>
      <c r="Q203" s="123">
        <f t="shared" si="24"/>
        <v>0</v>
      </c>
      <c r="R203" s="123">
        <f t="shared" si="24"/>
        <v>0</v>
      </c>
      <c r="S203" s="123">
        <f t="shared" si="24"/>
        <v>0</v>
      </c>
      <c r="T203" s="123">
        <f t="shared" si="24"/>
        <v>0</v>
      </c>
      <c r="U203" s="123">
        <f t="shared" si="24"/>
        <v>2</v>
      </c>
      <c r="V203" s="123">
        <f>SUM(H203,J203,L203,N203,P203,R203,U203)</f>
        <v>45</v>
      </c>
      <c r="W203" s="552">
        <f>$V203/$D$123</f>
        <v>7.4135090609555185E-2</v>
      </c>
      <c r="X203" s="553"/>
      <c r="Y203" s="553"/>
    </row>
  </sheetData>
  <conditionalFormatting sqref="W26:W39">
    <cfRule type="colorScale" priority="27">
      <colorScale>
        <cfvo type="min"/>
        <cfvo type="max"/>
        <color rgb="FFFCFCFF"/>
        <color rgb="FFF8696B"/>
      </colorScale>
    </cfRule>
  </conditionalFormatting>
  <conditionalFormatting sqref="W2">
    <cfRule type="cellIs" dxfId="22" priority="26" operator="greaterThan">
      <formula>0.2</formula>
    </cfRule>
  </conditionalFormatting>
  <conditionalFormatting sqref="W4:W24">
    <cfRule type="colorScale" priority="25">
      <colorScale>
        <cfvo type="min"/>
        <cfvo type="max"/>
        <color rgb="FFFCFCFF"/>
        <color rgb="FFF8696B"/>
      </colorScale>
    </cfRule>
  </conditionalFormatting>
  <conditionalFormatting sqref="U3:V3">
    <cfRule type="cellIs" dxfId="21" priority="24" operator="greaterThan">
      <formula>0.2</formula>
    </cfRule>
  </conditionalFormatting>
  <conditionalFormatting sqref="W3">
    <cfRule type="cellIs" dxfId="20" priority="23" operator="greaterThan">
      <formula>0.2</formula>
    </cfRule>
  </conditionalFormatting>
  <conditionalFormatting sqref="W66:W79">
    <cfRule type="colorScale" priority="21">
      <colorScale>
        <cfvo type="min"/>
        <cfvo type="max"/>
        <color rgb="FFFCFCFF"/>
        <color rgb="FFF8696B"/>
      </colorScale>
    </cfRule>
  </conditionalFormatting>
  <conditionalFormatting sqref="W42">
    <cfRule type="cellIs" dxfId="19" priority="20" operator="greaterThan">
      <formula>0.2</formula>
    </cfRule>
  </conditionalFormatting>
  <conditionalFormatting sqref="W44:W64">
    <cfRule type="colorScale" priority="19">
      <colorScale>
        <cfvo type="min"/>
        <cfvo type="max"/>
        <color rgb="FFFCFCFF"/>
        <color rgb="FFF8696B"/>
      </colorScale>
    </cfRule>
  </conditionalFormatting>
  <conditionalFormatting sqref="U43:V43">
    <cfRule type="cellIs" dxfId="18" priority="18" operator="greaterThan">
      <formula>0.2</formula>
    </cfRule>
  </conditionalFormatting>
  <conditionalFormatting sqref="W43">
    <cfRule type="cellIs" dxfId="17" priority="17" operator="greaterThan">
      <formula>0.2</formula>
    </cfRule>
  </conditionalFormatting>
  <conditionalFormatting sqref="W106:W119">
    <cfRule type="colorScale" priority="16">
      <colorScale>
        <cfvo type="min"/>
        <cfvo type="max"/>
        <color rgb="FFFCFCFF"/>
        <color rgb="FFF8696B"/>
      </colorScale>
    </cfRule>
  </conditionalFormatting>
  <conditionalFormatting sqref="W82">
    <cfRule type="cellIs" dxfId="16" priority="15" operator="greaterThan">
      <formula>0.2</formula>
    </cfRule>
  </conditionalFormatting>
  <conditionalFormatting sqref="W84:W104">
    <cfRule type="colorScale" priority="14">
      <colorScale>
        <cfvo type="min"/>
        <cfvo type="max"/>
        <color rgb="FFFCFCFF"/>
        <color rgb="FFF8696B"/>
      </colorScale>
    </cfRule>
  </conditionalFormatting>
  <conditionalFormatting sqref="U83:V83">
    <cfRule type="cellIs" dxfId="15" priority="13" operator="greaterThan">
      <formula>0.2</formula>
    </cfRule>
  </conditionalFormatting>
  <conditionalFormatting sqref="W83">
    <cfRule type="cellIs" dxfId="14" priority="12" operator="greaterThan">
      <formula>0.2</formula>
    </cfRule>
  </conditionalFormatting>
  <conditionalFormatting sqref="W148:W161">
    <cfRule type="colorScale" priority="11">
      <colorScale>
        <cfvo type="min"/>
        <cfvo type="max"/>
        <color rgb="FFFCFCFF"/>
        <color rgb="FFF8696B"/>
      </colorScale>
    </cfRule>
  </conditionalFormatting>
  <conditionalFormatting sqref="W122">
    <cfRule type="cellIs" dxfId="13" priority="10" operator="greaterThan">
      <formula>0.2</formula>
    </cfRule>
  </conditionalFormatting>
  <conditionalFormatting sqref="W124:W146">
    <cfRule type="colorScale" priority="9">
      <colorScale>
        <cfvo type="min"/>
        <cfvo type="max"/>
        <color rgb="FFFCFCFF"/>
        <color rgb="FFF8696B"/>
      </colorScale>
    </cfRule>
  </conditionalFormatting>
  <conditionalFormatting sqref="U123:V123">
    <cfRule type="cellIs" dxfId="12" priority="8" operator="greaterThan">
      <formula>0.2</formula>
    </cfRule>
  </conditionalFormatting>
  <conditionalFormatting sqref="W123">
    <cfRule type="cellIs" dxfId="11" priority="7" operator="greaterThan">
      <formula>0.2</formula>
    </cfRule>
  </conditionalFormatting>
  <conditionalFormatting sqref="W190:W203">
    <cfRule type="colorScale" priority="5">
      <colorScale>
        <cfvo type="min"/>
        <cfvo type="max"/>
        <color rgb="FFFCFCFF"/>
        <color rgb="FFF8696B"/>
      </colorScale>
    </cfRule>
  </conditionalFormatting>
  <conditionalFormatting sqref="W164">
    <cfRule type="cellIs" dxfId="10" priority="4" operator="greaterThan">
      <formula>0.2</formula>
    </cfRule>
  </conditionalFormatting>
  <conditionalFormatting sqref="W166:W188">
    <cfRule type="colorScale" priority="3">
      <colorScale>
        <cfvo type="min"/>
        <cfvo type="max"/>
        <color rgb="FFFCFCFF"/>
        <color rgb="FFF8696B"/>
      </colorScale>
    </cfRule>
  </conditionalFormatting>
  <conditionalFormatting sqref="U165:V165">
    <cfRule type="cellIs" dxfId="9" priority="2" operator="greaterThan">
      <formula>0.2</formula>
    </cfRule>
  </conditionalFormatting>
  <conditionalFormatting sqref="W165">
    <cfRule type="cellIs" dxfId="8" priority="1" operator="greaterThan">
      <formula>0.2</formula>
    </cfRule>
  </conditionalFormatting>
  <pageMargins left="0" right="0" top="0.75" bottom="0.75" header="0.3" footer="0.3"/>
  <pageSetup scale="1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pageSetUpPr fitToPage="1"/>
  </sheetPr>
  <dimension ref="A1:U33"/>
  <sheetViews>
    <sheetView showGridLines="0" zoomScaleNormal="100" workbookViewId="0">
      <selection activeCell="A24" sqref="A24"/>
    </sheetView>
  </sheetViews>
  <sheetFormatPr defaultColWidth="9.140625" defaultRowHeight="15" x14ac:dyDescent="0.25"/>
  <cols>
    <col min="1" max="4" width="10.7109375" style="23" customWidth="1"/>
    <col min="5" max="5" width="10.7109375" style="25" customWidth="1"/>
    <col min="6" max="6" width="10.7109375" style="23" customWidth="1"/>
    <col min="7" max="7" width="17.7109375" style="23" customWidth="1"/>
    <col min="8" max="8" width="10.7109375" style="23" customWidth="1"/>
    <col min="9" max="9" width="13.5703125" style="23" bestFit="1" customWidth="1"/>
    <col min="10" max="11" width="10.7109375" style="23" customWidth="1"/>
    <col min="12" max="12" width="16.5703125" style="23" customWidth="1"/>
    <col min="13" max="14" width="10.7109375" style="23" customWidth="1"/>
    <col min="15" max="15" width="30" style="23" bestFit="1" customWidth="1"/>
    <col min="16" max="16" width="10.7109375" style="23" customWidth="1"/>
    <col min="17" max="17" width="10.85546875" style="23" customWidth="1"/>
    <col min="18" max="18" width="9.85546875" style="23" customWidth="1"/>
    <col min="19" max="16384" width="9.140625" style="23"/>
  </cols>
  <sheetData>
    <row r="1" spans="1:21" ht="54" customHeight="1" x14ac:dyDescent="0.25">
      <c r="A1" s="566" t="s">
        <v>105</v>
      </c>
      <c r="B1" s="566"/>
      <c r="C1" s="566"/>
      <c r="D1" s="566"/>
      <c r="E1" s="566"/>
      <c r="F1" s="566"/>
      <c r="G1" s="566"/>
      <c r="H1" s="566"/>
      <c r="I1" s="566"/>
      <c r="J1" s="566"/>
      <c r="K1" s="566"/>
      <c r="L1" s="566"/>
      <c r="M1" s="566"/>
      <c r="N1" s="566"/>
      <c r="O1" s="566"/>
      <c r="P1" s="566"/>
      <c r="Q1" s="566"/>
      <c r="R1" s="566"/>
    </row>
    <row r="3" spans="1:21" ht="26.25" customHeight="1" x14ac:dyDescent="0.25">
      <c r="H3" s="23">
        <f ca="1">H3:H38</f>
        <v>0</v>
      </c>
      <c r="O3" s="567" t="s">
        <v>49</v>
      </c>
      <c r="P3" s="568"/>
      <c r="Q3" s="568"/>
      <c r="R3" s="568"/>
    </row>
    <row r="4" spans="1:21" x14ac:dyDescent="0.25">
      <c r="O4" s="569" t="s">
        <v>20</v>
      </c>
      <c r="P4" s="570"/>
      <c r="Q4" s="571"/>
      <c r="R4" s="253" t="s">
        <v>24</v>
      </c>
    </row>
    <row r="5" spans="1:21" x14ac:dyDescent="0.25">
      <c r="O5" s="20" t="s">
        <v>5</v>
      </c>
      <c r="P5" s="20"/>
      <c r="Q5" s="21"/>
      <c r="R5" s="251">
        <f>SUMIF('EB210'!$V$3:$V$44,O5,'EB210'!$T$3:$T$44)</f>
        <v>0</v>
      </c>
    </row>
    <row r="6" spans="1:21" x14ac:dyDescent="0.25">
      <c r="O6" s="20" t="s">
        <v>11</v>
      </c>
      <c r="P6" s="20"/>
      <c r="Q6" s="21"/>
      <c r="R6" s="251">
        <f>SUMIF('EB210'!$V$3:$V$44,O6,'EB210'!$T$3:$T$44)</f>
        <v>0</v>
      </c>
    </row>
    <row r="7" spans="1:21" x14ac:dyDescent="0.25">
      <c r="O7" s="20" t="s">
        <v>15</v>
      </c>
      <c r="P7" s="20"/>
      <c r="Q7" s="21"/>
      <c r="R7" s="251">
        <f>SUMIF('EB210'!$V$3:$V$44,O7,'EB210'!$T$3:$T$44)</f>
        <v>0</v>
      </c>
    </row>
    <row r="8" spans="1:21" x14ac:dyDescent="0.25">
      <c r="O8" s="20" t="s">
        <v>13</v>
      </c>
      <c r="P8" s="20"/>
      <c r="Q8" s="21"/>
      <c r="R8" s="251">
        <f>SUMIF('EB210'!$V$3:$V$44,O8,'EB210'!$T$3:$T$44)</f>
        <v>0</v>
      </c>
    </row>
    <row r="9" spans="1:21" x14ac:dyDescent="0.25">
      <c r="O9" s="20" t="s">
        <v>32</v>
      </c>
      <c r="P9" s="20"/>
      <c r="Q9" s="21"/>
      <c r="R9" s="251">
        <f>SUMIF('EB210'!$V$3:$V$44,O9,'EB210'!$T$3:$T$44)</f>
        <v>0</v>
      </c>
    </row>
    <row r="10" spans="1:21" ht="15.75" x14ac:dyDescent="0.25">
      <c r="O10" s="20" t="s">
        <v>3</v>
      </c>
      <c r="P10" s="20"/>
      <c r="Q10" s="21"/>
      <c r="R10" s="251">
        <f>SUMIF('EB210'!$V$3:$V$44,O10,'EB210'!$T$3:$T$44)</f>
        <v>0</v>
      </c>
      <c r="U10" s="125"/>
    </row>
    <row r="11" spans="1:21" x14ac:dyDescent="0.25">
      <c r="O11" s="20" t="s">
        <v>42</v>
      </c>
      <c r="P11" s="20"/>
      <c r="Q11" s="21"/>
      <c r="R11" s="251">
        <f>SUMIF('EB210'!$V$3:$V$44,O11,'EB210'!$T$3:$T$44)</f>
        <v>0</v>
      </c>
    </row>
    <row r="12" spans="1:21" x14ac:dyDescent="0.25">
      <c r="O12" s="20" t="s">
        <v>0</v>
      </c>
      <c r="P12" s="20"/>
      <c r="Q12" s="21"/>
      <c r="R12" s="251">
        <f>SUMIF('EB210'!$V$3:$V$44,O12,'EB210'!$T$3:$T$44)</f>
        <v>0</v>
      </c>
    </row>
    <row r="13" spans="1:21" x14ac:dyDescent="0.25">
      <c r="O13" s="20" t="s">
        <v>29</v>
      </c>
      <c r="P13" s="20"/>
      <c r="Q13" s="21"/>
      <c r="R13" s="251">
        <f>SUMIF('EB210'!$V$3:$V$44,O13,'EB210'!$T$3:$T$44)</f>
        <v>0</v>
      </c>
    </row>
    <row r="14" spans="1:21" x14ac:dyDescent="0.25">
      <c r="O14" s="20" t="s">
        <v>70</v>
      </c>
      <c r="P14" s="20"/>
      <c r="Q14" s="21"/>
      <c r="R14" s="251">
        <f>SUMIF('EB210'!$V$3:$V$44,O14,'EB210'!$T$3:$T$44)</f>
        <v>0</v>
      </c>
    </row>
    <row r="15" spans="1:21" x14ac:dyDescent="0.25">
      <c r="O15" s="20" t="s">
        <v>26</v>
      </c>
      <c r="P15" s="20"/>
      <c r="Q15" s="21"/>
      <c r="R15" s="251">
        <f>SUMIF('EB210'!$V$3:$V$44,O15,'EB210'!$T$3:$T$44)</f>
        <v>0</v>
      </c>
    </row>
    <row r="16" spans="1:21" x14ac:dyDescent="0.25">
      <c r="O16" s="20" t="s">
        <v>14</v>
      </c>
      <c r="P16" s="20"/>
      <c r="Q16" s="21"/>
      <c r="R16" s="251">
        <f>SUMIF('EB210'!$V$3:$V$44,O16,'EB210'!$T$3:$T$44)</f>
        <v>0</v>
      </c>
    </row>
    <row r="17" spans="1:18" x14ac:dyDescent="0.25">
      <c r="O17" s="20" t="s">
        <v>25</v>
      </c>
      <c r="P17" s="20"/>
      <c r="Q17" s="21"/>
      <c r="R17" s="251">
        <f>SUMIF('EB210'!$V$3:$V$44,O17,'EB210'!$T$3:$T$44)</f>
        <v>0</v>
      </c>
    </row>
    <row r="18" spans="1:18" x14ac:dyDescent="0.25">
      <c r="O18" s="20" t="s">
        <v>12</v>
      </c>
      <c r="P18" s="20"/>
      <c r="Q18" s="21"/>
      <c r="R18" s="251">
        <f>SUMIF('EB210'!$V$3:$V$44,O18,'EB210'!$T$3:$T$44)</f>
        <v>0</v>
      </c>
    </row>
    <row r="19" spans="1:18" x14ac:dyDescent="0.25">
      <c r="O19" s="20" t="s">
        <v>7</v>
      </c>
      <c r="P19" s="20"/>
      <c r="Q19" s="21"/>
      <c r="R19" s="251">
        <f>SUMIF('EB210'!$V$3:$V$44,O19,'EB210'!$T$3:$T$44)</f>
        <v>0</v>
      </c>
    </row>
    <row r="20" spans="1:18" ht="15.75" customHeight="1" x14ac:dyDescent="0.25">
      <c r="O20" s="20" t="s">
        <v>19</v>
      </c>
      <c r="P20" s="20"/>
      <c r="Q20" s="21"/>
      <c r="R20" s="251">
        <f>SUMIF('EB210'!$V$3:$V$44,O20,'EB210'!$T$3:$T$44)</f>
        <v>0</v>
      </c>
    </row>
    <row r="21" spans="1:18" ht="23.25" x14ac:dyDescent="0.25">
      <c r="A21" s="575" t="s">
        <v>61</v>
      </c>
      <c r="B21" s="576"/>
      <c r="C21" s="576"/>
      <c r="D21" s="576"/>
      <c r="E21" s="577"/>
      <c r="O21" s="20" t="s">
        <v>8</v>
      </c>
      <c r="P21" s="20"/>
      <c r="Q21" s="21"/>
      <c r="R21" s="251">
        <f>SUMIF('EB210'!$V$3:$V$44,O21,'EB210'!$T$3:$T$44)</f>
        <v>0</v>
      </c>
    </row>
    <row r="22" spans="1:18" ht="19.5" customHeight="1" x14ac:dyDescent="0.25">
      <c r="A22" s="28" t="s">
        <v>22</v>
      </c>
      <c r="B22" s="28" t="s">
        <v>17</v>
      </c>
      <c r="C22" s="28" t="s">
        <v>16</v>
      </c>
      <c r="D22" s="28" t="s">
        <v>1</v>
      </c>
      <c r="E22" s="29" t="s">
        <v>23</v>
      </c>
      <c r="O22" s="20" t="s">
        <v>28</v>
      </c>
      <c r="P22" s="20"/>
      <c r="Q22" s="21"/>
      <c r="R22" s="251">
        <f>SUMIF('EB210'!$V$3:$V$44,O22,'EB210'!$T$3:$T$44)</f>
        <v>0</v>
      </c>
    </row>
    <row r="23" spans="1:18" x14ac:dyDescent="0.25">
      <c r="A23" s="296"/>
      <c r="B23" s="130" t="e">
        <f>VLOOKUP(Table14117[[#This Row],[Shop Order]],'EB210'!A:AA,4,FALSE)</f>
        <v>#N/A</v>
      </c>
      <c r="C23" s="130" t="e">
        <f>VLOOKUP(Table14117[[#This Row],[Shop Order]],'EB210'!A:Y,5,FALSE)</f>
        <v>#N/A</v>
      </c>
      <c r="D23" s="131" t="e">
        <f>VLOOKUP(Table14117[[#This Row],[Shop Order]],'EB210'!A:Y,6,FALSE)</f>
        <v>#N/A</v>
      </c>
      <c r="E23" s="132" t="e">
        <f>VLOOKUP(Table14117[[#This Row],[Shop Order]],'EB210'!A:Y,7,FALSE)</f>
        <v>#N/A</v>
      </c>
      <c r="O23" s="20" t="s">
        <v>10</v>
      </c>
      <c r="P23" s="20"/>
      <c r="Q23" s="21"/>
      <c r="R23" s="251">
        <f>SUMIF('EB210'!$V$3:$V$44,O23,'EB210'!$T$3:$T$44)</f>
        <v>0</v>
      </c>
    </row>
    <row r="24" spans="1:18" x14ac:dyDescent="0.25">
      <c r="A24" s="296"/>
      <c r="B24" s="130" t="e">
        <f>VLOOKUP(Table14117[[#This Row],[Shop Order]],'EB210'!A:AA,4,FALSE)</f>
        <v>#N/A</v>
      </c>
      <c r="C24" s="130" t="e">
        <f>VLOOKUP(Table14117[[#This Row],[Shop Order]],'EB210'!A:Y,5,FALSE)</f>
        <v>#N/A</v>
      </c>
      <c r="D24" s="131" t="e">
        <f>VLOOKUP(Table14117[[#This Row],[Shop Order]],'EB210'!A:Y,6,FALSE)</f>
        <v>#N/A</v>
      </c>
      <c r="E24" s="132" t="e">
        <f>VLOOKUP(Table14117[[#This Row],[Shop Order]],'EB210'!A:Y,7,FALSE)</f>
        <v>#N/A</v>
      </c>
      <c r="G24" s="24"/>
      <c r="O24" s="20" t="s">
        <v>77</v>
      </c>
      <c r="P24" s="20"/>
      <c r="Q24" s="21"/>
      <c r="R24" s="251">
        <f>SUMIF('EB210'!$V$3:$V$44,O24,'EB210'!$T$3:$T$44)</f>
        <v>0</v>
      </c>
    </row>
    <row r="25" spans="1:18" x14ac:dyDescent="0.25">
      <c r="A25" s="296"/>
      <c r="B25" s="130" t="e">
        <f>VLOOKUP(Table14117[[#This Row],[Shop Order]],'EB210'!A:AA,4,FALSE)</f>
        <v>#N/A</v>
      </c>
      <c r="C25" s="130" t="e">
        <f>VLOOKUP(Table14117[[#This Row],[Shop Order]],'EB210'!A:Y,5,FALSE)</f>
        <v>#N/A</v>
      </c>
      <c r="D25" s="131" t="e">
        <f>VLOOKUP(Table14117[[#This Row],[Shop Order]],'EB210'!A:Y,6,FALSE)</f>
        <v>#N/A</v>
      </c>
      <c r="E25" s="132" t="e">
        <f>VLOOKUP(Table14117[[#This Row],[Shop Order]],'EB210'!A:Y,7,FALSE)</f>
        <v>#N/A</v>
      </c>
      <c r="O25" s="20" t="s">
        <v>30</v>
      </c>
      <c r="P25" s="20"/>
      <c r="Q25" s="21"/>
      <c r="R25" s="251">
        <f>SUMIF('EB210'!$V$3:$V$44,O25,'EB210'!$T$3:$T$44)</f>
        <v>0</v>
      </c>
    </row>
    <row r="26" spans="1:18" x14ac:dyDescent="0.25">
      <c r="A26" s="296"/>
      <c r="B26" s="130" t="e">
        <f>VLOOKUP(Table14117[[#This Row],[Shop Order]],'EB210'!A:AA,4,FALSE)</f>
        <v>#N/A</v>
      </c>
      <c r="C26" s="130" t="e">
        <f>VLOOKUP(Table14117[[#This Row],[Shop Order]],'EB210'!A:Y,5,FALSE)</f>
        <v>#N/A</v>
      </c>
      <c r="D26" s="131" t="e">
        <f>VLOOKUP(Table14117[[#This Row],[Shop Order]],'EB210'!A:Y,6,FALSE)</f>
        <v>#N/A</v>
      </c>
      <c r="E26" s="132" t="e">
        <f>VLOOKUP(Table14117[[#This Row],[Shop Order]],'EB210'!A:Y,7,FALSE)</f>
        <v>#N/A</v>
      </c>
      <c r="O26" s="20" t="s">
        <v>111</v>
      </c>
      <c r="P26" s="20"/>
      <c r="Q26" s="21"/>
      <c r="R26" s="251">
        <f>SUMIF('EB210'!$V$3:$V$44,O26,'EB210'!$T$3:$T$44)</f>
        <v>0</v>
      </c>
    </row>
    <row r="27" spans="1:18" x14ac:dyDescent="0.25">
      <c r="A27" s="296"/>
      <c r="B27" s="130" t="e">
        <f>VLOOKUP(Table14117[[#This Row],[Shop Order]],'EB210'!A:AA,4,FALSE)</f>
        <v>#N/A</v>
      </c>
      <c r="C27" s="130" t="e">
        <f>VLOOKUP(Table14117[[#This Row],[Shop Order]],'EB210'!A:Y,5,FALSE)</f>
        <v>#N/A</v>
      </c>
      <c r="D27" s="131" t="e">
        <f>VLOOKUP(Table14117[[#This Row],[Shop Order]],'EB210'!A:Y,6,FALSE)</f>
        <v>#N/A</v>
      </c>
      <c r="E27" s="132" t="e">
        <f>VLOOKUP(Table14117[[#This Row],[Shop Order]],'EB210'!A:Y,7,FALSE)</f>
        <v>#N/A</v>
      </c>
      <c r="O27" s="20" t="s">
        <v>78</v>
      </c>
      <c r="P27" s="20"/>
      <c r="Q27" s="21"/>
      <c r="R27" s="251">
        <f>SUMIF('EB210'!$V$3:$V$44,O27,'EB210'!$T$3:$T$44)</f>
        <v>0</v>
      </c>
    </row>
    <row r="28" spans="1:18" ht="15.75" thickBot="1" x14ac:dyDescent="0.3">
      <c r="A28" s="296"/>
      <c r="B28" s="130" t="e">
        <f>VLOOKUP(Table14117[[#This Row],[Shop Order]],'EB210'!A:AA,4,FALSE)</f>
        <v>#N/A</v>
      </c>
      <c r="C28" s="130" t="e">
        <f>VLOOKUP(Table14117[[#This Row],[Shop Order]],'EB210'!A:Y,5,FALSE)</f>
        <v>#N/A</v>
      </c>
      <c r="D28" s="131" t="e">
        <f>VLOOKUP(Table14117[[#This Row],[Shop Order]],'EB210'!A:Y,6,FALSE)</f>
        <v>#N/A</v>
      </c>
      <c r="E28" s="132" t="e">
        <f>VLOOKUP(Table14117[[#This Row],[Shop Order]],'EB210'!A:Y,7,FALSE)</f>
        <v>#N/A</v>
      </c>
      <c r="O28" s="20" t="s">
        <v>94</v>
      </c>
      <c r="P28" s="20"/>
      <c r="Q28" s="21"/>
      <c r="R28" s="251">
        <f>SUMIF('EB210'!$V$3:$V$44,O28,'EB210'!$T$3:$T$44)</f>
        <v>0</v>
      </c>
    </row>
    <row r="29" spans="1:18" ht="15" customHeight="1" thickBot="1" x14ac:dyDescent="0.3">
      <c r="A29" s="572" t="s">
        <v>48</v>
      </c>
      <c r="B29" s="573"/>
      <c r="C29" s="574"/>
      <c r="D29" s="75" t="e">
        <f>AVERAGE(D23:D24)</f>
        <v>#N/A</v>
      </c>
      <c r="E29" s="26"/>
      <c r="O29" s="20" t="s">
        <v>43</v>
      </c>
      <c r="P29" s="31"/>
      <c r="Q29" s="31"/>
      <c r="R29" s="251">
        <f>SUMIF('EB210'!$V$3:$V$44,O29,'EB210'!$T$3:$T$44)</f>
        <v>0</v>
      </c>
    </row>
    <row r="30" spans="1:18" x14ac:dyDescent="0.25">
      <c r="O30" s="20" t="s">
        <v>76</v>
      </c>
      <c r="P30" s="31"/>
      <c r="Q30" s="31"/>
      <c r="R30" s="251">
        <f>SUMIF('EB210'!$V$3:$V$44,O30,'EB210'!$T$3:$T$44)</f>
        <v>0</v>
      </c>
    </row>
    <row r="31" spans="1:18" ht="30.75" customHeight="1" x14ac:dyDescent="0.25">
      <c r="E31" s="23"/>
    </row>
    <row r="32" spans="1:18" ht="38.25" customHeight="1" x14ac:dyDescent="0.25">
      <c r="E32" s="23"/>
    </row>
    <row r="33" spans="5:5" ht="33.75" customHeight="1" x14ac:dyDescent="0.25">
      <c r="E33" s="23"/>
    </row>
  </sheetData>
  <autoFilter ref="O4:R4" xr:uid="{00000000-0009-0000-0000-000001000000}">
    <filterColumn colId="0" showButton="0"/>
    <filterColumn colId="1" showButton="0"/>
    <sortState xmlns:xlrd2="http://schemas.microsoft.com/office/spreadsheetml/2017/richdata2" ref="O5:R30">
      <sortCondition descending="1" ref="R4"/>
    </sortState>
  </autoFilter>
  <sortState xmlns:xlrd2="http://schemas.microsoft.com/office/spreadsheetml/2017/richdata2" ref="O5:R30">
    <sortCondition descending="1" ref="R5:R30"/>
  </sortState>
  <dataConsolidate/>
  <mergeCells count="5">
    <mergeCell ref="A1:R1"/>
    <mergeCell ref="O3:R3"/>
    <mergeCell ref="O4:Q4"/>
    <mergeCell ref="A29:C29"/>
    <mergeCell ref="A21:E21"/>
  </mergeCells>
  <phoneticPr fontId="33" type="noConversion"/>
  <pageMargins left="0" right="0" top="0.75" bottom="0.75" header="0.3" footer="0.3"/>
  <pageSetup scale="62" orientation="landscape" r:id="rId1"/>
  <drawing r:id="rId2"/>
  <tableParts count="1"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6">
    <pageSetUpPr fitToPage="1"/>
  </sheetPr>
  <dimension ref="A1:R56"/>
  <sheetViews>
    <sheetView showGridLines="0" zoomScaleNormal="100" workbookViewId="0">
      <selection activeCell="E27" sqref="E27"/>
    </sheetView>
  </sheetViews>
  <sheetFormatPr defaultColWidth="9.140625" defaultRowHeight="15" x14ac:dyDescent="0.25"/>
  <cols>
    <col min="1" max="4" width="10.7109375" style="23" customWidth="1"/>
    <col min="5" max="5" width="10.7109375" style="25" customWidth="1"/>
    <col min="6" max="8" width="10.7109375" style="23" customWidth="1"/>
    <col min="9" max="9" width="12.5703125" style="23" customWidth="1"/>
    <col min="10" max="14" width="10.7109375" style="23" customWidth="1"/>
    <col min="15" max="15" width="18" style="23" customWidth="1"/>
    <col min="16" max="17" width="10.7109375" style="23" customWidth="1"/>
    <col min="18" max="18" width="11" style="23" bestFit="1" customWidth="1"/>
    <col min="19" max="16384" width="9.140625" style="23"/>
  </cols>
  <sheetData>
    <row r="1" spans="1:18" ht="54" customHeight="1" x14ac:dyDescent="0.25">
      <c r="A1" s="566" t="s">
        <v>102</v>
      </c>
      <c r="B1" s="566"/>
      <c r="C1" s="566"/>
      <c r="D1" s="566"/>
      <c r="E1" s="566"/>
      <c r="F1" s="566"/>
      <c r="G1" s="566"/>
      <c r="H1" s="566"/>
      <c r="I1" s="566"/>
      <c r="J1" s="566"/>
      <c r="K1" s="566"/>
      <c r="L1" s="566"/>
      <c r="M1" s="566"/>
      <c r="N1" s="566"/>
      <c r="O1" s="566"/>
      <c r="P1" s="566"/>
      <c r="Q1" s="566"/>
      <c r="R1" s="566"/>
    </row>
    <row r="3" spans="1:18" ht="26.25" customHeight="1" x14ac:dyDescent="0.25">
      <c r="O3" s="567" t="s">
        <v>49</v>
      </c>
      <c r="P3" s="568"/>
      <c r="Q3" s="568"/>
      <c r="R3" s="568"/>
    </row>
    <row r="4" spans="1:18" x14ac:dyDescent="0.25">
      <c r="O4" s="595" t="s">
        <v>20</v>
      </c>
      <c r="P4" s="595"/>
      <c r="Q4" s="595"/>
      <c r="R4" s="252" t="s">
        <v>24</v>
      </c>
    </row>
    <row r="5" spans="1:18" x14ac:dyDescent="0.25">
      <c r="O5" s="17" t="s">
        <v>47</v>
      </c>
      <c r="P5" s="17"/>
      <c r="Q5" s="17"/>
      <c r="R5" s="251">
        <f>SUMIF('EB240'!$X$84:$X$202,O5,'EB240'!$V$84:$V$202)</f>
        <v>36</v>
      </c>
    </row>
    <row r="6" spans="1:18" x14ac:dyDescent="0.25">
      <c r="O6" s="17" t="s">
        <v>14</v>
      </c>
      <c r="P6" s="17"/>
      <c r="Q6" s="17"/>
      <c r="R6" s="251">
        <f>SUMIF('EB240'!$X$84:$X$202,O6,'EB240'!$V$84:$V$202)</f>
        <v>18</v>
      </c>
    </row>
    <row r="7" spans="1:18" x14ac:dyDescent="0.25">
      <c r="O7" s="17" t="s">
        <v>15</v>
      </c>
      <c r="P7" s="17"/>
      <c r="Q7" s="17"/>
      <c r="R7" s="251">
        <f>SUMIF('EB240'!$X$84:$X$202,O7,'EB240'!$V$84:$V$202)</f>
        <v>16</v>
      </c>
    </row>
    <row r="8" spans="1:18" x14ac:dyDescent="0.25">
      <c r="O8" s="17" t="s">
        <v>26</v>
      </c>
      <c r="P8" s="17"/>
      <c r="Q8" s="17"/>
      <c r="R8" s="251">
        <f>SUMIF('EB240'!$X$84:$X$202,O8,'EB240'!$V$84:$V$202)</f>
        <v>6</v>
      </c>
    </row>
    <row r="9" spans="1:18" x14ac:dyDescent="0.25">
      <c r="O9" s="17" t="s">
        <v>12</v>
      </c>
      <c r="P9" s="17"/>
      <c r="Q9" s="17"/>
      <c r="R9" s="251">
        <f>SUMIF('EB240'!$X$84:$X$202,O9,'EB240'!$V$84:$V$202)</f>
        <v>3</v>
      </c>
    </row>
    <row r="10" spans="1:18" x14ac:dyDescent="0.25">
      <c r="O10" s="17" t="s">
        <v>8</v>
      </c>
      <c r="P10" s="17"/>
      <c r="Q10" s="17"/>
      <c r="R10" s="251">
        <f>SUMIF('EB240'!$X$84:$X$202,O10,'EB240'!$V$84:$V$202)</f>
        <v>1</v>
      </c>
    </row>
    <row r="11" spans="1:18" x14ac:dyDescent="0.25">
      <c r="O11" s="17" t="s">
        <v>13</v>
      </c>
      <c r="P11" s="17"/>
      <c r="Q11" s="17"/>
      <c r="R11" s="251">
        <f>SUMIF('EB240'!$X$84:$X$202,O11,'EB240'!$V$84:$V$202)</f>
        <v>3</v>
      </c>
    </row>
    <row r="12" spans="1:18" x14ac:dyDescent="0.25">
      <c r="O12" s="17" t="s">
        <v>3</v>
      </c>
      <c r="P12" s="17"/>
      <c r="Q12" s="17"/>
      <c r="R12" s="251">
        <f>SUMIF('EB240'!$X$84:$X$202,O12,'EB240'!$V$84:$V$202)</f>
        <v>1</v>
      </c>
    </row>
    <row r="13" spans="1:18" x14ac:dyDescent="0.25">
      <c r="O13" s="17" t="s">
        <v>3</v>
      </c>
      <c r="P13" s="17"/>
      <c r="Q13" s="17"/>
      <c r="R13" s="251">
        <f>SUMIF('EB240'!$X$84:$X$202,O13,'EB240'!$V$84:$V$202)</f>
        <v>1</v>
      </c>
    </row>
    <row r="14" spans="1:18" x14ac:dyDescent="0.25">
      <c r="O14" s="17" t="s">
        <v>0</v>
      </c>
      <c r="P14" s="17"/>
      <c r="Q14" s="17"/>
      <c r="R14" s="251">
        <f>SUMIF('EB240'!$X$84:$X$202,O14,'EB240'!$V$84:$V$202)</f>
        <v>1</v>
      </c>
    </row>
    <row r="15" spans="1:18" x14ac:dyDescent="0.25">
      <c r="O15" s="17" t="s">
        <v>25</v>
      </c>
      <c r="P15" s="17"/>
      <c r="Q15" s="17"/>
      <c r="R15" s="251">
        <f>SUMIF('EB240'!$X$84:$X$202,O15,'EB240'!$V$84:$V$202)</f>
        <v>0</v>
      </c>
    </row>
    <row r="16" spans="1:18" x14ac:dyDescent="0.25">
      <c r="O16" s="17" t="s">
        <v>67</v>
      </c>
      <c r="P16" s="17"/>
      <c r="Q16" s="17"/>
      <c r="R16" s="251">
        <f>SUMIF('EB240'!$X$84:$X$202,O16,'EB240'!$V$84:$V$202)</f>
        <v>2</v>
      </c>
    </row>
    <row r="17" spans="1:18" x14ac:dyDescent="0.25">
      <c r="O17" s="17" t="s">
        <v>19</v>
      </c>
      <c r="P17" s="17"/>
      <c r="Q17" s="17"/>
      <c r="R17" s="251">
        <f>SUMIF('EB240'!$X$84:$X$202,O17,'EB240'!$V$84:$V$202)</f>
        <v>0</v>
      </c>
    </row>
    <row r="18" spans="1:18" x14ac:dyDescent="0.25">
      <c r="O18" s="17" t="s">
        <v>7</v>
      </c>
      <c r="P18" s="17"/>
      <c r="Q18" s="17"/>
      <c r="R18" s="251">
        <f>SUMIF('EB240'!$X$84:$X$202,O18,'EB240'!$V$84:$V$202)</f>
        <v>0</v>
      </c>
    </row>
    <row r="19" spans="1:18" x14ac:dyDescent="0.25">
      <c r="O19" s="17" t="s">
        <v>18</v>
      </c>
      <c r="P19" s="17"/>
      <c r="Q19" s="17"/>
      <c r="R19" s="251">
        <f>SUMIF('EB240'!$X$84:$X$202,O19,'EB240'!$V$84:$V$202)</f>
        <v>0</v>
      </c>
    </row>
    <row r="20" spans="1:18" x14ac:dyDescent="0.25">
      <c r="O20" s="17" t="s">
        <v>88</v>
      </c>
      <c r="P20" s="17"/>
      <c r="Q20" s="17"/>
      <c r="R20" s="251">
        <f>SUMIF('EB240'!$X$84:$X$202,O20,'EB240'!$V$84:$V$202)</f>
        <v>0</v>
      </c>
    </row>
    <row r="21" spans="1:18" ht="27.75" customHeight="1" x14ac:dyDescent="0.25">
      <c r="A21" s="575" t="s">
        <v>61</v>
      </c>
      <c r="B21" s="576"/>
      <c r="C21" s="576"/>
      <c r="D21" s="576"/>
      <c r="E21" s="577"/>
      <c r="O21" s="17" t="s">
        <v>64</v>
      </c>
      <c r="P21" s="17"/>
      <c r="Q21" s="17"/>
      <c r="R21" s="251">
        <f>SUMIF('EB240'!$X$84:$X$202,O21,'EB240'!$V$84:$V$202)</f>
        <v>0</v>
      </c>
    </row>
    <row r="22" spans="1:18" ht="19.5" customHeight="1" x14ac:dyDescent="0.25">
      <c r="A22" s="28" t="s">
        <v>22</v>
      </c>
      <c r="B22" s="28" t="s">
        <v>17</v>
      </c>
      <c r="C22" s="28" t="s">
        <v>16</v>
      </c>
      <c r="D22" s="28" t="s">
        <v>1</v>
      </c>
      <c r="E22" s="16" t="s">
        <v>23</v>
      </c>
      <c r="O22" s="17" t="s">
        <v>60</v>
      </c>
      <c r="P22" s="17"/>
      <c r="Q22" s="17"/>
      <c r="R22" s="251">
        <f>SUMIF('EB240'!$X$84:$X$202,O22,'EB240'!$V$84:$V$202)</f>
        <v>0</v>
      </c>
    </row>
    <row r="23" spans="1:18" x14ac:dyDescent="0.25">
      <c r="A23" s="323">
        <v>1527167</v>
      </c>
      <c r="B23" s="130">
        <f>VLOOKUP(Table143611[[#This Row],[Shop Order]],'EB240'!A:AC,4,FALSE)</f>
        <v>609</v>
      </c>
      <c r="C23" s="130">
        <f>VLOOKUP(Table143611[[#This Row],[Shop Order]],'EB240'!A:AC,5,FALSE)</f>
        <v>567</v>
      </c>
      <c r="D23" s="131">
        <f>VLOOKUP(Table143611[[#This Row],[Shop Order]],'EB240'!A:AC,6,FALSE)</f>
        <v>0.93103448275862066</v>
      </c>
      <c r="E23" s="132">
        <f>VLOOKUP(Table143611[[#This Row],[Shop Order]],'EB240'!A:AC,7,FALSE)</f>
        <v>45470</v>
      </c>
      <c r="O23" s="17" t="s">
        <v>38</v>
      </c>
      <c r="P23" s="17"/>
      <c r="Q23" s="17"/>
      <c r="R23" s="251">
        <f>SUMIF('EB240'!$X$84:$X$202,O23,'EB240'!$V$84:$V$202)</f>
        <v>0</v>
      </c>
    </row>
    <row r="24" spans="1:18" x14ac:dyDescent="0.25">
      <c r="A24" s="323">
        <v>1528175</v>
      </c>
      <c r="B24" s="130">
        <f>VLOOKUP(Table143611[[#This Row],[Shop Order]],'EB240'!A:AC,4,FALSE)</f>
        <v>595</v>
      </c>
      <c r="C24" s="130">
        <f>VLOOKUP(Table143611[[#This Row],[Shop Order]],'EB240'!A:AC,5,FALSE)</f>
        <v>571</v>
      </c>
      <c r="D24" s="131">
        <f>VLOOKUP(Table143611[[#This Row],[Shop Order]],'EB240'!A:AC,6,FALSE)</f>
        <v>0.95966386554621852</v>
      </c>
      <c r="E24" s="132">
        <f>VLOOKUP(Table143611[[#This Row],[Shop Order]],'EB240'!A:AC,7,FALSE)</f>
        <v>45485</v>
      </c>
      <c r="O24" s="17" t="s">
        <v>37</v>
      </c>
      <c r="P24" s="17"/>
      <c r="Q24" s="17"/>
      <c r="R24" s="251">
        <f>SUMIF('EB240'!$X$84:$X$202,O24,'EB240'!$V$84:$V$202)</f>
        <v>0</v>
      </c>
    </row>
    <row r="25" spans="1:18" x14ac:dyDescent="0.25">
      <c r="A25" s="323">
        <v>1527168</v>
      </c>
      <c r="B25" s="130">
        <f>VLOOKUP(Table143611[[#This Row],[Shop Order]],'EB240'!A:AC,4,FALSE)</f>
        <v>617</v>
      </c>
      <c r="C25" s="130">
        <f>VLOOKUP(Table143611[[#This Row],[Shop Order]],'EB240'!A:AC,5,FALSE)</f>
        <v>563</v>
      </c>
      <c r="D25" s="131">
        <f>VLOOKUP(Table143611[[#This Row],[Shop Order]],'EB240'!A:AC,6,FALSE)</f>
        <v>0.91247974068071314</v>
      </c>
      <c r="E25" s="132">
        <f>VLOOKUP(Table143611[[#This Row],[Shop Order]],'EB240'!A:AC,7,FALSE)</f>
        <v>45490</v>
      </c>
      <c r="F25" s="24"/>
      <c r="O25" s="22"/>
      <c r="P25" s="17"/>
      <c r="Q25" s="17"/>
      <c r="R25" s="251">
        <f>SUMIF('EB240'!$X$84:$X$202,O25,'EB240'!$V$84:$V$202)</f>
        <v>0</v>
      </c>
    </row>
    <row r="26" spans="1:18" ht="15" customHeight="1" x14ac:dyDescent="0.25">
      <c r="A26" s="323">
        <v>1530362</v>
      </c>
      <c r="B26" s="130">
        <f>VLOOKUP(Table143611[[#This Row],[Shop Order]],'EB240'!A:AC,4,FALSE)</f>
        <v>607</v>
      </c>
      <c r="C26" s="130">
        <f>VLOOKUP(Table143611[[#This Row],[Shop Order]],'EB240'!A:AC,5,FALSE)</f>
        <v>568</v>
      </c>
      <c r="D26" s="131">
        <f>VLOOKUP(Table143611[[#This Row],[Shop Order]],'EB240'!A:AC,6,FALSE)</f>
        <v>0.93574958813838549</v>
      </c>
      <c r="E26" s="132">
        <f>VLOOKUP(Table143611[[#This Row],[Shop Order]],'EB240'!A:AC,7,FALSE)</f>
        <v>45497</v>
      </c>
      <c r="O26" s="22"/>
      <c r="P26" s="17"/>
      <c r="Q26" s="17"/>
      <c r="R26" s="18"/>
    </row>
    <row r="27" spans="1:18" ht="15" customHeight="1" x14ac:dyDescent="0.25">
      <c r="A27" s="323">
        <v>1528993</v>
      </c>
      <c r="B27" s="130">
        <f>VLOOKUP(Table143611[[#This Row],[Shop Order]],'EB240'!A:AC,4,FALSE)</f>
        <v>616</v>
      </c>
      <c r="C27" s="130">
        <f>VLOOKUP(Table143611[[#This Row],[Shop Order]],'EB240'!A:AC,5,FALSE)</f>
        <v>571</v>
      </c>
      <c r="D27" s="131">
        <f>VLOOKUP(Table143611[[#This Row],[Shop Order]],'EB240'!A:AC,6,FALSE)</f>
        <v>0.92694805194805197</v>
      </c>
      <c r="E27" s="132">
        <f>VLOOKUP(Table143611[[#This Row],[Shop Order]],'EB240'!A:AC,7,FALSE)</f>
        <v>45499</v>
      </c>
      <c r="O27" s="22"/>
      <c r="P27" s="17"/>
      <c r="Q27" s="17"/>
      <c r="R27" s="18"/>
    </row>
    <row r="28" spans="1:18" ht="15" customHeight="1" x14ac:dyDescent="0.25">
      <c r="A28" s="323"/>
      <c r="B28" s="130" t="e">
        <f>VLOOKUP(Table143611[[#This Row],[Shop Order]],'EB240'!A:AC,4,FALSE)</f>
        <v>#N/A</v>
      </c>
      <c r="C28" s="130" t="e">
        <f>VLOOKUP(Table143611[[#This Row],[Shop Order]],'EB240'!A:AC,5,FALSE)</f>
        <v>#N/A</v>
      </c>
      <c r="D28" s="131" t="e">
        <f>VLOOKUP(Table143611[[#This Row],[Shop Order]],'EB240'!A:AC,6,FALSE)</f>
        <v>#N/A</v>
      </c>
      <c r="E28" s="322" t="e">
        <f>VLOOKUP(Table143611[[#This Row],[Shop Order]],'EB240'!A:AC,7,FALSE)</f>
        <v>#N/A</v>
      </c>
      <c r="O28" s="22"/>
      <c r="P28" s="17"/>
      <c r="Q28" s="17"/>
      <c r="R28" s="18"/>
    </row>
    <row r="29" spans="1:18" ht="15" customHeight="1" x14ac:dyDescent="0.25">
      <c r="A29" s="400"/>
      <c r="B29" s="401" t="e">
        <f>VLOOKUP(Table143611[[#This Row],[Shop Order]],'EB240'!A:AC,4,FALSE)</f>
        <v>#N/A</v>
      </c>
      <c r="C29" s="401" t="e">
        <f>VLOOKUP(Table143611[[#This Row],[Shop Order]],'EB240'!A:AC,5,FALSE)</f>
        <v>#N/A</v>
      </c>
      <c r="D29" s="402" t="e">
        <f>VLOOKUP(Table143611[[#This Row],[Shop Order]],'EB240'!A:AC,6,FALSE)</f>
        <v>#N/A</v>
      </c>
      <c r="E29" s="403" t="e">
        <f>VLOOKUP(Table143611[[#This Row],[Shop Order]],'EB240'!A:AC,7,FALSE)</f>
        <v>#N/A</v>
      </c>
      <c r="O29" s="22"/>
      <c r="P29" s="17"/>
      <c r="Q29" s="17"/>
      <c r="R29" s="18"/>
    </row>
    <row r="30" spans="1:18" ht="15" customHeight="1" thickBot="1" x14ac:dyDescent="0.3">
      <c r="A30" s="323"/>
      <c r="B30" s="130" t="e">
        <f>VLOOKUP(Table143611[[#This Row],[Shop Order]],'EB240'!A:AC,4,FALSE)</f>
        <v>#N/A</v>
      </c>
      <c r="C30" s="130" t="e">
        <f>VLOOKUP(Table143611[[#This Row],[Shop Order]],'EB240'!A:AC,5,FALSE)</f>
        <v>#N/A</v>
      </c>
      <c r="D30" s="131" t="e">
        <f>VLOOKUP(Table143611[[#This Row],[Shop Order]],'EB240'!A:AC,6,FALSE)</f>
        <v>#N/A</v>
      </c>
      <c r="E30" s="132" t="e">
        <f>VLOOKUP(Table143611[[#This Row],[Shop Order]],'EB240'!A:AC,7,FALSE)</f>
        <v>#N/A</v>
      </c>
      <c r="O30" s="22"/>
      <c r="P30" s="17"/>
      <c r="Q30" s="17"/>
      <c r="R30" s="18"/>
    </row>
    <row r="31" spans="1:18" ht="15.75" thickBot="1" x14ac:dyDescent="0.3">
      <c r="A31" s="572" t="s">
        <v>48</v>
      </c>
      <c r="B31" s="573"/>
      <c r="C31" s="574"/>
      <c r="D31" s="75" t="e">
        <f>AVERAGE(D23:D30)</f>
        <v>#N/A</v>
      </c>
      <c r="E31" s="27"/>
      <c r="O31" s="22"/>
      <c r="P31" s="17"/>
      <c r="Q31" s="17"/>
      <c r="R31" s="18"/>
    </row>
    <row r="56" spans="15:15" x14ac:dyDescent="0.25">
      <c r="O56" s="17"/>
    </row>
  </sheetData>
  <autoFilter ref="O4:R4" xr:uid="{00000000-0009-0000-0000-000013000000}">
    <filterColumn colId="0" showButton="0"/>
    <filterColumn colId="1" showButton="0"/>
    <sortState xmlns:xlrd2="http://schemas.microsoft.com/office/spreadsheetml/2017/richdata2" ref="O5:R25">
      <sortCondition descending="1" ref="R4"/>
    </sortState>
  </autoFilter>
  <sortState xmlns:xlrd2="http://schemas.microsoft.com/office/spreadsheetml/2017/richdata2" ref="O5:R24">
    <sortCondition descending="1" ref="R5:R24"/>
  </sortState>
  <dataConsolidate/>
  <mergeCells count="5">
    <mergeCell ref="A1:R1"/>
    <mergeCell ref="O3:R3"/>
    <mergeCell ref="O4:Q4"/>
    <mergeCell ref="A21:E21"/>
    <mergeCell ref="A31:C31"/>
  </mergeCells>
  <pageMargins left="0" right="0" top="0.75" bottom="0.75" header="0.3" footer="0.3"/>
  <pageSetup scale="70" orientation="landscape" r:id="rId1"/>
  <drawing r:id="rId2"/>
  <tableParts count="1">
    <tablePart r:id="rId3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"/>
  <dimension ref="B1:Q38"/>
  <sheetViews>
    <sheetView showGridLines="0" zoomScale="90" zoomScaleNormal="90" workbookViewId="0">
      <selection activeCell="N5" sqref="N4:N5"/>
    </sheetView>
  </sheetViews>
  <sheetFormatPr defaultRowHeight="15" x14ac:dyDescent="0.25"/>
  <cols>
    <col min="2" max="2" width="15.7109375" customWidth="1"/>
    <col min="3" max="3" width="9" style="23" hidden="1" customWidth="1"/>
    <col min="4" max="4" width="27.7109375" bestFit="1" customWidth="1"/>
    <col min="5" max="5" width="12.7109375" customWidth="1"/>
    <col min="6" max="6" width="12.5703125" style="23" bestFit="1" customWidth="1"/>
    <col min="7" max="7" width="15.7109375" customWidth="1"/>
    <col min="8" max="8" width="15.7109375" style="23" customWidth="1"/>
    <col min="9" max="9" width="15.7109375" customWidth="1"/>
    <col min="10" max="10" width="15.7109375" style="23" customWidth="1"/>
    <col min="11" max="11" width="15.7109375" customWidth="1"/>
    <col min="12" max="12" width="15.7109375" style="23" customWidth="1"/>
    <col min="13" max="14" width="10.7109375" style="23" customWidth="1"/>
    <col min="15" max="15" width="10.7109375" customWidth="1"/>
    <col min="16" max="16" width="11" bestFit="1" customWidth="1"/>
    <col min="17" max="17" width="55.7109375" customWidth="1"/>
  </cols>
  <sheetData>
    <row r="1" spans="2:17" s="23" customFormat="1" x14ac:dyDescent="0.25"/>
    <row r="2" spans="2:17" s="23" customFormat="1" x14ac:dyDescent="0.25"/>
    <row r="3" spans="2:17" s="23" customFormat="1" x14ac:dyDescent="0.25">
      <c r="D3" s="216" t="s">
        <v>46</v>
      </c>
      <c r="E3" s="217"/>
      <c r="G3" s="603" t="s">
        <v>144</v>
      </c>
      <c r="H3" s="603"/>
      <c r="I3" s="603"/>
      <c r="J3" s="603"/>
      <c r="K3" s="603"/>
      <c r="L3" s="603"/>
    </row>
    <row r="4" spans="2:17" s="23" customFormat="1" x14ac:dyDescent="0.25">
      <c r="D4" s="216" t="s">
        <v>22</v>
      </c>
      <c r="E4" s="217"/>
      <c r="G4" s="604"/>
      <c r="H4" s="605"/>
      <c r="I4" s="605"/>
      <c r="J4" s="605"/>
      <c r="K4" s="605"/>
      <c r="L4" s="606"/>
    </row>
    <row r="5" spans="2:17" x14ac:dyDescent="0.25">
      <c r="D5" s="216" t="s">
        <v>119</v>
      </c>
      <c r="E5" s="217"/>
      <c r="G5" s="607"/>
      <c r="H5" s="608"/>
      <c r="I5" s="608"/>
      <c r="J5" s="608"/>
      <c r="K5" s="608"/>
      <c r="L5" s="609"/>
    </row>
    <row r="6" spans="2:17" x14ac:dyDescent="0.25">
      <c r="D6" s="216" t="s">
        <v>120</v>
      </c>
      <c r="E6" s="217"/>
      <c r="G6" s="607"/>
      <c r="H6" s="608"/>
      <c r="I6" s="608"/>
      <c r="J6" s="608"/>
      <c r="K6" s="608"/>
      <c r="L6" s="609"/>
    </row>
    <row r="7" spans="2:17" x14ac:dyDescent="0.25">
      <c r="D7" s="216" t="s">
        <v>121</v>
      </c>
      <c r="E7" s="217"/>
      <c r="G7" s="610"/>
      <c r="H7" s="611"/>
      <c r="I7" s="611"/>
      <c r="J7" s="611"/>
      <c r="K7" s="611"/>
      <c r="L7" s="612"/>
    </row>
    <row r="8" spans="2:17" ht="5.0999999999999996" customHeight="1" x14ac:dyDescent="0.25"/>
    <row r="9" spans="2:17" ht="45" x14ac:dyDescent="0.25">
      <c r="C9" s="218" t="s">
        <v>68</v>
      </c>
      <c r="D9" s="218" t="s">
        <v>118</v>
      </c>
      <c r="E9" s="219" t="s">
        <v>142</v>
      </c>
      <c r="F9" s="219" t="s">
        <v>143</v>
      </c>
      <c r="G9" s="219" t="s">
        <v>130</v>
      </c>
      <c r="H9" s="219" t="s">
        <v>129</v>
      </c>
      <c r="I9" s="219" t="s">
        <v>131</v>
      </c>
      <c r="J9" s="219" t="s">
        <v>132</v>
      </c>
      <c r="K9" s="219" t="s">
        <v>133</v>
      </c>
      <c r="L9" s="219" t="s">
        <v>134</v>
      </c>
      <c r="M9" s="218" t="s">
        <v>122</v>
      </c>
      <c r="N9" s="218" t="s">
        <v>112</v>
      </c>
      <c r="O9" s="219" t="s">
        <v>140</v>
      </c>
      <c r="P9" s="218" t="s">
        <v>2</v>
      </c>
      <c r="Q9" s="218" t="s">
        <v>6</v>
      </c>
    </row>
    <row r="10" spans="2:17" x14ac:dyDescent="0.25">
      <c r="B10" s="596" t="s">
        <v>128</v>
      </c>
      <c r="C10" s="231"/>
      <c r="D10" s="227" t="s">
        <v>15</v>
      </c>
      <c r="E10" s="227"/>
      <c r="F10" s="227"/>
      <c r="G10" s="227"/>
      <c r="H10" s="227"/>
      <c r="I10" s="227"/>
      <c r="J10" s="227"/>
      <c r="K10" s="227"/>
      <c r="L10" s="227"/>
      <c r="M10" s="227"/>
      <c r="N10" s="227"/>
      <c r="O10" s="227">
        <f>SUM(E10,G10,I10,K10,M10,N10)</f>
        <v>0</v>
      </c>
      <c r="P10" s="224" t="e">
        <f t="shared" ref="P10:P37" si="0">O10/$E$6</f>
        <v>#DIV/0!</v>
      </c>
      <c r="Q10" s="220"/>
    </row>
    <row r="11" spans="2:17" x14ac:dyDescent="0.25">
      <c r="B11" s="597"/>
      <c r="C11" s="231"/>
      <c r="D11" s="227" t="s">
        <v>124</v>
      </c>
      <c r="E11" s="227"/>
      <c r="F11" s="227"/>
      <c r="G11" s="227"/>
      <c r="H11" s="227"/>
      <c r="I11" s="227"/>
      <c r="J11" s="227"/>
      <c r="K11" s="227"/>
      <c r="L11" s="227"/>
      <c r="M11" s="227"/>
      <c r="N11" s="227"/>
      <c r="O11" s="227">
        <f>SUM(E11,G11,I11,K11,M11,N11)</f>
        <v>0</v>
      </c>
      <c r="P11" s="224" t="e">
        <f t="shared" si="0"/>
        <v>#DIV/0!</v>
      </c>
      <c r="Q11" s="220"/>
    </row>
    <row r="12" spans="2:17" x14ac:dyDescent="0.25">
      <c r="B12" s="597"/>
      <c r="C12" s="231"/>
      <c r="D12" s="227" t="s">
        <v>47</v>
      </c>
      <c r="E12" s="227"/>
      <c r="F12" s="227"/>
      <c r="G12" s="227"/>
      <c r="H12" s="227"/>
      <c r="I12" s="227"/>
      <c r="J12" s="227"/>
      <c r="K12" s="227"/>
      <c r="L12" s="227"/>
      <c r="M12" s="227"/>
      <c r="N12" s="227"/>
      <c r="O12" s="227">
        <f t="shared" ref="O12:O37" si="1">SUM(E12,G12,I12,K12,M12,N12)</f>
        <v>0</v>
      </c>
      <c r="P12" s="224" t="e">
        <f t="shared" si="0"/>
        <v>#DIV/0!</v>
      </c>
      <c r="Q12" s="220"/>
    </row>
    <row r="13" spans="2:17" x14ac:dyDescent="0.25">
      <c r="B13" s="597"/>
      <c r="C13" s="231"/>
      <c r="D13" s="227" t="s">
        <v>125</v>
      </c>
      <c r="E13" s="227"/>
      <c r="F13" s="227"/>
      <c r="G13" s="227"/>
      <c r="H13" s="227"/>
      <c r="I13" s="227"/>
      <c r="J13" s="227"/>
      <c r="K13" s="227"/>
      <c r="L13" s="227"/>
      <c r="M13" s="227"/>
      <c r="N13" s="227"/>
      <c r="O13" s="227">
        <f t="shared" si="1"/>
        <v>0</v>
      </c>
      <c r="P13" s="224" t="e">
        <f t="shared" si="0"/>
        <v>#DIV/0!</v>
      </c>
      <c r="Q13" s="220"/>
    </row>
    <row r="14" spans="2:17" x14ac:dyDescent="0.25">
      <c r="B14" s="597"/>
      <c r="C14" s="231"/>
      <c r="D14" s="227" t="s">
        <v>125</v>
      </c>
      <c r="E14" s="227"/>
      <c r="F14" s="227"/>
      <c r="G14" s="227"/>
      <c r="H14" s="227"/>
      <c r="I14" s="227"/>
      <c r="J14" s="227"/>
      <c r="K14" s="227"/>
      <c r="L14" s="227"/>
      <c r="M14" s="227"/>
      <c r="N14" s="227"/>
      <c r="O14" s="227">
        <f t="shared" si="1"/>
        <v>0</v>
      </c>
      <c r="P14" s="224" t="e">
        <f t="shared" si="0"/>
        <v>#DIV/0!</v>
      </c>
      <c r="Q14" s="220"/>
    </row>
    <row r="15" spans="2:17" x14ac:dyDescent="0.25">
      <c r="B15" s="597"/>
      <c r="C15" s="231"/>
      <c r="D15" s="227" t="s">
        <v>126</v>
      </c>
      <c r="E15" s="227"/>
      <c r="F15" s="227"/>
      <c r="G15" s="227"/>
      <c r="H15" s="227"/>
      <c r="I15" s="227"/>
      <c r="J15" s="227"/>
      <c r="K15" s="227"/>
      <c r="L15" s="227"/>
      <c r="M15" s="227"/>
      <c r="N15" s="227"/>
      <c r="O15" s="227">
        <f t="shared" si="1"/>
        <v>0</v>
      </c>
      <c r="P15" s="224" t="e">
        <f t="shared" si="0"/>
        <v>#DIV/0!</v>
      </c>
      <c r="Q15" s="220"/>
    </row>
    <row r="16" spans="2:17" x14ac:dyDescent="0.25">
      <c r="B16" s="597"/>
      <c r="C16" s="231"/>
      <c r="D16" s="227" t="s">
        <v>29</v>
      </c>
      <c r="E16" s="227"/>
      <c r="F16" s="227"/>
      <c r="G16" s="227"/>
      <c r="H16" s="227"/>
      <c r="I16" s="227"/>
      <c r="J16" s="227"/>
      <c r="K16" s="227"/>
      <c r="L16" s="227"/>
      <c r="M16" s="227"/>
      <c r="N16" s="227"/>
      <c r="O16" s="227">
        <f t="shared" si="1"/>
        <v>0</v>
      </c>
      <c r="P16" s="224" t="e">
        <f t="shared" si="0"/>
        <v>#DIV/0!</v>
      </c>
      <c r="Q16" s="220"/>
    </row>
    <row r="17" spans="2:17" x14ac:dyDescent="0.25">
      <c r="B17" s="597"/>
      <c r="C17" s="231"/>
      <c r="D17" s="227" t="s">
        <v>30</v>
      </c>
      <c r="E17" s="227"/>
      <c r="F17" s="227"/>
      <c r="G17" s="227"/>
      <c r="H17" s="227"/>
      <c r="I17" s="227"/>
      <c r="J17" s="227"/>
      <c r="K17" s="227"/>
      <c r="L17" s="227"/>
      <c r="M17" s="227"/>
      <c r="N17" s="227"/>
      <c r="O17" s="227">
        <f t="shared" si="1"/>
        <v>0</v>
      </c>
      <c r="P17" s="224" t="e">
        <f t="shared" si="0"/>
        <v>#DIV/0!</v>
      </c>
      <c r="Q17" s="220"/>
    </row>
    <row r="18" spans="2:17" x14ac:dyDescent="0.25">
      <c r="B18" s="597"/>
      <c r="C18" s="231"/>
      <c r="D18" s="227" t="s">
        <v>111</v>
      </c>
      <c r="E18" s="227"/>
      <c r="F18" s="227"/>
      <c r="G18" s="227"/>
      <c r="H18" s="227"/>
      <c r="I18" s="227"/>
      <c r="J18" s="227"/>
      <c r="K18" s="227"/>
      <c r="L18" s="227"/>
      <c r="M18" s="227"/>
      <c r="N18" s="227"/>
      <c r="O18" s="227">
        <f t="shared" si="1"/>
        <v>0</v>
      </c>
      <c r="P18" s="224" t="e">
        <f t="shared" si="0"/>
        <v>#DIV/0!</v>
      </c>
      <c r="Q18" s="220"/>
    </row>
    <row r="19" spans="2:17" x14ac:dyDescent="0.25">
      <c r="B19" s="597"/>
      <c r="C19" s="231"/>
      <c r="D19" s="227" t="s">
        <v>127</v>
      </c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7">
        <f t="shared" si="1"/>
        <v>0</v>
      </c>
      <c r="P19" s="224" t="e">
        <f t="shared" si="0"/>
        <v>#DIV/0!</v>
      </c>
      <c r="Q19" s="220"/>
    </row>
    <row r="20" spans="2:17" x14ac:dyDescent="0.25">
      <c r="B20" s="597"/>
      <c r="C20" s="231"/>
      <c r="D20" s="227" t="s">
        <v>0</v>
      </c>
      <c r="E20" s="227"/>
      <c r="F20" s="227"/>
      <c r="G20" s="227"/>
      <c r="H20" s="227"/>
      <c r="I20" s="227"/>
      <c r="J20" s="227"/>
      <c r="K20" s="227"/>
      <c r="L20" s="227"/>
      <c r="M20" s="227"/>
      <c r="N20" s="227"/>
      <c r="O20" s="227">
        <f t="shared" si="1"/>
        <v>0</v>
      </c>
      <c r="P20" s="224" t="e">
        <f t="shared" si="0"/>
        <v>#DIV/0!</v>
      </c>
      <c r="Q20" s="220"/>
    </row>
    <row r="21" spans="2:17" x14ac:dyDescent="0.25">
      <c r="B21" s="597"/>
      <c r="C21" s="231"/>
      <c r="D21" s="227" t="s">
        <v>11</v>
      </c>
      <c r="E21" s="227"/>
      <c r="F21" s="227"/>
      <c r="G21" s="227"/>
      <c r="H21" s="227"/>
      <c r="I21" s="227"/>
      <c r="J21" s="227"/>
      <c r="K21" s="227"/>
      <c r="L21" s="227"/>
      <c r="M21" s="227"/>
      <c r="N21" s="227"/>
      <c r="O21" s="227">
        <f t="shared" si="1"/>
        <v>0</v>
      </c>
      <c r="P21" s="224" t="e">
        <f t="shared" si="0"/>
        <v>#DIV/0!</v>
      </c>
      <c r="Q21" s="220"/>
    </row>
    <row r="22" spans="2:17" x14ac:dyDescent="0.25">
      <c r="B22" s="597"/>
      <c r="C22" s="231"/>
      <c r="D22" s="227" t="s">
        <v>123</v>
      </c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>
        <f t="shared" si="1"/>
        <v>0</v>
      </c>
      <c r="P22" s="224" t="e">
        <f t="shared" si="0"/>
        <v>#DIV/0!</v>
      </c>
      <c r="Q22" s="220"/>
    </row>
    <row r="23" spans="2:17" ht="15.75" thickBot="1" x14ac:dyDescent="0.3">
      <c r="B23" s="598"/>
      <c r="C23" s="232"/>
      <c r="D23" s="228" t="s">
        <v>26</v>
      </c>
      <c r="E23" s="228"/>
      <c r="F23" s="228"/>
      <c r="G23" s="228"/>
      <c r="H23" s="228"/>
      <c r="I23" s="228"/>
      <c r="J23" s="228"/>
      <c r="K23" s="228"/>
      <c r="L23" s="228"/>
      <c r="M23" s="228"/>
      <c r="N23" s="228"/>
      <c r="O23" s="228">
        <f t="shared" si="1"/>
        <v>0</v>
      </c>
      <c r="P23" s="225" t="e">
        <f t="shared" si="0"/>
        <v>#DIV/0!</v>
      </c>
      <c r="Q23" s="221"/>
    </row>
    <row r="24" spans="2:17" x14ac:dyDescent="0.25">
      <c r="B24" s="599" t="s">
        <v>137</v>
      </c>
      <c r="C24" s="231"/>
      <c r="D24" s="229" t="s">
        <v>135</v>
      </c>
      <c r="E24" s="227"/>
      <c r="F24" s="227"/>
      <c r="G24" s="227"/>
      <c r="H24" s="227"/>
      <c r="I24" s="227"/>
      <c r="J24" s="227"/>
      <c r="K24" s="227"/>
      <c r="L24" s="227"/>
      <c r="M24" s="227"/>
      <c r="N24" s="227"/>
      <c r="O24" s="229">
        <f t="shared" si="1"/>
        <v>0</v>
      </c>
      <c r="P24" s="226" t="e">
        <f t="shared" si="0"/>
        <v>#DIV/0!</v>
      </c>
      <c r="Q24" s="220"/>
    </row>
    <row r="25" spans="2:17" x14ac:dyDescent="0.25">
      <c r="B25" s="597"/>
      <c r="C25" s="231"/>
      <c r="D25" s="227" t="s">
        <v>3</v>
      </c>
      <c r="E25" s="227"/>
      <c r="F25" s="227"/>
      <c r="G25" s="227"/>
      <c r="H25" s="227"/>
      <c r="I25" s="227"/>
      <c r="J25" s="227"/>
      <c r="K25" s="227"/>
      <c r="L25" s="227"/>
      <c r="M25" s="227"/>
      <c r="N25" s="227"/>
      <c r="O25" s="227">
        <f t="shared" si="1"/>
        <v>0</v>
      </c>
      <c r="P25" s="224" t="e">
        <f t="shared" si="0"/>
        <v>#DIV/0!</v>
      </c>
      <c r="Q25" s="220"/>
    </row>
    <row r="26" spans="2:17" x14ac:dyDescent="0.25">
      <c r="B26" s="597"/>
      <c r="C26" s="231"/>
      <c r="D26" s="227" t="s">
        <v>7</v>
      </c>
      <c r="E26" s="227"/>
      <c r="F26" s="227"/>
      <c r="G26" s="227"/>
      <c r="H26" s="227"/>
      <c r="I26" s="227"/>
      <c r="J26" s="227"/>
      <c r="K26" s="227"/>
      <c r="L26" s="227"/>
      <c r="M26" s="227"/>
      <c r="N26" s="227"/>
      <c r="O26" s="227">
        <f t="shared" si="1"/>
        <v>0</v>
      </c>
      <c r="P26" s="224" t="e">
        <f t="shared" si="0"/>
        <v>#DIV/0!</v>
      </c>
      <c r="Q26" s="220"/>
    </row>
    <row r="27" spans="2:17" x14ac:dyDescent="0.25">
      <c r="B27" s="597"/>
      <c r="C27" s="231"/>
      <c r="D27" s="227" t="s">
        <v>8</v>
      </c>
      <c r="E27" s="227"/>
      <c r="F27" s="227"/>
      <c r="G27" s="227"/>
      <c r="H27" s="227"/>
      <c r="I27" s="227"/>
      <c r="J27" s="227"/>
      <c r="K27" s="227"/>
      <c r="L27" s="227"/>
      <c r="M27" s="227"/>
      <c r="N27" s="227"/>
      <c r="O27" s="227">
        <f t="shared" si="1"/>
        <v>0</v>
      </c>
      <c r="P27" s="224" t="e">
        <f t="shared" si="0"/>
        <v>#DIV/0!</v>
      </c>
      <c r="Q27" s="220"/>
    </row>
    <row r="28" spans="2:17" x14ac:dyDescent="0.25">
      <c r="B28" s="597"/>
      <c r="C28" s="231"/>
      <c r="D28" s="227" t="s">
        <v>76</v>
      </c>
      <c r="E28" s="227"/>
      <c r="F28" s="227"/>
      <c r="G28" s="227"/>
      <c r="H28" s="227"/>
      <c r="I28" s="227"/>
      <c r="J28" s="227"/>
      <c r="K28" s="227"/>
      <c r="L28" s="227"/>
      <c r="M28" s="227"/>
      <c r="N28" s="227"/>
      <c r="O28" s="227">
        <f t="shared" si="1"/>
        <v>0</v>
      </c>
      <c r="P28" s="224" t="e">
        <f t="shared" si="0"/>
        <v>#DIV/0!</v>
      </c>
      <c r="Q28" s="220"/>
    </row>
    <row r="29" spans="2:17" x14ac:dyDescent="0.25">
      <c r="B29" s="597"/>
      <c r="C29" s="231"/>
      <c r="D29" s="227" t="s">
        <v>19</v>
      </c>
      <c r="E29" s="227"/>
      <c r="F29" s="227"/>
      <c r="G29" s="227"/>
      <c r="H29" s="227"/>
      <c r="I29" s="227"/>
      <c r="J29" s="227"/>
      <c r="K29" s="227"/>
      <c r="L29" s="227"/>
      <c r="M29" s="227"/>
      <c r="N29" s="227"/>
      <c r="O29" s="227">
        <f t="shared" si="1"/>
        <v>0</v>
      </c>
      <c r="P29" s="224" t="e">
        <f t="shared" si="0"/>
        <v>#DIV/0!</v>
      </c>
      <c r="Q29" s="220"/>
    </row>
    <row r="30" spans="2:17" x14ac:dyDescent="0.25">
      <c r="B30" s="597"/>
      <c r="C30" s="231"/>
      <c r="D30" s="227" t="s">
        <v>77</v>
      </c>
      <c r="E30" s="227"/>
      <c r="F30" s="227"/>
      <c r="G30" s="227"/>
      <c r="H30" s="227"/>
      <c r="I30" s="227"/>
      <c r="J30" s="227"/>
      <c r="K30" s="227"/>
      <c r="L30" s="227"/>
      <c r="M30" s="227"/>
      <c r="N30" s="227"/>
      <c r="O30" s="227">
        <f t="shared" si="1"/>
        <v>0</v>
      </c>
      <c r="P30" s="224" t="e">
        <f t="shared" si="0"/>
        <v>#DIV/0!</v>
      </c>
      <c r="Q30" s="220"/>
    </row>
    <row r="31" spans="2:17" x14ac:dyDescent="0.25">
      <c r="B31" s="597"/>
      <c r="C31" s="231"/>
      <c r="D31" s="227" t="s">
        <v>107</v>
      </c>
      <c r="E31" s="227"/>
      <c r="F31" s="227"/>
      <c r="G31" s="227"/>
      <c r="H31" s="227"/>
      <c r="I31" s="227"/>
      <c r="J31" s="227"/>
      <c r="K31" s="227"/>
      <c r="L31" s="227"/>
      <c r="M31" s="227"/>
      <c r="N31" s="227"/>
      <c r="O31" s="227">
        <f t="shared" si="1"/>
        <v>0</v>
      </c>
      <c r="P31" s="224" t="e">
        <f t="shared" si="0"/>
        <v>#DIV/0!</v>
      </c>
      <c r="Q31" s="220"/>
    </row>
    <row r="32" spans="2:17" x14ac:dyDescent="0.25">
      <c r="B32" s="597"/>
      <c r="C32" s="231"/>
      <c r="D32" s="227" t="s">
        <v>136</v>
      </c>
      <c r="E32" s="227"/>
      <c r="F32" s="227"/>
      <c r="G32" s="227"/>
      <c r="H32" s="227"/>
      <c r="I32" s="227"/>
      <c r="J32" s="227"/>
      <c r="K32" s="227"/>
      <c r="L32" s="227"/>
      <c r="M32" s="227"/>
      <c r="N32" s="227"/>
      <c r="O32" s="227">
        <f t="shared" si="1"/>
        <v>0</v>
      </c>
      <c r="P32" s="224" t="e">
        <f t="shared" si="0"/>
        <v>#DIV/0!</v>
      </c>
      <c r="Q32" s="220"/>
    </row>
    <row r="33" spans="2:17" ht="15.75" thickBot="1" x14ac:dyDescent="0.3">
      <c r="B33" s="598"/>
      <c r="C33" s="232"/>
      <c r="D33" s="228" t="s">
        <v>79</v>
      </c>
      <c r="E33" s="228"/>
      <c r="F33" s="228"/>
      <c r="G33" s="228"/>
      <c r="H33" s="228"/>
      <c r="I33" s="228"/>
      <c r="J33" s="228"/>
      <c r="K33" s="228"/>
      <c r="L33" s="228"/>
      <c r="M33" s="228"/>
      <c r="N33" s="228"/>
      <c r="O33" s="228">
        <f t="shared" si="1"/>
        <v>0</v>
      </c>
      <c r="P33" s="225" t="e">
        <f t="shared" si="0"/>
        <v>#DIV/0!</v>
      </c>
      <c r="Q33" s="221"/>
    </row>
    <row r="34" spans="2:17" x14ac:dyDescent="0.25">
      <c r="B34" s="600" t="s">
        <v>139</v>
      </c>
      <c r="C34" s="233"/>
      <c r="D34" s="230" t="s">
        <v>88</v>
      </c>
      <c r="E34" s="230"/>
      <c r="F34" s="230"/>
      <c r="G34" s="230"/>
      <c r="H34" s="230"/>
      <c r="I34" s="230"/>
      <c r="J34" s="230"/>
      <c r="K34" s="230"/>
      <c r="L34" s="230"/>
      <c r="M34" s="230"/>
      <c r="N34" s="230"/>
      <c r="O34" s="229">
        <f t="shared" si="1"/>
        <v>0</v>
      </c>
      <c r="P34" s="226" t="e">
        <f t="shared" si="0"/>
        <v>#DIV/0!</v>
      </c>
      <c r="Q34" s="222"/>
    </row>
    <row r="35" spans="2:17" x14ac:dyDescent="0.25">
      <c r="B35" s="601"/>
      <c r="C35" s="231"/>
      <c r="D35" s="227" t="s">
        <v>138</v>
      </c>
      <c r="E35" s="227"/>
      <c r="F35" s="227"/>
      <c r="G35" s="227"/>
      <c r="H35" s="227"/>
      <c r="I35" s="227"/>
      <c r="J35" s="227"/>
      <c r="K35" s="227"/>
      <c r="L35" s="227"/>
      <c r="M35" s="227"/>
      <c r="N35" s="227"/>
      <c r="O35" s="227">
        <f t="shared" si="1"/>
        <v>0</v>
      </c>
      <c r="P35" s="224" t="e">
        <f t="shared" si="0"/>
        <v>#DIV/0!</v>
      </c>
      <c r="Q35" s="220"/>
    </row>
    <row r="36" spans="2:17" x14ac:dyDescent="0.25">
      <c r="B36" s="601"/>
      <c r="C36" s="231"/>
      <c r="D36" s="227" t="s">
        <v>136</v>
      </c>
      <c r="E36" s="227"/>
      <c r="F36" s="227"/>
      <c r="G36" s="227"/>
      <c r="H36" s="227"/>
      <c r="I36" s="227"/>
      <c r="J36" s="227"/>
      <c r="K36" s="227"/>
      <c r="L36" s="227"/>
      <c r="M36" s="227"/>
      <c r="N36" s="227"/>
      <c r="O36" s="227">
        <f t="shared" si="1"/>
        <v>0</v>
      </c>
      <c r="P36" s="224" t="e">
        <f t="shared" si="0"/>
        <v>#DIV/0!</v>
      </c>
      <c r="Q36" s="220"/>
    </row>
    <row r="37" spans="2:17" ht="15.75" thickBot="1" x14ac:dyDescent="0.3">
      <c r="B37" s="602"/>
      <c r="C37" s="231"/>
      <c r="D37" s="228" t="s">
        <v>84</v>
      </c>
      <c r="E37" s="228"/>
      <c r="F37" s="228"/>
      <c r="G37" s="228"/>
      <c r="H37" s="228"/>
      <c r="I37" s="228"/>
      <c r="J37" s="228"/>
      <c r="K37" s="228"/>
      <c r="L37" s="228"/>
      <c r="M37" s="228"/>
      <c r="N37" s="228"/>
      <c r="O37" s="228">
        <f t="shared" si="1"/>
        <v>0</v>
      </c>
      <c r="P37" s="225" t="e">
        <f t="shared" si="0"/>
        <v>#DIV/0!</v>
      </c>
      <c r="Q37" s="221"/>
    </row>
    <row r="38" spans="2:17" x14ac:dyDescent="0.25">
      <c r="D38" s="223" t="s">
        <v>141</v>
      </c>
      <c r="E38" s="220">
        <f>SUM(E10:E37)</f>
        <v>0</v>
      </c>
      <c r="F38" s="220">
        <f>SUM(F10:F37)</f>
        <v>0</v>
      </c>
      <c r="G38" s="220">
        <f t="shared" ref="G38:M38" si="2">SUM(G10:G37)</f>
        <v>0</v>
      </c>
      <c r="H38" s="220">
        <f t="shared" si="2"/>
        <v>0</v>
      </c>
      <c r="I38" s="220">
        <f t="shared" si="2"/>
        <v>0</v>
      </c>
      <c r="J38" s="220">
        <f t="shared" si="2"/>
        <v>0</v>
      </c>
      <c r="K38" s="220">
        <f t="shared" si="2"/>
        <v>0</v>
      </c>
      <c r="L38" s="220">
        <f t="shared" si="2"/>
        <v>0</v>
      </c>
      <c r="M38" s="220">
        <f t="shared" si="2"/>
        <v>0</v>
      </c>
      <c r="N38" s="220">
        <f>SUM(N10:N37)</f>
        <v>0</v>
      </c>
      <c r="O38" s="220">
        <f>SUM(O10:O37)</f>
        <v>0</v>
      </c>
      <c r="P38" s="220" t="e">
        <f>O38/E6</f>
        <v>#DIV/0!</v>
      </c>
    </row>
  </sheetData>
  <mergeCells count="5">
    <mergeCell ref="B10:B23"/>
    <mergeCell ref="B24:B33"/>
    <mergeCell ref="B34:B37"/>
    <mergeCell ref="G3:L3"/>
    <mergeCell ref="G4:L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C42"/>
  <sheetViews>
    <sheetView zoomScale="65" zoomScaleNormal="65" zoomScaleSheetLayoutView="90" workbookViewId="0">
      <selection activeCell="W2" sqref="W2"/>
    </sheetView>
  </sheetViews>
  <sheetFormatPr defaultColWidth="9.140625" defaultRowHeight="15" x14ac:dyDescent="0.25"/>
  <cols>
    <col min="1" max="1" width="14.5703125" style="41" bestFit="1" customWidth="1"/>
    <col min="2" max="2" width="12.7109375" style="41" customWidth="1"/>
    <col min="3" max="3" width="7.5703125" style="41" customWidth="1"/>
    <col min="4" max="4" width="10" style="41" customWidth="1"/>
    <col min="5" max="5" width="8" style="41" bestFit="1" customWidth="1"/>
    <col min="6" max="6" width="11.140625" style="41" bestFit="1" customWidth="1"/>
    <col min="7" max="7" width="12.5703125" style="13" bestFit="1" customWidth="1"/>
    <col min="8" max="19" width="14.7109375" style="7" customWidth="1"/>
    <col min="20" max="20" width="8.42578125" style="8" bestFit="1" customWidth="1"/>
    <col min="21" max="21" width="11.140625" style="9" bestFit="1" customWidth="1"/>
    <col min="22" max="22" width="40.7109375" style="41" customWidth="1"/>
    <col min="23" max="23" width="52.28515625" style="10" customWidth="1"/>
    <col min="24" max="29" width="9.140625" style="12"/>
    <col min="30" max="16384" width="9.140625" style="41"/>
  </cols>
  <sheetData>
    <row r="1" spans="1:23" ht="75.75" thickBot="1" x14ac:dyDescent="0.3">
      <c r="A1" s="42" t="s">
        <v>22</v>
      </c>
      <c r="B1" s="42" t="s">
        <v>46</v>
      </c>
      <c r="C1" s="43" t="s">
        <v>51</v>
      </c>
      <c r="D1" s="43" t="s">
        <v>17</v>
      </c>
      <c r="E1" s="42" t="s">
        <v>16</v>
      </c>
      <c r="F1" s="44" t="s">
        <v>1</v>
      </c>
      <c r="G1" s="45" t="s">
        <v>23</v>
      </c>
      <c r="H1" s="46" t="s">
        <v>71</v>
      </c>
      <c r="I1" s="46" t="s">
        <v>72</v>
      </c>
      <c r="J1" s="46" t="s">
        <v>52</v>
      </c>
      <c r="K1" s="46" t="s">
        <v>57</v>
      </c>
      <c r="L1" s="46" t="s">
        <v>53</v>
      </c>
      <c r="M1" s="46" t="s">
        <v>58</v>
      </c>
      <c r="N1" s="46" t="s">
        <v>54</v>
      </c>
      <c r="O1" s="46" t="s">
        <v>59</v>
      </c>
      <c r="P1" s="46" t="s">
        <v>55</v>
      </c>
      <c r="Q1" s="46" t="s">
        <v>73</v>
      </c>
      <c r="R1" s="46" t="s">
        <v>112</v>
      </c>
      <c r="S1" s="46" t="s">
        <v>40</v>
      </c>
      <c r="T1" s="46" t="s">
        <v>4</v>
      </c>
      <c r="U1" s="42" t="s">
        <v>2</v>
      </c>
      <c r="V1" s="80" t="s">
        <v>20</v>
      </c>
      <c r="W1" s="81" t="s">
        <v>6</v>
      </c>
    </row>
    <row r="2" spans="1:23" ht="15.75" thickBot="1" x14ac:dyDescent="0.3">
      <c r="A2" s="311">
        <v>1523580</v>
      </c>
      <c r="B2" s="209" t="s">
        <v>258</v>
      </c>
      <c r="C2" s="311">
        <v>144</v>
      </c>
      <c r="D2" s="311">
        <v>146</v>
      </c>
      <c r="E2" s="316">
        <v>139</v>
      </c>
      <c r="F2" s="317">
        <f>E2/D2</f>
        <v>0.95205479452054798</v>
      </c>
      <c r="G2" s="48">
        <v>45474</v>
      </c>
      <c r="H2" s="82"/>
      <c r="I2" s="83"/>
      <c r="J2" s="83"/>
      <c r="K2" s="83"/>
      <c r="L2" s="83"/>
      <c r="M2" s="83"/>
      <c r="N2" s="83"/>
      <c r="O2" s="83"/>
      <c r="P2" s="83"/>
      <c r="Q2" s="83"/>
      <c r="R2" s="83"/>
      <c r="S2" s="84"/>
      <c r="T2" s="291"/>
      <c r="U2" s="115"/>
      <c r="V2" s="86" t="s">
        <v>74</v>
      </c>
      <c r="W2" s="341" t="s">
        <v>69</v>
      </c>
    </row>
    <row r="3" spans="1:23" ht="15.75" x14ac:dyDescent="0.25">
      <c r="A3" s="87"/>
      <c r="B3" s="88"/>
      <c r="C3" s="88"/>
      <c r="D3" s="88"/>
      <c r="E3" s="88"/>
      <c r="F3" s="88"/>
      <c r="G3" s="89"/>
      <c r="H3" s="90"/>
      <c r="I3" s="91"/>
      <c r="J3" s="91"/>
      <c r="K3" s="91"/>
      <c r="L3" s="91"/>
      <c r="M3" s="91"/>
      <c r="N3" s="91"/>
      <c r="O3" s="91"/>
      <c r="P3" s="91"/>
      <c r="Q3" s="91"/>
      <c r="R3" s="91"/>
      <c r="S3" s="246"/>
      <c r="T3" s="245">
        <f>SUM(H3,J3,L3,N3,P3,R3,S3)</f>
        <v>0</v>
      </c>
      <c r="U3" s="337">
        <f>($T3)/$D$2</f>
        <v>0</v>
      </c>
      <c r="V3" s="202" t="s">
        <v>15</v>
      </c>
      <c r="W3" s="210"/>
    </row>
    <row r="4" spans="1:23" ht="15.75" x14ac:dyDescent="0.25">
      <c r="A4" s="96"/>
      <c r="B4" s="97"/>
      <c r="C4" s="97"/>
      <c r="D4" s="97"/>
      <c r="E4" s="97"/>
      <c r="F4" s="97"/>
      <c r="G4" s="98"/>
      <c r="H4" s="336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249"/>
      <c r="T4" s="245">
        <f>SUM(H4,J4,L4,N4,P4,R4,S4)</f>
        <v>0</v>
      </c>
      <c r="U4" s="294">
        <f t="shared" ref="U4:U42" si="0">($T4)/$D$2</f>
        <v>0</v>
      </c>
      <c r="V4" s="206" t="s">
        <v>42</v>
      </c>
      <c r="W4" s="210"/>
    </row>
    <row r="5" spans="1:23" ht="15.75" x14ac:dyDescent="0.25">
      <c r="A5" s="96"/>
      <c r="B5" s="97"/>
      <c r="C5" s="97"/>
      <c r="D5" s="97"/>
      <c r="E5" s="97"/>
      <c r="F5" s="97"/>
      <c r="G5" s="98"/>
      <c r="H5" s="99"/>
      <c r="I5" s="63"/>
      <c r="J5" s="63"/>
      <c r="K5" s="63"/>
      <c r="L5" s="63"/>
      <c r="M5" s="63"/>
      <c r="N5" s="63"/>
      <c r="O5" s="63"/>
      <c r="P5" s="63"/>
      <c r="Q5" s="63"/>
      <c r="R5" s="63"/>
      <c r="S5" s="247"/>
      <c r="T5" s="243">
        <f t="shared" ref="T5:T31" si="1">SUM(H5,J5,L5,N5,P5,R5,S5)</f>
        <v>0</v>
      </c>
      <c r="U5" s="93">
        <f t="shared" si="0"/>
        <v>0</v>
      </c>
      <c r="V5" s="203" t="s">
        <v>5</v>
      </c>
      <c r="W5" s="339"/>
    </row>
    <row r="6" spans="1:23" ht="15.75" x14ac:dyDescent="0.25">
      <c r="A6" s="96"/>
      <c r="B6" s="97"/>
      <c r="C6" s="97"/>
      <c r="D6" s="97"/>
      <c r="E6" s="104"/>
      <c r="F6" s="104"/>
      <c r="G6" s="98"/>
      <c r="H6" s="99">
        <v>2</v>
      </c>
      <c r="I6" s="63"/>
      <c r="J6" s="63"/>
      <c r="K6" s="63"/>
      <c r="L6" s="63"/>
      <c r="M6" s="63"/>
      <c r="N6" s="63"/>
      <c r="O6" s="63"/>
      <c r="P6" s="63"/>
      <c r="Q6" s="63"/>
      <c r="R6" s="63"/>
      <c r="S6" s="247"/>
      <c r="T6" s="243">
        <f t="shared" si="1"/>
        <v>2</v>
      </c>
      <c r="U6" s="93">
        <f t="shared" si="0"/>
        <v>1.3698630136986301E-2</v>
      </c>
      <c r="V6" s="203" t="s">
        <v>13</v>
      </c>
      <c r="W6" s="240"/>
    </row>
    <row r="7" spans="1:23" ht="15.75" x14ac:dyDescent="0.25">
      <c r="A7" s="96"/>
      <c r="B7" s="97"/>
      <c r="C7" s="97"/>
      <c r="D7" s="97"/>
      <c r="E7" s="104"/>
      <c r="F7" s="104"/>
      <c r="G7" s="98"/>
      <c r="H7" s="99">
        <v>1</v>
      </c>
      <c r="I7" s="63"/>
      <c r="J7" s="63"/>
      <c r="K7" s="63"/>
      <c r="L7" s="63"/>
      <c r="M7" s="63"/>
      <c r="N7" s="63"/>
      <c r="O7" s="63"/>
      <c r="P7" s="63"/>
      <c r="Q7" s="63"/>
      <c r="R7" s="63"/>
      <c r="S7" s="247"/>
      <c r="T7" s="243">
        <f t="shared" si="1"/>
        <v>1</v>
      </c>
      <c r="U7" s="93">
        <f t="shared" si="0"/>
        <v>6.8493150684931503E-3</v>
      </c>
      <c r="V7" s="203" t="s">
        <v>14</v>
      </c>
      <c r="W7" s="306"/>
    </row>
    <row r="8" spans="1:23" ht="15.75" x14ac:dyDescent="0.25">
      <c r="A8" s="96"/>
      <c r="B8" s="97"/>
      <c r="C8" s="97"/>
      <c r="D8" s="97"/>
      <c r="E8" s="104"/>
      <c r="F8" s="104"/>
      <c r="G8" s="98"/>
      <c r="H8" s="99"/>
      <c r="I8" s="63"/>
      <c r="J8" s="63"/>
      <c r="K8" s="63"/>
      <c r="L8" s="63"/>
      <c r="M8" s="63"/>
      <c r="N8" s="63"/>
      <c r="O8" s="63"/>
      <c r="P8" s="63"/>
      <c r="Q8" s="63"/>
      <c r="R8" s="63"/>
      <c r="S8" s="247"/>
      <c r="T8" s="243">
        <f t="shared" si="1"/>
        <v>0</v>
      </c>
      <c r="U8" s="93">
        <f t="shared" si="0"/>
        <v>0</v>
      </c>
      <c r="V8" s="203" t="s">
        <v>29</v>
      </c>
      <c r="W8" s="306"/>
    </row>
    <row r="9" spans="1:23" ht="15.75" x14ac:dyDescent="0.25">
      <c r="A9" s="96"/>
      <c r="B9" s="97"/>
      <c r="C9" s="97"/>
      <c r="D9" s="97"/>
      <c r="E9" s="104"/>
      <c r="F9" s="104"/>
      <c r="G9" s="98"/>
      <c r="H9" s="99">
        <v>1</v>
      </c>
      <c r="I9" s="63"/>
      <c r="J9" s="63"/>
      <c r="K9" s="63"/>
      <c r="L9" s="63"/>
      <c r="M9" s="63"/>
      <c r="N9" s="63"/>
      <c r="O9" s="63"/>
      <c r="P9" s="63"/>
      <c r="Q9" s="63"/>
      <c r="R9" s="63"/>
      <c r="S9" s="247"/>
      <c r="T9" s="243">
        <f t="shared" si="1"/>
        <v>1</v>
      </c>
      <c r="U9" s="93">
        <f t="shared" si="0"/>
        <v>6.8493150684931503E-3</v>
      </c>
      <c r="V9" s="203" t="s">
        <v>30</v>
      </c>
      <c r="W9" s="105"/>
    </row>
    <row r="10" spans="1:23" ht="15.75" x14ac:dyDescent="0.25">
      <c r="A10" s="96"/>
      <c r="B10" s="97"/>
      <c r="C10" s="97"/>
      <c r="D10" s="97"/>
      <c r="E10" s="104"/>
      <c r="F10" s="104"/>
      <c r="G10" s="98"/>
      <c r="H10" s="99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247"/>
      <c r="T10" s="243">
        <f t="shared" si="1"/>
        <v>0</v>
      </c>
      <c r="U10" s="93">
        <f t="shared" si="0"/>
        <v>0</v>
      </c>
      <c r="V10" s="203" t="s">
        <v>159</v>
      </c>
      <c r="W10" s="318"/>
    </row>
    <row r="11" spans="1:23" ht="15.75" x14ac:dyDescent="0.25">
      <c r="A11" s="96"/>
      <c r="B11" s="97"/>
      <c r="C11" s="97"/>
      <c r="D11" s="97"/>
      <c r="E11" s="104"/>
      <c r="F11" s="104"/>
      <c r="G11" s="98"/>
      <c r="H11" s="99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247"/>
      <c r="T11" s="243">
        <f t="shared" si="1"/>
        <v>0</v>
      </c>
      <c r="U11" s="93">
        <f t="shared" si="0"/>
        <v>0</v>
      </c>
      <c r="V11" s="204" t="s">
        <v>176</v>
      </c>
      <c r="W11" s="105"/>
    </row>
    <row r="12" spans="1:23" ht="15.75" x14ac:dyDescent="0.25">
      <c r="A12" s="96"/>
      <c r="B12" s="97"/>
      <c r="C12" s="97"/>
      <c r="D12" s="97"/>
      <c r="E12" s="104"/>
      <c r="F12" s="104"/>
      <c r="G12" s="98"/>
      <c r="H12" s="99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247"/>
      <c r="T12" s="243">
        <f t="shared" si="1"/>
        <v>0</v>
      </c>
      <c r="U12" s="93">
        <f t="shared" si="0"/>
        <v>0</v>
      </c>
      <c r="V12" s="203" t="s">
        <v>0</v>
      </c>
      <c r="W12" s="342"/>
    </row>
    <row r="13" spans="1:23" ht="15.75" x14ac:dyDescent="0.25">
      <c r="A13" s="96"/>
      <c r="B13" s="97"/>
      <c r="C13" s="97"/>
      <c r="D13" s="97"/>
      <c r="E13" s="104"/>
      <c r="F13" s="104"/>
      <c r="G13" s="98"/>
      <c r="H13" s="99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247"/>
      <c r="T13" s="243">
        <f t="shared" si="1"/>
        <v>0</v>
      </c>
      <c r="U13" s="93">
        <f t="shared" si="0"/>
        <v>0</v>
      </c>
      <c r="V13" s="203" t="s">
        <v>11</v>
      </c>
      <c r="W13" s="342"/>
    </row>
    <row r="14" spans="1:23" ht="15.75" x14ac:dyDescent="0.25">
      <c r="A14" s="96"/>
      <c r="B14" s="97"/>
      <c r="C14" s="97"/>
      <c r="D14" s="97"/>
      <c r="E14" s="104"/>
      <c r="F14" s="104" t="s">
        <v>98</v>
      </c>
      <c r="G14" s="98"/>
      <c r="H14" s="99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247"/>
      <c r="T14" s="243">
        <f t="shared" si="1"/>
        <v>0</v>
      </c>
      <c r="U14" s="93">
        <f t="shared" si="0"/>
        <v>0</v>
      </c>
      <c r="V14" s="203" t="s">
        <v>32</v>
      </c>
      <c r="W14" s="321"/>
    </row>
    <row r="15" spans="1:23" ht="15.75" x14ac:dyDescent="0.25">
      <c r="A15" s="96"/>
      <c r="B15" s="97"/>
      <c r="C15" s="97"/>
      <c r="D15" s="97"/>
      <c r="E15" s="104"/>
      <c r="F15" s="104"/>
      <c r="G15" s="98"/>
      <c r="H15" s="99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247"/>
      <c r="T15" s="243">
        <f t="shared" si="1"/>
        <v>0</v>
      </c>
      <c r="U15" s="93">
        <f t="shared" si="0"/>
        <v>0</v>
      </c>
      <c r="V15" s="204" t="s">
        <v>26</v>
      </c>
      <c r="W15" s="342"/>
    </row>
    <row r="16" spans="1:23" ht="15.75" x14ac:dyDescent="0.25">
      <c r="A16" s="96"/>
      <c r="B16" s="97"/>
      <c r="C16" s="97"/>
      <c r="D16" s="97"/>
      <c r="E16" s="104"/>
      <c r="F16" s="104"/>
      <c r="G16" s="109"/>
      <c r="H16" s="110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247"/>
      <c r="T16" s="243">
        <f t="shared" si="1"/>
        <v>0</v>
      </c>
      <c r="U16" s="93">
        <f t="shared" si="0"/>
        <v>0</v>
      </c>
      <c r="V16" s="204" t="s">
        <v>25</v>
      </c>
      <c r="W16" s="212"/>
    </row>
    <row r="17" spans="1:23" ht="15.75" x14ac:dyDescent="0.25">
      <c r="A17" s="96"/>
      <c r="B17" s="97"/>
      <c r="C17" s="97"/>
      <c r="D17" s="97"/>
      <c r="E17" s="104"/>
      <c r="F17" s="104"/>
      <c r="G17" s="109"/>
      <c r="H17" s="110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247"/>
      <c r="T17" s="243">
        <f t="shared" si="1"/>
        <v>0</v>
      </c>
      <c r="U17" s="93">
        <f t="shared" si="0"/>
        <v>0</v>
      </c>
      <c r="V17" s="204" t="s">
        <v>178</v>
      </c>
      <c r="W17" s="103"/>
    </row>
    <row r="18" spans="1:23" ht="16.5" thickBot="1" x14ac:dyDescent="0.3">
      <c r="A18" s="96"/>
      <c r="B18" s="97"/>
      <c r="C18" s="97"/>
      <c r="D18" s="97"/>
      <c r="E18" s="104"/>
      <c r="F18" s="104"/>
      <c r="G18" s="109"/>
      <c r="H18" s="186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248"/>
      <c r="T18" s="244">
        <f t="shared" si="1"/>
        <v>0</v>
      </c>
      <c r="U18" s="241">
        <f t="shared" si="0"/>
        <v>0</v>
      </c>
      <c r="V18" s="205" t="s">
        <v>70</v>
      </c>
      <c r="W18" s="212"/>
    </row>
    <row r="19" spans="1:23" ht="15.75" x14ac:dyDescent="0.25">
      <c r="A19" s="96"/>
      <c r="B19" s="97"/>
      <c r="C19" s="97"/>
      <c r="D19" s="97"/>
      <c r="E19" s="104"/>
      <c r="F19" s="104"/>
      <c r="G19" s="98"/>
      <c r="H19" s="90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249"/>
      <c r="T19" s="245">
        <f t="shared" si="1"/>
        <v>0</v>
      </c>
      <c r="U19" s="183">
        <f t="shared" si="0"/>
        <v>0</v>
      </c>
      <c r="V19" s="206" t="s">
        <v>10</v>
      </c>
      <c r="W19" s="106"/>
    </row>
    <row r="20" spans="1:23" ht="15.75" x14ac:dyDescent="0.25">
      <c r="A20" s="96"/>
      <c r="B20" s="97"/>
      <c r="C20" s="97"/>
      <c r="D20" s="97"/>
      <c r="E20" s="104"/>
      <c r="F20" s="104"/>
      <c r="G20" s="98"/>
      <c r="H20" s="99"/>
      <c r="I20" s="213"/>
      <c r="J20" s="63"/>
      <c r="K20" s="63"/>
      <c r="L20" s="63"/>
      <c r="M20" s="63"/>
      <c r="N20" s="63"/>
      <c r="O20" s="63"/>
      <c r="P20" s="63"/>
      <c r="Q20" s="63"/>
      <c r="R20" s="63"/>
      <c r="S20" s="247"/>
      <c r="T20" s="243">
        <f t="shared" si="1"/>
        <v>0</v>
      </c>
      <c r="U20" s="93">
        <f t="shared" si="0"/>
        <v>0</v>
      </c>
      <c r="V20" s="325" t="s">
        <v>93</v>
      </c>
      <c r="W20" s="106"/>
    </row>
    <row r="21" spans="1:23" ht="15.75" x14ac:dyDescent="0.25">
      <c r="A21" s="96"/>
      <c r="B21" s="97"/>
      <c r="C21" s="97"/>
      <c r="D21" s="97"/>
      <c r="E21" s="104"/>
      <c r="F21" s="104"/>
      <c r="G21" s="98"/>
      <c r="H21" s="99">
        <v>1</v>
      </c>
      <c r="I21" s="214"/>
      <c r="J21" s="63"/>
      <c r="K21" s="63"/>
      <c r="L21" s="63"/>
      <c r="M21" s="63"/>
      <c r="N21" s="63"/>
      <c r="O21" s="63"/>
      <c r="P21" s="63"/>
      <c r="Q21" s="63"/>
      <c r="R21" s="63"/>
      <c r="S21" s="247"/>
      <c r="T21" s="243">
        <f t="shared" si="1"/>
        <v>1</v>
      </c>
      <c r="U21" s="93">
        <f t="shared" si="0"/>
        <v>6.8493150684931503E-3</v>
      </c>
      <c r="V21" s="203" t="s">
        <v>3</v>
      </c>
      <c r="W21" s="105"/>
    </row>
    <row r="22" spans="1:23" ht="15.75" x14ac:dyDescent="0.25">
      <c r="A22" s="96"/>
      <c r="B22" s="97"/>
      <c r="C22" s="97"/>
      <c r="D22" s="97"/>
      <c r="E22" s="97"/>
      <c r="F22" s="104"/>
      <c r="G22" s="98"/>
      <c r="H22" s="99"/>
      <c r="I22" s="214"/>
      <c r="J22" s="63"/>
      <c r="K22" s="63"/>
      <c r="L22" s="63"/>
      <c r="M22" s="63"/>
      <c r="N22" s="63"/>
      <c r="O22" s="63"/>
      <c r="P22" s="63"/>
      <c r="Q22" s="63"/>
      <c r="R22" s="63"/>
      <c r="S22" s="247"/>
      <c r="T22" s="243">
        <f t="shared" si="1"/>
        <v>0</v>
      </c>
      <c r="U22" s="93">
        <f t="shared" si="0"/>
        <v>0</v>
      </c>
      <c r="V22" s="203" t="s">
        <v>7</v>
      </c>
      <c r="W22" s="106"/>
    </row>
    <row r="23" spans="1:23" ht="15.75" x14ac:dyDescent="0.25">
      <c r="A23" s="96"/>
      <c r="B23" s="97"/>
      <c r="C23" s="97"/>
      <c r="D23" s="97"/>
      <c r="E23" s="97"/>
      <c r="F23" s="104"/>
      <c r="G23" s="98"/>
      <c r="H23" s="99"/>
      <c r="I23" s="214"/>
      <c r="J23" s="63"/>
      <c r="K23" s="63"/>
      <c r="L23" s="63"/>
      <c r="M23" s="63"/>
      <c r="N23" s="63"/>
      <c r="O23" s="63"/>
      <c r="P23" s="63"/>
      <c r="Q23" s="63"/>
      <c r="R23" s="63"/>
      <c r="S23" s="247"/>
      <c r="T23" s="243">
        <f t="shared" si="1"/>
        <v>0</v>
      </c>
      <c r="U23" s="93">
        <f t="shared" si="0"/>
        <v>0</v>
      </c>
      <c r="V23" s="203" t="s">
        <v>8</v>
      </c>
      <c r="W23" s="342"/>
    </row>
    <row r="24" spans="1:23" ht="15.75" x14ac:dyDescent="0.25">
      <c r="A24" s="96"/>
      <c r="B24" s="97"/>
      <c r="C24" s="97"/>
      <c r="D24" s="97"/>
      <c r="E24" s="97"/>
      <c r="F24" s="104"/>
      <c r="G24" s="98"/>
      <c r="H24" s="99"/>
      <c r="I24" s="214"/>
      <c r="J24" s="63"/>
      <c r="K24" s="63"/>
      <c r="L24" s="63"/>
      <c r="M24" s="63"/>
      <c r="N24" s="63"/>
      <c r="O24" s="63"/>
      <c r="P24" s="63"/>
      <c r="Q24" s="63"/>
      <c r="R24" s="63"/>
      <c r="S24" s="247"/>
      <c r="T24" s="243">
        <f t="shared" si="1"/>
        <v>0</v>
      </c>
      <c r="U24" s="93">
        <f t="shared" si="0"/>
        <v>0</v>
      </c>
      <c r="V24" s="203" t="s">
        <v>76</v>
      </c>
      <c r="W24" s="342" t="s">
        <v>173</v>
      </c>
    </row>
    <row r="25" spans="1:23" ht="15.75" x14ac:dyDescent="0.25">
      <c r="A25" s="96"/>
      <c r="B25" s="97"/>
      <c r="C25" s="97"/>
      <c r="D25" s="97"/>
      <c r="E25" s="97"/>
      <c r="F25" s="104"/>
      <c r="G25" s="98"/>
      <c r="H25" s="99"/>
      <c r="I25" s="214"/>
      <c r="J25" s="63"/>
      <c r="K25" s="63"/>
      <c r="L25" s="63"/>
      <c r="M25" s="63"/>
      <c r="N25" s="63"/>
      <c r="O25" s="63"/>
      <c r="P25" s="63"/>
      <c r="Q25" s="63"/>
      <c r="R25" s="63"/>
      <c r="S25" s="247"/>
      <c r="T25" s="243">
        <f t="shared" si="1"/>
        <v>0</v>
      </c>
      <c r="U25" s="93">
        <f t="shared" si="0"/>
        <v>0</v>
      </c>
      <c r="V25" s="203" t="s">
        <v>19</v>
      </c>
      <c r="W25" s="342" t="s">
        <v>235</v>
      </c>
    </row>
    <row r="26" spans="1:23" ht="15.75" x14ac:dyDescent="0.25">
      <c r="A26" s="96"/>
      <c r="B26" s="97"/>
      <c r="C26" s="97"/>
      <c r="D26" s="97"/>
      <c r="E26" s="97"/>
      <c r="F26" s="104"/>
      <c r="G26" s="98"/>
      <c r="H26" s="99"/>
      <c r="I26" s="214"/>
      <c r="J26" s="63"/>
      <c r="K26" s="63"/>
      <c r="L26" s="63"/>
      <c r="M26" s="63"/>
      <c r="N26" s="63"/>
      <c r="O26" s="63"/>
      <c r="P26" s="63"/>
      <c r="Q26" s="63"/>
      <c r="R26" s="63"/>
      <c r="S26" s="247"/>
      <c r="T26" s="243">
        <f t="shared" si="1"/>
        <v>0</v>
      </c>
      <c r="U26" s="93">
        <f t="shared" si="0"/>
        <v>0</v>
      </c>
      <c r="V26" s="203" t="s">
        <v>77</v>
      </c>
      <c r="W26" s="342"/>
    </row>
    <row r="27" spans="1:23" ht="15.75" x14ac:dyDescent="0.25">
      <c r="A27" s="96"/>
      <c r="B27" s="97"/>
      <c r="C27" s="97"/>
      <c r="D27" s="97"/>
      <c r="E27" s="97"/>
      <c r="F27" s="104"/>
      <c r="G27" s="98"/>
      <c r="H27" s="99"/>
      <c r="I27" s="214"/>
      <c r="J27" s="63"/>
      <c r="K27" s="63"/>
      <c r="L27" s="63"/>
      <c r="M27" s="63"/>
      <c r="N27" s="63"/>
      <c r="O27" s="63"/>
      <c r="P27" s="63"/>
      <c r="Q27" s="63"/>
      <c r="R27" s="63"/>
      <c r="S27" s="247"/>
      <c r="T27" s="243">
        <f t="shared" si="1"/>
        <v>0</v>
      </c>
      <c r="U27" s="93">
        <f t="shared" si="0"/>
        <v>0</v>
      </c>
      <c r="V27" s="326" t="s">
        <v>160</v>
      </c>
      <c r="W27" s="342"/>
    </row>
    <row r="28" spans="1:23" ht="15.75" x14ac:dyDescent="0.25">
      <c r="A28" s="96"/>
      <c r="B28" s="97"/>
      <c r="C28" s="97"/>
      <c r="D28" s="97"/>
      <c r="E28" s="104"/>
      <c r="F28" s="104"/>
      <c r="G28" s="98"/>
      <c r="H28" s="99"/>
      <c r="I28" s="214"/>
      <c r="J28" s="63"/>
      <c r="K28" s="63"/>
      <c r="L28" s="63"/>
      <c r="M28" s="63"/>
      <c r="N28" s="63"/>
      <c r="O28" s="63"/>
      <c r="P28" s="63"/>
      <c r="Q28" s="63"/>
      <c r="R28" s="63"/>
      <c r="S28" s="247"/>
      <c r="T28" s="243">
        <f t="shared" si="1"/>
        <v>0</v>
      </c>
      <c r="U28" s="93">
        <f t="shared" si="0"/>
        <v>0</v>
      </c>
      <c r="V28" s="203" t="s">
        <v>12</v>
      </c>
      <c r="W28" s="321"/>
    </row>
    <row r="29" spans="1:23" ht="15.75" x14ac:dyDescent="0.25">
      <c r="A29" s="96"/>
      <c r="B29" s="97"/>
      <c r="C29" s="97"/>
      <c r="D29" s="97"/>
      <c r="E29" s="104"/>
      <c r="F29" s="104"/>
      <c r="G29" s="98"/>
      <c r="H29" s="99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247"/>
      <c r="T29" s="243">
        <f t="shared" si="1"/>
        <v>0</v>
      </c>
      <c r="U29" s="93">
        <f t="shared" si="0"/>
        <v>0</v>
      </c>
      <c r="V29" s="204" t="s">
        <v>157</v>
      </c>
      <c r="W29" s="342"/>
    </row>
    <row r="30" spans="1:23" ht="15.75" x14ac:dyDescent="0.25">
      <c r="A30" s="96"/>
      <c r="B30" s="97"/>
      <c r="C30" s="97"/>
      <c r="D30" s="97"/>
      <c r="E30" s="104"/>
      <c r="F30" s="104"/>
      <c r="G30" s="98"/>
      <c r="H30" s="99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247"/>
      <c r="T30" s="243">
        <f t="shared" si="1"/>
        <v>0</v>
      </c>
      <c r="U30" s="93">
        <f t="shared" si="0"/>
        <v>0</v>
      </c>
      <c r="V30" s="204" t="s">
        <v>91</v>
      </c>
      <c r="W30" s="321"/>
    </row>
    <row r="31" spans="1:23" ht="16.5" thickBot="1" x14ac:dyDescent="0.3">
      <c r="A31" s="96"/>
      <c r="B31" s="97"/>
      <c r="C31" s="97"/>
      <c r="D31" s="97"/>
      <c r="E31" s="104"/>
      <c r="F31" s="104"/>
      <c r="G31" s="98"/>
      <c r="H31" s="107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250"/>
      <c r="T31" s="244">
        <f t="shared" si="1"/>
        <v>0</v>
      </c>
      <c r="U31" s="294">
        <f t="shared" si="0"/>
        <v>0</v>
      </c>
      <c r="V31" s="345" t="s">
        <v>9</v>
      </c>
      <c r="W31" s="321"/>
    </row>
    <row r="32" spans="1:23" ht="16.5" thickBot="1" x14ac:dyDescent="0.3">
      <c r="A32" s="96"/>
      <c r="B32" s="97"/>
      <c r="C32" s="97"/>
      <c r="D32" s="97"/>
      <c r="E32" s="104"/>
      <c r="F32" s="104"/>
      <c r="G32" s="98"/>
      <c r="H32" s="82"/>
      <c r="I32" s="83"/>
      <c r="J32" s="236"/>
      <c r="K32" s="83"/>
      <c r="L32" s="83"/>
      <c r="M32" s="83"/>
      <c r="N32" s="83"/>
      <c r="O32" s="83"/>
      <c r="P32" s="83"/>
      <c r="Q32" s="83"/>
      <c r="R32" s="83"/>
      <c r="S32" s="83"/>
      <c r="T32" s="242"/>
      <c r="U32" s="242"/>
      <c r="V32" s="208" t="s">
        <v>148</v>
      </c>
      <c r="W32" s="342"/>
    </row>
    <row r="33" spans="1:23" ht="15.75" x14ac:dyDescent="0.25">
      <c r="A33" s="96"/>
      <c r="B33" s="97"/>
      <c r="C33" s="97"/>
      <c r="D33" s="97"/>
      <c r="E33" s="104"/>
      <c r="F33" s="104"/>
      <c r="G33" s="109"/>
      <c r="H33" s="90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246"/>
      <c r="T33" s="245">
        <f t="shared" ref="T33:T34" si="2">SUM(H33,J33,L33,N33,P33,R33,S33)</f>
        <v>0</v>
      </c>
      <c r="U33" s="183">
        <f t="shared" si="0"/>
        <v>0</v>
      </c>
      <c r="V33" s="202" t="s">
        <v>88</v>
      </c>
      <c r="W33" s="342"/>
    </row>
    <row r="34" spans="1:23" ht="15.75" x14ac:dyDescent="0.25">
      <c r="A34" s="96"/>
      <c r="B34" s="97"/>
      <c r="C34" s="97"/>
      <c r="D34" s="97"/>
      <c r="E34" s="104"/>
      <c r="F34" s="104"/>
      <c r="G34" s="109"/>
      <c r="H34" s="99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247"/>
      <c r="T34" s="243">
        <f t="shared" si="2"/>
        <v>0</v>
      </c>
      <c r="U34" s="183">
        <f t="shared" si="0"/>
        <v>0</v>
      </c>
      <c r="V34" s="203" t="s">
        <v>82</v>
      </c>
      <c r="W34" s="342"/>
    </row>
    <row r="35" spans="1:23" x14ac:dyDescent="0.25">
      <c r="A35" s="96"/>
      <c r="B35" s="97"/>
      <c r="C35" s="97"/>
      <c r="D35" s="97"/>
      <c r="E35" s="104"/>
      <c r="F35" s="104"/>
      <c r="G35" s="109"/>
      <c r="H35" s="99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247"/>
      <c r="T35" s="243">
        <v>0</v>
      </c>
      <c r="U35" s="183">
        <f t="shared" si="0"/>
        <v>0</v>
      </c>
      <c r="V35" s="343" t="s">
        <v>158</v>
      </c>
      <c r="W35" s="342"/>
    </row>
    <row r="36" spans="1:23" ht="15.75" x14ac:dyDescent="0.25">
      <c r="A36" s="96"/>
      <c r="B36" s="97"/>
      <c r="C36" s="97"/>
      <c r="D36" s="97"/>
      <c r="E36" s="104"/>
      <c r="F36" s="104"/>
      <c r="G36" s="109"/>
      <c r="H36" s="99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247"/>
      <c r="T36" s="243">
        <f t="shared" ref="T36:T41" si="3">SUM(H36,J36,L36,N36,P36,R36,S36)</f>
        <v>0</v>
      </c>
      <c r="U36" s="183">
        <f t="shared" si="0"/>
        <v>0</v>
      </c>
      <c r="V36" s="203" t="s">
        <v>70</v>
      </c>
      <c r="W36" s="321"/>
    </row>
    <row r="37" spans="1:23" ht="15.75" x14ac:dyDescent="0.25">
      <c r="A37" s="96"/>
      <c r="B37" s="97"/>
      <c r="C37" s="97"/>
      <c r="D37" s="97"/>
      <c r="E37" s="104"/>
      <c r="F37" s="104"/>
      <c r="G37" s="109"/>
      <c r="H37" s="99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247"/>
      <c r="T37" s="243">
        <f t="shared" si="3"/>
        <v>0</v>
      </c>
      <c r="U37" s="183">
        <f t="shared" si="0"/>
        <v>0</v>
      </c>
      <c r="V37" s="204" t="s">
        <v>15</v>
      </c>
      <c r="W37" s="321" t="s">
        <v>259</v>
      </c>
    </row>
    <row r="38" spans="1:23" ht="15.75" x14ac:dyDescent="0.25">
      <c r="A38" s="96"/>
      <c r="B38" s="97"/>
      <c r="C38" s="97"/>
      <c r="D38" s="97"/>
      <c r="E38" s="104"/>
      <c r="F38" s="104"/>
      <c r="G38" s="109"/>
      <c r="H38" s="99">
        <v>2</v>
      </c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247"/>
      <c r="T38" s="243">
        <f t="shared" si="3"/>
        <v>2</v>
      </c>
      <c r="U38" s="183">
        <f t="shared" si="0"/>
        <v>1.3698630136986301E-2</v>
      </c>
      <c r="V38" s="204" t="s">
        <v>25</v>
      </c>
      <c r="W38" s="321"/>
    </row>
    <row r="39" spans="1:23" ht="15.75" x14ac:dyDescent="0.25">
      <c r="A39" s="96"/>
      <c r="B39" s="97"/>
      <c r="C39" s="97"/>
      <c r="D39" s="97"/>
      <c r="E39" s="104"/>
      <c r="F39" s="104"/>
      <c r="G39" s="109"/>
      <c r="H39" s="107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250"/>
      <c r="T39" s="243">
        <f t="shared" si="3"/>
        <v>0</v>
      </c>
      <c r="U39" s="183">
        <f t="shared" si="0"/>
        <v>0</v>
      </c>
      <c r="V39" s="207" t="s">
        <v>12</v>
      </c>
      <c r="W39" s="344"/>
    </row>
    <row r="40" spans="1:23" ht="15.75" x14ac:dyDescent="0.25">
      <c r="A40" s="96"/>
      <c r="B40" s="97"/>
      <c r="C40" s="97"/>
      <c r="D40" s="97"/>
      <c r="E40" s="104"/>
      <c r="F40" s="104"/>
      <c r="G40" s="109"/>
      <c r="H40" s="107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250"/>
      <c r="T40" s="243">
        <f t="shared" si="3"/>
        <v>0</v>
      </c>
      <c r="U40" s="183">
        <f t="shared" si="0"/>
        <v>0</v>
      </c>
      <c r="V40" s="203" t="s">
        <v>11</v>
      </c>
      <c r="W40" s="321"/>
    </row>
    <row r="41" spans="1:23" ht="16.5" thickBot="1" x14ac:dyDescent="0.3">
      <c r="A41" s="117"/>
      <c r="B41" s="118"/>
      <c r="C41" s="118"/>
      <c r="D41" s="118"/>
      <c r="E41" s="119"/>
      <c r="F41" s="119"/>
      <c r="G41" s="120"/>
      <c r="H41" s="107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250"/>
      <c r="T41" s="243">
        <f t="shared" si="3"/>
        <v>0</v>
      </c>
      <c r="U41" s="294">
        <f t="shared" si="0"/>
        <v>0</v>
      </c>
      <c r="V41" s="205" t="s">
        <v>145</v>
      </c>
      <c r="W41" s="340"/>
    </row>
    <row r="42" spans="1:23" ht="15.75" thickBot="1" x14ac:dyDescent="0.3">
      <c r="A42" s="122"/>
      <c r="B42" s="122"/>
      <c r="C42" s="122"/>
      <c r="D42" s="122"/>
      <c r="E42" s="122"/>
      <c r="F42" s="122"/>
      <c r="G42" s="47" t="s">
        <v>4</v>
      </c>
      <c r="H42" s="123">
        <f t="shared" ref="H42:S42" si="4">SUM(H3:H41)</f>
        <v>7</v>
      </c>
      <c r="I42" s="123">
        <f t="shared" si="4"/>
        <v>0</v>
      </c>
      <c r="J42" s="123">
        <f t="shared" si="4"/>
        <v>0</v>
      </c>
      <c r="K42" s="123">
        <f t="shared" si="4"/>
        <v>0</v>
      </c>
      <c r="L42" s="123">
        <f t="shared" si="4"/>
        <v>0</v>
      </c>
      <c r="M42" s="123">
        <f t="shared" si="4"/>
        <v>0</v>
      </c>
      <c r="N42" s="123">
        <f t="shared" si="4"/>
        <v>0</v>
      </c>
      <c r="O42" s="123">
        <f t="shared" si="4"/>
        <v>0</v>
      </c>
      <c r="P42" s="123">
        <f t="shared" si="4"/>
        <v>0</v>
      </c>
      <c r="Q42" s="123">
        <f t="shared" si="4"/>
        <v>0</v>
      </c>
      <c r="R42" s="123">
        <f t="shared" si="4"/>
        <v>0</v>
      </c>
      <c r="S42" s="123">
        <f t="shared" si="4"/>
        <v>0</v>
      </c>
      <c r="T42" s="198">
        <f>SUM(H42,J42,L42,N42,P42,R42,S42)</f>
        <v>7</v>
      </c>
      <c r="U42" s="327">
        <f t="shared" si="0"/>
        <v>4.7945205479452052E-2</v>
      </c>
      <c r="V42" s="40"/>
    </row>
  </sheetData>
  <conditionalFormatting sqref="U43">
    <cfRule type="cellIs" dxfId="145" priority="21" operator="greaterThan">
      <formula>0.2</formula>
    </cfRule>
  </conditionalFormatting>
  <conditionalFormatting sqref="U3:U31">
    <cfRule type="colorScale" priority="15">
      <colorScale>
        <cfvo type="min"/>
        <cfvo type="max"/>
        <color rgb="FFFCFCFF"/>
        <color rgb="FFF8696B"/>
      </colorScale>
    </cfRule>
  </conditionalFormatting>
  <conditionalFormatting sqref="U3:U31">
    <cfRule type="cellIs" dxfId="144" priority="14" operator="greaterThan">
      <formula>0.2</formula>
    </cfRule>
  </conditionalFormatting>
  <conditionalFormatting sqref="U1:U2">
    <cfRule type="cellIs" dxfId="143" priority="13" operator="greaterThan">
      <formula>0.2</formula>
    </cfRule>
  </conditionalFormatting>
  <conditionalFormatting sqref="U33:U42">
    <cfRule type="cellIs" dxfId="142" priority="11" operator="greaterThan">
      <formula>0.2</formula>
    </cfRule>
  </conditionalFormatting>
  <conditionalFormatting sqref="U33:U42">
    <cfRule type="colorScale" priority="12">
      <colorScale>
        <cfvo type="min"/>
        <cfvo type="max"/>
        <color rgb="FFFCFCFF"/>
        <color rgb="FFF8696B"/>
      </colorScale>
    </cfRule>
  </conditionalFormatting>
  <pageMargins left="0.25" right="0.25" top="0.75" bottom="0.75" header="0.3" footer="0.3"/>
  <pageSetup scale="3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U33"/>
  <sheetViews>
    <sheetView showGridLines="0" topLeftCell="A12" zoomScaleNormal="100" workbookViewId="0">
      <selection activeCell="A23" sqref="A23"/>
    </sheetView>
  </sheetViews>
  <sheetFormatPr defaultColWidth="9.140625" defaultRowHeight="15" x14ac:dyDescent="0.25"/>
  <cols>
    <col min="1" max="4" width="10.7109375" style="23" customWidth="1"/>
    <col min="5" max="5" width="10.7109375" style="25" customWidth="1"/>
    <col min="6" max="6" width="10.7109375" style="23" customWidth="1"/>
    <col min="7" max="7" width="17.7109375" style="23" customWidth="1"/>
    <col min="8" max="8" width="10.7109375" style="23" customWidth="1"/>
    <col min="9" max="9" width="13.5703125" style="23" bestFit="1" customWidth="1"/>
    <col min="10" max="11" width="10.7109375" style="23" customWidth="1"/>
    <col min="12" max="12" width="16.5703125" style="23" customWidth="1"/>
    <col min="13" max="14" width="10.7109375" style="23" customWidth="1"/>
    <col min="15" max="15" width="30" style="23" bestFit="1" customWidth="1"/>
    <col min="16" max="16" width="10.7109375" style="23" customWidth="1"/>
    <col min="17" max="17" width="10.85546875" style="23" customWidth="1"/>
    <col min="18" max="18" width="9.85546875" style="23" customWidth="1"/>
    <col min="19" max="16384" width="9.140625" style="23"/>
  </cols>
  <sheetData>
    <row r="1" spans="1:21" ht="54" customHeight="1" x14ac:dyDescent="0.25">
      <c r="A1" s="566" t="s">
        <v>104</v>
      </c>
      <c r="B1" s="566"/>
      <c r="C1" s="566"/>
      <c r="D1" s="566"/>
      <c r="E1" s="566"/>
      <c r="F1" s="566"/>
      <c r="G1" s="566"/>
      <c r="H1" s="566"/>
      <c r="I1" s="566"/>
      <c r="J1" s="566"/>
      <c r="K1" s="566"/>
      <c r="L1" s="566"/>
      <c r="M1" s="566"/>
      <c r="N1" s="566"/>
      <c r="O1" s="566"/>
      <c r="P1" s="566"/>
      <c r="Q1" s="566"/>
      <c r="R1" s="566"/>
    </row>
    <row r="3" spans="1:21" ht="26.25" customHeight="1" x14ac:dyDescent="0.25">
      <c r="H3" s="23">
        <f ca="1">H3:H38</f>
        <v>0</v>
      </c>
      <c r="O3" s="567" t="s">
        <v>49</v>
      </c>
      <c r="P3" s="568"/>
      <c r="Q3" s="568"/>
      <c r="R3" s="568"/>
    </row>
    <row r="4" spans="1:21" x14ac:dyDescent="0.25">
      <c r="O4" s="569" t="s">
        <v>20</v>
      </c>
      <c r="P4" s="570"/>
      <c r="Q4" s="571"/>
      <c r="R4" s="253" t="s">
        <v>24</v>
      </c>
    </row>
    <row r="5" spans="1:21" x14ac:dyDescent="0.25">
      <c r="O5" s="20" t="s">
        <v>13</v>
      </c>
      <c r="P5" s="20"/>
      <c r="Q5" s="21"/>
      <c r="R5" s="18">
        <f>SUMIF('EB211'!$V$3:$V$44,O5,'EB211'!$T$3:$T$44)</f>
        <v>2</v>
      </c>
    </row>
    <row r="6" spans="1:21" x14ac:dyDescent="0.25">
      <c r="O6" s="20" t="s">
        <v>25</v>
      </c>
      <c r="P6" s="20"/>
      <c r="Q6" s="21"/>
      <c r="R6" s="18">
        <f>SUMIF('EB211'!$V$3:$V$44,O6,'EB211'!$T$3:$T$44)</f>
        <v>2</v>
      </c>
    </row>
    <row r="7" spans="1:21" x14ac:dyDescent="0.25">
      <c r="O7" s="20" t="s">
        <v>3</v>
      </c>
      <c r="P7" s="20"/>
      <c r="Q7" s="21"/>
      <c r="R7" s="18">
        <f>SUMIF('EB211'!$V$3:$V$44,O7,'EB211'!$T$3:$T$44)</f>
        <v>1</v>
      </c>
    </row>
    <row r="8" spans="1:21" x14ac:dyDescent="0.25">
      <c r="O8" s="20" t="s">
        <v>14</v>
      </c>
      <c r="P8" s="20"/>
      <c r="Q8" s="21"/>
      <c r="R8" s="18">
        <f>SUMIF('EB211'!$V$3:$V$44,O8,'EB211'!$T$3:$T$44)</f>
        <v>1</v>
      </c>
    </row>
    <row r="9" spans="1:21" x14ac:dyDescent="0.25">
      <c r="O9" s="20" t="s">
        <v>30</v>
      </c>
      <c r="P9" s="20"/>
      <c r="Q9" s="21"/>
      <c r="R9" s="18">
        <f>SUMIF('EB211'!$V$3:$V$44,O9,'EB211'!$T$3:$T$44)</f>
        <v>1</v>
      </c>
    </row>
    <row r="10" spans="1:21" ht="15.75" x14ac:dyDescent="0.25">
      <c r="O10" s="20" t="s">
        <v>5</v>
      </c>
      <c r="P10" s="20"/>
      <c r="Q10" s="21"/>
      <c r="R10" s="18">
        <f>SUMIF('EB211'!$V$3:$V$44,O10,'EB211'!$T$3:$T$44)</f>
        <v>0</v>
      </c>
      <c r="U10" s="125"/>
    </row>
    <row r="11" spans="1:21" x14ac:dyDescent="0.25">
      <c r="O11" s="20" t="s">
        <v>15</v>
      </c>
      <c r="P11" s="20"/>
      <c r="Q11" s="21"/>
      <c r="R11" s="18">
        <f>SUMIF('EB211'!$V$3:$V$44,O11,'EB211'!$T$3:$T$44)</f>
        <v>0</v>
      </c>
    </row>
    <row r="12" spans="1:21" x14ac:dyDescent="0.25">
      <c r="O12" s="20" t="s">
        <v>11</v>
      </c>
      <c r="P12" s="20"/>
      <c r="Q12" s="21"/>
      <c r="R12" s="18">
        <f>SUMIF('EB211'!$V$3:$V$44,O12,'EB211'!$T$3:$T$44)</f>
        <v>0</v>
      </c>
    </row>
    <row r="13" spans="1:21" x14ac:dyDescent="0.25">
      <c r="O13" s="20" t="s">
        <v>42</v>
      </c>
      <c r="P13" s="20"/>
      <c r="Q13" s="21"/>
      <c r="R13" s="18">
        <f>SUMIF('EB211'!$V$3:$V$44,O13,'EB211'!$T$3:$T$44)</f>
        <v>0</v>
      </c>
    </row>
    <row r="14" spans="1:21" x14ac:dyDescent="0.25">
      <c r="O14" s="20" t="s">
        <v>12</v>
      </c>
      <c r="P14" s="20"/>
      <c r="Q14" s="21"/>
      <c r="R14" s="18">
        <f>SUMIF('EB211'!$V$3:$V$44,O14,'EB211'!$T$3:$T$44)</f>
        <v>0</v>
      </c>
    </row>
    <row r="15" spans="1:21" x14ac:dyDescent="0.25">
      <c r="O15" s="20" t="s">
        <v>26</v>
      </c>
      <c r="P15" s="20"/>
      <c r="Q15" s="21"/>
      <c r="R15" s="18">
        <f>SUMIF('EB211'!$V$3:$V$44,O15,'EB211'!$T$3:$T$44)</f>
        <v>0</v>
      </c>
    </row>
    <row r="16" spans="1:21" x14ac:dyDescent="0.25">
      <c r="O16" s="20" t="s">
        <v>29</v>
      </c>
      <c r="P16" s="20"/>
      <c r="Q16" s="21"/>
      <c r="R16" s="18">
        <f>SUMIF('EB211'!$V$3:$V$44,O16,'EB211'!$T$3:$T$44)</f>
        <v>0</v>
      </c>
    </row>
    <row r="17" spans="1:18" x14ac:dyDescent="0.25">
      <c r="O17" s="20" t="s">
        <v>32</v>
      </c>
      <c r="P17" s="20"/>
      <c r="Q17" s="21"/>
      <c r="R17" s="18">
        <f>SUMIF('EB211'!$V$3:$V$44,O17,'EB211'!$T$3:$T$44)</f>
        <v>0</v>
      </c>
    </row>
    <row r="18" spans="1:18" x14ac:dyDescent="0.25">
      <c r="O18" s="20" t="s">
        <v>0</v>
      </c>
      <c r="P18" s="20"/>
      <c r="Q18" s="21"/>
      <c r="R18" s="18">
        <f>SUMIF('EB211'!$V$3:$V$44,O18,'EB211'!$T$3:$T$44)</f>
        <v>0</v>
      </c>
    </row>
    <row r="19" spans="1:18" x14ac:dyDescent="0.25">
      <c r="O19" s="20" t="s">
        <v>19</v>
      </c>
      <c r="P19" s="20"/>
      <c r="Q19" s="21"/>
      <c r="R19" s="18">
        <f>SUMIF('EB211'!$V$3:$V$44,O19,'EB211'!$T$3:$T$44)</f>
        <v>0</v>
      </c>
    </row>
    <row r="20" spans="1:18" ht="15.75" customHeight="1" x14ac:dyDescent="0.25">
      <c r="O20" s="20" t="s">
        <v>8</v>
      </c>
      <c r="P20" s="20"/>
      <c r="Q20" s="21"/>
      <c r="R20" s="18">
        <f>SUMIF('EB211'!$V$3:$V$44,O20,'EB211'!$T$3:$T$44)</f>
        <v>0</v>
      </c>
    </row>
    <row r="21" spans="1:18" ht="23.25" x14ac:dyDescent="0.25">
      <c r="A21" s="127"/>
      <c r="B21" s="128" t="s">
        <v>61</v>
      </c>
      <c r="C21" s="128"/>
      <c r="D21" s="128"/>
      <c r="E21" s="129"/>
      <c r="O21" s="20" t="s">
        <v>43</v>
      </c>
      <c r="P21" s="20"/>
      <c r="Q21" s="21"/>
      <c r="R21" s="18">
        <f>SUMIF('EB211'!$V$3:$V$44,O21,'EB211'!$T$3:$T$44)</f>
        <v>0</v>
      </c>
    </row>
    <row r="22" spans="1:18" ht="19.5" customHeight="1" x14ac:dyDescent="0.25">
      <c r="A22" s="133" t="s">
        <v>22</v>
      </c>
      <c r="B22" s="134" t="s">
        <v>17</v>
      </c>
      <c r="C22" s="134" t="s">
        <v>16</v>
      </c>
      <c r="D22" s="134" t="s">
        <v>1</v>
      </c>
      <c r="E22" s="135" t="s">
        <v>23</v>
      </c>
      <c r="O22" s="20" t="s">
        <v>76</v>
      </c>
      <c r="P22" s="20"/>
      <c r="Q22" s="21"/>
      <c r="R22" s="18">
        <f>SUMIF('EB211'!$V$3:$V$44,O22,'EB211'!$T$3:$T$44)</f>
        <v>0</v>
      </c>
    </row>
    <row r="23" spans="1:18" x14ac:dyDescent="0.25">
      <c r="A23" s="307">
        <v>1523580</v>
      </c>
      <c r="B23" s="308">
        <f>VLOOKUP(Table1486[[#This Row],[Shop Order]],'EB211'!A:AA,4,FALSE)</f>
        <v>146</v>
      </c>
      <c r="C23" s="308">
        <f>VLOOKUP(Table1486[[#This Row],[Shop Order]],'EB211'!A:AA,5,FALSE)</f>
        <v>139</v>
      </c>
      <c r="D23" s="309">
        <f>VLOOKUP(Table1486[[#This Row],[Shop Order]],'EB211'!A:AA,6,FALSE)</f>
        <v>0.95205479452054798</v>
      </c>
      <c r="E23" s="310">
        <f>VLOOKUP(Table1486[[#This Row],[Shop Order]],'EB211'!A:AA,7,FALSE)</f>
        <v>45474</v>
      </c>
      <c r="O23" s="20" t="s">
        <v>7</v>
      </c>
      <c r="P23" s="20"/>
      <c r="Q23" s="21"/>
      <c r="R23" s="18">
        <f>SUMIF('EB211'!$V$3:$V$44,O23,'EB211'!$T$3:$T$44)</f>
        <v>0</v>
      </c>
    </row>
    <row r="24" spans="1:18" x14ac:dyDescent="0.25">
      <c r="A24" s="307"/>
      <c r="B24" s="308" t="e">
        <f>VLOOKUP(Table1486[[#This Row],[Shop Order]],'EB211'!A:AA,4,FALSE)</f>
        <v>#N/A</v>
      </c>
      <c r="C24" s="308" t="e">
        <f>VLOOKUP(Table1486[[#This Row],[Shop Order]],'EB211'!A:AA,5,FALSE)</f>
        <v>#N/A</v>
      </c>
      <c r="D24" s="309" t="e">
        <f>VLOOKUP(Table1486[[#This Row],[Shop Order]],'EB211'!A:AA,6,FALSE)</f>
        <v>#N/A</v>
      </c>
      <c r="E24" s="310" t="e">
        <f>VLOOKUP(Table1486[[#This Row],[Shop Order]],'EB211'!A:AA,7,FALSE)</f>
        <v>#N/A</v>
      </c>
      <c r="G24" s="24"/>
      <c r="O24" s="20" t="s">
        <v>28</v>
      </c>
      <c r="P24" s="20"/>
      <c r="Q24" s="21"/>
      <c r="R24" s="18">
        <f>SUMIF('EB211'!$V$3:$V$44,O24,'EB211'!$T$3:$T$44)</f>
        <v>0</v>
      </c>
    </row>
    <row r="25" spans="1:18" x14ac:dyDescent="0.25">
      <c r="A25" s="307"/>
      <c r="B25" s="308" t="e">
        <f>VLOOKUP(Table1486[[#This Row],[Shop Order]],'EB211'!A:AA,4,FALSE)</f>
        <v>#N/A</v>
      </c>
      <c r="C25" s="308" t="e">
        <f>VLOOKUP(Table1486[[#This Row],[Shop Order]],'EB211'!A:AA,5,FALSE)</f>
        <v>#N/A</v>
      </c>
      <c r="D25" s="309" t="e">
        <f>VLOOKUP(Table1486[[#This Row],[Shop Order]],'EB211'!A:AA,6,FALSE)</f>
        <v>#N/A</v>
      </c>
      <c r="E25" s="310" t="e">
        <f>VLOOKUP(Table1486[[#This Row],[Shop Order]],'EB211'!A:AA,7,FALSE)</f>
        <v>#N/A</v>
      </c>
      <c r="O25" s="20" t="s">
        <v>10</v>
      </c>
      <c r="P25" s="20"/>
      <c r="Q25" s="21"/>
      <c r="R25" s="18">
        <f>SUMIF('EB211'!$V$3:$V$44,O25,'EB211'!$T$3:$T$44)</f>
        <v>0</v>
      </c>
    </row>
    <row r="26" spans="1:18" x14ac:dyDescent="0.25">
      <c r="A26" s="307"/>
      <c r="B26" s="308" t="e">
        <f>VLOOKUP(Table1486[[#This Row],[Shop Order]],'EB211'!A:AA,4,FALSE)</f>
        <v>#N/A</v>
      </c>
      <c r="C26" s="308" t="e">
        <f>VLOOKUP(Table1486[[#This Row],[Shop Order]],'EB211'!A:AA,5,FALSE)</f>
        <v>#N/A</v>
      </c>
      <c r="D26" s="309" t="e">
        <f>VLOOKUP(Table1486[[#This Row],[Shop Order]],'EB211'!A:AA,6,FALSE)</f>
        <v>#N/A</v>
      </c>
      <c r="E26" s="310" t="e">
        <f>VLOOKUP(Table1486[[#This Row],[Shop Order]],'EB211'!A:AA,7,FALSE)</f>
        <v>#N/A</v>
      </c>
      <c r="O26" s="20" t="s">
        <v>77</v>
      </c>
      <c r="P26" s="20"/>
      <c r="Q26" s="21"/>
      <c r="R26" s="18">
        <f>SUMIF('EB211'!$V$3:$V$44,O26,'EB211'!$T$3:$T$44)</f>
        <v>0</v>
      </c>
    </row>
    <row r="27" spans="1:18" x14ac:dyDescent="0.25">
      <c r="A27" s="307"/>
      <c r="B27" s="308" t="e">
        <f>VLOOKUP(Table1486[[#This Row],[Shop Order]],'EB211'!A:AA,4,FALSE)</f>
        <v>#N/A</v>
      </c>
      <c r="C27" s="308" t="e">
        <f>VLOOKUP(Table1486[[#This Row],[Shop Order]],'EB211'!A:AA,5,FALSE)</f>
        <v>#N/A</v>
      </c>
      <c r="D27" s="309" t="e">
        <f>VLOOKUP(Table1486[[#This Row],[Shop Order]],'EB211'!A:AA,6,FALSE)</f>
        <v>#N/A</v>
      </c>
      <c r="E27" s="310" t="e">
        <f>VLOOKUP(Table1486[[#This Row],[Shop Order]],'EB211'!A:AA,7,FALSE)</f>
        <v>#N/A</v>
      </c>
      <c r="O27" s="20" t="s">
        <v>111</v>
      </c>
      <c r="P27" s="20"/>
      <c r="Q27" s="21"/>
      <c r="R27" s="18">
        <f>SUMIF('EB211'!$V$3:$V$44,O27,'EB211'!$T$3:$T$44)</f>
        <v>0</v>
      </c>
    </row>
    <row r="28" spans="1:18" x14ac:dyDescent="0.25">
      <c r="A28" s="307"/>
      <c r="B28" s="308" t="e">
        <f>VLOOKUP(Table1486[[#This Row],[Shop Order]],'EB211'!A:AA,4,FALSE)</f>
        <v>#N/A</v>
      </c>
      <c r="C28" s="308" t="e">
        <f>VLOOKUP(Table1486[[#This Row],[Shop Order]],'EB211'!A:AA,5,FALSE)</f>
        <v>#N/A</v>
      </c>
      <c r="D28" s="309" t="e">
        <f>VLOOKUP(Table1486[[#This Row],[Shop Order]],'EB211'!A:AA,6,FALSE)</f>
        <v>#N/A</v>
      </c>
      <c r="E28" s="310" t="e">
        <f>VLOOKUP(Table1486[[#This Row],[Shop Order]],'EB211'!A:AA,7,FALSE)</f>
        <v>#N/A</v>
      </c>
      <c r="O28" s="20" t="s">
        <v>78</v>
      </c>
      <c r="P28" s="20"/>
      <c r="Q28" s="21"/>
      <c r="R28" s="18">
        <f>SUMIF('EB211'!$V$3:$V$44,O28,'EB211'!$T$3:$T$44)</f>
        <v>0</v>
      </c>
    </row>
    <row r="29" spans="1:18" ht="15" customHeight="1" x14ac:dyDescent="0.25">
      <c r="A29" s="578" t="s">
        <v>48</v>
      </c>
      <c r="B29" s="578"/>
      <c r="C29" s="578"/>
      <c r="D29" s="389">
        <f>AVERAGE(D23)</f>
        <v>0.95205479452054798</v>
      </c>
      <c r="E29" s="136"/>
      <c r="O29" s="20" t="s">
        <v>94</v>
      </c>
      <c r="P29" s="31"/>
      <c r="Q29" s="31"/>
      <c r="R29" s="18">
        <f>SUMIF('EB211'!$V$3:$V$44,O29,'EB211'!$T$3:$T$44)</f>
        <v>0</v>
      </c>
    </row>
    <row r="31" spans="1:18" ht="30.75" customHeight="1" x14ac:dyDescent="0.25">
      <c r="E31" s="23"/>
    </row>
    <row r="32" spans="1:18" ht="38.25" customHeight="1" x14ac:dyDescent="0.25">
      <c r="E32" s="23"/>
    </row>
    <row r="33" spans="5:5" ht="33.75" customHeight="1" x14ac:dyDescent="0.25">
      <c r="E33" s="23"/>
    </row>
  </sheetData>
  <autoFilter ref="O4:R4" xr:uid="{00000000-0009-0000-0000-000003000000}">
    <filterColumn colId="0" showButton="0"/>
    <filterColumn colId="1" showButton="0"/>
    <sortState xmlns:xlrd2="http://schemas.microsoft.com/office/spreadsheetml/2017/richdata2" ref="O5:R29">
      <sortCondition descending="1" ref="R4"/>
    </sortState>
  </autoFilter>
  <sortState xmlns:xlrd2="http://schemas.microsoft.com/office/spreadsheetml/2017/richdata2" ref="O5:R29">
    <sortCondition descending="1" ref="R5:R29"/>
  </sortState>
  <dataConsolidate/>
  <mergeCells count="4">
    <mergeCell ref="A1:R1"/>
    <mergeCell ref="O3:R3"/>
    <mergeCell ref="O4:Q4"/>
    <mergeCell ref="A29:C29"/>
  </mergeCells>
  <pageMargins left="0" right="0" top="0.75" bottom="0.75" header="0.3" footer="0.3"/>
  <pageSetup scale="62" orientation="landscape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>
    <pageSetUpPr fitToPage="1"/>
  </sheetPr>
  <dimension ref="A1:Z128"/>
  <sheetViews>
    <sheetView topLeftCell="F84" zoomScale="65" zoomScaleNormal="65" workbookViewId="0">
      <selection activeCell="Z113" sqref="Z113"/>
    </sheetView>
  </sheetViews>
  <sheetFormatPr defaultColWidth="9.140625" defaultRowHeight="15" x14ac:dyDescent="0.25"/>
  <cols>
    <col min="1" max="1" width="13.140625" style="41" customWidth="1"/>
    <col min="2" max="2" width="10.7109375" style="41" customWidth="1"/>
    <col min="3" max="5" width="8.7109375" style="41" customWidth="1"/>
    <col min="6" max="6" width="12" style="41" customWidth="1"/>
    <col min="7" max="7" width="12.85546875" style="13" bestFit="1" customWidth="1"/>
    <col min="8" max="11" width="15.85546875" style="7" customWidth="1"/>
    <col min="12" max="12" width="15.85546875" style="8" customWidth="1"/>
    <col min="13" max="13" width="15.85546875" style="9" customWidth="1"/>
    <col min="14" max="15" width="15.85546875" style="41" customWidth="1"/>
    <col min="16" max="16" width="15.85546875" style="10" customWidth="1"/>
    <col min="17" max="20" width="15.85546875" style="12" customWidth="1"/>
    <col min="21" max="21" width="9.140625" style="12"/>
    <col min="22" max="22" width="11.140625" style="12" bestFit="1" customWidth="1"/>
    <col min="23" max="23" width="10.28515625" style="12" customWidth="1"/>
    <col min="24" max="24" width="40.7109375" style="41" customWidth="1"/>
    <col min="25" max="25" width="18" style="41" hidden="1" customWidth="1"/>
    <col min="26" max="26" width="44.42578125" style="41" customWidth="1"/>
    <col min="27" max="16384" width="9.140625" style="41"/>
  </cols>
  <sheetData>
    <row r="1" spans="1:26" ht="75.75" thickBot="1" x14ac:dyDescent="0.3">
      <c r="A1" s="43" t="s">
        <v>22</v>
      </c>
      <c r="B1" s="43" t="s">
        <v>46</v>
      </c>
      <c r="C1" s="43" t="s">
        <v>51</v>
      </c>
      <c r="D1" s="43" t="s">
        <v>17</v>
      </c>
      <c r="E1" s="42" t="s">
        <v>16</v>
      </c>
      <c r="F1" s="44" t="s">
        <v>1</v>
      </c>
      <c r="G1" s="45" t="s">
        <v>23</v>
      </c>
      <c r="H1" s="46" t="s">
        <v>71</v>
      </c>
      <c r="I1" s="46" t="s">
        <v>72</v>
      </c>
      <c r="J1" s="46" t="s">
        <v>52</v>
      </c>
      <c r="K1" s="46" t="s">
        <v>57</v>
      </c>
      <c r="L1" s="46" t="s">
        <v>53</v>
      </c>
      <c r="M1" s="46" t="s">
        <v>58</v>
      </c>
      <c r="N1" s="46" t="s">
        <v>54</v>
      </c>
      <c r="O1" s="46" t="s">
        <v>59</v>
      </c>
      <c r="P1" s="46" t="s">
        <v>55</v>
      </c>
      <c r="Q1" s="46" t="s">
        <v>73</v>
      </c>
      <c r="R1" s="46" t="s">
        <v>56</v>
      </c>
      <c r="S1" s="46" t="s">
        <v>112</v>
      </c>
      <c r="T1" s="43" t="s">
        <v>40</v>
      </c>
      <c r="U1" s="43" t="s">
        <v>4</v>
      </c>
      <c r="V1" s="42" t="s">
        <v>2</v>
      </c>
      <c r="W1" s="79" t="s">
        <v>146</v>
      </c>
      <c r="X1" s="80" t="s">
        <v>20</v>
      </c>
      <c r="Y1" s="179" t="s">
        <v>4</v>
      </c>
      <c r="Z1" s="182" t="s">
        <v>6</v>
      </c>
    </row>
    <row r="2" spans="1:26" ht="15.75" thickBot="1" x14ac:dyDescent="0.3">
      <c r="A2" s="181">
        <v>1526573</v>
      </c>
      <c r="B2" s="181" t="s">
        <v>251</v>
      </c>
      <c r="C2" s="314">
        <v>1152</v>
      </c>
      <c r="D2" s="314">
        <v>1185</v>
      </c>
      <c r="E2" s="319">
        <v>1104</v>
      </c>
      <c r="F2" s="313">
        <f>E2/D2</f>
        <v>0.93164556962025313</v>
      </c>
      <c r="G2" s="180">
        <v>45474</v>
      </c>
      <c r="H2" s="169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7"/>
      <c r="U2" s="291"/>
      <c r="V2" s="166"/>
      <c r="W2" s="166"/>
      <c r="X2" s="86" t="s">
        <v>74</v>
      </c>
      <c r="Y2" s="179" t="s">
        <v>4</v>
      </c>
      <c r="Z2" s="77" t="s">
        <v>208</v>
      </c>
    </row>
    <row r="3" spans="1:26" x14ac:dyDescent="0.25">
      <c r="A3" s="49"/>
      <c r="B3" s="50"/>
      <c r="C3" s="50"/>
      <c r="D3" s="50"/>
      <c r="E3" s="50"/>
      <c r="F3" s="50"/>
      <c r="G3" s="51"/>
      <c r="H3" s="58">
        <v>2</v>
      </c>
      <c r="I3" s="68"/>
      <c r="J3" s="68">
        <v>1</v>
      </c>
      <c r="K3" s="68"/>
      <c r="L3" s="68"/>
      <c r="M3" s="68"/>
      <c r="N3" s="68"/>
      <c r="O3" s="68"/>
      <c r="P3" s="68"/>
      <c r="Q3" s="68"/>
      <c r="R3" s="68"/>
      <c r="S3" s="68"/>
      <c r="T3" s="59"/>
      <c r="U3" s="71">
        <f t="shared" ref="U3:U31" si="0">SUM(H3,J3,L3,N3,P3,R3,T3)</f>
        <v>3</v>
      </c>
      <c r="V3" s="183">
        <f>($U3)/$D$2</f>
        <v>2.5316455696202532E-3</v>
      </c>
      <c r="W3" s="193">
        <f>D2</f>
        <v>1185</v>
      </c>
      <c r="X3" s="165" t="s">
        <v>15</v>
      </c>
      <c r="Y3" s="178">
        <f t="shared" ref="Y3:Y16" si="1">U3</f>
        <v>3</v>
      </c>
      <c r="Z3" s="210" t="s">
        <v>117</v>
      </c>
    </row>
    <row r="4" spans="1:26" x14ac:dyDescent="0.25">
      <c r="A4" s="52"/>
      <c r="B4" s="53"/>
      <c r="C4" s="53"/>
      <c r="D4" s="53"/>
      <c r="E4" s="53"/>
      <c r="F4" s="53"/>
      <c r="G4" s="54"/>
      <c r="H4" s="33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62"/>
      <c r="U4" s="71">
        <f t="shared" si="0"/>
        <v>0</v>
      </c>
      <c r="V4" s="183">
        <f t="shared" ref="V4:V31" si="2">($U4)/$D$2</f>
        <v>0</v>
      </c>
      <c r="W4" s="193">
        <f>D2</f>
        <v>1185</v>
      </c>
      <c r="X4" s="171" t="s">
        <v>42</v>
      </c>
      <c r="Y4" s="160"/>
      <c r="Z4" s="210" t="s">
        <v>171</v>
      </c>
    </row>
    <row r="5" spans="1:26" x14ac:dyDescent="0.25">
      <c r="A5" s="52"/>
      <c r="B5" s="53"/>
      <c r="C5" s="53"/>
      <c r="D5" s="53"/>
      <c r="E5" s="53"/>
      <c r="F5" s="53"/>
      <c r="G5" s="54"/>
      <c r="H5" s="60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1"/>
      <c r="U5" s="67">
        <f t="shared" si="0"/>
        <v>0</v>
      </c>
      <c r="V5" s="183">
        <f t="shared" si="2"/>
        <v>0</v>
      </c>
      <c r="W5" s="193">
        <f>D2</f>
        <v>1185</v>
      </c>
      <c r="X5" s="164" t="s">
        <v>5</v>
      </c>
      <c r="Y5" s="160">
        <f t="shared" si="1"/>
        <v>0</v>
      </c>
      <c r="Z5" s="126"/>
    </row>
    <row r="6" spans="1:26" x14ac:dyDescent="0.25">
      <c r="A6" s="52"/>
      <c r="B6" s="53"/>
      <c r="C6" s="53"/>
      <c r="D6" s="53"/>
      <c r="E6" s="55"/>
      <c r="F6" s="55"/>
      <c r="G6" s="54"/>
      <c r="H6" s="60">
        <v>1</v>
      </c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1"/>
      <c r="U6" s="67">
        <f t="shared" si="0"/>
        <v>1</v>
      </c>
      <c r="V6" s="183">
        <f t="shared" si="2"/>
        <v>8.438818565400844E-4</v>
      </c>
      <c r="W6" s="193">
        <f>D2</f>
        <v>1185</v>
      </c>
      <c r="X6" s="164" t="s">
        <v>13</v>
      </c>
      <c r="Y6" s="160">
        <f t="shared" si="1"/>
        <v>1</v>
      </c>
      <c r="Z6" s="394"/>
    </row>
    <row r="7" spans="1:26" x14ac:dyDescent="0.25">
      <c r="A7" s="52"/>
      <c r="B7" s="53"/>
      <c r="C7" s="53"/>
      <c r="D7" s="53"/>
      <c r="E7" s="55"/>
      <c r="F7" s="55"/>
      <c r="G7" s="54"/>
      <c r="H7" s="60">
        <v>9</v>
      </c>
      <c r="I7" s="69"/>
      <c r="J7" s="69">
        <v>2</v>
      </c>
      <c r="K7" s="69"/>
      <c r="L7" s="69"/>
      <c r="M7" s="69"/>
      <c r="N7" s="69"/>
      <c r="O7" s="69"/>
      <c r="P7" s="69"/>
      <c r="Q7" s="69"/>
      <c r="R7" s="69"/>
      <c r="S7" s="69"/>
      <c r="T7" s="61"/>
      <c r="U7" s="67">
        <f t="shared" si="0"/>
        <v>11</v>
      </c>
      <c r="V7" s="183">
        <f t="shared" si="2"/>
        <v>9.282700421940928E-3</v>
      </c>
      <c r="W7" s="193">
        <f>D2</f>
        <v>1185</v>
      </c>
      <c r="X7" s="164" t="s">
        <v>14</v>
      </c>
      <c r="Y7" s="160">
        <f t="shared" si="1"/>
        <v>11</v>
      </c>
      <c r="Z7" s="78"/>
    </row>
    <row r="8" spans="1:26" x14ac:dyDescent="0.25">
      <c r="A8" s="52"/>
      <c r="B8" s="53"/>
      <c r="C8" s="53"/>
      <c r="D8" s="53"/>
      <c r="E8" s="55"/>
      <c r="F8" s="55"/>
      <c r="G8" s="54"/>
      <c r="H8" s="60">
        <v>5</v>
      </c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1"/>
      <c r="U8" s="67">
        <f t="shared" si="0"/>
        <v>5</v>
      </c>
      <c r="V8" s="183">
        <f t="shared" si="2"/>
        <v>4.2194092827004216E-3</v>
      </c>
      <c r="W8" s="193">
        <f>D2</f>
        <v>1185</v>
      </c>
      <c r="X8" s="164" t="s">
        <v>29</v>
      </c>
      <c r="Y8" s="160">
        <f t="shared" si="1"/>
        <v>5</v>
      </c>
      <c r="Z8" s="212"/>
    </row>
    <row r="9" spans="1:26" ht="15.75" x14ac:dyDescent="0.25">
      <c r="A9" s="52"/>
      <c r="B9" s="53"/>
      <c r="C9" s="53"/>
      <c r="D9" s="53"/>
      <c r="E9" s="55"/>
      <c r="F9" s="55"/>
      <c r="G9" s="54"/>
      <c r="H9" s="60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1"/>
      <c r="U9" s="67">
        <f t="shared" si="0"/>
        <v>0</v>
      </c>
      <c r="V9" s="183">
        <f t="shared" si="2"/>
        <v>0</v>
      </c>
      <c r="W9" s="193">
        <f>D2</f>
        <v>1185</v>
      </c>
      <c r="X9" s="203" t="s">
        <v>30</v>
      </c>
      <c r="Y9" s="160">
        <f t="shared" si="1"/>
        <v>0</v>
      </c>
      <c r="Z9" s="126"/>
    </row>
    <row r="10" spans="1:26" x14ac:dyDescent="0.25">
      <c r="A10" s="52"/>
      <c r="B10" s="53"/>
      <c r="C10" s="53"/>
      <c r="D10" s="53"/>
      <c r="E10" s="55"/>
      <c r="F10" s="55"/>
      <c r="G10" s="54"/>
      <c r="H10" s="60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1"/>
      <c r="U10" s="67">
        <f t="shared" si="0"/>
        <v>0</v>
      </c>
      <c r="V10" s="183">
        <f t="shared" si="2"/>
        <v>0</v>
      </c>
      <c r="W10" s="193">
        <f>D2</f>
        <v>1185</v>
      </c>
      <c r="X10" s="164" t="s">
        <v>19</v>
      </c>
      <c r="Y10" s="160">
        <f t="shared" si="1"/>
        <v>0</v>
      </c>
      <c r="Z10" s="126"/>
    </row>
    <row r="11" spans="1:26" x14ac:dyDescent="0.25">
      <c r="A11" s="52"/>
      <c r="B11" s="53"/>
      <c r="C11" s="53"/>
      <c r="D11" s="53"/>
      <c r="E11" s="55"/>
      <c r="F11" s="55"/>
      <c r="G11" s="54"/>
      <c r="H11" s="60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1"/>
      <c r="U11" s="67">
        <f t="shared" si="0"/>
        <v>0</v>
      </c>
      <c r="V11" s="183">
        <f t="shared" si="2"/>
        <v>0</v>
      </c>
      <c r="W11" s="193">
        <f>D2</f>
        <v>1185</v>
      </c>
      <c r="X11" s="164" t="s">
        <v>28</v>
      </c>
      <c r="Y11" s="160">
        <f t="shared" si="1"/>
        <v>0</v>
      </c>
      <c r="Z11" s="126"/>
    </row>
    <row r="12" spans="1:26" x14ac:dyDescent="0.25">
      <c r="A12" s="52"/>
      <c r="B12" s="53"/>
      <c r="C12" s="53"/>
      <c r="D12" s="53"/>
      <c r="E12" s="55"/>
      <c r="F12" s="55"/>
      <c r="G12" s="54"/>
      <c r="H12" s="60">
        <v>2</v>
      </c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1">
        <v>5</v>
      </c>
      <c r="U12" s="67">
        <f t="shared" si="0"/>
        <v>7</v>
      </c>
      <c r="V12" s="183">
        <f t="shared" si="2"/>
        <v>5.9071729957805904E-3</v>
      </c>
      <c r="W12" s="193">
        <f>D2</f>
        <v>1185</v>
      </c>
      <c r="X12" s="164" t="s">
        <v>0</v>
      </c>
      <c r="Y12" s="160">
        <f t="shared" si="1"/>
        <v>7</v>
      </c>
      <c r="Z12" s="78"/>
    </row>
    <row r="13" spans="1:26" x14ac:dyDescent="0.25">
      <c r="A13" s="52"/>
      <c r="B13" s="53"/>
      <c r="C13" s="53"/>
      <c r="D13" s="53"/>
      <c r="E13" s="55"/>
      <c r="F13" s="55"/>
      <c r="G13" s="54"/>
      <c r="H13" s="60">
        <v>12</v>
      </c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>
        <v>1</v>
      </c>
      <c r="T13" s="61"/>
      <c r="U13" s="67">
        <f t="shared" si="0"/>
        <v>12</v>
      </c>
      <c r="V13" s="183">
        <f t="shared" si="2"/>
        <v>1.0126582278481013E-2</v>
      </c>
      <c r="W13" s="193">
        <f>D2</f>
        <v>1185</v>
      </c>
      <c r="X13" s="164" t="s">
        <v>11</v>
      </c>
      <c r="Y13" s="160">
        <f t="shared" si="1"/>
        <v>12</v>
      </c>
      <c r="Z13" s="342"/>
    </row>
    <row r="14" spans="1:26" x14ac:dyDescent="0.25">
      <c r="A14" s="52"/>
      <c r="B14" s="53"/>
      <c r="C14" s="53"/>
      <c r="D14" s="53"/>
      <c r="E14" s="55"/>
      <c r="F14" s="55"/>
      <c r="G14" s="54"/>
      <c r="H14" s="60">
        <v>2</v>
      </c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1"/>
      <c r="U14" s="67">
        <f t="shared" si="0"/>
        <v>2</v>
      </c>
      <c r="V14" s="183">
        <f t="shared" si="2"/>
        <v>1.6877637130801688E-3</v>
      </c>
      <c r="W14" s="193">
        <f>D2</f>
        <v>1185</v>
      </c>
      <c r="X14" s="164" t="s">
        <v>32</v>
      </c>
      <c r="Y14" s="160">
        <f t="shared" si="1"/>
        <v>2</v>
      </c>
      <c r="Z14" s="126"/>
    </row>
    <row r="15" spans="1:26" x14ac:dyDescent="0.25">
      <c r="A15" s="52"/>
      <c r="B15" s="53"/>
      <c r="C15" s="53"/>
      <c r="D15" s="53"/>
      <c r="E15" s="55"/>
      <c r="F15" s="55"/>
      <c r="G15" s="54"/>
      <c r="H15" s="64"/>
      <c r="I15" s="65"/>
      <c r="J15" s="65">
        <v>7</v>
      </c>
      <c r="K15" s="65"/>
      <c r="L15" s="65"/>
      <c r="M15" s="65"/>
      <c r="N15" s="65"/>
      <c r="O15" s="65"/>
      <c r="P15" s="65"/>
      <c r="Q15" s="65"/>
      <c r="R15" s="65"/>
      <c r="S15" s="65"/>
      <c r="T15" s="66"/>
      <c r="U15" s="159">
        <f t="shared" si="0"/>
        <v>7</v>
      </c>
      <c r="V15" s="183">
        <f t="shared" si="2"/>
        <v>5.9071729957805904E-3</v>
      </c>
      <c r="W15" s="193">
        <f>D2</f>
        <v>1185</v>
      </c>
      <c r="X15" s="164" t="s">
        <v>19</v>
      </c>
      <c r="Y15" s="160">
        <f t="shared" si="1"/>
        <v>7</v>
      </c>
      <c r="Z15" s="126"/>
    </row>
    <row r="16" spans="1:26" ht="15.75" x14ac:dyDescent="0.25">
      <c r="A16" s="52"/>
      <c r="B16" s="53"/>
      <c r="C16" s="53"/>
      <c r="D16" s="53"/>
      <c r="E16" s="55"/>
      <c r="F16" s="55"/>
      <c r="G16" s="54"/>
      <c r="H16" s="64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6"/>
      <c r="U16" s="159">
        <f t="shared" si="0"/>
        <v>0</v>
      </c>
      <c r="V16" s="183">
        <f t="shared" si="2"/>
        <v>0</v>
      </c>
      <c r="W16" s="193">
        <f>D2</f>
        <v>1185</v>
      </c>
      <c r="X16" s="204" t="s">
        <v>25</v>
      </c>
      <c r="Y16" s="160">
        <f t="shared" si="1"/>
        <v>0</v>
      </c>
      <c r="Z16" s="78"/>
    </row>
    <row r="17" spans="1:26" x14ac:dyDescent="0.25">
      <c r="A17" s="52"/>
      <c r="B17" s="53"/>
      <c r="C17" s="53"/>
      <c r="D17" s="53"/>
      <c r="E17" s="55"/>
      <c r="F17" s="55"/>
      <c r="G17" s="56"/>
      <c r="H17" s="34"/>
      <c r="I17" s="69"/>
      <c r="J17" s="69">
        <v>2</v>
      </c>
      <c r="K17" s="69"/>
      <c r="L17" s="69"/>
      <c r="M17" s="69"/>
      <c r="N17" s="69"/>
      <c r="O17" s="69"/>
      <c r="P17" s="69"/>
      <c r="Q17" s="69"/>
      <c r="R17" s="69"/>
      <c r="S17" s="69"/>
      <c r="T17" s="61"/>
      <c r="U17" s="67">
        <f t="shared" si="0"/>
        <v>2</v>
      </c>
      <c r="V17" s="183">
        <f t="shared" si="2"/>
        <v>1.6877637130801688E-3</v>
      </c>
      <c r="W17" s="193">
        <f>D2</f>
        <v>1185</v>
      </c>
      <c r="X17" s="164" t="s">
        <v>153</v>
      </c>
      <c r="Y17" s="160"/>
      <c r="Z17" s="126"/>
    </row>
    <row r="18" spans="1:26" ht="15.75" thickBot="1" x14ac:dyDescent="0.3">
      <c r="A18" s="52"/>
      <c r="B18" s="53"/>
      <c r="C18" s="53"/>
      <c r="D18" s="53"/>
      <c r="E18" s="55"/>
      <c r="F18" s="55"/>
      <c r="G18" s="54"/>
      <c r="H18" s="176"/>
      <c r="I18" s="175"/>
      <c r="J18" s="175">
        <v>4</v>
      </c>
      <c r="K18" s="175"/>
      <c r="L18" s="175"/>
      <c r="M18" s="175"/>
      <c r="N18" s="175"/>
      <c r="O18" s="175"/>
      <c r="P18" s="175"/>
      <c r="Q18" s="175"/>
      <c r="R18" s="175"/>
      <c r="S18" s="175"/>
      <c r="T18" s="174"/>
      <c r="U18" s="173">
        <f t="shared" si="0"/>
        <v>4</v>
      </c>
      <c r="V18" s="241">
        <f t="shared" si="2"/>
        <v>3.3755274261603376E-3</v>
      </c>
      <c r="W18" s="194">
        <f>D2</f>
        <v>1185</v>
      </c>
      <c r="X18" s="172" t="s">
        <v>26</v>
      </c>
      <c r="Y18" s="160">
        <f>U18</f>
        <v>4</v>
      </c>
      <c r="Z18" s="126"/>
    </row>
    <row r="19" spans="1:26" x14ac:dyDescent="0.25">
      <c r="A19" s="52"/>
      <c r="B19" s="53"/>
      <c r="C19" s="53"/>
      <c r="D19" s="53"/>
      <c r="E19" s="55"/>
      <c r="F19" s="55"/>
      <c r="G19" s="54"/>
      <c r="H19" s="58"/>
      <c r="I19" s="149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62"/>
      <c r="U19" s="67">
        <f t="shared" si="0"/>
        <v>0</v>
      </c>
      <c r="V19" s="183">
        <f t="shared" si="2"/>
        <v>0</v>
      </c>
      <c r="W19" s="195">
        <f>D2</f>
        <v>1185</v>
      </c>
      <c r="X19" s="171" t="s">
        <v>10</v>
      </c>
      <c r="Y19" s="160"/>
      <c r="Z19" s="126"/>
    </row>
    <row r="20" spans="1:26" x14ac:dyDescent="0.25">
      <c r="A20" s="52"/>
      <c r="B20" s="53"/>
      <c r="C20" s="53"/>
      <c r="D20" s="53"/>
      <c r="E20" s="55"/>
      <c r="F20" s="55"/>
      <c r="G20" s="54"/>
      <c r="H20" s="60"/>
      <c r="I20" s="34">
        <v>3</v>
      </c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1"/>
      <c r="U20" s="67">
        <f t="shared" si="0"/>
        <v>0</v>
      </c>
      <c r="V20" s="183">
        <f t="shared" si="2"/>
        <v>0</v>
      </c>
      <c r="W20" s="193">
        <f>D2</f>
        <v>1185</v>
      </c>
      <c r="X20" s="164" t="s">
        <v>93</v>
      </c>
      <c r="Y20" s="160">
        <f t="shared" ref="Y20:Y40" si="3">U20</f>
        <v>0</v>
      </c>
      <c r="Z20" s="78"/>
    </row>
    <row r="21" spans="1:26" x14ac:dyDescent="0.25">
      <c r="A21" s="52"/>
      <c r="B21" s="53"/>
      <c r="C21" s="53"/>
      <c r="D21" s="53"/>
      <c r="E21" s="55"/>
      <c r="F21" s="55"/>
      <c r="G21" s="54"/>
      <c r="H21" s="60"/>
      <c r="I21" s="34">
        <v>13</v>
      </c>
      <c r="J21" s="69">
        <v>1</v>
      </c>
      <c r="K21" s="69"/>
      <c r="L21" s="69"/>
      <c r="M21" s="69"/>
      <c r="N21" s="69"/>
      <c r="O21" s="69"/>
      <c r="P21" s="69"/>
      <c r="Q21" s="69"/>
      <c r="R21" s="69"/>
      <c r="S21" s="69"/>
      <c r="T21" s="61">
        <v>19</v>
      </c>
      <c r="U21" s="67">
        <f t="shared" si="0"/>
        <v>20</v>
      </c>
      <c r="V21" s="183">
        <f t="shared" si="2"/>
        <v>1.6877637130801686E-2</v>
      </c>
      <c r="W21" s="193">
        <f>D2</f>
        <v>1185</v>
      </c>
      <c r="X21" s="164" t="s">
        <v>3</v>
      </c>
      <c r="Y21" s="160">
        <f t="shared" si="3"/>
        <v>20</v>
      </c>
      <c r="Z21" s="78"/>
    </row>
    <row r="22" spans="1:26" x14ac:dyDescent="0.25">
      <c r="A22" s="52"/>
      <c r="B22" s="53"/>
      <c r="C22" s="53"/>
      <c r="D22" s="53"/>
      <c r="E22" s="55"/>
      <c r="F22" s="55"/>
      <c r="G22" s="54"/>
      <c r="H22" s="60"/>
      <c r="I22" s="34">
        <v>1</v>
      </c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1"/>
      <c r="U22" s="67">
        <f t="shared" si="0"/>
        <v>0</v>
      </c>
      <c r="V22" s="183">
        <f t="shared" si="2"/>
        <v>0</v>
      </c>
      <c r="W22" s="193">
        <f>D2</f>
        <v>1185</v>
      </c>
      <c r="X22" s="164" t="s">
        <v>7</v>
      </c>
      <c r="Y22" s="160">
        <f t="shared" si="3"/>
        <v>0</v>
      </c>
      <c r="Z22" s="95"/>
    </row>
    <row r="23" spans="1:26" x14ac:dyDescent="0.25">
      <c r="A23" s="52"/>
      <c r="B23" s="53"/>
      <c r="C23" s="53"/>
      <c r="D23" s="53"/>
      <c r="E23" s="55"/>
      <c r="F23" s="55"/>
      <c r="G23" s="54"/>
      <c r="H23" s="60"/>
      <c r="I23" s="34">
        <v>6</v>
      </c>
      <c r="J23" s="69">
        <v>4</v>
      </c>
      <c r="K23" s="69"/>
      <c r="L23" s="69"/>
      <c r="M23" s="69"/>
      <c r="N23" s="69"/>
      <c r="O23" s="69"/>
      <c r="P23" s="69"/>
      <c r="Q23" s="69"/>
      <c r="R23" s="69"/>
      <c r="S23" s="69"/>
      <c r="T23" s="61"/>
      <c r="U23" s="67">
        <f t="shared" si="0"/>
        <v>4</v>
      </c>
      <c r="V23" s="183">
        <f t="shared" si="2"/>
        <v>3.3755274261603376E-3</v>
      </c>
      <c r="W23" s="193">
        <f>D2</f>
        <v>1185</v>
      </c>
      <c r="X23" s="164" t="s">
        <v>8</v>
      </c>
      <c r="Y23" s="160">
        <f t="shared" si="3"/>
        <v>4</v>
      </c>
      <c r="Z23" s="95"/>
    </row>
    <row r="24" spans="1:26" x14ac:dyDescent="0.25">
      <c r="A24" s="52"/>
      <c r="B24" s="53"/>
      <c r="C24" s="53"/>
      <c r="D24" s="53"/>
      <c r="E24" s="55"/>
      <c r="F24" s="55"/>
      <c r="G24" s="54"/>
      <c r="H24" s="60"/>
      <c r="I24" s="34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1"/>
      <c r="U24" s="67">
        <f t="shared" si="0"/>
        <v>0</v>
      </c>
      <c r="V24" s="183">
        <f t="shared" si="2"/>
        <v>0</v>
      </c>
      <c r="W24" s="193">
        <f>D2</f>
        <v>1185</v>
      </c>
      <c r="X24" s="164" t="s">
        <v>76</v>
      </c>
      <c r="Y24" s="160">
        <f t="shared" si="3"/>
        <v>0</v>
      </c>
      <c r="Z24" s="342"/>
    </row>
    <row r="25" spans="1:26" x14ac:dyDescent="0.25">
      <c r="A25" s="52"/>
      <c r="B25" s="53"/>
      <c r="C25" s="53"/>
      <c r="D25" s="53"/>
      <c r="E25" s="55"/>
      <c r="F25" s="55"/>
      <c r="G25" s="54"/>
      <c r="H25" s="124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1"/>
      <c r="U25" s="67">
        <f t="shared" si="0"/>
        <v>0</v>
      </c>
      <c r="V25" s="183">
        <f t="shared" si="2"/>
        <v>0</v>
      </c>
      <c r="W25" s="193">
        <f>D2</f>
        <v>1185</v>
      </c>
      <c r="X25" s="164" t="s">
        <v>19</v>
      </c>
      <c r="Y25" s="160">
        <f t="shared" si="3"/>
        <v>0</v>
      </c>
      <c r="Z25" s="321" t="s">
        <v>256</v>
      </c>
    </row>
    <row r="26" spans="1:26" x14ac:dyDescent="0.25">
      <c r="A26" s="52"/>
      <c r="B26" s="53"/>
      <c r="C26" s="53"/>
      <c r="D26" s="53"/>
      <c r="E26" s="55"/>
      <c r="F26" s="55"/>
      <c r="G26" s="54"/>
      <c r="H26" s="60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1"/>
      <c r="U26" s="67">
        <f t="shared" si="0"/>
        <v>0</v>
      </c>
      <c r="V26" s="183">
        <f t="shared" si="2"/>
        <v>0</v>
      </c>
      <c r="W26" s="193">
        <f>D2</f>
        <v>1185</v>
      </c>
      <c r="X26" s="164" t="s">
        <v>77</v>
      </c>
      <c r="Y26" s="160">
        <f t="shared" si="3"/>
        <v>0</v>
      </c>
      <c r="Z26" s="342" t="s">
        <v>257</v>
      </c>
    </row>
    <row r="27" spans="1:26" x14ac:dyDescent="0.25">
      <c r="A27" s="52"/>
      <c r="B27" s="53"/>
      <c r="C27" s="53"/>
      <c r="D27" s="53"/>
      <c r="E27" s="55"/>
      <c r="F27" s="55"/>
      <c r="G27" s="54"/>
      <c r="H27" s="60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1"/>
      <c r="U27" s="67">
        <f t="shared" si="0"/>
        <v>0</v>
      </c>
      <c r="V27" s="183">
        <f t="shared" si="2"/>
        <v>0</v>
      </c>
      <c r="W27" s="193">
        <f>D2</f>
        <v>1185</v>
      </c>
      <c r="X27" s="164" t="s">
        <v>170</v>
      </c>
      <c r="Y27" s="160">
        <f t="shared" si="3"/>
        <v>0</v>
      </c>
      <c r="Z27" s="342"/>
    </row>
    <row r="28" spans="1:26" x14ac:dyDescent="0.25">
      <c r="A28" s="52"/>
      <c r="B28" s="53"/>
      <c r="C28" s="53"/>
      <c r="D28" s="53"/>
      <c r="E28" s="55"/>
      <c r="F28" s="55"/>
      <c r="G28" s="54"/>
      <c r="H28" s="60"/>
      <c r="I28" s="69">
        <v>36</v>
      </c>
      <c r="J28" s="69">
        <v>1</v>
      </c>
      <c r="K28" s="69"/>
      <c r="L28" s="69"/>
      <c r="M28" s="69"/>
      <c r="N28" s="69"/>
      <c r="O28" s="69"/>
      <c r="P28" s="69"/>
      <c r="Q28" s="69"/>
      <c r="R28" s="69"/>
      <c r="S28" s="69"/>
      <c r="T28" s="61"/>
      <c r="U28" s="67">
        <f t="shared" si="0"/>
        <v>1</v>
      </c>
      <c r="V28" s="183">
        <f t="shared" si="2"/>
        <v>8.438818565400844E-4</v>
      </c>
      <c r="W28" s="193">
        <f>D2</f>
        <v>1185</v>
      </c>
      <c r="X28" s="164" t="s">
        <v>12</v>
      </c>
      <c r="Y28" s="160">
        <f t="shared" si="3"/>
        <v>1</v>
      </c>
      <c r="Z28" s="342"/>
    </row>
    <row r="29" spans="1:26" x14ac:dyDescent="0.25">
      <c r="A29" s="52"/>
      <c r="B29" s="53"/>
      <c r="C29" s="53"/>
      <c r="D29" s="53"/>
      <c r="E29" s="55"/>
      <c r="F29" s="55"/>
      <c r="G29" s="54"/>
      <c r="H29" s="60"/>
      <c r="I29" s="69">
        <v>2</v>
      </c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1"/>
      <c r="U29" s="67">
        <f t="shared" si="0"/>
        <v>0</v>
      </c>
      <c r="V29" s="183">
        <f t="shared" si="2"/>
        <v>0</v>
      </c>
      <c r="W29" s="193">
        <f>D2</f>
        <v>1185</v>
      </c>
      <c r="X29" s="164" t="s">
        <v>91</v>
      </c>
      <c r="Y29" s="160">
        <f t="shared" si="3"/>
        <v>0</v>
      </c>
      <c r="Z29" s="321"/>
    </row>
    <row r="30" spans="1:26" x14ac:dyDescent="0.25">
      <c r="A30" s="52"/>
      <c r="B30" s="53"/>
      <c r="C30" s="53"/>
      <c r="D30" s="53"/>
      <c r="E30" s="55"/>
      <c r="F30" s="55"/>
      <c r="G30" s="54"/>
      <c r="H30" s="60"/>
      <c r="I30" s="69">
        <v>1</v>
      </c>
      <c r="J30" s="63"/>
      <c r="K30" s="63"/>
      <c r="L30" s="63"/>
      <c r="M30" s="63"/>
      <c r="N30" s="63"/>
      <c r="O30" s="63"/>
      <c r="P30" s="63"/>
      <c r="Q30" s="63"/>
      <c r="R30" s="63"/>
      <c r="S30" s="63">
        <v>1</v>
      </c>
      <c r="T30" s="61"/>
      <c r="U30" s="67">
        <f t="shared" si="0"/>
        <v>0</v>
      </c>
      <c r="V30" s="183">
        <f t="shared" si="2"/>
        <v>0</v>
      </c>
      <c r="W30" s="193">
        <f>D2</f>
        <v>1185</v>
      </c>
      <c r="X30" s="164" t="s">
        <v>79</v>
      </c>
      <c r="Y30" s="160">
        <f t="shared" si="3"/>
        <v>0</v>
      </c>
      <c r="Z30" s="342"/>
    </row>
    <row r="31" spans="1:26" ht="16.5" thickBot="1" x14ac:dyDescent="0.3">
      <c r="A31" s="52"/>
      <c r="B31" s="53"/>
      <c r="C31" s="53"/>
      <c r="D31" s="53"/>
      <c r="E31" s="55"/>
      <c r="F31" s="55"/>
      <c r="G31" s="54"/>
      <c r="H31" s="64"/>
      <c r="I31" s="65">
        <v>1</v>
      </c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6"/>
      <c r="U31" s="67">
        <f t="shared" si="0"/>
        <v>0</v>
      </c>
      <c r="V31" s="183">
        <f t="shared" si="2"/>
        <v>0</v>
      </c>
      <c r="W31" s="194">
        <f>D2</f>
        <v>1185</v>
      </c>
      <c r="X31" s="345" t="s">
        <v>9</v>
      </c>
      <c r="Y31" s="160">
        <f t="shared" si="3"/>
        <v>0</v>
      </c>
      <c r="Z31" s="321"/>
    </row>
    <row r="32" spans="1:26" ht="15.75" thickBot="1" x14ac:dyDescent="0.3">
      <c r="A32" s="52"/>
      <c r="B32" s="53"/>
      <c r="C32" s="53"/>
      <c r="D32" s="53"/>
      <c r="E32" s="55"/>
      <c r="F32" s="55"/>
      <c r="G32" s="54"/>
      <c r="H32" s="169"/>
      <c r="I32" s="168"/>
      <c r="J32" s="168"/>
      <c r="K32" s="168"/>
      <c r="L32" s="168"/>
      <c r="M32" s="168"/>
      <c r="N32" s="168"/>
      <c r="O32" s="168"/>
      <c r="P32" s="168"/>
      <c r="Q32" s="168"/>
      <c r="R32" s="168"/>
      <c r="S32" s="168"/>
      <c r="T32" s="167"/>
      <c r="U32" s="166"/>
      <c r="V32" s="166"/>
      <c r="W32" s="235"/>
      <c r="X32" s="116" t="s">
        <v>80</v>
      </c>
      <c r="Y32" s="160">
        <f t="shared" si="3"/>
        <v>0</v>
      </c>
      <c r="Z32" s="321"/>
    </row>
    <row r="33" spans="1:26" x14ac:dyDescent="0.25">
      <c r="A33" s="52"/>
      <c r="B33" s="53"/>
      <c r="C33" s="53"/>
      <c r="D33" s="53"/>
      <c r="E33" s="55"/>
      <c r="F33" s="55"/>
      <c r="G33" s="56"/>
      <c r="H33" s="5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59"/>
      <c r="U33" s="71">
        <f t="shared" ref="U33:U40" si="4">SUM(H33,J33,L33,N33,P33,R33,T33)</f>
        <v>0</v>
      </c>
      <c r="V33" s="183">
        <f t="shared" ref="V33:V40" si="5">($U33)/$D$2</f>
        <v>0</v>
      </c>
      <c r="W33" s="193">
        <f>D2</f>
        <v>1185</v>
      </c>
      <c r="X33" s="395" t="s">
        <v>88</v>
      </c>
      <c r="Y33" s="160">
        <f t="shared" si="3"/>
        <v>0</v>
      </c>
      <c r="Z33" s="342"/>
    </row>
    <row r="34" spans="1:26" x14ac:dyDescent="0.25">
      <c r="A34" s="52"/>
      <c r="B34" s="53"/>
      <c r="C34" s="53"/>
      <c r="D34" s="53"/>
      <c r="E34" s="55"/>
      <c r="F34" s="55"/>
      <c r="G34" s="56"/>
      <c r="H34" s="60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1"/>
      <c r="U34" s="67">
        <f t="shared" si="4"/>
        <v>0</v>
      </c>
      <c r="V34" s="183">
        <f t="shared" si="5"/>
        <v>0</v>
      </c>
      <c r="W34" s="193">
        <f>D2</f>
        <v>1185</v>
      </c>
      <c r="X34" s="164" t="s">
        <v>82</v>
      </c>
      <c r="Y34" s="160">
        <f t="shared" si="3"/>
        <v>0</v>
      </c>
      <c r="Z34" s="342" t="s">
        <v>252</v>
      </c>
    </row>
    <row r="35" spans="1:26" x14ac:dyDescent="0.25">
      <c r="A35" s="52"/>
      <c r="B35" s="53"/>
      <c r="C35" s="53"/>
      <c r="D35" s="53"/>
      <c r="E35" s="55"/>
      <c r="F35" s="55"/>
      <c r="G35" s="56"/>
      <c r="H35" s="60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1"/>
      <c r="U35" s="67">
        <f t="shared" si="4"/>
        <v>0</v>
      </c>
      <c r="V35" s="183">
        <f t="shared" si="5"/>
        <v>0</v>
      </c>
      <c r="W35" s="193">
        <f>D2</f>
        <v>1185</v>
      </c>
      <c r="X35" s="37" t="s">
        <v>255</v>
      </c>
      <c r="Y35" s="160">
        <f t="shared" si="3"/>
        <v>0</v>
      </c>
      <c r="Z35" s="321" t="s">
        <v>254</v>
      </c>
    </row>
    <row r="36" spans="1:26" ht="15.75" x14ac:dyDescent="0.25">
      <c r="A36" s="52"/>
      <c r="B36" s="53"/>
      <c r="C36" s="53"/>
      <c r="D36" s="53"/>
      <c r="E36" s="55"/>
      <c r="F36" s="55"/>
      <c r="G36" s="56"/>
      <c r="H36" s="60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1"/>
      <c r="U36" s="67">
        <f t="shared" si="4"/>
        <v>0</v>
      </c>
      <c r="V36" s="183">
        <f t="shared" si="5"/>
        <v>0</v>
      </c>
      <c r="W36" s="193">
        <f>D2</f>
        <v>1185</v>
      </c>
      <c r="X36" s="204" t="s">
        <v>25</v>
      </c>
      <c r="Y36" s="160">
        <f t="shared" si="3"/>
        <v>0</v>
      </c>
      <c r="Z36" s="342" t="s">
        <v>253</v>
      </c>
    </row>
    <row r="37" spans="1:26" x14ac:dyDescent="0.25">
      <c r="A37" s="52"/>
      <c r="B37" s="53"/>
      <c r="C37" s="53"/>
      <c r="D37" s="53"/>
      <c r="E37" s="55"/>
      <c r="F37" s="55"/>
      <c r="G37" s="56"/>
      <c r="H37" s="60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1"/>
      <c r="U37" s="67">
        <f t="shared" si="4"/>
        <v>0</v>
      </c>
      <c r="V37" s="183">
        <f t="shared" si="5"/>
        <v>0</v>
      </c>
      <c r="W37" s="193">
        <f>D2</f>
        <v>1185</v>
      </c>
      <c r="X37" s="164" t="s">
        <v>169</v>
      </c>
      <c r="Y37" s="160">
        <f t="shared" si="3"/>
        <v>0</v>
      </c>
      <c r="Z37" s="342"/>
    </row>
    <row r="38" spans="1:26" ht="15.75" x14ac:dyDescent="0.25">
      <c r="A38" s="52"/>
      <c r="B38" s="53"/>
      <c r="C38" s="53"/>
      <c r="D38" s="53"/>
      <c r="E38" s="55"/>
      <c r="F38" s="55"/>
      <c r="G38" s="56"/>
      <c r="H38" s="60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1"/>
      <c r="U38" s="67">
        <f t="shared" si="4"/>
        <v>0</v>
      </c>
      <c r="V38" s="183">
        <f t="shared" si="5"/>
        <v>0</v>
      </c>
      <c r="W38" s="193">
        <f>D2</f>
        <v>1185</v>
      </c>
      <c r="X38" s="203" t="s">
        <v>145</v>
      </c>
      <c r="Y38" s="160">
        <f t="shared" si="3"/>
        <v>0</v>
      </c>
      <c r="Z38" s="342"/>
    </row>
    <row r="39" spans="1:26" ht="15.75" thickBot="1" x14ac:dyDescent="0.3">
      <c r="A39" s="155"/>
      <c r="B39" s="156"/>
      <c r="C39" s="156"/>
      <c r="D39" s="156"/>
      <c r="E39" s="157"/>
      <c r="F39" s="157"/>
      <c r="G39" s="163"/>
      <c r="H39" s="64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6"/>
      <c r="U39" s="159">
        <f t="shared" si="4"/>
        <v>0</v>
      </c>
      <c r="V39" s="241">
        <f t="shared" si="5"/>
        <v>0</v>
      </c>
      <c r="W39" s="194">
        <f>D2</f>
        <v>1185</v>
      </c>
      <c r="X39" s="234" t="s">
        <v>70</v>
      </c>
      <c r="Y39" s="160">
        <f t="shared" si="3"/>
        <v>0</v>
      </c>
      <c r="Z39" s="443"/>
    </row>
    <row r="40" spans="1:26" ht="15.75" thickBot="1" x14ac:dyDescent="0.3">
      <c r="G40" s="47" t="s">
        <v>4</v>
      </c>
      <c r="H40" s="57">
        <f t="shared" ref="H40:T40" si="6">SUM(H3:H39)</f>
        <v>33</v>
      </c>
      <c r="I40" s="57">
        <f t="shared" si="6"/>
        <v>63</v>
      </c>
      <c r="J40" s="57">
        <f t="shared" si="6"/>
        <v>22</v>
      </c>
      <c r="K40" s="57">
        <f t="shared" si="6"/>
        <v>0</v>
      </c>
      <c r="L40" s="57">
        <f t="shared" si="6"/>
        <v>0</v>
      </c>
      <c r="M40" s="57">
        <f t="shared" si="6"/>
        <v>0</v>
      </c>
      <c r="N40" s="57">
        <f t="shared" si="6"/>
        <v>0</v>
      </c>
      <c r="O40" s="57">
        <f t="shared" si="6"/>
        <v>0</v>
      </c>
      <c r="P40" s="57">
        <f t="shared" si="6"/>
        <v>0</v>
      </c>
      <c r="Q40" s="57">
        <f t="shared" si="6"/>
        <v>0</v>
      </c>
      <c r="R40" s="57">
        <f t="shared" si="6"/>
        <v>0</v>
      </c>
      <c r="S40" s="57">
        <f t="shared" si="6"/>
        <v>2</v>
      </c>
      <c r="T40" s="57">
        <f t="shared" si="6"/>
        <v>24</v>
      </c>
      <c r="U40" s="72">
        <f t="shared" si="4"/>
        <v>79</v>
      </c>
      <c r="V40" s="183">
        <f t="shared" si="5"/>
        <v>6.6666666666666666E-2</v>
      </c>
      <c r="W40" s="194">
        <f>D2</f>
        <v>1185</v>
      </c>
      <c r="X40" s="161"/>
      <c r="Y40" s="160">
        <f t="shared" si="3"/>
        <v>79</v>
      </c>
      <c r="Z40" s="12" t="s">
        <v>98</v>
      </c>
    </row>
    <row r="42" spans="1:26" ht="15.75" thickBot="1" x14ac:dyDescent="0.3"/>
    <row r="43" spans="1:26" ht="75.75" thickBot="1" x14ac:dyDescent="0.3">
      <c r="A43" s="43" t="s">
        <v>22</v>
      </c>
      <c r="B43" s="43" t="s">
        <v>46</v>
      </c>
      <c r="C43" s="43" t="s">
        <v>51</v>
      </c>
      <c r="D43" s="43" t="s">
        <v>17</v>
      </c>
      <c r="E43" s="42" t="s">
        <v>16</v>
      </c>
      <c r="F43" s="44" t="s">
        <v>1</v>
      </c>
      <c r="G43" s="45" t="s">
        <v>23</v>
      </c>
      <c r="H43" s="46" t="s">
        <v>71</v>
      </c>
      <c r="I43" s="46" t="s">
        <v>72</v>
      </c>
      <c r="J43" s="46" t="s">
        <v>52</v>
      </c>
      <c r="K43" s="46" t="s">
        <v>57</v>
      </c>
      <c r="L43" s="46" t="s">
        <v>53</v>
      </c>
      <c r="M43" s="46" t="s">
        <v>58</v>
      </c>
      <c r="N43" s="46" t="s">
        <v>54</v>
      </c>
      <c r="O43" s="46" t="s">
        <v>59</v>
      </c>
      <c r="P43" s="46" t="s">
        <v>55</v>
      </c>
      <c r="Q43" s="46" t="s">
        <v>73</v>
      </c>
      <c r="R43" s="46" t="s">
        <v>56</v>
      </c>
      <c r="S43" s="46" t="s">
        <v>112</v>
      </c>
      <c r="T43" s="43" t="s">
        <v>40</v>
      </c>
      <c r="U43" s="43" t="s">
        <v>4</v>
      </c>
      <c r="V43" s="42" t="s">
        <v>2</v>
      </c>
      <c r="W43" s="79" t="s">
        <v>146</v>
      </c>
      <c r="X43" s="80" t="s">
        <v>20</v>
      </c>
      <c r="Y43" s="179" t="s">
        <v>4</v>
      </c>
      <c r="Z43" s="182" t="s">
        <v>6</v>
      </c>
    </row>
    <row r="44" spans="1:26" ht="15.75" thickBot="1" x14ac:dyDescent="0.3">
      <c r="A44" s="181">
        <v>1529652</v>
      </c>
      <c r="B44" s="181" t="s">
        <v>251</v>
      </c>
      <c r="C44" s="314">
        <v>1152</v>
      </c>
      <c r="D44" s="314">
        <v>1323</v>
      </c>
      <c r="E44" s="319">
        <v>1040</v>
      </c>
      <c r="F44" s="313">
        <f>E44/D44</f>
        <v>0.78609221466364321</v>
      </c>
      <c r="G44" s="180">
        <v>45502</v>
      </c>
      <c r="H44" s="169"/>
      <c r="I44" s="168"/>
      <c r="J44" s="168"/>
      <c r="K44" s="168"/>
      <c r="L44" s="168"/>
      <c r="M44" s="168"/>
      <c r="N44" s="168"/>
      <c r="O44" s="168"/>
      <c r="P44" s="168"/>
      <c r="Q44" s="168"/>
      <c r="R44" s="168"/>
      <c r="S44" s="168"/>
      <c r="T44" s="167"/>
      <c r="U44" s="291"/>
      <c r="V44" s="166"/>
      <c r="W44" s="166"/>
      <c r="X44" s="86" t="s">
        <v>74</v>
      </c>
      <c r="Y44" s="179" t="s">
        <v>4</v>
      </c>
      <c r="Z44" s="341" t="s">
        <v>208</v>
      </c>
    </row>
    <row r="45" spans="1:26" x14ac:dyDescent="0.25">
      <c r="A45" s="49"/>
      <c r="B45" s="50"/>
      <c r="C45" s="50"/>
      <c r="D45" s="50"/>
      <c r="E45" s="50"/>
      <c r="F45" s="50"/>
      <c r="G45" s="51"/>
      <c r="H45" s="58">
        <v>3</v>
      </c>
      <c r="I45" s="68"/>
      <c r="J45" s="68">
        <v>1</v>
      </c>
      <c r="K45" s="68"/>
      <c r="L45" s="68"/>
      <c r="M45" s="68"/>
      <c r="N45" s="68"/>
      <c r="O45" s="68"/>
      <c r="P45" s="68"/>
      <c r="Q45" s="68"/>
      <c r="R45" s="68"/>
      <c r="S45" s="68"/>
      <c r="T45" s="59">
        <v>1</v>
      </c>
      <c r="U45" s="71">
        <f t="shared" ref="U45:U75" si="7">SUM(H45,J45,L45,N45,P45,R45,T45)</f>
        <v>5</v>
      </c>
      <c r="V45" s="183">
        <f>($U45)/$D$44</f>
        <v>3.779289493575208E-3</v>
      </c>
      <c r="W45" s="193">
        <f>D44</f>
        <v>1323</v>
      </c>
      <c r="X45" s="165" t="s">
        <v>15</v>
      </c>
      <c r="Y45" s="178">
        <f t="shared" ref="Y45" si="8">U45</f>
        <v>5</v>
      </c>
      <c r="Z45" s="210" t="s">
        <v>117</v>
      </c>
    </row>
    <row r="46" spans="1:26" x14ac:dyDescent="0.25">
      <c r="A46" s="52"/>
      <c r="B46" s="53"/>
      <c r="C46" s="53"/>
      <c r="D46" s="53"/>
      <c r="E46" s="53"/>
      <c r="F46" s="53"/>
      <c r="G46" s="54"/>
      <c r="H46" s="330">
        <v>1</v>
      </c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62"/>
      <c r="U46" s="71">
        <f t="shared" si="7"/>
        <v>1</v>
      </c>
      <c r="V46" s="183">
        <f>($U46)/$D$44</f>
        <v>7.5585789871504159E-4</v>
      </c>
      <c r="W46" s="193">
        <f>D44</f>
        <v>1323</v>
      </c>
      <c r="X46" s="171" t="s">
        <v>42</v>
      </c>
      <c r="Y46" s="160"/>
      <c r="Z46" s="210" t="s">
        <v>171</v>
      </c>
    </row>
    <row r="47" spans="1:26" x14ac:dyDescent="0.25">
      <c r="A47" s="52"/>
      <c r="B47" s="53"/>
      <c r="C47" s="53"/>
      <c r="D47" s="53"/>
      <c r="E47" s="53"/>
      <c r="F47" s="53"/>
      <c r="G47" s="54"/>
      <c r="H47" s="60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1"/>
      <c r="U47" s="67">
        <f t="shared" si="7"/>
        <v>0</v>
      </c>
      <c r="V47" s="183">
        <f t="shared" ref="V47:V58" si="9">($U47)/$D$44</f>
        <v>0</v>
      </c>
      <c r="W47" s="193">
        <f>D44</f>
        <v>1323</v>
      </c>
      <c r="X47" s="164" t="s">
        <v>5</v>
      </c>
      <c r="Y47" s="160">
        <f t="shared" ref="Y47:Y58" si="10">U47</f>
        <v>0</v>
      </c>
      <c r="Z47" s="126"/>
    </row>
    <row r="48" spans="1:26" x14ac:dyDescent="0.25">
      <c r="A48" s="52"/>
      <c r="B48" s="53"/>
      <c r="C48" s="53"/>
      <c r="D48" s="53"/>
      <c r="E48" s="55"/>
      <c r="F48" s="55"/>
      <c r="G48" s="54"/>
      <c r="H48" s="60">
        <v>141</v>
      </c>
      <c r="I48" s="69"/>
      <c r="J48" s="69">
        <v>6</v>
      </c>
      <c r="K48" s="69"/>
      <c r="L48" s="69"/>
      <c r="M48" s="69"/>
      <c r="N48" s="69"/>
      <c r="O48" s="69"/>
      <c r="P48" s="69"/>
      <c r="Q48" s="69"/>
      <c r="R48" s="69"/>
      <c r="S48" s="69"/>
      <c r="T48" s="61"/>
      <c r="U48" s="67">
        <f t="shared" si="7"/>
        <v>147</v>
      </c>
      <c r="V48" s="183">
        <f t="shared" si="9"/>
        <v>0.1111111111111111</v>
      </c>
      <c r="W48" s="193">
        <f>D44</f>
        <v>1323</v>
      </c>
      <c r="X48" s="164" t="s">
        <v>13</v>
      </c>
      <c r="Y48" s="160">
        <f t="shared" si="10"/>
        <v>147</v>
      </c>
      <c r="Z48" s="394"/>
    </row>
    <row r="49" spans="1:26" x14ac:dyDescent="0.25">
      <c r="A49" s="52"/>
      <c r="B49" s="53"/>
      <c r="C49" s="53"/>
      <c r="D49" s="53"/>
      <c r="E49" s="55"/>
      <c r="F49" s="55"/>
      <c r="G49" s="54"/>
      <c r="H49" s="60"/>
      <c r="I49" s="69"/>
      <c r="J49" s="69">
        <v>1</v>
      </c>
      <c r="K49" s="69"/>
      <c r="L49" s="69"/>
      <c r="M49" s="69"/>
      <c r="N49" s="69"/>
      <c r="O49" s="69"/>
      <c r="P49" s="69"/>
      <c r="Q49" s="69"/>
      <c r="R49" s="69"/>
      <c r="S49" s="69"/>
      <c r="T49" s="61"/>
      <c r="U49" s="67">
        <f t="shared" si="7"/>
        <v>1</v>
      </c>
      <c r="V49" s="183">
        <f t="shared" si="9"/>
        <v>7.5585789871504159E-4</v>
      </c>
      <c r="W49" s="193">
        <f>D44</f>
        <v>1323</v>
      </c>
      <c r="X49" s="164" t="s">
        <v>14</v>
      </c>
      <c r="Y49" s="160">
        <f t="shared" si="10"/>
        <v>1</v>
      </c>
      <c r="Z49" s="78"/>
    </row>
    <row r="50" spans="1:26" x14ac:dyDescent="0.25">
      <c r="A50" s="52"/>
      <c r="B50" s="53"/>
      <c r="C50" s="53"/>
      <c r="D50" s="53"/>
      <c r="E50" s="55"/>
      <c r="F50" s="55"/>
      <c r="G50" s="54"/>
      <c r="H50" s="60">
        <v>7</v>
      </c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1">
        <v>1</v>
      </c>
      <c r="U50" s="67">
        <f t="shared" si="7"/>
        <v>8</v>
      </c>
      <c r="V50" s="183">
        <f t="shared" si="9"/>
        <v>6.0468631897203327E-3</v>
      </c>
      <c r="W50" s="193">
        <f>D44</f>
        <v>1323</v>
      </c>
      <c r="X50" s="164" t="s">
        <v>29</v>
      </c>
      <c r="Y50" s="160">
        <f t="shared" si="10"/>
        <v>8</v>
      </c>
      <c r="Z50" s="212"/>
    </row>
    <row r="51" spans="1:26" ht="15.75" x14ac:dyDescent="0.25">
      <c r="A51" s="52"/>
      <c r="B51" s="53"/>
      <c r="C51" s="53"/>
      <c r="D51" s="53"/>
      <c r="E51" s="55"/>
      <c r="F51" s="55"/>
      <c r="G51" s="54"/>
      <c r="H51" s="60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1"/>
      <c r="U51" s="67">
        <f t="shared" si="7"/>
        <v>0</v>
      </c>
      <c r="V51" s="183">
        <f t="shared" si="9"/>
        <v>0</v>
      </c>
      <c r="W51" s="193">
        <f>D44</f>
        <v>1323</v>
      </c>
      <c r="X51" s="203" t="s">
        <v>30</v>
      </c>
      <c r="Y51" s="160">
        <f t="shared" si="10"/>
        <v>0</v>
      </c>
      <c r="Z51" s="126"/>
    </row>
    <row r="52" spans="1:26" x14ac:dyDescent="0.25">
      <c r="A52" s="52"/>
      <c r="B52" s="53"/>
      <c r="C52" s="53"/>
      <c r="D52" s="53"/>
      <c r="E52" s="55"/>
      <c r="F52" s="55"/>
      <c r="G52" s="54"/>
      <c r="H52" s="60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1"/>
      <c r="U52" s="67">
        <f t="shared" si="7"/>
        <v>0</v>
      </c>
      <c r="V52" s="183">
        <f t="shared" si="9"/>
        <v>0</v>
      </c>
      <c r="W52" s="193">
        <f>D44</f>
        <v>1323</v>
      </c>
      <c r="X52" s="164" t="s">
        <v>19</v>
      </c>
      <c r="Y52" s="160">
        <f t="shared" si="10"/>
        <v>0</v>
      </c>
      <c r="Z52" s="126"/>
    </row>
    <row r="53" spans="1:26" x14ac:dyDescent="0.25">
      <c r="A53" s="52"/>
      <c r="B53" s="53"/>
      <c r="C53" s="53"/>
      <c r="D53" s="53"/>
      <c r="E53" s="55"/>
      <c r="F53" s="55"/>
      <c r="G53" s="54"/>
      <c r="H53" s="60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1"/>
      <c r="U53" s="67">
        <f t="shared" si="7"/>
        <v>0</v>
      </c>
      <c r="V53" s="183">
        <f t="shared" si="9"/>
        <v>0</v>
      </c>
      <c r="W53" s="193">
        <f>D44</f>
        <v>1323</v>
      </c>
      <c r="X53" s="164" t="s">
        <v>28</v>
      </c>
      <c r="Y53" s="160">
        <f t="shared" si="10"/>
        <v>0</v>
      </c>
      <c r="Z53" s="126"/>
    </row>
    <row r="54" spans="1:26" x14ac:dyDescent="0.25">
      <c r="A54" s="52"/>
      <c r="B54" s="53"/>
      <c r="C54" s="53"/>
      <c r="D54" s="53"/>
      <c r="E54" s="55"/>
      <c r="F54" s="55"/>
      <c r="G54" s="54"/>
      <c r="H54" s="60">
        <v>5</v>
      </c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1"/>
      <c r="U54" s="67">
        <f t="shared" si="7"/>
        <v>5</v>
      </c>
      <c r="V54" s="183">
        <f t="shared" si="9"/>
        <v>3.779289493575208E-3</v>
      </c>
      <c r="W54" s="193">
        <f>D44</f>
        <v>1323</v>
      </c>
      <c r="X54" s="164" t="s">
        <v>0</v>
      </c>
      <c r="Y54" s="160">
        <f t="shared" si="10"/>
        <v>5</v>
      </c>
      <c r="Z54" s="78"/>
    </row>
    <row r="55" spans="1:26" x14ac:dyDescent="0.25">
      <c r="A55" s="52"/>
      <c r="B55" s="53"/>
      <c r="C55" s="53"/>
      <c r="D55" s="53"/>
      <c r="E55" s="55"/>
      <c r="F55" s="55"/>
      <c r="G55" s="54"/>
      <c r="H55" s="60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1">
        <v>6</v>
      </c>
      <c r="U55" s="67">
        <f t="shared" si="7"/>
        <v>6</v>
      </c>
      <c r="V55" s="183">
        <f t="shared" si="9"/>
        <v>4.5351473922902496E-3</v>
      </c>
      <c r="W55" s="193">
        <f>D44</f>
        <v>1323</v>
      </c>
      <c r="X55" s="164" t="s">
        <v>11</v>
      </c>
      <c r="Y55" s="160">
        <f t="shared" si="10"/>
        <v>6</v>
      </c>
      <c r="Z55" s="342"/>
    </row>
    <row r="56" spans="1:26" x14ac:dyDescent="0.25">
      <c r="A56" s="52"/>
      <c r="B56" s="53"/>
      <c r="C56" s="53"/>
      <c r="D56" s="53"/>
      <c r="E56" s="55"/>
      <c r="F56" s="55"/>
      <c r="G56" s="54"/>
      <c r="H56" s="60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1"/>
      <c r="U56" s="67">
        <f t="shared" si="7"/>
        <v>0</v>
      </c>
      <c r="V56" s="183">
        <f t="shared" si="9"/>
        <v>0</v>
      </c>
      <c r="W56" s="193">
        <f>D44</f>
        <v>1323</v>
      </c>
      <c r="X56" s="164" t="s">
        <v>32</v>
      </c>
      <c r="Y56" s="160">
        <f t="shared" si="10"/>
        <v>0</v>
      </c>
      <c r="Z56" s="126"/>
    </row>
    <row r="57" spans="1:26" x14ac:dyDescent="0.25">
      <c r="A57" s="52"/>
      <c r="B57" s="53"/>
      <c r="C57" s="53"/>
      <c r="D57" s="53"/>
      <c r="E57" s="55"/>
      <c r="F57" s="55"/>
      <c r="G57" s="54"/>
      <c r="H57" s="64">
        <v>7</v>
      </c>
      <c r="I57" s="65"/>
      <c r="J57" s="65">
        <v>12</v>
      </c>
      <c r="K57" s="65"/>
      <c r="L57" s="65"/>
      <c r="M57" s="65"/>
      <c r="N57" s="65"/>
      <c r="O57" s="65"/>
      <c r="P57" s="65"/>
      <c r="Q57" s="65"/>
      <c r="R57" s="65"/>
      <c r="S57" s="65"/>
      <c r="T57" s="66"/>
      <c r="U57" s="159">
        <f t="shared" si="7"/>
        <v>19</v>
      </c>
      <c r="V57" s="183">
        <f t="shared" si="9"/>
        <v>1.436130007558579E-2</v>
      </c>
      <c r="W57" s="193">
        <f>D44</f>
        <v>1323</v>
      </c>
      <c r="X57" s="164" t="s">
        <v>19</v>
      </c>
      <c r="Y57" s="160">
        <f t="shared" si="10"/>
        <v>19</v>
      </c>
      <c r="Z57" s="126"/>
    </row>
    <row r="58" spans="1:26" ht="15.75" x14ac:dyDescent="0.25">
      <c r="A58" s="52"/>
      <c r="B58" s="53"/>
      <c r="C58" s="53"/>
      <c r="D58" s="53"/>
      <c r="E58" s="55"/>
      <c r="F58" s="55"/>
      <c r="G58" s="54"/>
      <c r="H58" s="64"/>
      <c r="I58" s="65"/>
      <c r="J58" s="65">
        <v>13</v>
      </c>
      <c r="K58" s="65"/>
      <c r="L58" s="65"/>
      <c r="M58" s="65"/>
      <c r="N58" s="65"/>
      <c r="O58" s="65"/>
      <c r="P58" s="65"/>
      <c r="Q58" s="65"/>
      <c r="R58" s="65"/>
      <c r="S58" s="65"/>
      <c r="T58" s="66"/>
      <c r="U58" s="159">
        <f t="shared" si="7"/>
        <v>13</v>
      </c>
      <c r="V58" s="183">
        <f t="shared" si="9"/>
        <v>9.8261526832955411E-3</v>
      </c>
      <c r="W58" s="193">
        <f>D44</f>
        <v>1323</v>
      </c>
      <c r="X58" s="204" t="s">
        <v>160</v>
      </c>
      <c r="Y58" s="160">
        <f t="shared" si="10"/>
        <v>13</v>
      </c>
      <c r="Z58" s="78"/>
    </row>
    <row r="59" spans="1:26" x14ac:dyDescent="0.25">
      <c r="A59" s="52"/>
      <c r="B59" s="53"/>
      <c r="C59" s="53"/>
      <c r="D59" s="53"/>
      <c r="E59" s="55"/>
      <c r="F59" s="55"/>
      <c r="G59" s="56"/>
      <c r="H59" s="34"/>
      <c r="I59" s="69"/>
      <c r="J59" s="69">
        <v>7</v>
      </c>
      <c r="K59" s="69"/>
      <c r="L59" s="69"/>
      <c r="M59" s="69"/>
      <c r="N59" s="69"/>
      <c r="O59" s="69"/>
      <c r="P59" s="69"/>
      <c r="Q59" s="69"/>
      <c r="R59" s="69"/>
      <c r="S59" s="69"/>
      <c r="T59" s="61"/>
      <c r="U59" s="67">
        <f t="shared" si="7"/>
        <v>7</v>
      </c>
      <c r="V59" s="183">
        <f>($U59)/$D$44</f>
        <v>5.2910052910052907E-3</v>
      </c>
      <c r="W59" s="193">
        <f>D44</f>
        <v>1323</v>
      </c>
      <c r="X59" s="164" t="s">
        <v>331</v>
      </c>
      <c r="Y59" s="160"/>
      <c r="Z59" s="126"/>
    </row>
    <row r="60" spans="1:26" ht="15.75" thickBot="1" x14ac:dyDescent="0.3">
      <c r="A60" s="52"/>
      <c r="B60" s="53"/>
      <c r="C60" s="53"/>
      <c r="D60" s="53"/>
      <c r="E60" s="55"/>
      <c r="F60" s="55"/>
      <c r="G60" s="54"/>
      <c r="H60" s="176"/>
      <c r="I60" s="175"/>
      <c r="J60" s="175">
        <v>2</v>
      </c>
      <c r="K60" s="175"/>
      <c r="L60" s="175"/>
      <c r="M60" s="175"/>
      <c r="N60" s="175"/>
      <c r="O60" s="175"/>
      <c r="P60" s="175"/>
      <c r="Q60" s="175"/>
      <c r="R60" s="175"/>
      <c r="S60" s="175"/>
      <c r="T60" s="174"/>
      <c r="U60" s="173">
        <f t="shared" si="7"/>
        <v>2</v>
      </c>
      <c r="V60" s="241">
        <f>($U60)/$D$44</f>
        <v>1.5117157974300832E-3</v>
      </c>
      <c r="W60" s="194">
        <f>D44</f>
        <v>1323</v>
      </c>
      <c r="X60" s="172" t="s">
        <v>26</v>
      </c>
      <c r="Y60" s="160">
        <f>U60</f>
        <v>2</v>
      </c>
      <c r="Z60" s="126"/>
    </row>
    <row r="61" spans="1:26" x14ac:dyDescent="0.25">
      <c r="A61" s="52"/>
      <c r="B61" s="53"/>
      <c r="C61" s="53"/>
      <c r="D61" s="53"/>
      <c r="E61" s="55"/>
      <c r="F61" s="55"/>
      <c r="G61" s="54"/>
      <c r="H61" s="58"/>
      <c r="I61" s="149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62"/>
      <c r="U61" s="67">
        <f t="shared" si="7"/>
        <v>0</v>
      </c>
      <c r="V61" s="183">
        <f>($U61)/$D$44</f>
        <v>0</v>
      </c>
      <c r="W61" s="195">
        <f>D44</f>
        <v>1323</v>
      </c>
      <c r="X61" s="171" t="s">
        <v>10</v>
      </c>
      <c r="Y61" s="160"/>
      <c r="Z61" s="126"/>
    </row>
    <row r="62" spans="1:26" x14ac:dyDescent="0.25">
      <c r="A62" s="52"/>
      <c r="B62" s="53"/>
      <c r="C62" s="53"/>
      <c r="D62" s="53"/>
      <c r="E62" s="55"/>
      <c r="F62" s="55"/>
      <c r="G62" s="54"/>
      <c r="H62" s="60"/>
      <c r="I62" s="34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1">
        <v>1</v>
      </c>
      <c r="U62" s="67">
        <f t="shared" si="7"/>
        <v>1</v>
      </c>
      <c r="V62" s="183">
        <f>($U62)/$D$44</f>
        <v>7.5585789871504159E-4</v>
      </c>
      <c r="W62" s="193">
        <f>D44</f>
        <v>1323</v>
      </c>
      <c r="X62" s="164" t="s">
        <v>93</v>
      </c>
      <c r="Y62" s="160">
        <f t="shared" ref="Y62:Y84" si="11">U62</f>
        <v>1</v>
      </c>
      <c r="Z62" s="78"/>
    </row>
    <row r="63" spans="1:26" x14ac:dyDescent="0.25">
      <c r="A63" s="52"/>
      <c r="B63" s="53"/>
      <c r="C63" s="53"/>
      <c r="D63" s="53"/>
      <c r="E63" s="55"/>
      <c r="F63" s="55"/>
      <c r="G63" s="54"/>
      <c r="H63" s="60"/>
      <c r="I63" s="34">
        <v>8</v>
      </c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1">
        <v>19</v>
      </c>
      <c r="U63" s="67">
        <f t="shared" si="7"/>
        <v>19</v>
      </c>
      <c r="V63" s="183">
        <f t="shared" ref="V63:V74" si="12">($U63)/$D$44</f>
        <v>1.436130007558579E-2</v>
      </c>
      <c r="W63" s="193">
        <f>D44</f>
        <v>1323</v>
      </c>
      <c r="X63" s="164" t="s">
        <v>3</v>
      </c>
      <c r="Y63" s="160">
        <f t="shared" si="11"/>
        <v>19</v>
      </c>
      <c r="Z63" s="78"/>
    </row>
    <row r="64" spans="1:26" x14ac:dyDescent="0.25">
      <c r="A64" s="52"/>
      <c r="B64" s="53"/>
      <c r="C64" s="53"/>
      <c r="D64" s="53"/>
      <c r="E64" s="55"/>
      <c r="F64" s="55"/>
      <c r="G64" s="54"/>
      <c r="H64" s="60"/>
      <c r="I64" s="34"/>
      <c r="J64" s="69">
        <v>5</v>
      </c>
      <c r="K64" s="69"/>
      <c r="L64" s="69"/>
      <c r="M64" s="69"/>
      <c r="N64" s="69"/>
      <c r="O64" s="69"/>
      <c r="P64" s="69"/>
      <c r="Q64" s="69"/>
      <c r="R64" s="69"/>
      <c r="S64" s="69"/>
      <c r="T64" s="61"/>
      <c r="U64" s="67">
        <f t="shared" si="7"/>
        <v>5</v>
      </c>
      <c r="V64" s="183">
        <f t="shared" si="12"/>
        <v>3.779289493575208E-3</v>
      </c>
      <c r="W64" s="193">
        <f>D44</f>
        <v>1323</v>
      </c>
      <c r="X64" s="164" t="s">
        <v>7</v>
      </c>
      <c r="Y64" s="160">
        <f t="shared" si="11"/>
        <v>5</v>
      </c>
      <c r="Z64" s="342"/>
    </row>
    <row r="65" spans="1:26" x14ac:dyDescent="0.25">
      <c r="A65" s="52"/>
      <c r="B65" s="53"/>
      <c r="C65" s="53"/>
      <c r="D65" s="53"/>
      <c r="E65" s="55"/>
      <c r="F65" s="55"/>
      <c r="G65" s="54"/>
      <c r="H65" s="60"/>
      <c r="I65" s="34">
        <v>4</v>
      </c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1">
        <v>3</v>
      </c>
      <c r="U65" s="67">
        <f t="shared" si="7"/>
        <v>3</v>
      </c>
      <c r="V65" s="183">
        <f t="shared" si="12"/>
        <v>2.2675736961451248E-3</v>
      </c>
      <c r="W65" s="193">
        <f>D44</f>
        <v>1323</v>
      </c>
      <c r="X65" s="164" t="s">
        <v>8</v>
      </c>
      <c r="Y65" s="160">
        <f t="shared" si="11"/>
        <v>3</v>
      </c>
      <c r="Z65" s="342"/>
    </row>
    <row r="66" spans="1:26" x14ac:dyDescent="0.25">
      <c r="A66" s="52"/>
      <c r="B66" s="53"/>
      <c r="C66" s="53"/>
      <c r="D66" s="53"/>
      <c r="E66" s="55"/>
      <c r="F66" s="55"/>
      <c r="G66" s="54"/>
      <c r="H66" s="60"/>
      <c r="I66" s="34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1"/>
      <c r="U66" s="67">
        <f t="shared" si="7"/>
        <v>0</v>
      </c>
      <c r="V66" s="183">
        <f t="shared" si="12"/>
        <v>0</v>
      </c>
      <c r="W66" s="193">
        <f>D44</f>
        <v>1323</v>
      </c>
      <c r="X66" s="164" t="s">
        <v>76</v>
      </c>
      <c r="Y66" s="160">
        <f t="shared" si="11"/>
        <v>0</v>
      </c>
      <c r="Z66" s="342"/>
    </row>
    <row r="67" spans="1:26" x14ac:dyDescent="0.25">
      <c r="A67" s="52"/>
      <c r="B67" s="53"/>
      <c r="C67" s="53"/>
      <c r="D67" s="53"/>
      <c r="E67" s="55"/>
      <c r="F67" s="55"/>
      <c r="G67" s="54"/>
      <c r="H67" s="124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1"/>
      <c r="U67" s="67">
        <f t="shared" si="7"/>
        <v>0</v>
      </c>
      <c r="V67" s="183">
        <f t="shared" si="12"/>
        <v>0</v>
      </c>
      <c r="W67" s="193">
        <f>D44</f>
        <v>1323</v>
      </c>
      <c r="X67" s="164" t="s">
        <v>19</v>
      </c>
      <c r="Y67" s="160">
        <f t="shared" si="11"/>
        <v>0</v>
      </c>
      <c r="Z67" s="321" t="s">
        <v>334</v>
      </c>
    </row>
    <row r="68" spans="1:26" x14ac:dyDescent="0.25">
      <c r="A68" s="52"/>
      <c r="B68" s="53"/>
      <c r="C68" s="53"/>
      <c r="D68" s="53"/>
      <c r="E68" s="55"/>
      <c r="F68" s="55"/>
      <c r="G68" s="54"/>
      <c r="H68" s="60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1"/>
      <c r="U68" s="67">
        <f t="shared" si="7"/>
        <v>0</v>
      </c>
      <c r="V68" s="183">
        <f t="shared" si="12"/>
        <v>0</v>
      </c>
      <c r="W68" s="193">
        <f>D44</f>
        <v>1323</v>
      </c>
      <c r="X68" s="164" t="s">
        <v>77</v>
      </c>
      <c r="Y68" s="160">
        <f t="shared" si="11"/>
        <v>0</v>
      </c>
      <c r="Z68" s="342" t="s">
        <v>333</v>
      </c>
    </row>
    <row r="69" spans="1:26" x14ac:dyDescent="0.25">
      <c r="A69" s="52"/>
      <c r="B69" s="53"/>
      <c r="C69" s="53"/>
      <c r="D69" s="53"/>
      <c r="E69" s="55"/>
      <c r="F69" s="55"/>
      <c r="G69" s="54"/>
      <c r="H69" s="60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1"/>
      <c r="U69" s="67">
        <f t="shared" si="7"/>
        <v>0</v>
      </c>
      <c r="V69" s="183">
        <f t="shared" si="12"/>
        <v>0</v>
      </c>
      <c r="W69" s="193">
        <f>D44</f>
        <v>1323</v>
      </c>
      <c r="X69" s="164" t="s">
        <v>170</v>
      </c>
      <c r="Y69" s="160">
        <f t="shared" si="11"/>
        <v>0</v>
      </c>
      <c r="Z69" s="342"/>
    </row>
    <row r="70" spans="1:26" x14ac:dyDescent="0.25">
      <c r="A70" s="52"/>
      <c r="B70" s="53"/>
      <c r="C70" s="53"/>
      <c r="D70" s="53"/>
      <c r="E70" s="55"/>
      <c r="F70" s="55"/>
      <c r="G70" s="54"/>
      <c r="H70" s="60"/>
      <c r="I70" s="69">
        <v>13</v>
      </c>
      <c r="J70" s="69">
        <v>2</v>
      </c>
      <c r="K70" s="69"/>
      <c r="L70" s="69"/>
      <c r="M70" s="69"/>
      <c r="N70" s="69"/>
      <c r="O70" s="69"/>
      <c r="P70" s="69"/>
      <c r="Q70" s="69"/>
      <c r="R70" s="69"/>
      <c r="S70" s="69"/>
      <c r="T70" s="61">
        <v>4</v>
      </c>
      <c r="U70" s="67">
        <f t="shared" si="7"/>
        <v>6</v>
      </c>
      <c r="V70" s="183">
        <f t="shared" si="12"/>
        <v>4.5351473922902496E-3</v>
      </c>
      <c r="W70" s="193">
        <f>D44</f>
        <v>1323</v>
      </c>
      <c r="X70" s="164" t="s">
        <v>12</v>
      </c>
      <c r="Y70" s="160">
        <f t="shared" si="11"/>
        <v>6</v>
      </c>
      <c r="Z70" s="342"/>
    </row>
    <row r="71" spans="1:26" x14ac:dyDescent="0.25">
      <c r="A71" s="52"/>
      <c r="B71" s="53"/>
      <c r="C71" s="53"/>
      <c r="D71" s="53"/>
      <c r="E71" s="55"/>
      <c r="F71" s="55"/>
      <c r="G71" s="54"/>
      <c r="H71" s="60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1"/>
      <c r="U71" s="67">
        <f t="shared" si="7"/>
        <v>0</v>
      </c>
      <c r="V71" s="183">
        <f t="shared" si="12"/>
        <v>0</v>
      </c>
      <c r="W71" s="193">
        <f>D44</f>
        <v>1323</v>
      </c>
      <c r="X71" s="164" t="s">
        <v>91</v>
      </c>
      <c r="Y71" s="160">
        <f t="shared" si="11"/>
        <v>0</v>
      </c>
      <c r="Z71" s="321"/>
    </row>
    <row r="72" spans="1:26" x14ac:dyDescent="0.25">
      <c r="A72" s="52"/>
      <c r="B72" s="53"/>
      <c r="C72" s="53"/>
      <c r="D72" s="53"/>
      <c r="E72" s="55"/>
      <c r="F72" s="55"/>
      <c r="G72" s="54"/>
      <c r="H72" s="60"/>
      <c r="I72" s="69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1"/>
      <c r="U72" s="67">
        <f t="shared" si="7"/>
        <v>0</v>
      </c>
      <c r="V72" s="183">
        <f t="shared" si="12"/>
        <v>0</v>
      </c>
      <c r="W72" s="193">
        <f>D44</f>
        <v>1323</v>
      </c>
      <c r="X72" s="164" t="s">
        <v>79</v>
      </c>
      <c r="Y72" s="160">
        <f t="shared" si="11"/>
        <v>0</v>
      </c>
      <c r="Z72" s="342"/>
    </row>
    <row r="73" spans="1:26" x14ac:dyDescent="0.25">
      <c r="A73" s="52"/>
      <c r="B73" s="53"/>
      <c r="C73" s="53"/>
      <c r="D73" s="53"/>
      <c r="E73" s="55"/>
      <c r="F73" s="55"/>
      <c r="G73" s="54"/>
      <c r="H73" s="64"/>
      <c r="I73" s="65">
        <v>2</v>
      </c>
      <c r="J73" s="100">
        <v>1</v>
      </c>
      <c r="K73" s="100"/>
      <c r="L73" s="100"/>
      <c r="M73" s="100"/>
      <c r="N73" s="100"/>
      <c r="O73" s="100"/>
      <c r="P73" s="100"/>
      <c r="Q73" s="100"/>
      <c r="R73" s="100"/>
      <c r="S73" s="100"/>
      <c r="T73" s="66"/>
      <c r="U73" s="67">
        <f t="shared" ref="U73" si="13">SUM(H73,J73,L73,N73,P73,R73,T73)</f>
        <v>1</v>
      </c>
      <c r="V73" s="183">
        <f t="shared" si="12"/>
        <v>7.5585789871504159E-4</v>
      </c>
      <c r="W73" s="193">
        <f>D44</f>
        <v>1323</v>
      </c>
      <c r="X73" s="164" t="s">
        <v>5</v>
      </c>
      <c r="Y73" s="160"/>
      <c r="Z73" s="558"/>
    </row>
    <row r="74" spans="1:26" x14ac:dyDescent="0.25">
      <c r="A74" s="52"/>
      <c r="B74" s="53"/>
      <c r="C74" s="53"/>
      <c r="D74" s="53"/>
      <c r="E74" s="55"/>
      <c r="F74" s="55"/>
      <c r="G74" s="54"/>
      <c r="H74" s="64"/>
      <c r="I74" s="65">
        <v>2</v>
      </c>
      <c r="J74" s="100">
        <v>1</v>
      </c>
      <c r="K74" s="100"/>
      <c r="L74" s="100"/>
      <c r="M74" s="100"/>
      <c r="N74" s="100"/>
      <c r="O74" s="100"/>
      <c r="P74" s="100"/>
      <c r="Q74" s="100"/>
      <c r="R74" s="100"/>
      <c r="S74" s="100"/>
      <c r="T74" s="66"/>
      <c r="U74" s="67">
        <f t="shared" ref="U74" si="14">SUM(H74,J74,L74,N74,P74,R74,T74)</f>
        <v>1</v>
      </c>
      <c r="V74" s="183">
        <f t="shared" si="12"/>
        <v>7.5585789871504159E-4</v>
      </c>
      <c r="W74" s="193">
        <f>D44</f>
        <v>1323</v>
      </c>
      <c r="X74" s="170" t="s">
        <v>11</v>
      </c>
      <c r="Y74" s="160"/>
      <c r="Z74" s="558"/>
    </row>
    <row r="75" spans="1:26" ht="16.5" thickBot="1" x14ac:dyDescent="0.3">
      <c r="A75" s="52"/>
      <c r="B75" s="53"/>
      <c r="C75" s="53"/>
      <c r="D75" s="53"/>
      <c r="E75" s="55"/>
      <c r="F75" s="55"/>
      <c r="G75" s="54"/>
      <c r="H75" s="64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6">
        <v>26</v>
      </c>
      <c r="U75" s="67">
        <f t="shared" si="7"/>
        <v>26</v>
      </c>
      <c r="V75" s="183">
        <f>($U75)/$D$44</f>
        <v>1.9652305366591082E-2</v>
      </c>
      <c r="W75" s="194">
        <f>D44</f>
        <v>1323</v>
      </c>
      <c r="X75" s="345" t="s">
        <v>9</v>
      </c>
      <c r="Y75" s="160">
        <f t="shared" si="11"/>
        <v>26</v>
      </c>
      <c r="Z75" s="321"/>
    </row>
    <row r="76" spans="1:26" ht="15.75" thickBot="1" x14ac:dyDescent="0.3">
      <c r="A76" s="52"/>
      <c r="B76" s="53"/>
      <c r="C76" s="53"/>
      <c r="D76" s="53"/>
      <c r="E76" s="55"/>
      <c r="F76" s="55"/>
      <c r="G76" s="54"/>
      <c r="H76" s="169"/>
      <c r="I76" s="168"/>
      <c r="J76" s="168"/>
      <c r="K76" s="168"/>
      <c r="L76" s="168"/>
      <c r="M76" s="168"/>
      <c r="N76" s="168"/>
      <c r="O76" s="168"/>
      <c r="P76" s="168"/>
      <c r="Q76" s="168"/>
      <c r="R76" s="168"/>
      <c r="S76" s="168"/>
      <c r="T76" s="167"/>
      <c r="U76" s="166"/>
      <c r="V76" s="166"/>
      <c r="W76" s="235"/>
      <c r="X76" s="116" t="s">
        <v>80</v>
      </c>
      <c r="Y76" s="160">
        <f t="shared" si="11"/>
        <v>0</v>
      </c>
      <c r="Z76" s="321"/>
    </row>
    <row r="77" spans="1:26" x14ac:dyDescent="0.25">
      <c r="A77" s="52"/>
      <c r="B77" s="53"/>
      <c r="C77" s="53"/>
      <c r="D77" s="53"/>
      <c r="E77" s="55"/>
      <c r="F77" s="55"/>
      <c r="G77" s="56"/>
      <c r="H77" s="5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59"/>
      <c r="U77" s="71">
        <f t="shared" ref="U77:U84" si="15">SUM(H77,J77,L77,N77,P77,R77,T77)</f>
        <v>0</v>
      </c>
      <c r="V77" s="183">
        <f>($U77)/$D$44</f>
        <v>0</v>
      </c>
      <c r="W77" s="193">
        <f>D44</f>
        <v>1323</v>
      </c>
      <c r="X77" s="395" t="s">
        <v>88</v>
      </c>
      <c r="Y77" s="160">
        <f t="shared" si="11"/>
        <v>0</v>
      </c>
      <c r="Z77" s="342"/>
    </row>
    <row r="78" spans="1:26" x14ac:dyDescent="0.25">
      <c r="A78" s="52"/>
      <c r="B78" s="53"/>
      <c r="C78" s="53"/>
      <c r="D78" s="53"/>
      <c r="E78" s="55"/>
      <c r="F78" s="55"/>
      <c r="G78" s="56"/>
      <c r="H78" s="60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1"/>
      <c r="U78" s="67">
        <f t="shared" si="15"/>
        <v>0</v>
      </c>
      <c r="V78" s="183">
        <f>($U78)/$D$44</f>
        <v>0</v>
      </c>
      <c r="W78" s="193">
        <f>D44</f>
        <v>1323</v>
      </c>
      <c r="X78" s="164" t="s">
        <v>82</v>
      </c>
      <c r="Y78" s="160">
        <f t="shared" si="11"/>
        <v>0</v>
      </c>
      <c r="Z78" s="342" t="s">
        <v>332</v>
      </c>
    </row>
    <row r="79" spans="1:26" x14ac:dyDescent="0.25">
      <c r="A79" s="52"/>
      <c r="B79" s="53"/>
      <c r="C79" s="53"/>
      <c r="D79" s="53"/>
      <c r="E79" s="55"/>
      <c r="F79" s="55"/>
      <c r="G79" s="56"/>
      <c r="H79" s="60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1"/>
      <c r="U79" s="67">
        <f t="shared" si="15"/>
        <v>0</v>
      </c>
      <c r="V79" s="183">
        <f t="shared" ref="V79:V82" si="16">($U79)/$D$44</f>
        <v>0</v>
      </c>
      <c r="W79" s="193">
        <f>D44</f>
        <v>1323</v>
      </c>
      <c r="X79" s="37" t="s">
        <v>255</v>
      </c>
      <c r="Y79" s="160">
        <f t="shared" si="11"/>
        <v>0</v>
      </c>
      <c r="Z79" s="321" t="s">
        <v>285</v>
      </c>
    </row>
    <row r="80" spans="1:26" ht="15.75" x14ac:dyDescent="0.25">
      <c r="A80" s="52"/>
      <c r="B80" s="53"/>
      <c r="C80" s="53"/>
      <c r="D80" s="53"/>
      <c r="E80" s="55"/>
      <c r="F80" s="55"/>
      <c r="G80" s="56"/>
      <c r="H80" s="60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1"/>
      <c r="U80" s="67">
        <f t="shared" si="15"/>
        <v>0</v>
      </c>
      <c r="V80" s="183">
        <f t="shared" si="16"/>
        <v>0</v>
      </c>
      <c r="W80" s="193">
        <f>D44</f>
        <v>1323</v>
      </c>
      <c r="X80" s="204" t="s">
        <v>25</v>
      </c>
      <c r="Y80" s="160">
        <f t="shared" si="11"/>
        <v>0</v>
      </c>
      <c r="Z80" s="342" t="s">
        <v>316</v>
      </c>
    </row>
    <row r="81" spans="1:26" x14ac:dyDescent="0.25">
      <c r="A81" s="52"/>
      <c r="B81" s="53"/>
      <c r="C81" s="53"/>
      <c r="D81" s="53"/>
      <c r="E81" s="55"/>
      <c r="F81" s="55"/>
      <c r="G81" s="56"/>
      <c r="H81" s="60">
        <v>2</v>
      </c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1"/>
      <c r="U81" s="67">
        <f t="shared" si="15"/>
        <v>2</v>
      </c>
      <c r="V81" s="183">
        <f t="shared" si="16"/>
        <v>1.5117157974300832E-3</v>
      </c>
      <c r="W81" s="193">
        <f>D44</f>
        <v>1323</v>
      </c>
      <c r="X81" s="164" t="s">
        <v>34</v>
      </c>
      <c r="Y81" s="160">
        <f t="shared" si="11"/>
        <v>2</v>
      </c>
      <c r="Z81" s="342"/>
    </row>
    <row r="82" spans="1:26" ht="15.75" x14ac:dyDescent="0.25">
      <c r="A82" s="52"/>
      <c r="B82" s="53"/>
      <c r="C82" s="53"/>
      <c r="D82" s="53"/>
      <c r="E82" s="55"/>
      <c r="F82" s="55"/>
      <c r="G82" s="56"/>
      <c r="H82" s="60">
        <v>5</v>
      </c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1"/>
      <c r="U82" s="67">
        <f t="shared" si="15"/>
        <v>5</v>
      </c>
      <c r="V82" s="183">
        <f t="shared" si="16"/>
        <v>3.779289493575208E-3</v>
      </c>
      <c r="W82" s="193">
        <f>D44</f>
        <v>1323</v>
      </c>
      <c r="X82" s="203" t="s">
        <v>145</v>
      </c>
      <c r="Y82" s="160">
        <f t="shared" si="11"/>
        <v>5</v>
      </c>
      <c r="Z82" s="342"/>
    </row>
    <row r="83" spans="1:26" ht="15.75" thickBot="1" x14ac:dyDescent="0.3">
      <c r="A83" s="155"/>
      <c r="B83" s="156"/>
      <c r="C83" s="156"/>
      <c r="D83" s="156"/>
      <c r="E83" s="157"/>
      <c r="F83" s="157"/>
      <c r="G83" s="163"/>
      <c r="H83" s="64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6"/>
      <c r="U83" s="159">
        <f t="shared" si="15"/>
        <v>0</v>
      </c>
      <c r="V83" s="241">
        <f>($U83)/$D$44</f>
        <v>0</v>
      </c>
      <c r="W83" s="194">
        <f>D44</f>
        <v>1323</v>
      </c>
      <c r="X83" s="234" t="s">
        <v>70</v>
      </c>
      <c r="Y83" s="160">
        <f t="shared" si="11"/>
        <v>0</v>
      </c>
      <c r="Z83" s="443"/>
    </row>
    <row r="84" spans="1:26" ht="15.75" thickBot="1" x14ac:dyDescent="0.3">
      <c r="G84" s="47" t="s">
        <v>4</v>
      </c>
      <c r="H84" s="57">
        <f t="shared" ref="H84:T84" si="17">SUM(H45:H83)</f>
        <v>171</v>
      </c>
      <c r="I84" s="57">
        <f t="shared" si="17"/>
        <v>29</v>
      </c>
      <c r="J84" s="57">
        <f t="shared" si="17"/>
        <v>51</v>
      </c>
      <c r="K84" s="57">
        <f t="shared" si="17"/>
        <v>0</v>
      </c>
      <c r="L84" s="57">
        <f t="shared" si="17"/>
        <v>0</v>
      </c>
      <c r="M84" s="57">
        <f t="shared" si="17"/>
        <v>0</v>
      </c>
      <c r="N84" s="57">
        <f t="shared" si="17"/>
        <v>0</v>
      </c>
      <c r="O84" s="57">
        <f t="shared" si="17"/>
        <v>0</v>
      </c>
      <c r="P84" s="57">
        <f t="shared" si="17"/>
        <v>0</v>
      </c>
      <c r="Q84" s="57">
        <f t="shared" si="17"/>
        <v>0</v>
      </c>
      <c r="R84" s="57">
        <f t="shared" si="17"/>
        <v>0</v>
      </c>
      <c r="S84" s="57">
        <f t="shared" si="17"/>
        <v>0</v>
      </c>
      <c r="T84" s="57">
        <f t="shared" si="17"/>
        <v>61</v>
      </c>
      <c r="U84" s="72">
        <f t="shared" si="15"/>
        <v>283</v>
      </c>
      <c r="V84" s="183">
        <f>($U84)/$D$44</f>
        <v>0.21390778533635676</v>
      </c>
      <c r="W84" s="194">
        <f>D44</f>
        <v>1323</v>
      </c>
      <c r="X84" s="161"/>
      <c r="Y84" s="160">
        <f t="shared" si="11"/>
        <v>283</v>
      </c>
      <c r="Z84" s="12" t="s">
        <v>98</v>
      </c>
    </row>
    <row r="86" spans="1:26" ht="15.75" thickBot="1" x14ac:dyDescent="0.3"/>
    <row r="87" spans="1:26" ht="75.75" thickBot="1" x14ac:dyDescent="0.3">
      <c r="A87" s="43" t="s">
        <v>22</v>
      </c>
      <c r="B87" s="43" t="s">
        <v>46</v>
      </c>
      <c r="C87" s="43" t="s">
        <v>51</v>
      </c>
      <c r="D87" s="43" t="s">
        <v>17</v>
      </c>
      <c r="E87" s="42" t="s">
        <v>16</v>
      </c>
      <c r="F87" s="44" t="s">
        <v>1</v>
      </c>
      <c r="G87" s="45" t="s">
        <v>23</v>
      </c>
      <c r="H87" s="46" t="s">
        <v>71</v>
      </c>
      <c r="I87" s="46" t="s">
        <v>72</v>
      </c>
      <c r="J87" s="46" t="s">
        <v>52</v>
      </c>
      <c r="K87" s="46" t="s">
        <v>57</v>
      </c>
      <c r="L87" s="46" t="s">
        <v>53</v>
      </c>
      <c r="M87" s="46" t="s">
        <v>58</v>
      </c>
      <c r="N87" s="46" t="s">
        <v>54</v>
      </c>
      <c r="O87" s="46" t="s">
        <v>59</v>
      </c>
      <c r="P87" s="46" t="s">
        <v>55</v>
      </c>
      <c r="Q87" s="46" t="s">
        <v>73</v>
      </c>
      <c r="R87" s="46" t="s">
        <v>56</v>
      </c>
      <c r="S87" s="46" t="s">
        <v>112</v>
      </c>
      <c r="T87" s="43" t="s">
        <v>40</v>
      </c>
      <c r="U87" s="43" t="s">
        <v>4</v>
      </c>
      <c r="V87" s="42" t="s">
        <v>2</v>
      </c>
      <c r="W87" s="79" t="s">
        <v>146</v>
      </c>
      <c r="X87" s="80" t="s">
        <v>20</v>
      </c>
      <c r="Y87" s="179" t="s">
        <v>4</v>
      </c>
      <c r="Z87" s="182" t="s">
        <v>6</v>
      </c>
    </row>
    <row r="88" spans="1:26" ht="15.75" thickBot="1" x14ac:dyDescent="0.3">
      <c r="A88" s="181">
        <v>1530356</v>
      </c>
      <c r="B88" s="181" t="s">
        <v>251</v>
      </c>
      <c r="C88" s="314">
        <v>1152</v>
      </c>
      <c r="D88" s="314">
        <v>1205</v>
      </c>
      <c r="E88" s="319">
        <v>1137</v>
      </c>
      <c r="F88" s="313">
        <f>E88/D88</f>
        <v>0.94356846473029043</v>
      </c>
      <c r="G88" s="180">
        <v>45505</v>
      </c>
      <c r="H88" s="169"/>
      <c r="I88" s="168"/>
      <c r="J88" s="168"/>
      <c r="K88" s="168"/>
      <c r="L88" s="168"/>
      <c r="M88" s="168"/>
      <c r="N88" s="168"/>
      <c r="O88" s="168"/>
      <c r="P88" s="168"/>
      <c r="Q88" s="168"/>
      <c r="R88" s="168"/>
      <c r="S88" s="168"/>
      <c r="T88" s="167"/>
      <c r="U88" s="291"/>
      <c r="V88" s="166"/>
      <c r="W88" s="166"/>
      <c r="X88" s="86" t="s">
        <v>74</v>
      </c>
      <c r="Y88" s="179" t="s">
        <v>4</v>
      </c>
      <c r="Z88" s="341" t="s">
        <v>208</v>
      </c>
    </row>
    <row r="89" spans="1:26" x14ac:dyDescent="0.25">
      <c r="A89" s="49"/>
      <c r="B89" s="50"/>
      <c r="C89" s="50"/>
      <c r="D89" s="50"/>
      <c r="E89" s="50"/>
      <c r="F89" s="50"/>
      <c r="G89" s="51"/>
      <c r="H89" s="5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59"/>
      <c r="U89" s="71">
        <f t="shared" ref="U89:U119" si="18">SUM(H89,J89,L89,N89,P89,R89,T89)</f>
        <v>0</v>
      </c>
      <c r="V89" s="183">
        <f>($U89)/$D$88</f>
        <v>0</v>
      </c>
      <c r="W89" s="193">
        <f>D88</f>
        <v>1205</v>
      </c>
      <c r="X89" s="165" t="s">
        <v>15</v>
      </c>
      <c r="Y89" s="178">
        <f t="shared" ref="Y89" si="19">U89</f>
        <v>0</v>
      </c>
      <c r="Z89" s="210" t="s">
        <v>117</v>
      </c>
    </row>
    <row r="90" spans="1:26" x14ac:dyDescent="0.25">
      <c r="A90" s="52"/>
      <c r="B90" s="53"/>
      <c r="C90" s="53"/>
      <c r="D90" s="53"/>
      <c r="E90" s="53"/>
      <c r="F90" s="53"/>
      <c r="G90" s="54"/>
      <c r="H90" s="330">
        <v>1</v>
      </c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62"/>
      <c r="U90" s="71">
        <f t="shared" si="18"/>
        <v>1</v>
      </c>
      <c r="V90" s="183">
        <f>($U90)/$D$88</f>
        <v>8.2987551867219915E-4</v>
      </c>
      <c r="W90" s="193">
        <f>D88</f>
        <v>1205</v>
      </c>
      <c r="X90" s="171" t="s">
        <v>42</v>
      </c>
      <c r="Y90" s="160"/>
      <c r="Z90" s="210" t="s">
        <v>171</v>
      </c>
    </row>
    <row r="91" spans="1:26" x14ac:dyDescent="0.25">
      <c r="A91" s="52"/>
      <c r="B91" s="53"/>
      <c r="C91" s="53"/>
      <c r="D91" s="53"/>
      <c r="E91" s="53"/>
      <c r="F91" s="53"/>
      <c r="G91" s="54"/>
      <c r="H91" s="60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1"/>
      <c r="U91" s="67">
        <f t="shared" si="18"/>
        <v>0</v>
      </c>
      <c r="V91" s="183">
        <f t="shared" ref="V91:V103" si="20">($U91)/$D$88</f>
        <v>0</v>
      </c>
      <c r="W91" s="193">
        <f>D88</f>
        <v>1205</v>
      </c>
      <c r="X91" s="164" t="s">
        <v>5</v>
      </c>
      <c r="Y91" s="160">
        <f t="shared" ref="Y91:Y102" si="21">U91</f>
        <v>0</v>
      </c>
      <c r="Z91" s="126"/>
    </row>
    <row r="92" spans="1:26" x14ac:dyDescent="0.25">
      <c r="A92" s="52"/>
      <c r="B92" s="53"/>
      <c r="C92" s="53"/>
      <c r="D92" s="53"/>
      <c r="E92" s="55"/>
      <c r="F92" s="55"/>
      <c r="G92" s="54"/>
      <c r="H92" s="60">
        <v>1</v>
      </c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1"/>
      <c r="U92" s="67">
        <f t="shared" si="18"/>
        <v>1</v>
      </c>
      <c r="V92" s="183">
        <f t="shared" si="20"/>
        <v>8.2987551867219915E-4</v>
      </c>
      <c r="W92" s="193">
        <f>D88</f>
        <v>1205</v>
      </c>
      <c r="X92" s="164" t="s">
        <v>13</v>
      </c>
      <c r="Y92" s="160">
        <f t="shared" si="21"/>
        <v>1</v>
      </c>
      <c r="Z92" s="394"/>
    </row>
    <row r="93" spans="1:26" x14ac:dyDescent="0.25">
      <c r="A93" s="52"/>
      <c r="B93" s="53"/>
      <c r="C93" s="53"/>
      <c r="D93" s="53"/>
      <c r="E93" s="55"/>
      <c r="F93" s="55"/>
      <c r="G93" s="54"/>
      <c r="H93" s="60">
        <v>44</v>
      </c>
      <c r="I93" s="69"/>
      <c r="J93" s="69">
        <v>3</v>
      </c>
      <c r="K93" s="69"/>
      <c r="L93" s="69"/>
      <c r="M93" s="69"/>
      <c r="N93" s="69"/>
      <c r="O93" s="69"/>
      <c r="P93" s="69"/>
      <c r="Q93" s="69"/>
      <c r="R93" s="69"/>
      <c r="S93" s="69"/>
      <c r="T93" s="61"/>
      <c r="U93" s="67">
        <f t="shared" si="18"/>
        <v>47</v>
      </c>
      <c r="V93" s="183">
        <f t="shared" si="20"/>
        <v>3.9004149377593361E-2</v>
      </c>
      <c r="W93" s="193">
        <f>D88</f>
        <v>1205</v>
      </c>
      <c r="X93" s="164" t="s">
        <v>14</v>
      </c>
      <c r="Y93" s="160">
        <f t="shared" si="21"/>
        <v>47</v>
      </c>
      <c r="Z93" s="78"/>
    </row>
    <row r="94" spans="1:26" x14ac:dyDescent="0.25">
      <c r="A94" s="52"/>
      <c r="B94" s="53"/>
      <c r="C94" s="53"/>
      <c r="D94" s="53"/>
      <c r="E94" s="55"/>
      <c r="F94" s="55"/>
      <c r="G94" s="54"/>
      <c r="H94" s="60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1"/>
      <c r="U94" s="67">
        <f t="shared" si="18"/>
        <v>0</v>
      </c>
      <c r="V94" s="183">
        <f t="shared" si="20"/>
        <v>0</v>
      </c>
      <c r="W94" s="193">
        <f>D88</f>
        <v>1205</v>
      </c>
      <c r="X94" s="164" t="s">
        <v>29</v>
      </c>
      <c r="Y94" s="160">
        <f t="shared" si="21"/>
        <v>0</v>
      </c>
      <c r="Z94" s="212"/>
    </row>
    <row r="95" spans="1:26" ht="15.75" x14ac:dyDescent="0.25">
      <c r="A95" s="52"/>
      <c r="B95" s="53"/>
      <c r="C95" s="53"/>
      <c r="D95" s="53"/>
      <c r="E95" s="55"/>
      <c r="F95" s="55"/>
      <c r="G95" s="54"/>
      <c r="H95" s="60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1"/>
      <c r="U95" s="67">
        <f t="shared" si="18"/>
        <v>0</v>
      </c>
      <c r="V95" s="183">
        <f t="shared" si="20"/>
        <v>0</v>
      </c>
      <c r="W95" s="193">
        <f>D88</f>
        <v>1205</v>
      </c>
      <c r="X95" s="203" t="s">
        <v>30</v>
      </c>
      <c r="Y95" s="160">
        <f t="shared" si="21"/>
        <v>0</v>
      </c>
      <c r="Z95" s="126"/>
    </row>
    <row r="96" spans="1:26" x14ac:dyDescent="0.25">
      <c r="A96" s="52"/>
      <c r="B96" s="53"/>
      <c r="C96" s="53"/>
      <c r="D96" s="53"/>
      <c r="E96" s="55"/>
      <c r="F96" s="55"/>
      <c r="G96" s="54"/>
      <c r="H96" s="60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1"/>
      <c r="U96" s="67">
        <f t="shared" si="18"/>
        <v>0</v>
      </c>
      <c r="V96" s="183">
        <f t="shared" si="20"/>
        <v>0</v>
      </c>
      <c r="W96" s="193">
        <f>D88</f>
        <v>1205</v>
      </c>
      <c r="X96" s="164" t="s">
        <v>19</v>
      </c>
      <c r="Y96" s="160">
        <f t="shared" si="21"/>
        <v>0</v>
      </c>
      <c r="Z96" s="126"/>
    </row>
    <row r="97" spans="1:26" x14ac:dyDescent="0.25">
      <c r="A97" s="52"/>
      <c r="B97" s="53"/>
      <c r="C97" s="53"/>
      <c r="D97" s="53"/>
      <c r="E97" s="55"/>
      <c r="F97" s="55"/>
      <c r="G97" s="54"/>
      <c r="H97" s="60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1"/>
      <c r="U97" s="67">
        <f t="shared" si="18"/>
        <v>0</v>
      </c>
      <c r="V97" s="183">
        <f t="shared" si="20"/>
        <v>0</v>
      </c>
      <c r="W97" s="193">
        <f>D88</f>
        <v>1205</v>
      </c>
      <c r="X97" s="164" t="s">
        <v>28</v>
      </c>
      <c r="Y97" s="160">
        <f t="shared" si="21"/>
        <v>0</v>
      </c>
      <c r="Z97" s="126"/>
    </row>
    <row r="98" spans="1:26" x14ac:dyDescent="0.25">
      <c r="A98" s="52"/>
      <c r="B98" s="53"/>
      <c r="C98" s="53"/>
      <c r="D98" s="53"/>
      <c r="E98" s="55"/>
      <c r="F98" s="55"/>
      <c r="G98" s="54"/>
      <c r="H98" s="60">
        <v>2</v>
      </c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1"/>
      <c r="U98" s="67">
        <f t="shared" si="18"/>
        <v>2</v>
      </c>
      <c r="V98" s="183">
        <f t="shared" si="20"/>
        <v>1.6597510373443983E-3</v>
      </c>
      <c r="W98" s="193">
        <f>D88</f>
        <v>1205</v>
      </c>
      <c r="X98" s="164" t="s">
        <v>0</v>
      </c>
      <c r="Y98" s="160">
        <f t="shared" si="21"/>
        <v>2</v>
      </c>
      <c r="Z98" s="78"/>
    </row>
    <row r="99" spans="1:26" x14ac:dyDescent="0.25">
      <c r="A99" s="52"/>
      <c r="B99" s="53"/>
      <c r="C99" s="53"/>
      <c r="D99" s="53"/>
      <c r="E99" s="55"/>
      <c r="F99" s="55"/>
      <c r="G99" s="54"/>
      <c r="H99" s="60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1"/>
      <c r="U99" s="67">
        <f t="shared" si="18"/>
        <v>0</v>
      </c>
      <c r="V99" s="183">
        <f t="shared" si="20"/>
        <v>0</v>
      </c>
      <c r="W99" s="193">
        <f>D88</f>
        <v>1205</v>
      </c>
      <c r="X99" s="164" t="s">
        <v>11</v>
      </c>
      <c r="Y99" s="160">
        <f t="shared" si="21"/>
        <v>0</v>
      </c>
      <c r="Z99" s="342"/>
    </row>
    <row r="100" spans="1:26" x14ac:dyDescent="0.25">
      <c r="A100" s="52"/>
      <c r="B100" s="53"/>
      <c r="C100" s="53"/>
      <c r="D100" s="53"/>
      <c r="E100" s="55"/>
      <c r="F100" s="55"/>
      <c r="G100" s="54"/>
      <c r="H100" s="60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1"/>
      <c r="U100" s="67">
        <f t="shared" si="18"/>
        <v>0</v>
      </c>
      <c r="V100" s="183">
        <f t="shared" si="20"/>
        <v>0</v>
      </c>
      <c r="W100" s="193">
        <f>D88</f>
        <v>1205</v>
      </c>
      <c r="X100" s="164" t="s">
        <v>32</v>
      </c>
      <c r="Y100" s="160">
        <f t="shared" si="21"/>
        <v>0</v>
      </c>
      <c r="Z100" s="126"/>
    </row>
    <row r="101" spans="1:26" x14ac:dyDescent="0.25">
      <c r="A101" s="52"/>
      <c r="B101" s="53"/>
      <c r="C101" s="53"/>
      <c r="D101" s="53"/>
      <c r="E101" s="55"/>
      <c r="F101" s="55"/>
      <c r="G101" s="54"/>
      <c r="H101" s="64"/>
      <c r="I101" s="65"/>
      <c r="J101" s="65">
        <v>6</v>
      </c>
      <c r="K101" s="65"/>
      <c r="L101" s="65"/>
      <c r="M101" s="65"/>
      <c r="N101" s="65"/>
      <c r="O101" s="65"/>
      <c r="P101" s="65"/>
      <c r="Q101" s="65"/>
      <c r="R101" s="65"/>
      <c r="S101" s="65"/>
      <c r="T101" s="66"/>
      <c r="U101" s="159">
        <f t="shared" si="18"/>
        <v>6</v>
      </c>
      <c r="V101" s="183">
        <f t="shared" si="20"/>
        <v>4.9792531120331947E-3</v>
      </c>
      <c r="W101" s="193">
        <f>D88</f>
        <v>1205</v>
      </c>
      <c r="X101" s="164" t="s">
        <v>19</v>
      </c>
      <c r="Y101" s="160">
        <f t="shared" si="21"/>
        <v>6</v>
      </c>
      <c r="Z101" s="126"/>
    </row>
    <row r="102" spans="1:26" ht="15.75" x14ac:dyDescent="0.25">
      <c r="A102" s="52"/>
      <c r="B102" s="53"/>
      <c r="C102" s="53"/>
      <c r="D102" s="53"/>
      <c r="E102" s="55"/>
      <c r="F102" s="55"/>
      <c r="G102" s="54"/>
      <c r="H102" s="64">
        <v>1</v>
      </c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6"/>
      <c r="U102" s="159">
        <f t="shared" si="18"/>
        <v>1</v>
      </c>
      <c r="V102" s="183">
        <f t="shared" si="20"/>
        <v>8.2987551867219915E-4</v>
      </c>
      <c r="W102" s="193">
        <f>D88</f>
        <v>1205</v>
      </c>
      <c r="X102" s="204" t="s">
        <v>34</v>
      </c>
      <c r="Y102" s="160">
        <f t="shared" si="21"/>
        <v>1</v>
      </c>
      <c r="Z102" s="78"/>
    </row>
    <row r="103" spans="1:26" x14ac:dyDescent="0.25">
      <c r="A103" s="52"/>
      <c r="B103" s="53"/>
      <c r="C103" s="53"/>
      <c r="D103" s="53"/>
      <c r="E103" s="55"/>
      <c r="F103" s="55"/>
      <c r="G103" s="56"/>
      <c r="H103" s="34"/>
      <c r="I103" s="69"/>
      <c r="J103" s="69">
        <v>1</v>
      </c>
      <c r="K103" s="69"/>
      <c r="L103" s="69"/>
      <c r="M103" s="69"/>
      <c r="N103" s="69"/>
      <c r="O103" s="69"/>
      <c r="P103" s="69"/>
      <c r="Q103" s="69"/>
      <c r="R103" s="69"/>
      <c r="S103" s="69"/>
      <c r="T103" s="61"/>
      <c r="U103" s="67">
        <f t="shared" si="18"/>
        <v>1</v>
      </c>
      <c r="V103" s="183">
        <f t="shared" si="20"/>
        <v>8.2987551867219915E-4</v>
      </c>
      <c r="W103" s="193">
        <f>D88</f>
        <v>1205</v>
      </c>
      <c r="X103" s="164" t="s">
        <v>338</v>
      </c>
      <c r="Y103" s="160"/>
      <c r="Z103" s="126"/>
    </row>
    <row r="104" spans="1:26" ht="15.75" thickBot="1" x14ac:dyDescent="0.3">
      <c r="A104" s="52"/>
      <c r="B104" s="53"/>
      <c r="C104" s="53"/>
      <c r="D104" s="53"/>
      <c r="E104" s="55"/>
      <c r="F104" s="55"/>
      <c r="G104" s="54"/>
      <c r="H104" s="176"/>
      <c r="I104" s="175"/>
      <c r="J104" s="175">
        <v>3</v>
      </c>
      <c r="K104" s="175"/>
      <c r="L104" s="175"/>
      <c r="M104" s="175"/>
      <c r="N104" s="175"/>
      <c r="O104" s="175"/>
      <c r="P104" s="175"/>
      <c r="Q104" s="175"/>
      <c r="R104" s="175"/>
      <c r="S104" s="175"/>
      <c r="T104" s="174"/>
      <c r="U104" s="173">
        <f t="shared" si="18"/>
        <v>3</v>
      </c>
      <c r="V104" s="241">
        <f>($U104)/$D$88</f>
        <v>2.4896265560165973E-3</v>
      </c>
      <c r="W104" s="194">
        <f>D88</f>
        <v>1205</v>
      </c>
      <c r="X104" s="172" t="s">
        <v>26</v>
      </c>
      <c r="Y104" s="160">
        <f>U104</f>
        <v>3</v>
      </c>
      <c r="Z104" s="126"/>
    </row>
    <row r="105" spans="1:26" x14ac:dyDescent="0.25">
      <c r="A105" s="52"/>
      <c r="B105" s="53"/>
      <c r="C105" s="53"/>
      <c r="D105" s="53"/>
      <c r="E105" s="55"/>
      <c r="F105" s="55"/>
      <c r="G105" s="54"/>
      <c r="H105" s="58"/>
      <c r="I105" s="149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62"/>
      <c r="U105" s="67">
        <f t="shared" si="18"/>
        <v>0</v>
      </c>
      <c r="V105" s="183">
        <f>($U105)/$D$88</f>
        <v>0</v>
      </c>
      <c r="W105" s="195">
        <f>D88</f>
        <v>1205</v>
      </c>
      <c r="X105" s="171" t="s">
        <v>10</v>
      </c>
      <c r="Y105" s="160"/>
      <c r="Z105" s="126"/>
    </row>
    <row r="106" spans="1:26" x14ac:dyDescent="0.25">
      <c r="A106" s="52"/>
      <c r="B106" s="53"/>
      <c r="C106" s="53"/>
      <c r="D106" s="53"/>
      <c r="E106" s="55"/>
      <c r="F106" s="55"/>
      <c r="G106" s="54"/>
      <c r="H106" s="60"/>
      <c r="I106" s="34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1"/>
      <c r="U106" s="67">
        <f t="shared" si="18"/>
        <v>0</v>
      </c>
      <c r="V106" s="183">
        <f>($U106)/$D$88</f>
        <v>0</v>
      </c>
      <c r="W106" s="193">
        <f>D88</f>
        <v>1205</v>
      </c>
      <c r="X106" s="164" t="s">
        <v>93</v>
      </c>
      <c r="Y106" s="160">
        <f t="shared" ref="Y106:Y116" si="22">U106</f>
        <v>0</v>
      </c>
      <c r="Z106" s="78"/>
    </row>
    <row r="107" spans="1:26" x14ac:dyDescent="0.25">
      <c r="A107" s="52"/>
      <c r="B107" s="53"/>
      <c r="C107" s="53"/>
      <c r="D107" s="53"/>
      <c r="E107" s="55"/>
      <c r="F107" s="55"/>
      <c r="G107" s="54"/>
      <c r="H107" s="60"/>
      <c r="I107" s="34">
        <v>5</v>
      </c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1"/>
      <c r="U107" s="67">
        <f t="shared" si="18"/>
        <v>0</v>
      </c>
      <c r="V107" s="183">
        <f t="shared" ref="V107:V118" si="23">($U107)/$D$88</f>
        <v>0</v>
      </c>
      <c r="W107" s="193">
        <f>D88</f>
        <v>1205</v>
      </c>
      <c r="X107" s="164" t="s">
        <v>3</v>
      </c>
      <c r="Y107" s="160">
        <f t="shared" si="22"/>
        <v>0</v>
      </c>
      <c r="Z107" s="78"/>
    </row>
    <row r="108" spans="1:26" x14ac:dyDescent="0.25">
      <c r="A108" s="52"/>
      <c r="B108" s="53"/>
      <c r="C108" s="53"/>
      <c r="D108" s="53"/>
      <c r="E108" s="55"/>
      <c r="F108" s="55"/>
      <c r="G108" s="54"/>
      <c r="H108" s="60"/>
      <c r="I108" s="34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1"/>
      <c r="U108" s="67">
        <f t="shared" si="18"/>
        <v>0</v>
      </c>
      <c r="V108" s="183">
        <f t="shared" si="23"/>
        <v>0</v>
      </c>
      <c r="W108" s="193">
        <f>D88</f>
        <v>1205</v>
      </c>
      <c r="X108" s="164" t="s">
        <v>7</v>
      </c>
      <c r="Y108" s="160">
        <f t="shared" si="22"/>
        <v>0</v>
      </c>
      <c r="Z108" s="342"/>
    </row>
    <row r="109" spans="1:26" x14ac:dyDescent="0.25">
      <c r="A109" s="52"/>
      <c r="B109" s="53"/>
      <c r="C109" s="53"/>
      <c r="D109" s="53"/>
      <c r="E109" s="55"/>
      <c r="F109" s="55"/>
      <c r="G109" s="54"/>
      <c r="H109" s="60"/>
      <c r="I109" s="34">
        <v>8</v>
      </c>
      <c r="J109" s="69">
        <v>1</v>
      </c>
      <c r="K109" s="69"/>
      <c r="L109" s="69"/>
      <c r="M109" s="69"/>
      <c r="N109" s="69"/>
      <c r="O109" s="69"/>
      <c r="P109" s="69"/>
      <c r="Q109" s="69"/>
      <c r="R109" s="69"/>
      <c r="S109" s="69"/>
      <c r="T109" s="61"/>
      <c r="U109" s="67">
        <f t="shared" si="18"/>
        <v>1</v>
      </c>
      <c r="V109" s="183">
        <f t="shared" si="23"/>
        <v>8.2987551867219915E-4</v>
      </c>
      <c r="W109" s="193">
        <f>D88</f>
        <v>1205</v>
      </c>
      <c r="X109" s="164" t="s">
        <v>8</v>
      </c>
      <c r="Y109" s="160">
        <f t="shared" si="22"/>
        <v>1</v>
      </c>
      <c r="Z109" s="342"/>
    </row>
    <row r="110" spans="1:26" x14ac:dyDescent="0.25">
      <c r="A110" s="52"/>
      <c r="B110" s="53"/>
      <c r="C110" s="53"/>
      <c r="D110" s="53"/>
      <c r="E110" s="55"/>
      <c r="F110" s="55"/>
      <c r="G110" s="54"/>
      <c r="H110" s="60"/>
      <c r="I110" s="34">
        <v>2</v>
      </c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1"/>
      <c r="U110" s="67">
        <f t="shared" si="18"/>
        <v>0</v>
      </c>
      <c r="V110" s="183">
        <f t="shared" si="23"/>
        <v>0</v>
      </c>
      <c r="W110" s="193">
        <f>D88</f>
        <v>1205</v>
      </c>
      <c r="X110" s="164" t="s">
        <v>76</v>
      </c>
      <c r="Y110" s="160">
        <f t="shared" si="22"/>
        <v>0</v>
      </c>
      <c r="Z110" s="342"/>
    </row>
    <row r="111" spans="1:26" x14ac:dyDescent="0.25">
      <c r="A111" s="52"/>
      <c r="B111" s="53"/>
      <c r="C111" s="53"/>
      <c r="D111" s="53"/>
      <c r="E111" s="55"/>
      <c r="F111" s="55"/>
      <c r="G111" s="54"/>
      <c r="H111" s="124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1"/>
      <c r="U111" s="67">
        <f t="shared" si="18"/>
        <v>0</v>
      </c>
      <c r="V111" s="183">
        <f t="shared" si="23"/>
        <v>0</v>
      </c>
      <c r="W111" s="193">
        <f>D88</f>
        <v>1205</v>
      </c>
      <c r="X111" s="164" t="s">
        <v>19</v>
      </c>
      <c r="Y111" s="160">
        <f t="shared" si="22"/>
        <v>0</v>
      </c>
      <c r="Z111" s="321" t="s">
        <v>340</v>
      </c>
    </row>
    <row r="112" spans="1:26" x14ac:dyDescent="0.25">
      <c r="A112" s="52"/>
      <c r="B112" s="53"/>
      <c r="C112" s="53"/>
      <c r="D112" s="53"/>
      <c r="E112" s="55"/>
      <c r="F112" s="55"/>
      <c r="G112" s="54"/>
      <c r="H112" s="60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1"/>
      <c r="U112" s="67">
        <f t="shared" si="18"/>
        <v>0</v>
      </c>
      <c r="V112" s="183">
        <f t="shared" si="23"/>
        <v>0</v>
      </c>
      <c r="W112" s="193">
        <f>D88</f>
        <v>1205</v>
      </c>
      <c r="X112" s="164" t="s">
        <v>77</v>
      </c>
      <c r="Y112" s="160">
        <f t="shared" si="22"/>
        <v>0</v>
      </c>
      <c r="Z112" s="342" t="s">
        <v>341</v>
      </c>
    </row>
    <row r="113" spans="1:26" x14ac:dyDescent="0.25">
      <c r="A113" s="52"/>
      <c r="B113" s="53"/>
      <c r="C113" s="53"/>
      <c r="D113" s="53"/>
      <c r="E113" s="55"/>
      <c r="F113" s="55"/>
      <c r="G113" s="54"/>
      <c r="H113" s="60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1"/>
      <c r="U113" s="67">
        <f t="shared" si="18"/>
        <v>0</v>
      </c>
      <c r="V113" s="183">
        <f t="shared" si="23"/>
        <v>0</v>
      </c>
      <c r="W113" s="193">
        <f>D88</f>
        <v>1205</v>
      </c>
      <c r="X113" s="164" t="s">
        <v>170</v>
      </c>
      <c r="Y113" s="160">
        <f t="shared" si="22"/>
        <v>0</v>
      </c>
      <c r="Z113" s="342"/>
    </row>
    <row r="114" spans="1:26" x14ac:dyDescent="0.25">
      <c r="A114" s="52"/>
      <c r="B114" s="53"/>
      <c r="C114" s="53"/>
      <c r="D114" s="53"/>
      <c r="E114" s="55"/>
      <c r="F114" s="55"/>
      <c r="G114" s="54"/>
      <c r="H114" s="60"/>
      <c r="I114" s="69">
        <v>17</v>
      </c>
      <c r="J114" s="69">
        <v>1</v>
      </c>
      <c r="K114" s="69"/>
      <c r="L114" s="69"/>
      <c r="M114" s="69"/>
      <c r="N114" s="69"/>
      <c r="O114" s="69"/>
      <c r="P114" s="69"/>
      <c r="Q114" s="69"/>
      <c r="R114" s="69"/>
      <c r="S114" s="69"/>
      <c r="T114" s="61"/>
      <c r="U114" s="67">
        <f t="shared" si="18"/>
        <v>1</v>
      </c>
      <c r="V114" s="183">
        <f t="shared" si="23"/>
        <v>8.2987551867219915E-4</v>
      </c>
      <c r="W114" s="193">
        <f>D88</f>
        <v>1205</v>
      </c>
      <c r="X114" s="164" t="s">
        <v>12</v>
      </c>
      <c r="Y114" s="160">
        <f t="shared" si="22"/>
        <v>1</v>
      </c>
      <c r="Z114" s="342"/>
    </row>
    <row r="115" spans="1:26" x14ac:dyDescent="0.25">
      <c r="A115" s="52"/>
      <c r="B115" s="53"/>
      <c r="C115" s="53"/>
      <c r="D115" s="53"/>
      <c r="E115" s="55"/>
      <c r="F115" s="55"/>
      <c r="G115" s="54"/>
      <c r="H115" s="60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1"/>
      <c r="U115" s="67">
        <f t="shared" si="18"/>
        <v>0</v>
      </c>
      <c r="V115" s="183">
        <f t="shared" si="23"/>
        <v>0</v>
      </c>
      <c r="W115" s="193">
        <f>D88</f>
        <v>1205</v>
      </c>
      <c r="X115" s="164" t="s">
        <v>91</v>
      </c>
      <c r="Y115" s="160">
        <f t="shared" si="22"/>
        <v>0</v>
      </c>
      <c r="Z115" s="321"/>
    </row>
    <row r="116" spans="1:26" x14ac:dyDescent="0.25">
      <c r="A116" s="52"/>
      <c r="B116" s="53"/>
      <c r="C116" s="53"/>
      <c r="D116" s="53"/>
      <c r="E116" s="55"/>
      <c r="F116" s="55"/>
      <c r="G116" s="54"/>
      <c r="H116" s="60"/>
      <c r="I116" s="69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1"/>
      <c r="U116" s="67">
        <f t="shared" si="18"/>
        <v>0</v>
      </c>
      <c r="V116" s="183">
        <f t="shared" si="23"/>
        <v>0</v>
      </c>
      <c r="W116" s="193">
        <f>D88</f>
        <v>1205</v>
      </c>
      <c r="X116" s="164" t="s">
        <v>79</v>
      </c>
      <c r="Y116" s="160">
        <f t="shared" si="22"/>
        <v>0</v>
      </c>
      <c r="Z116" s="342"/>
    </row>
    <row r="117" spans="1:26" x14ac:dyDescent="0.25">
      <c r="A117" s="52"/>
      <c r="B117" s="53"/>
      <c r="C117" s="53"/>
      <c r="D117" s="53"/>
      <c r="E117" s="55"/>
      <c r="F117" s="55"/>
      <c r="G117" s="54"/>
      <c r="H117" s="64"/>
      <c r="I117" s="65">
        <v>1</v>
      </c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66"/>
      <c r="U117" s="67">
        <f t="shared" si="18"/>
        <v>0</v>
      </c>
      <c r="V117" s="183">
        <f t="shared" si="23"/>
        <v>0</v>
      </c>
      <c r="W117" s="193">
        <f>D88</f>
        <v>1205</v>
      </c>
      <c r="X117" s="164" t="s">
        <v>5</v>
      </c>
      <c r="Y117" s="160"/>
      <c r="Z117" s="558"/>
    </row>
    <row r="118" spans="1:26" x14ac:dyDescent="0.25">
      <c r="A118" s="52"/>
      <c r="B118" s="53"/>
      <c r="C118" s="53"/>
      <c r="D118" s="53"/>
      <c r="E118" s="55"/>
      <c r="F118" s="55"/>
      <c r="G118" s="54"/>
      <c r="H118" s="64"/>
      <c r="I118" s="65">
        <v>4</v>
      </c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66"/>
      <c r="U118" s="67">
        <f t="shared" si="18"/>
        <v>0</v>
      </c>
      <c r="V118" s="183">
        <f t="shared" si="23"/>
        <v>0</v>
      </c>
      <c r="W118" s="193">
        <f>D88</f>
        <v>1205</v>
      </c>
      <c r="X118" s="170" t="s">
        <v>11</v>
      </c>
      <c r="Y118" s="160"/>
      <c r="Z118" s="558"/>
    </row>
    <row r="119" spans="1:26" ht="16.5" thickBot="1" x14ac:dyDescent="0.3">
      <c r="A119" s="52"/>
      <c r="B119" s="53"/>
      <c r="C119" s="53"/>
      <c r="D119" s="53"/>
      <c r="E119" s="55"/>
      <c r="F119" s="55"/>
      <c r="G119" s="54"/>
      <c r="H119" s="64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6"/>
      <c r="U119" s="67">
        <f t="shared" si="18"/>
        <v>0</v>
      </c>
      <c r="V119" s="183">
        <f>($U119)/$D$88</f>
        <v>0</v>
      </c>
      <c r="W119" s="194">
        <f>D88</f>
        <v>1205</v>
      </c>
      <c r="X119" s="345" t="s">
        <v>9</v>
      </c>
      <c r="Y119" s="160">
        <f t="shared" ref="Y119:Y128" si="24">U119</f>
        <v>0</v>
      </c>
      <c r="Z119" s="321"/>
    </row>
    <row r="120" spans="1:26" ht="15.75" thickBot="1" x14ac:dyDescent="0.3">
      <c r="A120" s="52"/>
      <c r="B120" s="53"/>
      <c r="C120" s="53"/>
      <c r="D120" s="53"/>
      <c r="E120" s="55"/>
      <c r="F120" s="55"/>
      <c r="G120" s="54"/>
      <c r="H120" s="169"/>
      <c r="I120" s="168"/>
      <c r="J120" s="168"/>
      <c r="K120" s="168"/>
      <c r="L120" s="168"/>
      <c r="M120" s="168"/>
      <c r="N120" s="168"/>
      <c r="O120" s="168"/>
      <c r="P120" s="168"/>
      <c r="Q120" s="168"/>
      <c r="R120" s="168"/>
      <c r="S120" s="168"/>
      <c r="T120" s="167"/>
      <c r="U120" s="166"/>
      <c r="V120" s="166"/>
      <c r="W120" s="235"/>
      <c r="X120" s="116" t="s">
        <v>80</v>
      </c>
      <c r="Y120" s="160">
        <f t="shared" si="24"/>
        <v>0</v>
      </c>
      <c r="Z120" s="321"/>
    </row>
    <row r="121" spans="1:26" x14ac:dyDescent="0.25">
      <c r="A121" s="52"/>
      <c r="B121" s="53"/>
      <c r="C121" s="53"/>
      <c r="D121" s="53"/>
      <c r="E121" s="55"/>
      <c r="F121" s="55"/>
      <c r="G121" s="56"/>
      <c r="H121" s="5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59"/>
      <c r="U121" s="71">
        <f t="shared" ref="U121:U128" si="25">SUM(H121,J121,L121,N121,P121,R121,T121)</f>
        <v>0</v>
      </c>
      <c r="V121" s="183">
        <f>($U121)/$D$88</f>
        <v>0</v>
      </c>
      <c r="W121" s="193">
        <f>D88</f>
        <v>1205</v>
      </c>
      <c r="X121" s="395" t="s">
        <v>91</v>
      </c>
      <c r="Y121" s="160">
        <f t="shared" si="24"/>
        <v>0</v>
      </c>
      <c r="Z121" s="342"/>
    </row>
    <row r="122" spans="1:26" x14ac:dyDescent="0.25">
      <c r="A122" s="52"/>
      <c r="B122" s="53"/>
      <c r="C122" s="53"/>
      <c r="D122" s="53"/>
      <c r="E122" s="55"/>
      <c r="F122" s="55"/>
      <c r="G122" s="56"/>
      <c r="H122" s="60">
        <f>2-1</f>
        <v>1</v>
      </c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1"/>
      <c r="U122" s="67">
        <f t="shared" si="25"/>
        <v>1</v>
      </c>
      <c r="V122" s="183">
        <f>($U122)/$D$88</f>
        <v>8.2987551867219915E-4</v>
      </c>
      <c r="W122" s="193">
        <f>D88</f>
        <v>1205</v>
      </c>
      <c r="X122" s="164" t="s">
        <v>82</v>
      </c>
      <c r="Y122" s="160">
        <f t="shared" si="24"/>
        <v>1</v>
      </c>
      <c r="Z122" s="342"/>
    </row>
    <row r="123" spans="1:26" x14ac:dyDescent="0.25">
      <c r="A123" s="52"/>
      <c r="B123" s="53"/>
      <c r="C123" s="53"/>
      <c r="D123" s="53"/>
      <c r="E123" s="55"/>
      <c r="F123" s="55"/>
      <c r="G123" s="56"/>
      <c r="H123" s="60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1"/>
      <c r="U123" s="67">
        <f t="shared" si="25"/>
        <v>0</v>
      </c>
      <c r="V123" s="183">
        <f t="shared" ref="V123:V126" si="26">($U123)/$D$88</f>
        <v>0</v>
      </c>
      <c r="W123" s="193">
        <f>D88</f>
        <v>1205</v>
      </c>
      <c r="X123" s="37" t="s">
        <v>84</v>
      </c>
      <c r="Y123" s="160">
        <f t="shared" si="24"/>
        <v>0</v>
      </c>
      <c r="Z123" s="321"/>
    </row>
    <row r="124" spans="1:26" ht="15.75" x14ac:dyDescent="0.25">
      <c r="A124" s="52"/>
      <c r="B124" s="53"/>
      <c r="C124" s="53"/>
      <c r="D124" s="53"/>
      <c r="E124" s="55"/>
      <c r="F124" s="55"/>
      <c r="G124" s="56"/>
      <c r="H124" s="60">
        <v>1</v>
      </c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1"/>
      <c r="U124" s="67">
        <f t="shared" si="25"/>
        <v>1</v>
      </c>
      <c r="V124" s="183">
        <f t="shared" si="26"/>
        <v>8.2987551867219915E-4</v>
      </c>
      <c r="W124" s="193">
        <f>D88</f>
        <v>1205</v>
      </c>
      <c r="X124" s="204" t="s">
        <v>25</v>
      </c>
      <c r="Y124" s="160">
        <f t="shared" si="24"/>
        <v>1</v>
      </c>
      <c r="Z124" s="342" t="s">
        <v>289</v>
      </c>
    </row>
    <row r="125" spans="1:26" x14ac:dyDescent="0.25">
      <c r="A125" s="52"/>
      <c r="B125" s="53"/>
      <c r="C125" s="53"/>
      <c r="D125" s="53"/>
      <c r="E125" s="55"/>
      <c r="F125" s="55"/>
      <c r="G125" s="56"/>
      <c r="H125" s="60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1"/>
      <c r="U125" s="67">
        <f t="shared" si="25"/>
        <v>0</v>
      </c>
      <c r="V125" s="183">
        <f t="shared" si="26"/>
        <v>0</v>
      </c>
      <c r="W125" s="193">
        <f>D88</f>
        <v>1205</v>
      </c>
      <c r="X125" s="164" t="s">
        <v>339</v>
      </c>
      <c r="Y125" s="160">
        <f t="shared" si="24"/>
        <v>0</v>
      </c>
      <c r="Z125" s="342"/>
    </row>
    <row r="126" spans="1:26" ht="15.75" x14ac:dyDescent="0.25">
      <c r="A126" s="52"/>
      <c r="B126" s="53"/>
      <c r="C126" s="53"/>
      <c r="D126" s="53"/>
      <c r="E126" s="55"/>
      <c r="F126" s="55"/>
      <c r="G126" s="56"/>
      <c r="H126" s="60"/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1"/>
      <c r="U126" s="67">
        <f t="shared" si="25"/>
        <v>0</v>
      </c>
      <c r="V126" s="183">
        <f t="shared" si="26"/>
        <v>0</v>
      </c>
      <c r="W126" s="193">
        <f>D88</f>
        <v>1205</v>
      </c>
      <c r="X126" s="203" t="s">
        <v>145</v>
      </c>
      <c r="Y126" s="160">
        <f t="shared" si="24"/>
        <v>0</v>
      </c>
      <c r="Z126" s="342"/>
    </row>
    <row r="127" spans="1:26" ht="15.75" thickBot="1" x14ac:dyDescent="0.3">
      <c r="A127" s="155"/>
      <c r="B127" s="156"/>
      <c r="C127" s="156"/>
      <c r="D127" s="156"/>
      <c r="E127" s="157"/>
      <c r="F127" s="157"/>
      <c r="G127" s="163"/>
      <c r="H127" s="64">
        <f>3-1</f>
        <v>2</v>
      </c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6"/>
      <c r="U127" s="159">
        <f t="shared" si="25"/>
        <v>2</v>
      </c>
      <c r="V127" s="241">
        <f>($U127)/$D$88</f>
        <v>1.6597510373443983E-3</v>
      </c>
      <c r="W127" s="194">
        <f>D88</f>
        <v>1205</v>
      </c>
      <c r="X127" s="234" t="s">
        <v>70</v>
      </c>
      <c r="Y127" s="160">
        <f t="shared" si="24"/>
        <v>2</v>
      </c>
      <c r="Z127" s="443"/>
    </row>
    <row r="128" spans="1:26" ht="15.75" thickBot="1" x14ac:dyDescent="0.3">
      <c r="G128" s="47" t="s">
        <v>4</v>
      </c>
      <c r="H128" s="57">
        <f t="shared" ref="H128:T128" si="27">SUM(H89:H127)</f>
        <v>53</v>
      </c>
      <c r="I128" s="57">
        <f t="shared" si="27"/>
        <v>37</v>
      </c>
      <c r="J128" s="57">
        <f t="shared" si="27"/>
        <v>15</v>
      </c>
      <c r="K128" s="57">
        <f t="shared" si="27"/>
        <v>0</v>
      </c>
      <c r="L128" s="57">
        <f t="shared" si="27"/>
        <v>0</v>
      </c>
      <c r="M128" s="57">
        <f t="shared" si="27"/>
        <v>0</v>
      </c>
      <c r="N128" s="57">
        <f t="shared" si="27"/>
        <v>0</v>
      </c>
      <c r="O128" s="57">
        <f t="shared" si="27"/>
        <v>0</v>
      </c>
      <c r="P128" s="57">
        <f t="shared" si="27"/>
        <v>0</v>
      </c>
      <c r="Q128" s="57">
        <f t="shared" si="27"/>
        <v>0</v>
      </c>
      <c r="R128" s="57">
        <f t="shared" si="27"/>
        <v>0</v>
      </c>
      <c r="S128" s="57">
        <f t="shared" si="27"/>
        <v>0</v>
      </c>
      <c r="T128" s="57">
        <f t="shared" si="27"/>
        <v>0</v>
      </c>
      <c r="U128" s="72">
        <f t="shared" si="25"/>
        <v>68</v>
      </c>
      <c r="V128" s="183">
        <f>($U128)/$D$88</f>
        <v>5.6431535269709544E-2</v>
      </c>
      <c r="W128" s="194">
        <f>D88</f>
        <v>1205</v>
      </c>
      <c r="X128" s="161"/>
      <c r="Y128" s="160">
        <f t="shared" si="24"/>
        <v>68</v>
      </c>
      <c r="Z128" s="12" t="s">
        <v>98</v>
      </c>
    </row>
  </sheetData>
  <conditionalFormatting sqref="M41:M42 M85:M86 M129:M1048576">
    <cfRule type="cellIs" dxfId="133" priority="182" operator="greaterThan">
      <formula>0.2</formula>
    </cfRule>
  </conditionalFormatting>
  <conditionalFormatting sqref="V3:V31">
    <cfRule type="cellIs" dxfId="132" priority="79" operator="greaterThan">
      <formula>0.2</formula>
    </cfRule>
  </conditionalFormatting>
  <conditionalFormatting sqref="V2:W2">
    <cfRule type="cellIs" dxfId="131" priority="78" operator="greaterThan">
      <formula>0.2</formula>
    </cfRule>
  </conditionalFormatting>
  <conditionalFormatting sqref="V1">
    <cfRule type="cellIs" dxfId="130" priority="77" operator="greaterThan">
      <formula>0.2</formula>
    </cfRule>
  </conditionalFormatting>
  <conditionalFormatting sqref="W1">
    <cfRule type="cellIs" dxfId="129" priority="76" operator="greaterThan">
      <formula>0.2</formula>
    </cfRule>
  </conditionalFormatting>
  <conditionalFormatting sqref="V40">
    <cfRule type="cellIs" dxfId="128" priority="74" operator="greaterThan">
      <formula>0.2</formula>
    </cfRule>
  </conditionalFormatting>
  <conditionalFormatting sqref="V33:V40">
    <cfRule type="cellIs" dxfId="127" priority="73" operator="greaterThan">
      <formula>0.2</formula>
    </cfRule>
  </conditionalFormatting>
  <conditionalFormatting sqref="V33:V40">
    <cfRule type="colorScale" priority="75">
      <colorScale>
        <cfvo type="min"/>
        <cfvo type="max"/>
        <color rgb="FFFCFCFF"/>
        <color rgb="FFF8696B"/>
      </colorScale>
    </cfRule>
  </conditionalFormatting>
  <conditionalFormatting sqref="V3:V31">
    <cfRule type="colorScale" priority="80">
      <colorScale>
        <cfvo type="min"/>
        <cfvo type="max"/>
        <color rgb="FFFCFCFF"/>
        <color rgb="FFF8696B"/>
      </colorScale>
    </cfRule>
  </conditionalFormatting>
  <conditionalFormatting sqref="V45:V75">
    <cfRule type="cellIs" dxfId="126" priority="15" operator="greaterThan">
      <formula>0.2</formula>
    </cfRule>
  </conditionalFormatting>
  <conditionalFormatting sqref="V44:W44">
    <cfRule type="cellIs" dxfId="125" priority="14" operator="greaterThan">
      <formula>0.2</formula>
    </cfRule>
  </conditionalFormatting>
  <conditionalFormatting sqref="V43">
    <cfRule type="cellIs" dxfId="124" priority="13" operator="greaterThan">
      <formula>0.2</formula>
    </cfRule>
  </conditionalFormatting>
  <conditionalFormatting sqref="W43">
    <cfRule type="cellIs" dxfId="123" priority="12" operator="greaterThan">
      <formula>0.2</formula>
    </cfRule>
  </conditionalFormatting>
  <conditionalFormatting sqref="V84">
    <cfRule type="cellIs" dxfId="122" priority="10" operator="greaterThan">
      <formula>0.2</formula>
    </cfRule>
  </conditionalFormatting>
  <conditionalFormatting sqref="V77:V84">
    <cfRule type="cellIs" dxfId="121" priority="9" operator="greaterThan">
      <formula>0.2</formula>
    </cfRule>
  </conditionalFormatting>
  <conditionalFormatting sqref="V77:V84">
    <cfRule type="colorScale" priority="11">
      <colorScale>
        <cfvo type="min"/>
        <cfvo type="max"/>
        <color rgb="FFFCFCFF"/>
        <color rgb="FFF8696B"/>
      </colorScale>
    </cfRule>
  </conditionalFormatting>
  <conditionalFormatting sqref="V45:V75">
    <cfRule type="colorScale" priority="16">
      <colorScale>
        <cfvo type="min"/>
        <cfvo type="max"/>
        <color rgb="FFFCFCFF"/>
        <color rgb="FFF8696B"/>
      </colorScale>
    </cfRule>
  </conditionalFormatting>
  <conditionalFormatting sqref="V89:V119">
    <cfRule type="cellIs" dxfId="120" priority="7" operator="greaterThan">
      <formula>0.2</formula>
    </cfRule>
  </conditionalFormatting>
  <conditionalFormatting sqref="V88:W88">
    <cfRule type="cellIs" dxfId="119" priority="6" operator="greaterThan">
      <formula>0.2</formula>
    </cfRule>
  </conditionalFormatting>
  <conditionalFormatting sqref="V87">
    <cfRule type="cellIs" dxfId="118" priority="5" operator="greaterThan">
      <formula>0.2</formula>
    </cfRule>
  </conditionalFormatting>
  <conditionalFormatting sqref="W87">
    <cfRule type="cellIs" dxfId="117" priority="4" operator="greaterThan">
      <formula>0.2</formula>
    </cfRule>
  </conditionalFormatting>
  <conditionalFormatting sqref="V128">
    <cfRule type="cellIs" dxfId="116" priority="2" operator="greaterThan">
      <formula>0.2</formula>
    </cfRule>
  </conditionalFormatting>
  <conditionalFormatting sqref="V121:V128">
    <cfRule type="cellIs" dxfId="115" priority="1" operator="greaterThan">
      <formula>0.2</formula>
    </cfRule>
  </conditionalFormatting>
  <conditionalFormatting sqref="V121:V128">
    <cfRule type="colorScale" priority="3">
      <colorScale>
        <cfvo type="min"/>
        <cfvo type="max"/>
        <color rgb="FFFCFCFF"/>
        <color rgb="FFF8696B"/>
      </colorScale>
    </cfRule>
  </conditionalFormatting>
  <conditionalFormatting sqref="V89:V119">
    <cfRule type="colorScale" priority="8">
      <colorScale>
        <cfvo type="min"/>
        <cfvo type="max"/>
        <color rgb="FFFCFCFF"/>
        <color rgb="FFF8696B"/>
      </colorScale>
    </cfRule>
  </conditionalFormatting>
  <pageMargins left="0.25" right="0.25" top="0.75" bottom="0.75" header="0.3" footer="0.3"/>
  <pageSetup scale="24" orientation="landscape" r:id="rId1"/>
  <ignoredErrors>
    <ignoredError sqref="V16:V40 V4:V14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>
    <pageSetUpPr fitToPage="1"/>
  </sheetPr>
  <dimension ref="A1:U34"/>
  <sheetViews>
    <sheetView showGridLines="0" zoomScaleNormal="100" workbookViewId="0">
      <selection activeCell="R5" sqref="R5"/>
    </sheetView>
  </sheetViews>
  <sheetFormatPr defaultColWidth="9.140625" defaultRowHeight="15" x14ac:dyDescent="0.25"/>
  <cols>
    <col min="1" max="4" width="10.7109375" style="23" customWidth="1"/>
    <col min="5" max="5" width="10.7109375" style="25" customWidth="1"/>
    <col min="6" max="6" width="10.7109375" style="23" customWidth="1"/>
    <col min="7" max="7" width="17.7109375" style="23" customWidth="1"/>
    <col min="8" max="8" width="10.7109375" style="23" customWidth="1"/>
    <col min="9" max="9" width="13.5703125" style="23" bestFit="1" customWidth="1"/>
    <col min="10" max="11" width="10.7109375" style="23" customWidth="1"/>
    <col min="12" max="12" width="16.5703125" style="23" customWidth="1"/>
    <col min="13" max="14" width="10.7109375" style="23" customWidth="1"/>
    <col min="15" max="15" width="31" style="23" bestFit="1" customWidth="1"/>
    <col min="16" max="16" width="10.7109375" style="23" customWidth="1"/>
    <col min="17" max="17" width="10.85546875" style="23" customWidth="1"/>
    <col min="18" max="18" width="10.42578125" style="23" customWidth="1"/>
    <col min="19" max="16384" width="9.140625" style="23"/>
  </cols>
  <sheetData>
    <row r="1" spans="1:21" ht="54" customHeight="1" x14ac:dyDescent="0.25">
      <c r="A1" s="566" t="s">
        <v>155</v>
      </c>
      <c r="B1" s="566"/>
      <c r="C1" s="566"/>
      <c r="D1" s="566"/>
      <c r="E1" s="566"/>
      <c r="F1" s="566"/>
      <c r="G1" s="566"/>
      <c r="H1" s="566"/>
      <c r="I1" s="566"/>
      <c r="J1" s="566"/>
      <c r="K1" s="566"/>
      <c r="L1" s="566"/>
      <c r="M1" s="566"/>
      <c r="N1" s="566"/>
      <c r="O1" s="566"/>
      <c r="P1" s="566"/>
      <c r="Q1" s="566"/>
      <c r="R1" s="566"/>
    </row>
    <row r="3" spans="1:21" ht="26.25" customHeight="1" x14ac:dyDescent="0.25">
      <c r="O3" s="567" t="s">
        <v>49</v>
      </c>
      <c r="P3" s="568"/>
      <c r="Q3" s="568"/>
      <c r="R3" s="568"/>
    </row>
    <row r="4" spans="1:21" x14ac:dyDescent="0.25">
      <c r="O4" s="569" t="s">
        <v>20</v>
      </c>
      <c r="P4" s="570"/>
      <c r="Q4" s="571"/>
      <c r="R4" s="30" t="s">
        <v>24</v>
      </c>
    </row>
    <row r="5" spans="1:21" x14ac:dyDescent="0.25">
      <c r="O5" s="19" t="s">
        <v>13</v>
      </c>
      <c r="P5" s="20"/>
      <c r="Q5" s="21"/>
      <c r="R5" s="251">
        <f>SUMIF('EB212'!$X$3:$X$83,O5,'EB212'!U$3:$U$83)</f>
        <v>148</v>
      </c>
    </row>
    <row r="6" spans="1:21" x14ac:dyDescent="0.25">
      <c r="O6" s="19" t="s">
        <v>19</v>
      </c>
      <c r="P6" s="20"/>
      <c r="Q6" s="21"/>
      <c r="R6" s="251">
        <f>SUMIF('EB212'!$X$3:$X$83,O6,'EB212'!U$3:$U$83)</f>
        <v>26</v>
      </c>
    </row>
    <row r="7" spans="1:21" x14ac:dyDescent="0.25">
      <c r="O7" s="19" t="s">
        <v>3</v>
      </c>
      <c r="P7" s="20"/>
      <c r="Q7" s="21"/>
      <c r="R7" s="251">
        <f>SUMIF('EB212'!$X$3:$X$83,O7,'EB212'!U$3:$U$83)</f>
        <v>39</v>
      </c>
    </row>
    <row r="8" spans="1:21" x14ac:dyDescent="0.25">
      <c r="O8" s="19" t="s">
        <v>11</v>
      </c>
      <c r="P8" s="20"/>
      <c r="Q8" s="21"/>
      <c r="R8" s="251">
        <f>SUMIF('EB212'!$X$3:$X$83,O8,'EB212'!U$3:$U$83)</f>
        <v>19</v>
      </c>
    </row>
    <row r="9" spans="1:21" x14ac:dyDescent="0.25">
      <c r="O9" s="19" t="s">
        <v>29</v>
      </c>
      <c r="P9" s="20"/>
      <c r="Q9" s="21"/>
      <c r="R9" s="251">
        <f>SUMIF('EB212'!$X$3:$X$83,O9,'EB212'!U$3:$U$83)</f>
        <v>13</v>
      </c>
    </row>
    <row r="10" spans="1:21" ht="15.75" x14ac:dyDescent="0.25">
      <c r="O10" s="19" t="s">
        <v>15</v>
      </c>
      <c r="P10" s="20"/>
      <c r="Q10" s="21"/>
      <c r="R10" s="251">
        <f>SUMIF('EB212'!$X$3:$X$83,O10,'EB212'!U$3:$U$83)</f>
        <v>8</v>
      </c>
      <c r="U10" s="125"/>
    </row>
    <row r="11" spans="1:21" x14ac:dyDescent="0.25">
      <c r="O11" s="19" t="s">
        <v>7</v>
      </c>
      <c r="P11" s="20"/>
      <c r="Q11" s="21"/>
      <c r="R11" s="251">
        <f>SUMIF('EB212'!$X$3:$X$83,O11,'EB212'!U$3:$U$83)</f>
        <v>5</v>
      </c>
    </row>
    <row r="12" spans="1:21" x14ac:dyDescent="0.25">
      <c r="O12" s="19" t="s">
        <v>26</v>
      </c>
      <c r="P12" s="20"/>
      <c r="Q12" s="21"/>
      <c r="R12" s="251">
        <f>SUMIF('EB212'!$X$3:$X$83,O12,'EB212'!U$3:$U$83)</f>
        <v>6</v>
      </c>
    </row>
    <row r="13" spans="1:21" x14ac:dyDescent="0.25">
      <c r="O13" s="19" t="s">
        <v>8</v>
      </c>
      <c r="P13" s="20"/>
      <c r="Q13" s="21"/>
      <c r="R13" s="251">
        <f>SUMIF('EB212'!$X$3:$X$83,O13,'EB212'!U$3:$U$83)</f>
        <v>7</v>
      </c>
    </row>
    <row r="14" spans="1:21" x14ac:dyDescent="0.25">
      <c r="O14" s="20" t="s">
        <v>12</v>
      </c>
      <c r="P14" s="20"/>
      <c r="Q14" s="21"/>
      <c r="R14" s="251">
        <f>SUMIF('EB212'!$X$3:$X$83,O14,'EB212'!U$3:$U$83)</f>
        <v>7</v>
      </c>
    </row>
    <row r="15" spans="1:21" x14ac:dyDescent="0.25">
      <c r="O15" s="20" t="s">
        <v>32</v>
      </c>
      <c r="P15" s="20"/>
      <c r="Q15" s="21"/>
      <c r="R15" s="251">
        <f>SUMIF('EB212'!$X$3:$X$83,O15,'EB212'!U$3:$U$83)</f>
        <v>2</v>
      </c>
    </row>
    <row r="16" spans="1:21" x14ac:dyDescent="0.25">
      <c r="O16" s="19" t="s">
        <v>34</v>
      </c>
      <c r="P16" s="20"/>
      <c r="Q16" s="21"/>
      <c r="R16" s="251">
        <f>SUMIF('EB212'!$X$3:$X$83,O16,'EB212'!U$3:$U$83)</f>
        <v>2</v>
      </c>
    </row>
    <row r="17" spans="1:18" x14ac:dyDescent="0.25">
      <c r="O17" s="19" t="s">
        <v>42</v>
      </c>
      <c r="P17" s="20"/>
      <c r="Q17" s="21"/>
      <c r="R17" s="251">
        <f>SUMIF('EB212'!$X$3:$X$83,O17,'EB212'!U$3:$U$83)</f>
        <v>1</v>
      </c>
    </row>
    <row r="18" spans="1:18" x14ac:dyDescent="0.25">
      <c r="O18" s="19" t="s">
        <v>5</v>
      </c>
      <c r="P18" s="20"/>
      <c r="Q18" s="21"/>
      <c r="R18" s="251">
        <f>SUMIF('EB212'!$X$3:$X$83,O18,'EB212'!U$3:$U$83)</f>
        <v>1</v>
      </c>
    </row>
    <row r="19" spans="1:18" x14ac:dyDescent="0.25">
      <c r="O19" s="19" t="s">
        <v>25</v>
      </c>
      <c r="P19" s="20"/>
      <c r="Q19" s="21"/>
      <c r="R19" s="251">
        <f>SUMIF('EB212'!$X$3:$X$83,O19,'EB212'!U$3:$U$83)</f>
        <v>0</v>
      </c>
    </row>
    <row r="20" spans="1:18" ht="15.75" customHeight="1" x14ac:dyDescent="0.25">
      <c r="O20" s="19" t="s">
        <v>9</v>
      </c>
      <c r="P20" s="20"/>
      <c r="Q20" s="21"/>
      <c r="R20" s="251">
        <f>SUMIF('EB212'!$X$3:$X$83,O20,'EB212'!U$3:$U$83)</f>
        <v>26</v>
      </c>
    </row>
    <row r="21" spans="1:18" ht="23.25" x14ac:dyDescent="0.25">
      <c r="A21" s="575" t="s">
        <v>61</v>
      </c>
      <c r="B21" s="576"/>
      <c r="C21" s="576"/>
      <c r="D21" s="576"/>
      <c r="E21" s="577"/>
      <c r="O21" s="19" t="s">
        <v>44</v>
      </c>
      <c r="P21" s="20"/>
      <c r="Q21" s="21"/>
      <c r="R21" s="251">
        <f>SUMIF('EB212'!$X$3:$X$83,O21,'EB212'!U$3:$U$83)</f>
        <v>0</v>
      </c>
    </row>
    <row r="22" spans="1:18" ht="19.5" customHeight="1" x14ac:dyDescent="0.25">
      <c r="A22" s="134" t="s">
        <v>22</v>
      </c>
      <c r="B22" s="28" t="s">
        <v>17</v>
      </c>
      <c r="C22" s="28" t="s">
        <v>16</v>
      </c>
      <c r="D22" s="28" t="s">
        <v>1</v>
      </c>
      <c r="E22" s="29" t="s">
        <v>23</v>
      </c>
      <c r="O22" s="19" t="s">
        <v>10</v>
      </c>
      <c r="P22" s="20"/>
      <c r="Q22" s="21"/>
      <c r="R22" s="251">
        <f>SUMIF('EB212'!$X$3:$X$83,O22,'EB212'!U$3:$U$83)</f>
        <v>0</v>
      </c>
    </row>
    <row r="23" spans="1:18" x14ac:dyDescent="0.25">
      <c r="A23" s="130">
        <v>1526573</v>
      </c>
      <c r="B23" s="130">
        <f>VLOOKUP(Table14112[[#This Row],[Shop Order]],'EB212'!A:AA,4,FALSE)</f>
        <v>1185</v>
      </c>
      <c r="C23" s="130">
        <f>VLOOKUP(Table14112[[#This Row],[Shop Order]],'EB212'!A:AA,5,FALSE)</f>
        <v>1104</v>
      </c>
      <c r="D23" s="131">
        <f>VLOOKUP(Table14112[[#This Row],[Shop Order]],'EB212'!A:AA,6,FALSE)</f>
        <v>0.93164556962025313</v>
      </c>
      <c r="E23" s="322">
        <f>VLOOKUP(Table14112[[#This Row],[Shop Order]],'EB212'!A:AA,7,FALSE)</f>
        <v>45474</v>
      </c>
      <c r="O23" s="19" t="s">
        <v>27</v>
      </c>
      <c r="P23" s="20"/>
      <c r="Q23" s="21"/>
      <c r="R23" s="251">
        <f>SUMIF('EB212'!$X$3:$X$83,O23,'EB212'!U$3:$U$83)</f>
        <v>0</v>
      </c>
    </row>
    <row r="24" spans="1:18" x14ac:dyDescent="0.25">
      <c r="A24" s="130">
        <v>1529652</v>
      </c>
      <c r="B24" s="130">
        <f>VLOOKUP(Table14112[[#This Row],[Shop Order]],'EB212'!A:AA,4,FALSE)</f>
        <v>1323</v>
      </c>
      <c r="C24" s="130">
        <f>VLOOKUP(Table14112[[#This Row],[Shop Order]],'EB212'!A:AA,5,FALSE)</f>
        <v>1040</v>
      </c>
      <c r="D24" s="131">
        <f>VLOOKUP(Table14112[[#This Row],[Shop Order]],'EB212'!A:AA,6,FALSE)</f>
        <v>0.78609221466364321</v>
      </c>
      <c r="E24" s="322">
        <f>VLOOKUP(Table14112[[#This Row],[Shop Order]],'EB212'!A:AA,7,FALSE)</f>
        <v>45502</v>
      </c>
      <c r="G24" s="24"/>
      <c r="O24" s="19" t="s">
        <v>43</v>
      </c>
      <c r="P24" s="20"/>
      <c r="Q24" s="21"/>
      <c r="R24" s="251">
        <f>SUMIF('EB212'!$X$3:$X$83,O24,'EB212'!U$3:$U$83)</f>
        <v>0</v>
      </c>
    </row>
    <row r="25" spans="1:18" x14ac:dyDescent="0.25">
      <c r="A25" s="130"/>
      <c r="B25" s="130" t="e">
        <f>VLOOKUP(Table14112[[#This Row],[Shop Order]],'EB212'!A:AA,4,FALSE)</f>
        <v>#N/A</v>
      </c>
      <c r="C25" s="130" t="e">
        <f>VLOOKUP(Table14112[[#This Row],[Shop Order]],'EB212'!A:AA,5,FALSE)</f>
        <v>#N/A</v>
      </c>
      <c r="D25" s="131" t="e">
        <f>VLOOKUP(Table14112[[#This Row],[Shop Order]],'EB212'!A:AA,6,FALSE)</f>
        <v>#N/A</v>
      </c>
      <c r="E25" s="322" t="e">
        <f>VLOOKUP(Table14112[[#This Row],[Shop Order]],'EB212'!A:AA,7,FALSE)</f>
        <v>#N/A</v>
      </c>
      <c r="O25" s="19" t="s">
        <v>30</v>
      </c>
      <c r="P25" s="20"/>
      <c r="Q25" s="21"/>
      <c r="R25" s="251">
        <f>SUMIF('EB212'!$X$3:$X$83,O25,'EB212'!U$3:$U$83)</f>
        <v>0</v>
      </c>
    </row>
    <row r="26" spans="1:18" x14ac:dyDescent="0.25">
      <c r="A26" s="296"/>
      <c r="B26" s="130" t="e">
        <f>VLOOKUP(Table14112[[#This Row],[Shop Order]],'EB212'!A:AA,4,FALSE)</f>
        <v>#N/A</v>
      </c>
      <c r="C26" s="130" t="e">
        <f>VLOOKUP(Table14112[[#This Row],[Shop Order]],'EB212'!A:AA,5,FALSE)</f>
        <v>#N/A</v>
      </c>
      <c r="D26" s="131" t="e">
        <f>VLOOKUP(Table14112[[#This Row],[Shop Order]],'EB212'!A:AA,6,FALSE)</f>
        <v>#N/A</v>
      </c>
      <c r="E26" s="322" t="e">
        <f>VLOOKUP(Table14112[[#This Row],[Shop Order]],'EB212'!A:AA,7,FALSE)</f>
        <v>#N/A</v>
      </c>
      <c r="O26" s="19" t="s">
        <v>110</v>
      </c>
      <c r="P26" s="20"/>
      <c r="Q26" s="21"/>
      <c r="R26" s="251">
        <f>SUMIF('EB212'!$X$3:$X$83,O26,'EB212'!U$3:$U$83)</f>
        <v>0</v>
      </c>
    </row>
    <row r="27" spans="1:18" x14ac:dyDescent="0.25">
      <c r="A27" s="296"/>
      <c r="B27" s="130" t="e">
        <f>VLOOKUP(Table14112[[#This Row],[Shop Order]],'EB212'!A:AA,4,FALSE)</f>
        <v>#N/A</v>
      </c>
      <c r="C27" s="130" t="e">
        <f>VLOOKUP(Table14112[[#This Row],[Shop Order]],'EB212'!A:AA,5,FALSE)</f>
        <v>#N/A</v>
      </c>
      <c r="D27" s="131" t="e">
        <f>VLOOKUP(Table14112[[#This Row],[Shop Order]],'EB212'!A:AA,6,FALSE)</f>
        <v>#N/A</v>
      </c>
      <c r="E27" s="322" t="e">
        <f>VLOOKUP(Table14112[[#This Row],[Shop Order]],'EB212'!A:AA,7,FALSE)</f>
        <v>#N/A</v>
      </c>
      <c r="O27" s="19" t="s">
        <v>31</v>
      </c>
      <c r="P27" s="20"/>
      <c r="Q27" s="21"/>
      <c r="R27" s="251">
        <f>SUMIF('EB212'!$X$3:$X$83,O27,'EB212'!U$3:$U$83)</f>
        <v>0</v>
      </c>
    </row>
    <row r="28" spans="1:18" ht="15.75" thickBot="1" x14ac:dyDescent="0.3">
      <c r="A28" s="296"/>
      <c r="B28" s="130" t="e">
        <f>VLOOKUP(Table14112[[#This Row],[Shop Order]],'EB212'!A:AA,4,FALSE)</f>
        <v>#N/A</v>
      </c>
      <c r="C28" s="130" t="e">
        <f>VLOOKUP(Table14112[[#This Row],[Shop Order]],'EB212'!A:AA,5,FALSE)</f>
        <v>#N/A</v>
      </c>
      <c r="D28" s="131" t="e">
        <f>VLOOKUP(Table14112[[#This Row],[Shop Order]],'EB212'!A:AA,6,FALSE)</f>
        <v>#N/A</v>
      </c>
      <c r="E28" s="322" t="e">
        <f>VLOOKUP(Table14112[[#This Row],[Shop Order]],'EB212'!A:AA,7,FALSE)</f>
        <v>#N/A</v>
      </c>
      <c r="O28" s="19" t="s">
        <v>100</v>
      </c>
      <c r="P28" s="20"/>
      <c r="Q28" s="21"/>
      <c r="R28" s="251">
        <f>SUMIF('EB212'!$X$3:$X$83,O28,'EB212'!U$3:$U$83)</f>
        <v>0</v>
      </c>
    </row>
    <row r="29" spans="1:18" ht="15.75" thickBot="1" x14ac:dyDescent="0.3">
      <c r="A29" s="572" t="s">
        <v>48</v>
      </c>
      <c r="B29" s="573"/>
      <c r="C29" s="574"/>
      <c r="D29" s="75" t="e">
        <f>AVERAGE(D23:D26)</f>
        <v>#N/A</v>
      </c>
      <c r="E29" s="26"/>
      <c r="O29" s="19" t="s">
        <v>95</v>
      </c>
      <c r="P29" s="20"/>
      <c r="Q29" s="21"/>
      <c r="R29" s="251">
        <f>SUMIF('EB212'!$X$3:$X$83,O29,'EB212'!U$3:$U$83)</f>
        <v>0</v>
      </c>
    </row>
    <row r="30" spans="1:18" x14ac:dyDescent="0.25">
      <c r="O30" s="19" t="s">
        <v>41</v>
      </c>
      <c r="P30" s="20"/>
      <c r="Q30" s="21"/>
      <c r="R30" s="251">
        <f>SUMIF('EB212'!$X$3:$X$83,O30,'EB212'!U$3:$U$83)</f>
        <v>0</v>
      </c>
    </row>
    <row r="32" spans="1:18" x14ac:dyDescent="0.25">
      <c r="E32" s="23"/>
    </row>
    <row r="33" spans="5:5" ht="39.75" customHeight="1" x14ac:dyDescent="0.25">
      <c r="E33" s="23"/>
    </row>
    <row r="34" spans="5:5" ht="58.5" customHeight="1" x14ac:dyDescent="0.25">
      <c r="E34" s="23"/>
    </row>
  </sheetData>
  <sortState xmlns:xlrd2="http://schemas.microsoft.com/office/spreadsheetml/2017/richdata2" ref="O5:R30">
    <sortCondition descending="1" ref="R5:R30"/>
  </sortState>
  <dataConsolidate/>
  <mergeCells count="5">
    <mergeCell ref="A1:R1"/>
    <mergeCell ref="O3:R3"/>
    <mergeCell ref="O4:Q4"/>
    <mergeCell ref="A21:E21"/>
    <mergeCell ref="A29:C29"/>
  </mergeCells>
  <pageMargins left="0" right="0" top="0.75" bottom="0.75" header="0.3" footer="0.3"/>
  <pageSetup scale="62" orientation="landscape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pageSetUpPr fitToPage="1"/>
  </sheetPr>
  <dimension ref="A1:Z39"/>
  <sheetViews>
    <sheetView topLeftCell="F1" zoomScale="70" zoomScaleNormal="70" workbookViewId="0">
      <selection activeCell="Z33" sqref="Z33"/>
    </sheetView>
  </sheetViews>
  <sheetFormatPr defaultColWidth="9.140625" defaultRowHeight="15" x14ac:dyDescent="0.25"/>
  <cols>
    <col min="1" max="2" width="13.140625" style="41" customWidth="1"/>
    <col min="3" max="3" width="9.5703125" style="41" customWidth="1"/>
    <col min="4" max="4" width="10.140625" style="41" customWidth="1"/>
    <col min="5" max="5" width="7.42578125" style="41" bestFit="1" customWidth="1"/>
    <col min="6" max="6" width="10.28515625" style="41" bestFit="1" customWidth="1"/>
    <col min="7" max="7" width="12.85546875" style="13" customWidth="1"/>
    <col min="8" max="11" width="15.85546875" style="7" customWidth="1"/>
    <col min="12" max="12" width="15.85546875" style="8" customWidth="1"/>
    <col min="13" max="13" width="15.85546875" style="9" customWidth="1"/>
    <col min="14" max="15" width="15.85546875" style="41" customWidth="1"/>
    <col min="16" max="16" width="15.85546875" style="10" customWidth="1"/>
    <col min="17" max="20" width="15.85546875" style="12" customWidth="1"/>
    <col min="21" max="21" width="9.140625" style="12"/>
    <col min="22" max="22" width="11.140625" style="12" bestFit="1" customWidth="1"/>
    <col min="23" max="23" width="10.28515625" style="12" hidden="1" customWidth="1"/>
    <col min="24" max="24" width="37.42578125" style="41" customWidth="1"/>
    <col min="25" max="25" width="0.28515625" style="41" customWidth="1"/>
    <col min="26" max="26" width="49.28515625" style="41" bestFit="1" customWidth="1"/>
    <col min="27" max="16384" width="9.140625" style="41"/>
  </cols>
  <sheetData>
    <row r="1" spans="1:26" ht="90.75" thickBot="1" x14ac:dyDescent="0.3">
      <c r="A1" s="43" t="s">
        <v>22</v>
      </c>
      <c r="B1" s="43" t="s">
        <v>46</v>
      </c>
      <c r="C1" s="43" t="s">
        <v>51</v>
      </c>
      <c r="D1" s="43" t="s">
        <v>17</v>
      </c>
      <c r="E1" s="42" t="s">
        <v>16</v>
      </c>
      <c r="F1" s="44" t="s">
        <v>1</v>
      </c>
      <c r="G1" s="45" t="s">
        <v>23</v>
      </c>
      <c r="H1" s="46" t="s">
        <v>71</v>
      </c>
      <c r="I1" s="46" t="s">
        <v>72</v>
      </c>
      <c r="J1" s="46" t="s">
        <v>52</v>
      </c>
      <c r="K1" s="46" t="s">
        <v>57</v>
      </c>
      <c r="L1" s="46" t="s">
        <v>53</v>
      </c>
      <c r="M1" s="46" t="s">
        <v>58</v>
      </c>
      <c r="N1" s="46" t="s">
        <v>54</v>
      </c>
      <c r="O1" s="46" t="s">
        <v>59</v>
      </c>
      <c r="P1" s="46" t="s">
        <v>55</v>
      </c>
      <c r="Q1" s="46" t="s">
        <v>73</v>
      </c>
      <c r="R1" s="46" t="s">
        <v>56</v>
      </c>
      <c r="S1" s="46" t="s">
        <v>112</v>
      </c>
      <c r="T1" s="43" t="s">
        <v>40</v>
      </c>
      <c r="U1" s="43" t="s">
        <v>4</v>
      </c>
      <c r="V1" s="42" t="s">
        <v>2</v>
      </c>
      <c r="W1" s="79" t="s">
        <v>146</v>
      </c>
      <c r="X1" s="80" t="s">
        <v>20</v>
      </c>
      <c r="Y1" s="179" t="s">
        <v>4</v>
      </c>
      <c r="Z1" s="80" t="s">
        <v>6</v>
      </c>
    </row>
    <row r="2" spans="1:26" ht="15.75" thickBot="1" x14ac:dyDescent="0.3">
      <c r="A2" s="181"/>
      <c r="B2" s="181"/>
      <c r="C2" s="314"/>
      <c r="D2" s="314"/>
      <c r="E2" s="319"/>
      <c r="F2" s="320" t="e">
        <f>E2/D2</f>
        <v>#DIV/0!</v>
      </c>
      <c r="G2" s="180"/>
      <c r="H2" s="169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7"/>
      <c r="U2" s="85"/>
      <c r="V2" s="166"/>
      <c r="W2" s="166"/>
      <c r="X2" s="86" t="s">
        <v>74</v>
      </c>
      <c r="Y2" s="179" t="s">
        <v>4</v>
      </c>
      <c r="Z2" s="77" t="s">
        <v>69</v>
      </c>
    </row>
    <row r="3" spans="1:26" x14ac:dyDescent="0.25">
      <c r="A3" s="49"/>
      <c r="B3" s="50"/>
      <c r="C3" s="50"/>
      <c r="D3" s="50"/>
      <c r="E3" s="50"/>
      <c r="F3" s="50"/>
      <c r="G3" s="51"/>
      <c r="H3" s="5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59"/>
      <c r="U3" s="332">
        <f t="shared" ref="U3:U30" si="0">SUM(H3,J3,L3,N3,P3,R3,T3)</f>
        <v>0</v>
      </c>
      <c r="V3" s="183" t="e">
        <f>($U3)/$D$2</f>
        <v>#DIV/0!</v>
      </c>
      <c r="W3" s="193">
        <f>D2</f>
        <v>0</v>
      </c>
      <c r="X3" s="165" t="s">
        <v>15</v>
      </c>
      <c r="Y3" s="178">
        <f t="shared" ref="Y3:Y15" si="1">U3</f>
        <v>0</v>
      </c>
      <c r="Z3" s="95"/>
    </row>
    <row r="4" spans="1:26" x14ac:dyDescent="0.25">
      <c r="A4" s="52"/>
      <c r="B4" s="53"/>
      <c r="C4" s="53"/>
      <c r="D4" s="53"/>
      <c r="E4" s="53"/>
      <c r="F4" s="53"/>
      <c r="G4" s="54"/>
      <c r="H4" s="33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62"/>
      <c r="U4" s="331">
        <f t="shared" si="0"/>
        <v>0</v>
      </c>
      <c r="V4" s="183" t="e">
        <f>($U4)/$D$2</f>
        <v>#DIV/0!</v>
      </c>
      <c r="W4" s="193"/>
      <c r="X4" s="171" t="s">
        <v>42</v>
      </c>
      <c r="Y4" s="160"/>
      <c r="Z4" s="95"/>
    </row>
    <row r="5" spans="1:26" x14ac:dyDescent="0.25">
      <c r="A5" s="52"/>
      <c r="B5" s="53"/>
      <c r="C5" s="53"/>
      <c r="D5" s="53"/>
      <c r="E5" s="53"/>
      <c r="F5" s="53"/>
      <c r="G5" s="54"/>
      <c r="H5" s="60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1"/>
      <c r="U5" s="67">
        <f t="shared" si="0"/>
        <v>0</v>
      </c>
      <c r="V5" s="183" t="e">
        <f t="shared" ref="V5:V39" si="2">($U5)/$D$2</f>
        <v>#DIV/0!</v>
      </c>
      <c r="W5" s="193">
        <f>D2</f>
        <v>0</v>
      </c>
      <c r="X5" s="164" t="s">
        <v>5</v>
      </c>
      <c r="Y5" s="160">
        <f t="shared" si="1"/>
        <v>0</v>
      </c>
      <c r="Z5" s="126"/>
    </row>
    <row r="6" spans="1:26" x14ac:dyDescent="0.25">
      <c r="A6" s="52"/>
      <c r="B6" s="53"/>
      <c r="C6" s="53"/>
      <c r="D6" s="53"/>
      <c r="E6" s="55"/>
      <c r="F6" s="55"/>
      <c r="G6" s="54"/>
      <c r="H6" s="60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1"/>
      <c r="U6" s="67">
        <f t="shared" si="0"/>
        <v>0</v>
      </c>
      <c r="V6" s="183" t="e">
        <f t="shared" si="2"/>
        <v>#DIV/0!</v>
      </c>
      <c r="W6" s="193">
        <f>D2</f>
        <v>0</v>
      </c>
      <c r="X6" s="164" t="s">
        <v>13</v>
      </c>
      <c r="Y6" s="160">
        <f t="shared" si="1"/>
        <v>0</v>
      </c>
      <c r="Z6" s="78"/>
    </row>
    <row r="7" spans="1:26" x14ac:dyDescent="0.25">
      <c r="A7" s="52"/>
      <c r="B7" s="53"/>
      <c r="C7" s="53"/>
      <c r="D7" s="53"/>
      <c r="E7" s="55"/>
      <c r="F7" s="55"/>
      <c r="G7" s="54"/>
      <c r="H7" s="60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1"/>
      <c r="U7" s="67">
        <f t="shared" si="0"/>
        <v>0</v>
      </c>
      <c r="V7" s="183" t="e">
        <f t="shared" si="2"/>
        <v>#DIV/0!</v>
      </c>
      <c r="W7" s="193">
        <f>D2</f>
        <v>0</v>
      </c>
      <c r="X7" s="164" t="s">
        <v>14</v>
      </c>
      <c r="Y7" s="160">
        <f t="shared" si="1"/>
        <v>0</v>
      </c>
      <c r="Z7" s="78"/>
    </row>
    <row r="8" spans="1:26" x14ac:dyDescent="0.25">
      <c r="A8" s="52"/>
      <c r="B8" s="53"/>
      <c r="C8" s="53"/>
      <c r="D8" s="53"/>
      <c r="E8" s="55"/>
      <c r="F8" s="55"/>
      <c r="G8" s="54"/>
      <c r="H8" s="60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1"/>
      <c r="U8" s="67">
        <f t="shared" si="0"/>
        <v>0</v>
      </c>
      <c r="V8" s="183" t="e">
        <f t="shared" si="2"/>
        <v>#DIV/0!</v>
      </c>
      <c r="W8" s="193">
        <f>D2</f>
        <v>0</v>
      </c>
      <c r="X8" s="164" t="s">
        <v>29</v>
      </c>
      <c r="Y8" s="160">
        <f t="shared" si="1"/>
        <v>0</v>
      </c>
      <c r="Z8" s="126"/>
    </row>
    <row r="9" spans="1:26" x14ac:dyDescent="0.25">
      <c r="A9" s="52"/>
      <c r="B9" s="53"/>
      <c r="C9" s="53"/>
      <c r="D9" s="53"/>
      <c r="E9" s="55"/>
      <c r="F9" s="55"/>
      <c r="G9" s="54"/>
      <c r="H9" s="60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1"/>
      <c r="U9" s="67">
        <f t="shared" si="0"/>
        <v>0</v>
      </c>
      <c r="V9" s="183" t="e">
        <f t="shared" si="2"/>
        <v>#DIV/0!</v>
      </c>
      <c r="W9" s="193">
        <f>D2</f>
        <v>0</v>
      </c>
      <c r="X9" s="164" t="s">
        <v>30</v>
      </c>
      <c r="Y9" s="160">
        <f t="shared" si="1"/>
        <v>0</v>
      </c>
      <c r="Z9" s="126"/>
    </row>
    <row r="10" spans="1:26" x14ac:dyDescent="0.25">
      <c r="A10" s="52"/>
      <c r="B10" s="53"/>
      <c r="C10" s="53"/>
      <c r="D10" s="53"/>
      <c r="E10" s="55"/>
      <c r="F10" s="55"/>
      <c r="G10" s="54"/>
      <c r="H10" s="60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1"/>
      <c r="U10" s="67">
        <f t="shared" si="0"/>
        <v>0</v>
      </c>
      <c r="V10" s="183" t="e">
        <f t="shared" si="2"/>
        <v>#DIV/0!</v>
      </c>
      <c r="W10" s="193">
        <f>D2</f>
        <v>0</v>
      </c>
      <c r="X10" s="164" t="s">
        <v>149</v>
      </c>
      <c r="Y10" s="160">
        <f t="shared" si="1"/>
        <v>0</v>
      </c>
      <c r="Z10" s="126"/>
    </row>
    <row r="11" spans="1:26" x14ac:dyDescent="0.25">
      <c r="A11" s="52"/>
      <c r="B11" s="53"/>
      <c r="C11" s="53"/>
      <c r="D11" s="53"/>
      <c r="E11" s="55"/>
      <c r="F11" s="55"/>
      <c r="G11" s="54"/>
      <c r="H11" s="60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1"/>
      <c r="U11" s="67">
        <f t="shared" si="0"/>
        <v>0</v>
      </c>
      <c r="V11" s="183" t="e">
        <f t="shared" si="2"/>
        <v>#DIV/0!</v>
      </c>
      <c r="W11" s="193">
        <f>D2</f>
        <v>0</v>
      </c>
      <c r="X11" s="164" t="s">
        <v>28</v>
      </c>
      <c r="Y11" s="160">
        <f t="shared" si="1"/>
        <v>0</v>
      </c>
      <c r="Z11" s="126"/>
    </row>
    <row r="12" spans="1:26" x14ac:dyDescent="0.25">
      <c r="A12" s="52"/>
      <c r="B12" s="53"/>
      <c r="C12" s="53"/>
      <c r="D12" s="53"/>
      <c r="E12" s="55"/>
      <c r="F12" s="55"/>
      <c r="G12" s="54"/>
      <c r="H12" s="60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1"/>
      <c r="U12" s="67">
        <f t="shared" si="0"/>
        <v>0</v>
      </c>
      <c r="V12" s="183" t="e">
        <f t="shared" si="2"/>
        <v>#DIV/0!</v>
      </c>
      <c r="W12" s="193">
        <f>D2</f>
        <v>0</v>
      </c>
      <c r="X12" s="164" t="s">
        <v>0</v>
      </c>
      <c r="Y12" s="160">
        <f t="shared" si="1"/>
        <v>0</v>
      </c>
      <c r="Z12" s="342"/>
    </row>
    <row r="13" spans="1:26" x14ac:dyDescent="0.25">
      <c r="A13" s="52"/>
      <c r="B13" s="53"/>
      <c r="C13" s="53"/>
      <c r="D13" s="53"/>
      <c r="E13" s="55"/>
      <c r="F13" s="55"/>
      <c r="G13" s="54"/>
      <c r="H13" s="60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1"/>
      <c r="U13" s="67">
        <f t="shared" si="0"/>
        <v>0</v>
      </c>
      <c r="V13" s="183" t="e">
        <f t="shared" si="2"/>
        <v>#DIV/0!</v>
      </c>
      <c r="W13" s="193">
        <f>D2</f>
        <v>0</v>
      </c>
      <c r="X13" s="164" t="s">
        <v>11</v>
      </c>
      <c r="Y13" s="160">
        <f t="shared" si="1"/>
        <v>0</v>
      </c>
      <c r="Z13" s="126"/>
    </row>
    <row r="14" spans="1:26" x14ac:dyDescent="0.25">
      <c r="A14" s="52"/>
      <c r="B14" s="53"/>
      <c r="C14" s="53"/>
      <c r="D14" s="53"/>
      <c r="E14" s="55"/>
      <c r="F14" s="55"/>
      <c r="G14" s="54"/>
      <c r="H14" s="60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1"/>
      <c r="U14" s="67">
        <f t="shared" si="0"/>
        <v>0</v>
      </c>
      <c r="V14" s="183" t="e">
        <f t="shared" si="2"/>
        <v>#DIV/0!</v>
      </c>
      <c r="W14" s="193">
        <f>D2</f>
        <v>0</v>
      </c>
      <c r="X14" s="164" t="s">
        <v>32</v>
      </c>
      <c r="Y14" s="160">
        <f t="shared" si="1"/>
        <v>0</v>
      </c>
      <c r="Z14" s="126"/>
    </row>
    <row r="15" spans="1:26" x14ac:dyDescent="0.25">
      <c r="A15" s="52"/>
      <c r="B15" s="53"/>
      <c r="C15" s="53"/>
      <c r="D15" s="53"/>
      <c r="E15" s="55"/>
      <c r="F15" s="55"/>
      <c r="G15" s="54"/>
      <c r="H15" s="64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6"/>
      <c r="U15" s="159">
        <f t="shared" si="0"/>
        <v>0</v>
      </c>
      <c r="V15" s="183" t="e">
        <f t="shared" si="2"/>
        <v>#DIV/0!</v>
      </c>
      <c r="W15" s="193">
        <f>D2</f>
        <v>0</v>
      </c>
      <c r="X15" s="177" t="s">
        <v>19</v>
      </c>
      <c r="Y15" s="160">
        <f t="shared" si="1"/>
        <v>0</v>
      </c>
      <c r="Z15" s="78"/>
    </row>
    <row r="16" spans="1:26" x14ac:dyDescent="0.25">
      <c r="A16" s="52"/>
      <c r="B16" s="53"/>
      <c r="C16" s="53"/>
      <c r="D16" s="53"/>
      <c r="E16" s="55"/>
      <c r="F16" s="55"/>
      <c r="G16" s="56"/>
      <c r="H16" s="34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1"/>
      <c r="U16" s="67">
        <f t="shared" si="0"/>
        <v>0</v>
      </c>
      <c r="V16" s="183" t="e">
        <f t="shared" si="2"/>
        <v>#DIV/0!</v>
      </c>
      <c r="W16" s="193">
        <f>D2</f>
        <v>0</v>
      </c>
      <c r="X16" s="164" t="s">
        <v>36</v>
      </c>
      <c r="Y16" s="160"/>
      <c r="Z16" s="126"/>
    </row>
    <row r="17" spans="1:26" ht="15.75" thickBot="1" x14ac:dyDescent="0.3">
      <c r="A17" s="52"/>
      <c r="B17" s="53"/>
      <c r="C17" s="53"/>
      <c r="D17" s="53"/>
      <c r="E17" s="55"/>
      <c r="F17" s="55"/>
      <c r="G17" s="54"/>
      <c r="H17" s="176"/>
      <c r="I17" s="175"/>
      <c r="J17" s="175"/>
      <c r="K17" s="175"/>
      <c r="L17" s="175"/>
      <c r="M17" s="175"/>
      <c r="N17" s="175"/>
      <c r="O17" s="175"/>
      <c r="P17" s="175"/>
      <c r="Q17" s="175"/>
      <c r="R17" s="175"/>
      <c r="S17" s="175"/>
      <c r="T17" s="174"/>
      <c r="U17" s="173">
        <f t="shared" si="0"/>
        <v>0</v>
      </c>
      <c r="V17" s="241" t="e">
        <f t="shared" si="2"/>
        <v>#DIV/0!</v>
      </c>
      <c r="W17" s="194">
        <f>D2</f>
        <v>0</v>
      </c>
      <c r="X17" s="172" t="s">
        <v>26</v>
      </c>
      <c r="Y17" s="160">
        <f>U17</f>
        <v>0</v>
      </c>
      <c r="Z17" s="126"/>
    </row>
    <row r="18" spans="1:26" x14ac:dyDescent="0.25">
      <c r="A18" s="52"/>
      <c r="B18" s="53"/>
      <c r="C18" s="53"/>
      <c r="D18" s="53"/>
      <c r="E18" s="55"/>
      <c r="F18" s="55"/>
      <c r="G18" s="54"/>
      <c r="H18" s="58"/>
      <c r="I18" s="149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62"/>
      <c r="U18" s="67">
        <f t="shared" si="0"/>
        <v>0</v>
      </c>
      <c r="V18" s="183" t="e">
        <f t="shared" si="2"/>
        <v>#DIV/0!</v>
      </c>
      <c r="W18" s="195">
        <f>D2</f>
        <v>0</v>
      </c>
      <c r="X18" s="171" t="s">
        <v>10</v>
      </c>
      <c r="Y18" s="160"/>
      <c r="Z18" s="126"/>
    </row>
    <row r="19" spans="1:26" x14ac:dyDescent="0.25">
      <c r="A19" s="52"/>
      <c r="B19" s="53"/>
      <c r="C19" s="53"/>
      <c r="D19" s="53"/>
      <c r="E19" s="55"/>
      <c r="F19" s="55"/>
      <c r="G19" s="54"/>
      <c r="H19" s="60"/>
      <c r="I19" s="34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1"/>
      <c r="U19" s="67">
        <f t="shared" si="0"/>
        <v>0</v>
      </c>
      <c r="V19" s="183" t="e">
        <f t="shared" si="2"/>
        <v>#DIV/0!</v>
      </c>
      <c r="W19" s="193">
        <f>D2</f>
        <v>0</v>
      </c>
      <c r="X19" s="164" t="s">
        <v>27</v>
      </c>
      <c r="Y19" s="160">
        <f t="shared" ref="Y19:Y39" si="3">U19</f>
        <v>0</v>
      </c>
      <c r="Z19" s="78"/>
    </row>
    <row r="20" spans="1:26" x14ac:dyDescent="0.25">
      <c r="A20" s="52"/>
      <c r="B20" s="53"/>
      <c r="C20" s="53"/>
      <c r="D20" s="53"/>
      <c r="E20" s="55"/>
      <c r="F20" s="55"/>
      <c r="G20" s="54"/>
      <c r="H20" s="60"/>
      <c r="I20" s="34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1"/>
      <c r="U20" s="67">
        <f t="shared" si="0"/>
        <v>0</v>
      </c>
      <c r="V20" s="183" t="e">
        <f t="shared" si="2"/>
        <v>#DIV/0!</v>
      </c>
      <c r="W20" s="193">
        <f>D2</f>
        <v>0</v>
      </c>
      <c r="X20" s="164" t="s">
        <v>3</v>
      </c>
      <c r="Y20" s="160">
        <f t="shared" si="3"/>
        <v>0</v>
      </c>
      <c r="Z20" s="78"/>
    </row>
    <row r="21" spans="1:26" x14ac:dyDescent="0.25">
      <c r="A21" s="52"/>
      <c r="B21" s="53"/>
      <c r="C21" s="53"/>
      <c r="D21" s="53"/>
      <c r="E21" s="55"/>
      <c r="F21" s="55"/>
      <c r="G21" s="54"/>
      <c r="H21" s="60"/>
      <c r="I21" s="34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1"/>
      <c r="U21" s="67">
        <f t="shared" si="0"/>
        <v>0</v>
      </c>
      <c r="V21" s="183" t="e">
        <f t="shared" si="2"/>
        <v>#DIV/0!</v>
      </c>
      <c r="W21" s="193">
        <f>D2</f>
        <v>0</v>
      </c>
      <c r="X21" s="164" t="s">
        <v>7</v>
      </c>
      <c r="Y21" s="160">
        <f t="shared" si="3"/>
        <v>0</v>
      </c>
      <c r="Z21" s="105"/>
    </row>
    <row r="22" spans="1:26" x14ac:dyDescent="0.25">
      <c r="A22" s="52"/>
      <c r="B22" s="53"/>
      <c r="C22" s="53"/>
      <c r="D22" s="53"/>
      <c r="E22" s="55"/>
      <c r="F22" s="55"/>
      <c r="G22" s="54"/>
      <c r="H22" s="60"/>
      <c r="I22" s="34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1"/>
      <c r="U22" s="67">
        <f t="shared" si="0"/>
        <v>0</v>
      </c>
      <c r="V22" s="183" t="e">
        <f t="shared" si="2"/>
        <v>#DIV/0!</v>
      </c>
      <c r="W22" s="193">
        <f>D2</f>
        <v>0</v>
      </c>
      <c r="X22" s="164" t="s">
        <v>8</v>
      </c>
      <c r="Y22" s="160">
        <f t="shared" si="3"/>
        <v>0</v>
      </c>
      <c r="Z22" s="105"/>
    </row>
    <row r="23" spans="1:26" x14ac:dyDescent="0.25">
      <c r="A23" s="52"/>
      <c r="B23" s="53"/>
      <c r="C23" s="53"/>
      <c r="D23" s="53"/>
      <c r="E23" s="55"/>
      <c r="F23" s="55"/>
      <c r="G23" s="54"/>
      <c r="H23" s="60"/>
      <c r="I23" s="34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1"/>
      <c r="U23" s="67">
        <f t="shared" si="0"/>
        <v>0</v>
      </c>
      <c r="V23" s="183" t="e">
        <f>($U23)/$D$2</f>
        <v>#DIV/0!</v>
      </c>
      <c r="W23" s="193">
        <f>D2</f>
        <v>0</v>
      </c>
      <c r="X23" s="164" t="s">
        <v>76</v>
      </c>
      <c r="Y23" s="160">
        <f t="shared" si="3"/>
        <v>0</v>
      </c>
      <c r="Z23" s="342" t="s">
        <v>246</v>
      </c>
    </row>
    <row r="24" spans="1:26" x14ac:dyDescent="0.25">
      <c r="A24" s="52"/>
      <c r="B24" s="53"/>
      <c r="C24" s="53"/>
      <c r="D24" s="53"/>
      <c r="E24" s="55"/>
      <c r="F24" s="55"/>
      <c r="G24" s="54"/>
      <c r="H24" s="124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1"/>
      <c r="U24" s="67">
        <f t="shared" si="0"/>
        <v>0</v>
      </c>
      <c r="V24" s="183" t="e">
        <f t="shared" si="2"/>
        <v>#DIV/0!</v>
      </c>
      <c r="W24" s="193">
        <f>D2</f>
        <v>0</v>
      </c>
      <c r="X24" s="164" t="s">
        <v>19</v>
      </c>
      <c r="Y24" s="160">
        <f t="shared" si="3"/>
        <v>0</v>
      </c>
      <c r="Z24" s="126" t="s">
        <v>235</v>
      </c>
    </row>
    <row r="25" spans="1:26" x14ac:dyDescent="0.25">
      <c r="A25" s="52"/>
      <c r="B25" s="53"/>
      <c r="C25" s="53"/>
      <c r="D25" s="53"/>
      <c r="E25" s="55"/>
      <c r="F25" s="55"/>
      <c r="G25" s="54"/>
      <c r="H25" s="60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1"/>
      <c r="U25" s="67">
        <f t="shared" si="0"/>
        <v>0</v>
      </c>
      <c r="V25" s="183" t="e">
        <f t="shared" si="2"/>
        <v>#DIV/0!</v>
      </c>
      <c r="W25" s="193">
        <f>D2</f>
        <v>0</v>
      </c>
      <c r="X25" s="164" t="s">
        <v>77</v>
      </c>
      <c r="Y25" s="160">
        <f t="shared" si="3"/>
        <v>0</v>
      </c>
      <c r="Z25" s="126" t="s">
        <v>247</v>
      </c>
    </row>
    <row r="26" spans="1:26" x14ac:dyDescent="0.25">
      <c r="A26" s="52"/>
      <c r="B26" s="53"/>
      <c r="C26" s="53"/>
      <c r="D26" s="53"/>
      <c r="E26" s="55"/>
      <c r="F26" s="55"/>
      <c r="G26" s="54"/>
      <c r="H26" s="60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1"/>
      <c r="U26" s="67">
        <f t="shared" si="0"/>
        <v>0</v>
      </c>
      <c r="V26" s="183" t="e">
        <f t="shared" si="2"/>
        <v>#DIV/0!</v>
      </c>
      <c r="W26" s="193">
        <f>D2</f>
        <v>0</v>
      </c>
      <c r="X26" s="164" t="s">
        <v>9</v>
      </c>
      <c r="Y26" s="160">
        <f t="shared" si="3"/>
        <v>0</v>
      </c>
      <c r="Z26" s="126"/>
    </row>
    <row r="27" spans="1:26" x14ac:dyDescent="0.25">
      <c r="A27" s="52"/>
      <c r="B27" s="53"/>
      <c r="C27" s="53"/>
      <c r="D27" s="53"/>
      <c r="E27" s="55"/>
      <c r="F27" s="55"/>
      <c r="G27" s="54"/>
      <c r="H27" s="60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1"/>
      <c r="U27" s="67">
        <f t="shared" si="0"/>
        <v>0</v>
      </c>
      <c r="V27" s="183" t="e">
        <f t="shared" si="2"/>
        <v>#DIV/0!</v>
      </c>
      <c r="W27" s="193">
        <f>D2</f>
        <v>0</v>
      </c>
      <c r="X27" s="164" t="s">
        <v>12</v>
      </c>
      <c r="Y27" s="160">
        <f t="shared" si="3"/>
        <v>0</v>
      </c>
      <c r="Z27" s="126"/>
    </row>
    <row r="28" spans="1:26" x14ac:dyDescent="0.25">
      <c r="A28" s="52"/>
      <c r="B28" s="53"/>
      <c r="C28" s="53"/>
      <c r="D28" s="53"/>
      <c r="E28" s="55"/>
      <c r="F28" s="55"/>
      <c r="G28" s="54"/>
      <c r="H28" s="60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1"/>
      <c r="U28" s="67">
        <f t="shared" si="0"/>
        <v>0</v>
      </c>
      <c r="V28" s="183" t="e">
        <f t="shared" si="2"/>
        <v>#DIV/0!</v>
      </c>
      <c r="W28" s="193">
        <f>D2</f>
        <v>0</v>
      </c>
      <c r="X28" s="164" t="s">
        <v>91</v>
      </c>
      <c r="Y28" s="160">
        <f t="shared" si="3"/>
        <v>0</v>
      </c>
      <c r="Z28" s="78"/>
    </row>
    <row r="29" spans="1:26" x14ac:dyDescent="0.25">
      <c r="A29" s="52"/>
      <c r="B29" s="53"/>
      <c r="C29" s="53"/>
      <c r="D29" s="53"/>
      <c r="E29" s="55"/>
      <c r="F29" s="55"/>
      <c r="G29" s="54"/>
      <c r="H29" s="60"/>
      <c r="I29" s="69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1"/>
      <c r="U29" s="67">
        <f t="shared" si="0"/>
        <v>0</v>
      </c>
      <c r="V29" s="183" t="e">
        <f t="shared" si="2"/>
        <v>#DIV/0!</v>
      </c>
      <c r="W29" s="193">
        <f>D2</f>
        <v>0</v>
      </c>
      <c r="X29" s="164" t="s">
        <v>70</v>
      </c>
      <c r="Y29" s="160">
        <f t="shared" si="3"/>
        <v>0</v>
      </c>
      <c r="Z29" s="78"/>
    </row>
    <row r="30" spans="1:26" ht="15.75" thickBot="1" x14ac:dyDescent="0.3">
      <c r="A30" s="52"/>
      <c r="B30" s="53"/>
      <c r="C30" s="53"/>
      <c r="D30" s="53"/>
      <c r="E30" s="55"/>
      <c r="F30" s="55"/>
      <c r="G30" s="54"/>
      <c r="H30" s="64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6"/>
      <c r="U30" s="67">
        <f t="shared" si="0"/>
        <v>0</v>
      </c>
      <c r="V30" s="183" t="e">
        <f t="shared" si="2"/>
        <v>#DIV/0!</v>
      </c>
      <c r="W30" s="194">
        <f>D2</f>
        <v>0</v>
      </c>
      <c r="X30" s="170" t="s">
        <v>26</v>
      </c>
      <c r="Y30" s="160">
        <f t="shared" si="3"/>
        <v>0</v>
      </c>
      <c r="Z30" s="78"/>
    </row>
    <row r="31" spans="1:26" ht="15.75" thickBot="1" x14ac:dyDescent="0.3">
      <c r="A31" s="52"/>
      <c r="B31" s="53"/>
      <c r="C31" s="53"/>
      <c r="D31" s="53"/>
      <c r="E31" s="55"/>
      <c r="F31" s="55"/>
      <c r="G31" s="54"/>
      <c r="H31" s="169"/>
      <c r="I31" s="168"/>
      <c r="J31" s="168"/>
      <c r="K31" s="168"/>
      <c r="L31" s="168"/>
      <c r="M31" s="168"/>
      <c r="N31" s="168"/>
      <c r="O31" s="168"/>
      <c r="P31" s="168"/>
      <c r="Q31" s="168"/>
      <c r="R31" s="168"/>
      <c r="S31" s="168"/>
      <c r="T31" s="167"/>
      <c r="U31" s="166"/>
      <c r="V31" s="166" t="e">
        <f t="shared" si="2"/>
        <v>#DIV/0!</v>
      </c>
      <c r="W31" s="235"/>
      <c r="X31" s="116" t="s">
        <v>80</v>
      </c>
      <c r="Y31" s="160">
        <f t="shared" si="3"/>
        <v>0</v>
      </c>
      <c r="Z31" s="78"/>
    </row>
    <row r="32" spans="1:26" x14ac:dyDescent="0.25">
      <c r="A32" s="52"/>
      <c r="B32" s="53"/>
      <c r="C32" s="53"/>
      <c r="D32" s="53"/>
      <c r="E32" s="55"/>
      <c r="F32" s="55"/>
      <c r="G32" s="56"/>
      <c r="H32" s="5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59"/>
      <c r="U32" s="71">
        <f>SUM(H32,J32,L32,N32,P32,R32,T32)</f>
        <v>0</v>
      </c>
      <c r="V32" s="183" t="e">
        <f t="shared" si="2"/>
        <v>#DIV/0!</v>
      </c>
      <c r="W32" s="193">
        <f>D2</f>
        <v>0</v>
      </c>
      <c r="X32" s="165" t="s">
        <v>81</v>
      </c>
      <c r="Y32" s="160">
        <f t="shared" si="3"/>
        <v>0</v>
      </c>
      <c r="Z32" s="126" t="s">
        <v>213</v>
      </c>
    </row>
    <row r="33" spans="1:26" ht="15.75" x14ac:dyDescent="0.25">
      <c r="A33" s="52"/>
      <c r="B33" s="53"/>
      <c r="C33" s="53"/>
      <c r="D33" s="53"/>
      <c r="E33" s="55"/>
      <c r="F33" s="55"/>
      <c r="G33" s="56"/>
      <c r="H33" s="60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1"/>
      <c r="U33" s="67">
        <f t="shared" ref="U33:U38" si="4">SUM(H33,J33,L33,N33,P33,R33,T33)</f>
        <v>0</v>
      </c>
      <c r="V33" s="183" t="e">
        <f t="shared" si="2"/>
        <v>#DIV/0!</v>
      </c>
      <c r="W33" s="193">
        <f>D2</f>
        <v>0</v>
      </c>
      <c r="X33" s="203" t="s">
        <v>84</v>
      </c>
      <c r="Y33" s="160">
        <f t="shared" si="3"/>
        <v>0</v>
      </c>
      <c r="Z33" s="342" t="s">
        <v>177</v>
      </c>
    </row>
    <row r="34" spans="1:26" x14ac:dyDescent="0.25">
      <c r="A34" s="52"/>
      <c r="B34" s="53"/>
      <c r="C34" s="53"/>
      <c r="D34" s="53"/>
      <c r="E34" s="55"/>
      <c r="F34" s="55"/>
      <c r="G34" s="56"/>
      <c r="H34" s="60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1"/>
      <c r="U34" s="67">
        <f t="shared" si="4"/>
        <v>0</v>
      </c>
      <c r="V34" s="183" t="e">
        <f t="shared" si="2"/>
        <v>#DIV/0!</v>
      </c>
      <c r="W34" s="193">
        <f>D2</f>
        <v>0</v>
      </c>
      <c r="X34" s="164" t="s">
        <v>83</v>
      </c>
      <c r="Y34" s="160">
        <f t="shared" si="3"/>
        <v>0</v>
      </c>
      <c r="Z34" s="342" t="s">
        <v>214</v>
      </c>
    </row>
    <row r="35" spans="1:26" x14ac:dyDescent="0.25">
      <c r="A35" s="52"/>
      <c r="B35" s="53"/>
      <c r="C35" s="53"/>
      <c r="D35" s="53"/>
      <c r="E35" s="55"/>
      <c r="F35" s="55"/>
      <c r="G35" s="56"/>
      <c r="H35" s="60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1"/>
      <c r="U35" s="67">
        <f t="shared" si="4"/>
        <v>0</v>
      </c>
      <c r="V35" s="183" t="e">
        <f t="shared" si="2"/>
        <v>#DIV/0!</v>
      </c>
      <c r="W35" s="193">
        <f>D2</f>
        <v>0</v>
      </c>
      <c r="X35" s="164" t="s">
        <v>36</v>
      </c>
      <c r="Y35" s="160">
        <f t="shared" si="3"/>
        <v>0</v>
      </c>
      <c r="Z35" s="295" t="s">
        <v>215</v>
      </c>
    </row>
    <row r="36" spans="1:26" x14ac:dyDescent="0.25">
      <c r="A36" s="52"/>
      <c r="B36" s="53"/>
      <c r="C36" s="53"/>
      <c r="D36" s="53"/>
      <c r="E36" s="55"/>
      <c r="F36" s="55"/>
      <c r="G36" s="56"/>
      <c r="H36" s="60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1"/>
      <c r="U36" s="67">
        <f t="shared" si="4"/>
        <v>0</v>
      </c>
      <c r="V36" s="183" t="e">
        <f t="shared" si="2"/>
        <v>#DIV/0!</v>
      </c>
      <c r="W36" s="193">
        <f>D2</f>
        <v>0</v>
      </c>
      <c r="X36" s="164" t="s">
        <v>145</v>
      </c>
      <c r="Y36" s="160">
        <f t="shared" si="3"/>
        <v>0</v>
      </c>
      <c r="Z36" s="295"/>
    </row>
    <row r="37" spans="1:26" ht="15.75" x14ac:dyDescent="0.25">
      <c r="A37" s="52"/>
      <c r="B37" s="53"/>
      <c r="C37" s="53"/>
      <c r="D37" s="53"/>
      <c r="E37" s="55"/>
      <c r="F37" s="55"/>
      <c r="G37" s="56"/>
      <c r="H37" s="60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1"/>
      <c r="U37" s="67">
        <f t="shared" si="4"/>
        <v>0</v>
      </c>
      <c r="V37" s="183" t="e">
        <f t="shared" si="2"/>
        <v>#DIV/0!</v>
      </c>
      <c r="W37" s="193">
        <f>D2</f>
        <v>0</v>
      </c>
      <c r="X37" s="203" t="s">
        <v>34</v>
      </c>
      <c r="Y37" s="160">
        <f t="shared" si="3"/>
        <v>0</v>
      </c>
      <c r="Z37" s="78"/>
    </row>
    <row r="38" spans="1:26" ht="15.75" thickBot="1" x14ac:dyDescent="0.3">
      <c r="A38" s="155"/>
      <c r="B38" s="156"/>
      <c r="C38" s="156"/>
      <c r="D38" s="156"/>
      <c r="E38" s="157"/>
      <c r="F38" s="157"/>
      <c r="G38" s="163"/>
      <c r="H38" s="64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6"/>
      <c r="U38" s="159">
        <f t="shared" si="4"/>
        <v>0</v>
      </c>
      <c r="V38" s="241" t="e">
        <f t="shared" si="2"/>
        <v>#DIV/0!</v>
      </c>
      <c r="W38" s="194">
        <f>D2</f>
        <v>0</v>
      </c>
      <c r="X38" s="234" t="s">
        <v>70</v>
      </c>
      <c r="Y38" s="160">
        <f t="shared" si="3"/>
        <v>0</v>
      </c>
      <c r="Z38" s="162"/>
    </row>
    <row r="39" spans="1:26" ht="15.75" thickBot="1" x14ac:dyDescent="0.3">
      <c r="G39" s="47" t="s">
        <v>4</v>
      </c>
      <c r="H39" s="57">
        <f>SUM(H3:H38)</f>
        <v>0</v>
      </c>
      <c r="I39" s="57">
        <f t="shared" ref="I39:T39" si="5">SUM(I3:I38)</f>
        <v>0</v>
      </c>
      <c r="J39" s="57">
        <f t="shared" si="5"/>
        <v>0</v>
      </c>
      <c r="K39" s="57">
        <f t="shared" si="5"/>
        <v>0</v>
      </c>
      <c r="L39" s="57">
        <f t="shared" si="5"/>
        <v>0</v>
      </c>
      <c r="M39" s="57">
        <f t="shared" si="5"/>
        <v>0</v>
      </c>
      <c r="N39" s="57">
        <f t="shared" si="5"/>
        <v>0</v>
      </c>
      <c r="O39" s="57">
        <f t="shared" si="5"/>
        <v>0</v>
      </c>
      <c r="P39" s="57">
        <f t="shared" si="5"/>
        <v>0</v>
      </c>
      <c r="Q39" s="57">
        <f t="shared" si="5"/>
        <v>0</v>
      </c>
      <c r="R39" s="57">
        <f t="shared" si="5"/>
        <v>0</v>
      </c>
      <c r="S39" s="57">
        <f t="shared" si="5"/>
        <v>0</v>
      </c>
      <c r="T39" s="57">
        <f t="shared" si="5"/>
        <v>0</v>
      </c>
      <c r="U39" s="72">
        <f>SUM(H39,J39,L39,N39,P39,R39,T39)</f>
        <v>0</v>
      </c>
      <c r="V39" s="183" t="e">
        <f t="shared" si="2"/>
        <v>#DIV/0!</v>
      </c>
      <c r="W39" s="194">
        <f>D2</f>
        <v>0</v>
      </c>
      <c r="X39" s="161"/>
      <c r="Y39" s="160">
        <f t="shared" si="3"/>
        <v>0</v>
      </c>
      <c r="Z39" s="12" t="s">
        <v>98</v>
      </c>
    </row>
  </sheetData>
  <conditionalFormatting sqref="M40:M1048576">
    <cfRule type="cellIs" dxfId="106" priority="61" operator="greaterThan">
      <formula>0.2</formula>
    </cfRule>
  </conditionalFormatting>
  <conditionalFormatting sqref="V3:V30">
    <cfRule type="cellIs" dxfId="105" priority="23" operator="greaterThan">
      <formula>0.2</formula>
    </cfRule>
  </conditionalFormatting>
  <conditionalFormatting sqref="V2:W2">
    <cfRule type="cellIs" dxfId="104" priority="22" operator="greaterThan">
      <formula>0.2</formula>
    </cfRule>
  </conditionalFormatting>
  <conditionalFormatting sqref="V1">
    <cfRule type="cellIs" dxfId="103" priority="21" operator="greaterThan">
      <formula>0.2</formula>
    </cfRule>
  </conditionalFormatting>
  <conditionalFormatting sqref="W1">
    <cfRule type="cellIs" dxfId="102" priority="20" operator="greaterThan">
      <formula>0.2</formula>
    </cfRule>
  </conditionalFormatting>
  <conditionalFormatting sqref="V39">
    <cfRule type="cellIs" dxfId="101" priority="18" operator="greaterThan">
      <formula>0.2</formula>
    </cfRule>
  </conditionalFormatting>
  <conditionalFormatting sqref="V32:V39">
    <cfRule type="cellIs" dxfId="100" priority="17" operator="greaterThan">
      <formula>0.2</formula>
    </cfRule>
  </conditionalFormatting>
  <conditionalFormatting sqref="V32:V39">
    <cfRule type="colorScale" priority="19">
      <colorScale>
        <cfvo type="min"/>
        <cfvo type="max"/>
        <color rgb="FFFCFCFF"/>
        <color rgb="FFF8696B"/>
      </colorScale>
    </cfRule>
  </conditionalFormatting>
  <conditionalFormatting sqref="V3:V30">
    <cfRule type="colorScale" priority="24">
      <colorScale>
        <cfvo type="min"/>
        <cfvo type="max"/>
        <color rgb="FFFCFCFF"/>
        <color rgb="FFF8696B"/>
      </colorScale>
    </cfRule>
  </conditionalFormatting>
  <pageMargins left="0.25" right="0.25" top="0.75" bottom="0.75" header="0.3" footer="0.3"/>
  <pageSetup scale="3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>
    <pageSetUpPr fitToPage="1"/>
  </sheetPr>
  <dimension ref="A1:U34"/>
  <sheetViews>
    <sheetView showGridLines="0" zoomScaleNormal="100" workbookViewId="0">
      <selection activeCell="A23" sqref="A23:A26"/>
    </sheetView>
  </sheetViews>
  <sheetFormatPr defaultColWidth="9.140625" defaultRowHeight="15" x14ac:dyDescent="0.25"/>
  <cols>
    <col min="1" max="4" width="10.7109375" style="23" customWidth="1"/>
    <col min="5" max="5" width="10.7109375" style="25" customWidth="1"/>
    <col min="6" max="6" width="10.7109375" style="23" customWidth="1"/>
    <col min="7" max="7" width="17.7109375" style="23" customWidth="1"/>
    <col min="8" max="8" width="10.7109375" style="23" customWidth="1"/>
    <col min="9" max="9" width="13.5703125" style="23" bestFit="1" customWidth="1"/>
    <col min="10" max="11" width="10.7109375" style="23" customWidth="1"/>
    <col min="12" max="12" width="16.5703125" style="23" customWidth="1"/>
    <col min="13" max="14" width="10.7109375" style="23" customWidth="1"/>
    <col min="15" max="15" width="31" style="23" bestFit="1" customWidth="1"/>
    <col min="16" max="16" width="10.7109375" style="23" customWidth="1"/>
    <col min="17" max="17" width="10.85546875" style="23" customWidth="1"/>
    <col min="18" max="18" width="10.42578125" style="23" customWidth="1"/>
    <col min="19" max="16384" width="9.140625" style="23"/>
  </cols>
  <sheetData>
    <row r="1" spans="1:21" ht="54" customHeight="1" x14ac:dyDescent="0.25">
      <c r="A1" s="566" t="s">
        <v>192</v>
      </c>
      <c r="B1" s="566"/>
      <c r="C1" s="566"/>
      <c r="D1" s="566"/>
      <c r="E1" s="566"/>
      <c r="F1" s="566"/>
      <c r="G1" s="566"/>
      <c r="H1" s="566"/>
      <c r="I1" s="566"/>
      <c r="J1" s="566"/>
      <c r="K1" s="566"/>
      <c r="L1" s="566"/>
      <c r="M1" s="566"/>
      <c r="N1" s="566"/>
      <c r="O1" s="566"/>
      <c r="P1" s="566"/>
      <c r="Q1" s="566"/>
      <c r="R1" s="566"/>
    </row>
    <row r="3" spans="1:21" ht="26.25" customHeight="1" x14ac:dyDescent="0.25">
      <c r="O3" s="567" t="s">
        <v>49</v>
      </c>
      <c r="P3" s="568"/>
      <c r="Q3" s="568"/>
      <c r="R3" s="568"/>
    </row>
    <row r="4" spans="1:21" x14ac:dyDescent="0.25">
      <c r="O4" s="569" t="s">
        <v>20</v>
      </c>
      <c r="P4" s="570"/>
      <c r="Q4" s="571"/>
      <c r="R4" s="30" t="s">
        <v>24</v>
      </c>
    </row>
    <row r="5" spans="1:21" x14ac:dyDescent="0.25">
      <c r="O5" s="19" t="s">
        <v>11</v>
      </c>
      <c r="P5" s="20"/>
      <c r="Q5" s="21"/>
      <c r="R5" s="251">
        <f>SUMIF('EB213'!$X$3:$X$41,O5,'EB213'!$U$3:$U$41)</f>
        <v>0</v>
      </c>
    </row>
    <row r="6" spans="1:21" x14ac:dyDescent="0.25">
      <c r="O6" s="19" t="s">
        <v>13</v>
      </c>
      <c r="P6" s="20"/>
      <c r="Q6" s="21"/>
      <c r="R6" s="251">
        <f>SUMIF('EB213'!$X$3:$X$41,O6,'EB213'!$U$3:$U$41)</f>
        <v>0</v>
      </c>
    </row>
    <row r="7" spans="1:21" x14ac:dyDescent="0.25">
      <c r="O7" s="19" t="s">
        <v>26</v>
      </c>
      <c r="P7" s="20"/>
      <c r="Q7" s="21"/>
      <c r="R7" s="251">
        <f>SUMIF('EB213'!$X$3:$X$41,O7,'EB213'!$U$3:$U$41)</f>
        <v>0</v>
      </c>
    </row>
    <row r="8" spans="1:21" x14ac:dyDescent="0.25">
      <c r="O8" s="19" t="s">
        <v>3</v>
      </c>
      <c r="P8" s="20"/>
      <c r="Q8" s="21"/>
      <c r="R8" s="251">
        <f>SUMIF('EB213'!$X$3:$X$41,O8,'EB213'!$U$3:$U$41)</f>
        <v>0</v>
      </c>
    </row>
    <row r="9" spans="1:21" x14ac:dyDescent="0.25">
      <c r="O9" s="19" t="s">
        <v>15</v>
      </c>
      <c r="P9" s="20"/>
      <c r="Q9" s="21"/>
      <c r="R9" s="251">
        <f>SUMIF('EB213'!$X$3:$X$41,O9,'EB213'!$U$3:$U$41)</f>
        <v>0</v>
      </c>
    </row>
    <row r="10" spans="1:21" ht="15.75" x14ac:dyDescent="0.25">
      <c r="O10" s="19" t="s">
        <v>5</v>
      </c>
      <c r="P10" s="20"/>
      <c r="Q10" s="21"/>
      <c r="R10" s="251">
        <f>SUMIF('EB213'!$X$3:$X$41,O10,'EB213'!$U$3:$U$41)</f>
        <v>0</v>
      </c>
      <c r="U10" s="125"/>
    </row>
    <row r="11" spans="1:21" x14ac:dyDescent="0.25">
      <c r="O11" s="19" t="s">
        <v>29</v>
      </c>
      <c r="P11" s="20"/>
      <c r="Q11" s="21"/>
      <c r="R11" s="251">
        <f>SUMIF('EB213'!$X$3:$X$41,O11,'EB213'!$U$3:$U$41)</f>
        <v>0</v>
      </c>
    </row>
    <row r="12" spans="1:21" x14ac:dyDescent="0.25">
      <c r="O12" s="19" t="s">
        <v>19</v>
      </c>
      <c r="P12" s="20"/>
      <c r="Q12" s="21"/>
      <c r="R12" s="251">
        <f>SUMIF('EB213'!$X$3:$X$41,O12,'EB213'!$U$3:$U$41)</f>
        <v>0</v>
      </c>
    </row>
    <row r="13" spans="1:21" x14ac:dyDescent="0.25">
      <c r="O13" s="19" t="s">
        <v>0</v>
      </c>
      <c r="P13" s="20"/>
      <c r="Q13" s="21"/>
      <c r="R13" s="251">
        <f>SUMIF('EB213'!$X$3:$X$41,O13,'EB213'!$U$3:$U$41)</f>
        <v>0</v>
      </c>
    </row>
    <row r="14" spans="1:21" x14ac:dyDescent="0.25">
      <c r="O14" s="19" t="s">
        <v>42</v>
      </c>
      <c r="P14" s="20"/>
      <c r="Q14" s="21"/>
      <c r="R14" s="251">
        <f>SUMIF('EB213'!$X$3:$X$41,O14,'EB213'!$U$3:$U$41)</f>
        <v>0</v>
      </c>
    </row>
    <row r="15" spans="1:21" x14ac:dyDescent="0.25">
      <c r="O15" s="19" t="s">
        <v>12</v>
      </c>
      <c r="P15" s="20"/>
      <c r="Q15" s="21"/>
      <c r="R15" s="251">
        <f>SUMIF('EB213'!$X$3:$X$41,O15,'EB213'!$U$3:$U$41)</f>
        <v>0</v>
      </c>
    </row>
    <row r="16" spans="1:21" x14ac:dyDescent="0.25">
      <c r="O16" s="19" t="s">
        <v>32</v>
      </c>
      <c r="P16" s="20"/>
      <c r="Q16" s="21"/>
      <c r="R16" s="251">
        <f>SUMIF('EB213'!$X$3:$X$41,O16,'EB213'!$U$3:$U$41)</f>
        <v>0</v>
      </c>
    </row>
    <row r="17" spans="1:18" x14ac:dyDescent="0.25">
      <c r="O17" s="19" t="s">
        <v>95</v>
      </c>
      <c r="P17" s="20"/>
      <c r="Q17" s="21"/>
      <c r="R17" s="251">
        <f>SUMIF('EB213'!$X$3:$X$41,O17,'EB213'!$U$3:$U$41)</f>
        <v>0</v>
      </c>
    </row>
    <row r="18" spans="1:18" x14ac:dyDescent="0.25">
      <c r="O18" s="19" t="s">
        <v>31</v>
      </c>
      <c r="P18" s="20"/>
      <c r="Q18" s="21"/>
      <c r="R18" s="251">
        <f>SUMIF('EB213'!$X$3:$X$41,O18,'EB213'!$U$3:$U$41)</f>
        <v>0</v>
      </c>
    </row>
    <row r="19" spans="1:18" x14ac:dyDescent="0.25">
      <c r="O19" s="19" t="s">
        <v>34</v>
      </c>
      <c r="P19" s="20"/>
      <c r="Q19" s="21"/>
      <c r="R19" s="251">
        <f>SUMIF('EB213'!$X$3:$X$41,O19,'EB213'!$U$3:$U$41)</f>
        <v>0</v>
      </c>
    </row>
    <row r="20" spans="1:18" ht="15.75" customHeight="1" x14ac:dyDescent="0.25">
      <c r="O20" s="19" t="s">
        <v>41</v>
      </c>
      <c r="P20" s="20"/>
      <c r="Q20" s="21"/>
      <c r="R20" s="251">
        <f>SUMIF('EB213'!$X$3:$X$41,O20,'EB213'!$U$3:$U$41)</f>
        <v>0</v>
      </c>
    </row>
    <row r="21" spans="1:18" ht="23.25" x14ac:dyDescent="0.25">
      <c r="A21" s="575" t="s">
        <v>61</v>
      </c>
      <c r="B21" s="576"/>
      <c r="C21" s="576"/>
      <c r="D21" s="576"/>
      <c r="E21" s="577"/>
      <c r="O21" s="19" t="s">
        <v>35</v>
      </c>
      <c r="P21" s="20"/>
      <c r="Q21" s="21"/>
      <c r="R21" s="251">
        <f>SUMIF('EB213'!$X$3:$X$41,O21,'EB213'!$U$3:$U$41)</f>
        <v>0</v>
      </c>
    </row>
    <row r="22" spans="1:18" ht="19.5" customHeight="1" x14ac:dyDescent="0.25">
      <c r="A22" s="28" t="s">
        <v>22</v>
      </c>
      <c r="B22" s="28" t="s">
        <v>17</v>
      </c>
      <c r="C22" s="28" t="s">
        <v>16</v>
      </c>
      <c r="D22" s="28" t="s">
        <v>1</v>
      </c>
      <c r="E22" s="29" t="s">
        <v>23</v>
      </c>
      <c r="O22" s="19" t="s">
        <v>35</v>
      </c>
      <c r="P22" s="20"/>
      <c r="Q22" s="21"/>
      <c r="R22" s="251">
        <f>SUMIF('EB213'!$X$3:$X$41,O22,'EB213'!$U$3:$U$41)</f>
        <v>0</v>
      </c>
    </row>
    <row r="23" spans="1:18" x14ac:dyDescent="0.25">
      <c r="A23" s="130"/>
      <c r="B23" s="130" t="e">
        <f>VLOOKUP(Table141123[[#This Row],[Shop Order]],'EB213'!A:AA,4,FALSE)</f>
        <v>#N/A</v>
      </c>
      <c r="C23" s="130" t="e">
        <f>VLOOKUP(Table141123[[#This Row],[Shop Order]],'EB213'!A:AA,5,FALSE)</f>
        <v>#N/A</v>
      </c>
      <c r="D23" s="131" t="e">
        <f>VLOOKUP(Table141123[[#This Row],[Shop Order]],'EB213'!A:AA,6,FALSE)</f>
        <v>#N/A</v>
      </c>
      <c r="E23" s="322" t="e">
        <f>VLOOKUP(Table141123[[#This Row],[Shop Order]],'EB213'!A:AA,7,FALSE)</f>
        <v>#N/A</v>
      </c>
      <c r="O23" s="19" t="s">
        <v>7</v>
      </c>
      <c r="P23" s="20"/>
      <c r="Q23" s="21"/>
      <c r="R23" s="251">
        <f>SUMIF('EB213'!$X$3:$X$41,O23,'EB213'!$U$3:$U$41)</f>
        <v>0</v>
      </c>
    </row>
    <row r="24" spans="1:18" x14ac:dyDescent="0.25">
      <c r="A24" s="130"/>
      <c r="B24" s="130" t="e">
        <f>VLOOKUP(Table141123[[#This Row],[Shop Order]],'EB213'!A:AA,4,FALSE)</f>
        <v>#N/A</v>
      </c>
      <c r="C24" s="130" t="e">
        <f>VLOOKUP(Table141123[[#This Row],[Shop Order]],'EB213'!A:AA,5,FALSE)</f>
        <v>#N/A</v>
      </c>
      <c r="D24" s="131" t="e">
        <f>VLOOKUP(Table141123[[#This Row],[Shop Order]],'EB213'!A:AA,6,FALSE)</f>
        <v>#N/A</v>
      </c>
      <c r="E24" s="322" t="e">
        <f>VLOOKUP(Table141123[[#This Row],[Shop Order]],'EB213'!A:AA,7,FALSE)</f>
        <v>#N/A</v>
      </c>
      <c r="G24" s="24"/>
      <c r="O24" s="19" t="s">
        <v>110</v>
      </c>
      <c r="P24" s="20"/>
      <c r="Q24" s="21"/>
      <c r="R24" s="251">
        <f>SUMIF('EB213'!$X$3:$X$41,O24,'EB213'!$U$3:$U$41)</f>
        <v>0</v>
      </c>
    </row>
    <row r="25" spans="1:18" x14ac:dyDescent="0.25">
      <c r="A25" s="469"/>
      <c r="B25" s="130" t="e">
        <f>VLOOKUP(Table141123[[#This Row],[Shop Order]],'EB213'!A:AA,4,FALSE)</f>
        <v>#N/A</v>
      </c>
      <c r="C25" s="130" t="e">
        <f>VLOOKUP(Table141123[[#This Row],[Shop Order]],'EB213'!A:AA,5,FALSE)</f>
        <v>#N/A</v>
      </c>
      <c r="D25" s="131" t="e">
        <f>VLOOKUP(Table141123[[#This Row],[Shop Order]],'EB213'!A:AA,6,FALSE)</f>
        <v>#N/A</v>
      </c>
      <c r="E25" s="322" t="e">
        <f>VLOOKUP(Table141123[[#This Row],[Shop Order]],'EB213'!A:AA,7,FALSE)</f>
        <v>#N/A</v>
      </c>
      <c r="O25" s="19" t="s">
        <v>100</v>
      </c>
      <c r="P25" s="20"/>
      <c r="Q25" s="21"/>
      <c r="R25" s="251">
        <f>SUMIF('EB213'!$X$3:$X$41,O25,'EB213'!$U$3:$U$41)</f>
        <v>0</v>
      </c>
    </row>
    <row r="26" spans="1:18" x14ac:dyDescent="0.25">
      <c r="A26" s="468"/>
      <c r="B26" s="130" t="e">
        <f>VLOOKUP(Table141123[[#This Row],[Shop Order]],'EB213'!A:AA,4,FALSE)</f>
        <v>#N/A</v>
      </c>
      <c r="C26" s="130" t="e">
        <f>VLOOKUP(Table141123[[#This Row],[Shop Order]],'EB213'!A:AA,5,FALSE)</f>
        <v>#N/A</v>
      </c>
      <c r="D26" s="131" t="e">
        <f>VLOOKUP(Table141123[[#This Row],[Shop Order]],'EB213'!A:AA,6,FALSE)</f>
        <v>#N/A</v>
      </c>
      <c r="E26" s="322" t="e">
        <f>VLOOKUP(Table141123[[#This Row],[Shop Order]],'EB213'!A:AA,7,FALSE)</f>
        <v>#N/A</v>
      </c>
      <c r="O26" s="19" t="s">
        <v>8</v>
      </c>
      <c r="P26" s="20"/>
      <c r="Q26" s="21"/>
      <c r="R26" s="251">
        <f>SUMIF('EB213'!$X$3:$X$41,O26,'EB213'!$U$3:$U$41)</f>
        <v>0</v>
      </c>
    </row>
    <row r="27" spans="1:18" x14ac:dyDescent="0.25">
      <c r="A27" s="296"/>
      <c r="B27" s="130" t="e">
        <f>VLOOKUP(Table141123[[#This Row],[Shop Order]],'EB213'!A:AA,4,FALSE)</f>
        <v>#N/A</v>
      </c>
      <c r="C27" s="130" t="e">
        <f>VLOOKUP(Table141123[[#This Row],[Shop Order]],'EB213'!A:AA,5,FALSE)</f>
        <v>#N/A</v>
      </c>
      <c r="D27" s="131" t="e">
        <f>VLOOKUP(Table141123[[#This Row],[Shop Order]],'EB213'!A:AA,6,FALSE)</f>
        <v>#N/A</v>
      </c>
      <c r="E27" s="322" t="e">
        <f>VLOOKUP(Table141123[[#This Row],[Shop Order]],'EB213'!A:AA,7,FALSE)</f>
        <v>#N/A</v>
      </c>
      <c r="O27" s="19" t="s">
        <v>30</v>
      </c>
      <c r="P27" s="20"/>
      <c r="Q27" s="21"/>
      <c r="R27" s="251">
        <f>SUMIF('EB213'!$X$3:$X$41,O27,'EB213'!$U$3:$U$41)</f>
        <v>0</v>
      </c>
    </row>
    <row r="28" spans="1:18" ht="15.75" thickBot="1" x14ac:dyDescent="0.3">
      <c r="A28" s="296"/>
      <c r="B28" s="130" t="e">
        <f>VLOOKUP(Table141123[[#This Row],[Shop Order]],'EB213'!A:AA,4,FALSE)</f>
        <v>#N/A</v>
      </c>
      <c r="C28" s="130" t="e">
        <f>VLOOKUP(Table141123[[#This Row],[Shop Order]],'EB213'!A:AA,5,FALSE)</f>
        <v>#N/A</v>
      </c>
      <c r="D28" s="131" t="e">
        <f>VLOOKUP(Table141123[[#This Row],[Shop Order]],'EB213'!A:AA,6,FALSE)</f>
        <v>#N/A</v>
      </c>
      <c r="E28" s="322" t="e">
        <f>VLOOKUP(Table141123[[#This Row],[Shop Order]],'EB213'!A:AA,7,FALSE)</f>
        <v>#N/A</v>
      </c>
      <c r="O28" s="19" t="s">
        <v>10</v>
      </c>
      <c r="P28" s="20"/>
      <c r="Q28" s="21"/>
      <c r="R28" s="251">
        <f>SUMIF('EB213'!$X$3:$X$41,O28,'EB213'!$U$3:$U$41)</f>
        <v>0</v>
      </c>
    </row>
    <row r="29" spans="1:18" ht="15.75" thickBot="1" x14ac:dyDescent="0.3">
      <c r="A29" s="572" t="s">
        <v>48</v>
      </c>
      <c r="B29" s="573"/>
      <c r="C29" s="574"/>
      <c r="D29" s="75" t="e">
        <f>AVERAGE(D23:D23)</f>
        <v>#N/A</v>
      </c>
      <c r="E29" s="26"/>
      <c r="O29" s="19" t="s">
        <v>43</v>
      </c>
      <c r="P29" s="20"/>
      <c r="Q29" s="21"/>
      <c r="R29" s="251">
        <f>SUMIF('EB213'!$X$3:$X$41,O29,'EB213'!$U$3:$U$41)</f>
        <v>0</v>
      </c>
    </row>
    <row r="30" spans="1:18" x14ac:dyDescent="0.25">
      <c r="O30" s="19" t="s">
        <v>27</v>
      </c>
      <c r="P30" s="20"/>
      <c r="Q30" s="21"/>
      <c r="R30" s="251">
        <f>SUMIF('EB213'!$X$3:$X$41,O30,'EB213'!$U$3:$U$41)</f>
        <v>0</v>
      </c>
    </row>
    <row r="32" spans="1:18" x14ac:dyDescent="0.25">
      <c r="E32" s="23"/>
    </row>
    <row r="33" spans="5:5" ht="39.75" customHeight="1" x14ac:dyDescent="0.25">
      <c r="E33" s="23"/>
    </row>
    <row r="34" spans="5:5" ht="58.5" customHeight="1" x14ac:dyDescent="0.25">
      <c r="E34" s="23"/>
    </row>
  </sheetData>
  <autoFilter ref="O4:R4" xr:uid="{00000000-0009-0000-0000-000007000000}">
    <filterColumn colId="0" showButton="0"/>
    <filterColumn colId="1" showButton="0"/>
  </autoFilter>
  <sortState xmlns:xlrd2="http://schemas.microsoft.com/office/spreadsheetml/2017/richdata2" ref="O5:R29">
    <sortCondition descending="1" ref="R5:R29"/>
  </sortState>
  <dataConsolidate/>
  <mergeCells count="5">
    <mergeCell ref="A1:R1"/>
    <mergeCell ref="O3:R3"/>
    <mergeCell ref="O4:Q4"/>
    <mergeCell ref="A21:E21"/>
    <mergeCell ref="A29:C29"/>
  </mergeCells>
  <pageMargins left="0" right="0" top="0.75" bottom="0.75" header="0.3" footer="0.3"/>
  <pageSetup scale="62" orientation="landscape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>
    <pageSetUpPr fitToPage="1"/>
  </sheetPr>
  <dimension ref="A1:Y42"/>
  <sheetViews>
    <sheetView zoomScale="70" zoomScaleNormal="70" workbookViewId="0">
      <selection activeCell="Y38" sqref="Y38"/>
    </sheetView>
  </sheetViews>
  <sheetFormatPr defaultColWidth="9.140625" defaultRowHeight="15" x14ac:dyDescent="0.25"/>
  <cols>
    <col min="1" max="2" width="13.140625" style="41" customWidth="1"/>
    <col min="3" max="3" width="9.5703125" style="41" customWidth="1"/>
    <col min="4" max="4" width="10.140625" style="41" customWidth="1"/>
    <col min="5" max="5" width="7.42578125" style="41" bestFit="1" customWidth="1"/>
    <col min="6" max="6" width="10.28515625" style="41" bestFit="1" customWidth="1"/>
    <col min="7" max="7" width="12.85546875" style="13" customWidth="1"/>
    <col min="8" max="11" width="15.85546875" style="7" customWidth="1"/>
    <col min="12" max="12" width="15.85546875" style="8" customWidth="1"/>
    <col min="13" max="13" width="15.85546875" style="9" customWidth="1"/>
    <col min="14" max="15" width="15.85546875" style="41" customWidth="1"/>
    <col min="16" max="16" width="15.85546875" style="10" customWidth="1"/>
    <col min="17" max="19" width="15.85546875" style="12" customWidth="1"/>
    <col min="20" max="20" width="9.140625" style="12"/>
    <col min="21" max="21" width="11.140625" style="12" bestFit="1" customWidth="1"/>
    <col min="22" max="22" width="10.28515625" style="12" hidden="1" customWidth="1"/>
    <col min="23" max="23" width="37.42578125" style="41" customWidth="1"/>
    <col min="24" max="24" width="0.28515625" style="41" customWidth="1"/>
    <col min="25" max="25" width="49.28515625" style="41" bestFit="1" customWidth="1"/>
    <col min="26" max="16384" width="9.140625" style="41"/>
  </cols>
  <sheetData>
    <row r="1" spans="1:25" s="23" customFormat="1" ht="75.75" thickBot="1" x14ac:dyDescent="0.3">
      <c r="A1" s="43" t="s">
        <v>22</v>
      </c>
      <c r="B1" s="43" t="s">
        <v>46</v>
      </c>
      <c r="C1" s="43" t="s">
        <v>51</v>
      </c>
      <c r="D1" s="43" t="s">
        <v>17</v>
      </c>
      <c r="E1" s="42" t="s">
        <v>16</v>
      </c>
      <c r="F1" s="44" t="s">
        <v>1</v>
      </c>
      <c r="G1" s="45" t="s">
        <v>23</v>
      </c>
      <c r="H1" s="46" t="s">
        <v>71</v>
      </c>
      <c r="I1" s="46" t="s">
        <v>72</v>
      </c>
      <c r="J1" s="46" t="s">
        <v>52</v>
      </c>
      <c r="K1" s="46" t="s">
        <v>57</v>
      </c>
      <c r="L1" s="46" t="s">
        <v>53</v>
      </c>
      <c r="M1" s="46" t="s">
        <v>58</v>
      </c>
      <c r="N1" s="46" t="s">
        <v>54</v>
      </c>
      <c r="O1" s="46" t="s">
        <v>59</v>
      </c>
      <c r="P1" s="46" t="s">
        <v>55</v>
      </c>
      <c r="Q1" s="46" t="s">
        <v>73</v>
      </c>
      <c r="R1" s="46" t="s">
        <v>112</v>
      </c>
      <c r="S1" s="43" t="s">
        <v>40</v>
      </c>
      <c r="T1" s="43" t="s">
        <v>4</v>
      </c>
      <c r="U1" s="42" t="s">
        <v>2</v>
      </c>
      <c r="V1" s="79" t="s">
        <v>146</v>
      </c>
      <c r="W1" s="80" t="s">
        <v>20</v>
      </c>
      <c r="X1" s="179" t="s">
        <v>4</v>
      </c>
      <c r="Y1" s="80" t="s">
        <v>6</v>
      </c>
    </row>
    <row r="2" spans="1:25" s="23" customFormat="1" ht="15" customHeight="1" thickBot="1" x14ac:dyDescent="0.3">
      <c r="A2" s="181"/>
      <c r="B2" s="181"/>
      <c r="C2" s="314"/>
      <c r="D2" s="314"/>
      <c r="E2" s="319"/>
      <c r="F2" s="320" t="e">
        <f>E2/D2</f>
        <v>#DIV/0!</v>
      </c>
      <c r="G2" s="180"/>
      <c r="H2" s="169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7"/>
      <c r="T2" s="85"/>
      <c r="U2" s="166"/>
      <c r="V2" s="166"/>
      <c r="W2" s="86" t="s">
        <v>74</v>
      </c>
      <c r="X2" s="179" t="s">
        <v>4</v>
      </c>
      <c r="Y2" s="77" t="s">
        <v>69</v>
      </c>
    </row>
    <row r="3" spans="1:25" s="23" customFormat="1" ht="15" customHeight="1" x14ac:dyDescent="0.25">
      <c r="A3" s="52"/>
      <c r="B3" s="53"/>
      <c r="C3" s="53"/>
      <c r="D3" s="53"/>
      <c r="E3" s="55"/>
      <c r="F3" s="55"/>
      <c r="G3" s="54"/>
      <c r="H3" s="58"/>
      <c r="I3" s="68"/>
      <c r="J3" s="68"/>
      <c r="K3" s="68"/>
      <c r="L3" s="68"/>
      <c r="M3" s="68"/>
      <c r="N3" s="68"/>
      <c r="O3" s="68"/>
      <c r="P3" s="68"/>
      <c r="Q3" s="68"/>
      <c r="R3" s="68"/>
      <c r="S3" s="59"/>
      <c r="T3" s="338">
        <f>SUM(H3,J3,L3,N3,P3,S3)</f>
        <v>0</v>
      </c>
      <c r="U3" s="183" t="e">
        <f t="shared" ref="U3:U30" si="0">($T3)/$D$2</f>
        <v>#DIV/0!</v>
      </c>
      <c r="V3" s="193">
        <f>D2</f>
        <v>0</v>
      </c>
      <c r="W3" s="165" t="s">
        <v>15</v>
      </c>
      <c r="X3" s="178">
        <f t="shared" ref="X3:X15" si="1">T3</f>
        <v>0</v>
      </c>
      <c r="Y3" s="95"/>
    </row>
    <row r="4" spans="1:25" s="23" customFormat="1" ht="15" customHeight="1" x14ac:dyDescent="0.25">
      <c r="A4" s="52"/>
      <c r="B4" s="53"/>
      <c r="C4" s="53"/>
      <c r="D4" s="53"/>
      <c r="E4" s="55"/>
      <c r="F4" s="55"/>
      <c r="G4" s="54"/>
      <c r="H4" s="330"/>
      <c r="I4" s="70"/>
      <c r="J4" s="70"/>
      <c r="K4" s="70"/>
      <c r="L4" s="70"/>
      <c r="M4" s="70"/>
      <c r="N4" s="70"/>
      <c r="O4" s="70"/>
      <c r="P4" s="70"/>
      <c r="Q4" s="70"/>
      <c r="R4" s="70"/>
      <c r="S4" s="62"/>
      <c r="T4" s="67">
        <f t="shared" ref="T4:T29" si="2">SUM(H4,J4,L4,N4,P4,S4)</f>
        <v>0</v>
      </c>
      <c r="U4" s="183" t="e">
        <f t="shared" si="0"/>
        <v>#DIV/0!</v>
      </c>
      <c r="V4" s="193"/>
      <c r="W4" s="171" t="s">
        <v>42</v>
      </c>
      <c r="X4" s="160"/>
      <c r="Y4" s="95"/>
    </row>
    <row r="5" spans="1:25" s="23" customFormat="1" x14ac:dyDescent="0.25">
      <c r="A5" s="52"/>
      <c r="B5" s="53"/>
      <c r="C5" s="53"/>
      <c r="D5" s="53"/>
      <c r="E5" s="55"/>
      <c r="F5" s="55"/>
      <c r="G5" s="54"/>
      <c r="H5" s="60"/>
      <c r="I5" s="69"/>
      <c r="J5" s="69"/>
      <c r="K5" s="69"/>
      <c r="L5" s="69"/>
      <c r="M5" s="69"/>
      <c r="N5" s="69"/>
      <c r="O5" s="69"/>
      <c r="P5" s="69"/>
      <c r="Q5" s="69"/>
      <c r="R5" s="69"/>
      <c r="S5" s="61"/>
      <c r="T5" s="67">
        <f t="shared" si="2"/>
        <v>0</v>
      </c>
      <c r="U5" s="183" t="e">
        <f t="shared" si="0"/>
        <v>#DIV/0!</v>
      </c>
      <c r="V5" s="193">
        <f>D2</f>
        <v>0</v>
      </c>
      <c r="W5" s="164" t="s">
        <v>5</v>
      </c>
      <c r="X5" s="160">
        <f t="shared" si="1"/>
        <v>0</v>
      </c>
      <c r="Y5" s="126"/>
    </row>
    <row r="6" spans="1:25" s="23" customFormat="1" x14ac:dyDescent="0.25">
      <c r="A6" s="52"/>
      <c r="B6" s="53"/>
      <c r="C6" s="53"/>
      <c r="D6" s="53"/>
      <c r="E6" s="55"/>
      <c r="F6" s="55"/>
      <c r="G6" s="54"/>
      <c r="H6" s="60"/>
      <c r="I6" s="69"/>
      <c r="J6" s="69"/>
      <c r="K6" s="69"/>
      <c r="L6" s="69"/>
      <c r="M6" s="69"/>
      <c r="N6" s="69"/>
      <c r="O6" s="69"/>
      <c r="P6" s="69"/>
      <c r="Q6" s="69"/>
      <c r="R6" s="69"/>
      <c r="S6" s="61"/>
      <c r="T6" s="67">
        <f t="shared" si="2"/>
        <v>0</v>
      </c>
      <c r="U6" s="183" t="e">
        <f t="shared" si="0"/>
        <v>#DIV/0!</v>
      </c>
      <c r="V6" s="193">
        <f>D2</f>
        <v>0</v>
      </c>
      <c r="W6" s="164" t="s">
        <v>13</v>
      </c>
      <c r="X6" s="160">
        <f t="shared" si="1"/>
        <v>0</v>
      </c>
      <c r="Y6" s="78"/>
    </row>
    <row r="7" spans="1:25" s="23" customFormat="1" x14ac:dyDescent="0.25">
      <c r="A7" s="52"/>
      <c r="B7" s="53"/>
      <c r="C7" s="53"/>
      <c r="D7" s="53"/>
      <c r="E7" s="55"/>
      <c r="F7" s="55"/>
      <c r="G7" s="56"/>
      <c r="H7" s="60"/>
      <c r="I7" s="69"/>
      <c r="J7" s="69"/>
      <c r="K7" s="69"/>
      <c r="L7" s="69"/>
      <c r="M7" s="69"/>
      <c r="N7" s="69"/>
      <c r="O7" s="69"/>
      <c r="P7" s="69"/>
      <c r="Q7" s="69"/>
      <c r="R7" s="69"/>
      <c r="S7" s="61"/>
      <c r="T7" s="67">
        <f t="shared" si="2"/>
        <v>0</v>
      </c>
      <c r="U7" s="183" t="e">
        <f t="shared" si="0"/>
        <v>#DIV/0!</v>
      </c>
      <c r="V7" s="193">
        <f>D2</f>
        <v>0</v>
      </c>
      <c r="W7" s="164" t="s">
        <v>14</v>
      </c>
      <c r="X7" s="160">
        <f t="shared" si="1"/>
        <v>0</v>
      </c>
      <c r="Y7" s="78"/>
    </row>
    <row r="8" spans="1:25" s="23" customFormat="1" x14ac:dyDescent="0.25">
      <c r="A8" s="52"/>
      <c r="B8" s="53"/>
      <c r="C8" s="53"/>
      <c r="D8" s="53"/>
      <c r="E8" s="55"/>
      <c r="F8" s="55"/>
      <c r="G8" s="54"/>
      <c r="H8" s="60"/>
      <c r="I8" s="69"/>
      <c r="J8" s="69"/>
      <c r="K8" s="69"/>
      <c r="L8" s="69"/>
      <c r="M8" s="69"/>
      <c r="N8" s="69"/>
      <c r="O8" s="69"/>
      <c r="P8" s="69"/>
      <c r="Q8" s="69"/>
      <c r="R8" s="69"/>
      <c r="S8" s="61"/>
      <c r="T8" s="67">
        <f t="shared" si="2"/>
        <v>0</v>
      </c>
      <c r="U8" s="183" t="e">
        <f t="shared" si="0"/>
        <v>#DIV/0!</v>
      </c>
      <c r="V8" s="193">
        <f>D2</f>
        <v>0</v>
      </c>
      <c r="W8" s="164" t="s">
        <v>29</v>
      </c>
      <c r="X8" s="160">
        <f t="shared" si="1"/>
        <v>0</v>
      </c>
      <c r="Y8" s="126"/>
    </row>
    <row r="9" spans="1:25" s="23" customFormat="1" x14ac:dyDescent="0.25">
      <c r="A9" s="52"/>
      <c r="B9" s="53"/>
      <c r="C9" s="53"/>
      <c r="D9" s="53"/>
      <c r="E9" s="55"/>
      <c r="F9" s="55"/>
      <c r="G9" s="54"/>
      <c r="H9" s="60"/>
      <c r="I9" s="69"/>
      <c r="J9" s="69"/>
      <c r="K9" s="69"/>
      <c r="L9" s="69"/>
      <c r="M9" s="69"/>
      <c r="N9" s="69"/>
      <c r="O9" s="69"/>
      <c r="P9" s="69"/>
      <c r="Q9" s="69"/>
      <c r="R9" s="69"/>
      <c r="S9" s="61"/>
      <c r="T9" s="67">
        <f t="shared" si="2"/>
        <v>0</v>
      </c>
      <c r="U9" s="183" t="e">
        <f t="shared" si="0"/>
        <v>#DIV/0!</v>
      </c>
      <c r="V9" s="193">
        <f>D2</f>
        <v>0</v>
      </c>
      <c r="W9" s="164" t="s">
        <v>30</v>
      </c>
      <c r="X9" s="160">
        <f t="shared" si="1"/>
        <v>0</v>
      </c>
      <c r="Y9" s="259"/>
    </row>
    <row r="10" spans="1:25" s="23" customFormat="1" x14ac:dyDescent="0.25">
      <c r="A10" s="52"/>
      <c r="B10" s="53"/>
      <c r="C10" s="53"/>
      <c r="D10" s="53"/>
      <c r="E10" s="55"/>
      <c r="F10" s="55"/>
      <c r="G10" s="54"/>
      <c r="H10" s="60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1"/>
      <c r="T10" s="67">
        <f t="shared" si="2"/>
        <v>0</v>
      </c>
      <c r="U10" s="183" t="e">
        <f t="shared" si="0"/>
        <v>#DIV/0!</v>
      </c>
      <c r="V10" s="193">
        <f>D2</f>
        <v>0</v>
      </c>
      <c r="W10" s="164" t="s">
        <v>34</v>
      </c>
      <c r="X10" s="160">
        <f t="shared" si="1"/>
        <v>0</v>
      </c>
      <c r="Y10" s="126"/>
    </row>
    <row r="11" spans="1:25" s="23" customFormat="1" x14ac:dyDescent="0.25">
      <c r="A11" s="52"/>
      <c r="B11" s="53"/>
      <c r="C11" s="53"/>
      <c r="D11" s="53"/>
      <c r="E11" s="55"/>
      <c r="F11" s="55"/>
      <c r="G11" s="54"/>
      <c r="H11" s="60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1"/>
      <c r="T11" s="67">
        <f t="shared" si="2"/>
        <v>0</v>
      </c>
      <c r="U11" s="183" t="e">
        <f t="shared" si="0"/>
        <v>#DIV/0!</v>
      </c>
      <c r="V11" s="193">
        <f>D2</f>
        <v>0</v>
      </c>
      <c r="W11" s="164" t="s">
        <v>28</v>
      </c>
      <c r="X11" s="160">
        <f t="shared" si="1"/>
        <v>0</v>
      </c>
      <c r="Y11" s="126"/>
    </row>
    <row r="12" spans="1:25" s="23" customFormat="1" x14ac:dyDescent="0.25">
      <c r="A12" s="52"/>
      <c r="B12" s="53"/>
      <c r="C12" s="53"/>
      <c r="D12" s="53"/>
      <c r="E12" s="55"/>
      <c r="F12" s="55"/>
      <c r="G12" s="54"/>
      <c r="H12" s="60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1"/>
      <c r="T12" s="67">
        <f t="shared" si="2"/>
        <v>0</v>
      </c>
      <c r="U12" s="183" t="e">
        <f t="shared" si="0"/>
        <v>#DIV/0!</v>
      </c>
      <c r="V12" s="193">
        <f>D2</f>
        <v>0</v>
      </c>
      <c r="W12" s="164" t="s">
        <v>0</v>
      </c>
      <c r="X12" s="160">
        <f t="shared" si="1"/>
        <v>0</v>
      </c>
      <c r="Y12" s="126"/>
    </row>
    <row r="13" spans="1:25" s="23" customFormat="1" x14ac:dyDescent="0.25">
      <c r="A13" s="52"/>
      <c r="B13" s="53"/>
      <c r="C13" s="53"/>
      <c r="D13" s="53"/>
      <c r="E13" s="55"/>
      <c r="F13" s="55"/>
      <c r="G13" s="54"/>
      <c r="H13" s="60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1"/>
      <c r="T13" s="67">
        <f t="shared" si="2"/>
        <v>0</v>
      </c>
      <c r="U13" s="183" t="e">
        <f t="shared" si="0"/>
        <v>#DIV/0!</v>
      </c>
      <c r="V13" s="193">
        <f>D2</f>
        <v>0</v>
      </c>
      <c r="W13" s="164" t="s">
        <v>11</v>
      </c>
      <c r="X13" s="160">
        <f t="shared" si="1"/>
        <v>0</v>
      </c>
      <c r="Y13" s="78"/>
    </row>
    <row r="14" spans="1:25" s="23" customFormat="1" x14ac:dyDescent="0.25">
      <c r="A14" s="52"/>
      <c r="B14" s="53"/>
      <c r="C14" s="53"/>
      <c r="D14" s="53"/>
      <c r="E14" s="55"/>
      <c r="F14" s="55"/>
      <c r="G14" s="54"/>
      <c r="H14" s="60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1"/>
      <c r="T14" s="67">
        <f t="shared" si="2"/>
        <v>0</v>
      </c>
      <c r="U14" s="183" t="e">
        <f t="shared" si="0"/>
        <v>#DIV/0!</v>
      </c>
      <c r="V14" s="193">
        <f>D2</f>
        <v>0</v>
      </c>
      <c r="W14" s="164" t="s">
        <v>32</v>
      </c>
      <c r="X14" s="160">
        <f t="shared" si="1"/>
        <v>0</v>
      </c>
      <c r="Y14" s="126"/>
    </row>
    <row r="15" spans="1:25" s="23" customFormat="1" x14ac:dyDescent="0.25">
      <c r="A15" s="52"/>
      <c r="B15" s="53"/>
      <c r="C15" s="53"/>
      <c r="D15" s="53"/>
      <c r="E15" s="55"/>
      <c r="F15" s="55"/>
      <c r="G15" s="54"/>
      <c r="H15" s="64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6"/>
      <c r="T15" s="67">
        <f t="shared" si="2"/>
        <v>0</v>
      </c>
      <c r="U15" s="183" t="e">
        <f t="shared" si="0"/>
        <v>#DIV/0!</v>
      </c>
      <c r="V15" s="193">
        <f>D2</f>
        <v>0</v>
      </c>
      <c r="W15" s="177" t="s">
        <v>19</v>
      </c>
      <c r="X15" s="160">
        <f t="shared" si="1"/>
        <v>0</v>
      </c>
      <c r="Y15" s="78"/>
    </row>
    <row r="16" spans="1:25" s="23" customFormat="1" x14ac:dyDescent="0.25">
      <c r="A16" s="52"/>
      <c r="B16" s="53"/>
      <c r="C16" s="53"/>
      <c r="D16" s="53"/>
      <c r="E16" s="55"/>
      <c r="F16" s="55"/>
      <c r="G16" s="56"/>
      <c r="H16" s="34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1"/>
      <c r="T16" s="67">
        <f t="shared" si="2"/>
        <v>0</v>
      </c>
      <c r="U16" s="183" t="e">
        <f t="shared" si="0"/>
        <v>#DIV/0!</v>
      </c>
      <c r="V16" s="193">
        <f>D2</f>
        <v>0</v>
      </c>
      <c r="W16" s="164" t="s">
        <v>36</v>
      </c>
      <c r="X16" s="160"/>
      <c r="Y16" s="126"/>
    </row>
    <row r="17" spans="1:25" s="23" customFormat="1" ht="15.75" thickBot="1" x14ac:dyDescent="0.3">
      <c r="A17" s="52"/>
      <c r="B17" s="53"/>
      <c r="C17" s="53"/>
      <c r="D17" s="53"/>
      <c r="E17" s="55"/>
      <c r="F17" s="55"/>
      <c r="G17" s="54"/>
      <c r="H17" s="176"/>
      <c r="I17" s="175"/>
      <c r="J17" s="175"/>
      <c r="K17" s="175"/>
      <c r="L17" s="175"/>
      <c r="M17" s="175"/>
      <c r="N17" s="175"/>
      <c r="O17" s="175"/>
      <c r="P17" s="175"/>
      <c r="Q17" s="175"/>
      <c r="R17" s="175"/>
      <c r="S17" s="174"/>
      <c r="T17" s="173">
        <f t="shared" si="2"/>
        <v>0</v>
      </c>
      <c r="U17" s="241" t="e">
        <f t="shared" si="0"/>
        <v>#DIV/0!</v>
      </c>
      <c r="V17" s="194">
        <f>D2</f>
        <v>0</v>
      </c>
      <c r="W17" s="172" t="s">
        <v>26</v>
      </c>
      <c r="X17" s="160">
        <f>T17</f>
        <v>0</v>
      </c>
      <c r="Y17" s="126"/>
    </row>
    <row r="18" spans="1:25" s="23" customFormat="1" x14ac:dyDescent="0.25">
      <c r="A18" s="52"/>
      <c r="B18" s="53"/>
      <c r="C18" s="53"/>
      <c r="D18" s="53"/>
      <c r="E18" s="55"/>
      <c r="F18" s="55"/>
      <c r="G18" s="54"/>
      <c r="H18" s="58"/>
      <c r="I18" s="149"/>
      <c r="J18" s="70"/>
      <c r="K18" s="70"/>
      <c r="L18" s="70"/>
      <c r="M18" s="70"/>
      <c r="N18" s="70"/>
      <c r="O18" s="70"/>
      <c r="P18" s="70"/>
      <c r="Q18" s="70"/>
      <c r="R18" s="70"/>
      <c r="S18" s="62"/>
      <c r="T18" s="71">
        <f t="shared" si="2"/>
        <v>0</v>
      </c>
      <c r="U18" s="183" t="e">
        <f t="shared" si="0"/>
        <v>#DIV/0!</v>
      </c>
      <c r="V18" s="195">
        <f>D2</f>
        <v>0</v>
      </c>
      <c r="W18" s="171" t="s">
        <v>10</v>
      </c>
      <c r="X18" s="160"/>
      <c r="Y18" s="126"/>
    </row>
    <row r="19" spans="1:25" s="23" customFormat="1" x14ac:dyDescent="0.25">
      <c r="A19" s="52"/>
      <c r="B19" s="53"/>
      <c r="C19" s="53"/>
      <c r="D19" s="53"/>
      <c r="E19" s="55"/>
      <c r="F19" s="55"/>
      <c r="G19" s="54"/>
      <c r="H19" s="60"/>
      <c r="I19" s="34"/>
      <c r="J19" s="69"/>
      <c r="K19" s="69"/>
      <c r="L19" s="69"/>
      <c r="M19" s="69"/>
      <c r="N19" s="69"/>
      <c r="O19" s="69"/>
      <c r="P19" s="69"/>
      <c r="Q19" s="69"/>
      <c r="R19" s="69"/>
      <c r="S19" s="61"/>
      <c r="T19" s="67">
        <f t="shared" si="2"/>
        <v>0</v>
      </c>
      <c r="U19" s="183" t="e">
        <f t="shared" si="0"/>
        <v>#DIV/0!</v>
      </c>
      <c r="V19" s="193">
        <f>D2</f>
        <v>0</v>
      </c>
      <c r="W19" s="164" t="s">
        <v>93</v>
      </c>
      <c r="X19" s="160">
        <f t="shared" ref="X19:X33" si="3">T19</f>
        <v>0</v>
      </c>
      <c r="Y19" s="78"/>
    </row>
    <row r="20" spans="1:25" s="23" customFormat="1" x14ac:dyDescent="0.25">
      <c r="A20" s="52"/>
      <c r="B20" s="53"/>
      <c r="C20" s="53"/>
      <c r="D20" s="53"/>
      <c r="E20" s="55"/>
      <c r="F20" s="55"/>
      <c r="G20" s="54"/>
      <c r="H20" s="60"/>
      <c r="I20" s="34"/>
      <c r="J20" s="69"/>
      <c r="K20" s="69"/>
      <c r="L20" s="69"/>
      <c r="M20" s="69"/>
      <c r="N20" s="69"/>
      <c r="O20" s="69"/>
      <c r="P20" s="69"/>
      <c r="Q20" s="69"/>
      <c r="R20" s="69"/>
      <c r="S20" s="61"/>
      <c r="T20" s="67">
        <f t="shared" si="2"/>
        <v>0</v>
      </c>
      <c r="U20" s="183" t="e">
        <f t="shared" si="0"/>
        <v>#DIV/0!</v>
      </c>
      <c r="V20" s="193">
        <f>D2</f>
        <v>0</v>
      </c>
      <c r="W20" s="164" t="s">
        <v>3</v>
      </c>
      <c r="X20" s="160">
        <f t="shared" si="3"/>
        <v>0</v>
      </c>
      <c r="Y20" s="78"/>
    </row>
    <row r="21" spans="1:25" s="23" customFormat="1" x14ac:dyDescent="0.25">
      <c r="A21" s="52"/>
      <c r="B21" s="53"/>
      <c r="C21" s="53"/>
      <c r="D21" s="53"/>
      <c r="E21" s="55"/>
      <c r="F21" s="55"/>
      <c r="G21" s="54"/>
      <c r="H21" s="60"/>
      <c r="I21" s="34"/>
      <c r="J21" s="69"/>
      <c r="K21" s="69"/>
      <c r="L21" s="69"/>
      <c r="M21" s="69"/>
      <c r="N21" s="69"/>
      <c r="O21" s="69"/>
      <c r="P21" s="69"/>
      <c r="Q21" s="69"/>
      <c r="R21" s="69"/>
      <c r="S21" s="61"/>
      <c r="T21" s="67">
        <f t="shared" si="2"/>
        <v>0</v>
      </c>
      <c r="U21" s="183" t="e">
        <f t="shared" si="0"/>
        <v>#DIV/0!</v>
      </c>
      <c r="V21" s="193">
        <f>D2</f>
        <v>0</v>
      </c>
      <c r="W21" s="164" t="s">
        <v>7</v>
      </c>
      <c r="X21" s="160">
        <f t="shared" si="3"/>
        <v>0</v>
      </c>
      <c r="Y21" s="105"/>
    </row>
    <row r="22" spans="1:25" s="23" customFormat="1" x14ac:dyDescent="0.25">
      <c r="A22" s="52"/>
      <c r="B22" s="53"/>
      <c r="C22" s="53"/>
      <c r="D22" s="53"/>
      <c r="E22" s="55"/>
      <c r="F22" s="55"/>
      <c r="G22" s="54"/>
      <c r="H22" s="60"/>
      <c r="I22" s="34"/>
      <c r="J22" s="69"/>
      <c r="K22" s="69"/>
      <c r="L22" s="69"/>
      <c r="M22" s="69"/>
      <c r="N22" s="69"/>
      <c r="O22" s="69"/>
      <c r="P22" s="69"/>
      <c r="Q22" s="69"/>
      <c r="R22" s="69"/>
      <c r="S22" s="61"/>
      <c r="T22" s="67">
        <f t="shared" si="2"/>
        <v>0</v>
      </c>
      <c r="U22" s="183" t="e">
        <f t="shared" si="0"/>
        <v>#DIV/0!</v>
      </c>
      <c r="V22" s="193">
        <f>D2</f>
        <v>0</v>
      </c>
      <c r="W22" s="164" t="s">
        <v>8</v>
      </c>
      <c r="X22" s="160">
        <f t="shared" si="3"/>
        <v>0</v>
      </c>
      <c r="Y22" s="259"/>
    </row>
    <row r="23" spans="1:25" s="23" customFormat="1" x14ac:dyDescent="0.25">
      <c r="A23" s="52"/>
      <c r="B23" s="53"/>
      <c r="C23" s="53"/>
      <c r="D23" s="53"/>
      <c r="E23" s="55"/>
      <c r="F23" s="55"/>
      <c r="G23" s="54"/>
      <c r="H23" s="60"/>
      <c r="I23" s="34"/>
      <c r="J23" s="69"/>
      <c r="K23" s="69"/>
      <c r="L23" s="69"/>
      <c r="M23" s="69"/>
      <c r="N23" s="69"/>
      <c r="O23" s="69"/>
      <c r="P23" s="69"/>
      <c r="Q23" s="69"/>
      <c r="R23" s="69"/>
      <c r="S23" s="61"/>
      <c r="T23" s="67">
        <f t="shared" si="2"/>
        <v>0</v>
      </c>
      <c r="U23" s="183" t="e">
        <f t="shared" si="0"/>
        <v>#DIV/0!</v>
      </c>
      <c r="V23" s="193">
        <f>D2</f>
        <v>0</v>
      </c>
      <c r="W23" s="164" t="s">
        <v>76</v>
      </c>
      <c r="X23" s="160">
        <f t="shared" si="3"/>
        <v>0</v>
      </c>
      <c r="Y23" s="126"/>
    </row>
    <row r="24" spans="1:25" s="23" customFormat="1" x14ac:dyDescent="0.25">
      <c r="A24" s="52"/>
      <c r="B24" s="53"/>
      <c r="C24" s="53"/>
      <c r="D24" s="53"/>
      <c r="E24" s="55"/>
      <c r="F24" s="55"/>
      <c r="G24" s="54"/>
      <c r="H24" s="124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1"/>
      <c r="T24" s="67">
        <f t="shared" si="2"/>
        <v>0</v>
      </c>
      <c r="U24" s="183" t="e">
        <f t="shared" si="0"/>
        <v>#DIV/0!</v>
      </c>
      <c r="V24" s="193">
        <f>D2</f>
        <v>0</v>
      </c>
      <c r="W24" s="164" t="s">
        <v>19</v>
      </c>
      <c r="X24" s="160">
        <f t="shared" si="3"/>
        <v>0</v>
      </c>
      <c r="Y24" s="78"/>
    </row>
    <row r="25" spans="1:25" s="23" customFormat="1" x14ac:dyDescent="0.25">
      <c r="A25" s="52"/>
      <c r="B25" s="53"/>
      <c r="C25" s="53"/>
      <c r="D25" s="53"/>
      <c r="E25" s="55"/>
      <c r="F25" s="55"/>
      <c r="G25" s="54"/>
      <c r="H25" s="60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1"/>
      <c r="T25" s="67">
        <f t="shared" si="2"/>
        <v>0</v>
      </c>
      <c r="U25" s="183" t="e">
        <f t="shared" si="0"/>
        <v>#DIV/0!</v>
      </c>
      <c r="V25" s="193">
        <f>D2</f>
        <v>0</v>
      </c>
      <c r="W25" s="164" t="s">
        <v>77</v>
      </c>
      <c r="X25" s="160">
        <f t="shared" si="3"/>
        <v>0</v>
      </c>
      <c r="Y25" s="259" t="s">
        <v>248</v>
      </c>
    </row>
    <row r="26" spans="1:25" s="23" customFormat="1" x14ac:dyDescent="0.25">
      <c r="A26" s="52"/>
      <c r="B26" s="53"/>
      <c r="C26" s="53"/>
      <c r="D26" s="53"/>
      <c r="E26" s="55"/>
      <c r="F26" s="55"/>
      <c r="G26" s="54"/>
      <c r="H26" s="60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1"/>
      <c r="T26" s="67">
        <f t="shared" si="2"/>
        <v>0</v>
      </c>
      <c r="U26" s="183" t="e">
        <f t="shared" si="0"/>
        <v>#DIV/0!</v>
      </c>
      <c r="V26" s="193">
        <f>D2</f>
        <v>0</v>
      </c>
      <c r="W26" s="164" t="s">
        <v>9</v>
      </c>
      <c r="X26" s="160">
        <f t="shared" si="3"/>
        <v>0</v>
      </c>
      <c r="Y26" s="126" t="s">
        <v>245</v>
      </c>
    </row>
    <row r="27" spans="1:25" s="23" customFormat="1" x14ac:dyDescent="0.25">
      <c r="A27" s="52"/>
      <c r="B27" s="53"/>
      <c r="C27" s="53"/>
      <c r="D27" s="53"/>
      <c r="E27" s="55"/>
      <c r="F27" s="55"/>
      <c r="G27" s="54"/>
      <c r="H27" s="60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1"/>
      <c r="T27" s="67">
        <f t="shared" si="2"/>
        <v>0</v>
      </c>
      <c r="U27" s="183" t="e">
        <f t="shared" si="0"/>
        <v>#DIV/0!</v>
      </c>
      <c r="V27" s="193">
        <f>D2</f>
        <v>0</v>
      </c>
      <c r="W27" s="164" t="s">
        <v>12</v>
      </c>
      <c r="X27" s="160">
        <f t="shared" si="3"/>
        <v>0</v>
      </c>
      <c r="Y27" s="211"/>
    </row>
    <row r="28" spans="1:25" s="23" customFormat="1" x14ac:dyDescent="0.25">
      <c r="A28" s="52"/>
      <c r="B28" s="53"/>
      <c r="C28" s="53"/>
      <c r="D28" s="53"/>
      <c r="E28" s="55"/>
      <c r="F28" s="55"/>
      <c r="G28" s="54"/>
      <c r="H28" s="60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1"/>
      <c r="T28" s="67">
        <f t="shared" si="2"/>
        <v>0</v>
      </c>
      <c r="U28" s="183" t="e">
        <f t="shared" si="0"/>
        <v>#DIV/0!</v>
      </c>
      <c r="V28" s="193">
        <f>D2</f>
        <v>0</v>
      </c>
      <c r="W28" s="164" t="s">
        <v>91</v>
      </c>
      <c r="X28" s="160">
        <f t="shared" si="3"/>
        <v>0</v>
      </c>
      <c r="Y28" s="259"/>
    </row>
    <row r="29" spans="1:25" s="23" customFormat="1" x14ac:dyDescent="0.25">
      <c r="A29" s="52"/>
      <c r="B29" s="53"/>
      <c r="C29" s="53"/>
      <c r="D29" s="53"/>
      <c r="E29" s="55"/>
      <c r="F29" s="55"/>
      <c r="G29" s="54"/>
      <c r="H29" s="60"/>
      <c r="I29" s="69"/>
      <c r="J29" s="63"/>
      <c r="K29" s="63"/>
      <c r="L29" s="63"/>
      <c r="M29" s="63"/>
      <c r="N29" s="63"/>
      <c r="O29" s="63"/>
      <c r="P29" s="63"/>
      <c r="Q29" s="63"/>
      <c r="R29" s="63"/>
      <c r="S29" s="61"/>
      <c r="T29" s="67">
        <f t="shared" si="2"/>
        <v>0</v>
      </c>
      <c r="U29" s="183" t="e">
        <f t="shared" si="0"/>
        <v>#DIV/0!</v>
      </c>
      <c r="V29" s="193">
        <f>D2</f>
        <v>0</v>
      </c>
      <c r="W29" s="164" t="s">
        <v>233</v>
      </c>
      <c r="X29" s="160">
        <f t="shared" si="3"/>
        <v>0</v>
      </c>
      <c r="Y29" s="126"/>
    </row>
    <row r="30" spans="1:25" s="23" customFormat="1" ht="15.75" thickBot="1" x14ac:dyDescent="0.3">
      <c r="A30" s="52"/>
      <c r="B30" s="53"/>
      <c r="C30" s="53"/>
      <c r="D30" s="53"/>
      <c r="E30" s="55"/>
      <c r="F30" s="55"/>
      <c r="G30" s="54"/>
      <c r="H30" s="64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6"/>
      <c r="T30" s="173">
        <f>SUM(H30,J30,L30,N30,P30,S30)</f>
        <v>0</v>
      </c>
      <c r="U30" s="183" t="e">
        <f t="shared" si="0"/>
        <v>#DIV/0!</v>
      </c>
      <c r="V30" s="194">
        <f>D2</f>
        <v>0</v>
      </c>
      <c r="W30" s="170" t="s">
        <v>43</v>
      </c>
      <c r="X30" s="160">
        <f t="shared" si="3"/>
        <v>0</v>
      </c>
      <c r="Y30" s="78"/>
    </row>
    <row r="31" spans="1:25" s="23" customFormat="1" ht="15.75" thickBot="1" x14ac:dyDescent="0.3">
      <c r="A31" s="52"/>
      <c r="B31" s="53"/>
      <c r="C31" s="53"/>
      <c r="D31" s="53"/>
      <c r="E31" s="55"/>
      <c r="F31" s="55"/>
      <c r="G31" s="54"/>
      <c r="H31" s="169"/>
      <c r="I31" s="168"/>
      <c r="J31" s="168"/>
      <c r="K31" s="168"/>
      <c r="L31" s="168"/>
      <c r="M31" s="168"/>
      <c r="N31" s="168"/>
      <c r="O31" s="168"/>
      <c r="P31" s="168"/>
      <c r="Q31" s="168"/>
      <c r="R31" s="168"/>
      <c r="S31" s="167"/>
      <c r="T31" s="235"/>
      <c r="U31" s="166"/>
      <c r="V31" s="235"/>
      <c r="W31" s="116" t="s">
        <v>80</v>
      </c>
      <c r="X31" s="160">
        <f t="shared" si="3"/>
        <v>0</v>
      </c>
      <c r="Y31" s="78"/>
    </row>
    <row r="32" spans="1:25" s="23" customFormat="1" x14ac:dyDescent="0.25">
      <c r="A32" s="52"/>
      <c r="B32" s="53"/>
      <c r="C32" s="53"/>
      <c r="D32" s="53"/>
      <c r="E32" s="55"/>
      <c r="F32" s="55"/>
      <c r="G32" s="56"/>
      <c r="H32" s="5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59"/>
      <c r="T32" s="71">
        <f>SUM(H32,J32,L32,N32,P32,S32)</f>
        <v>0</v>
      </c>
      <c r="U32" s="183" t="e">
        <f t="shared" ref="U32:U42" si="4">($T32)/$D$2</f>
        <v>#DIV/0!</v>
      </c>
      <c r="V32" s="193">
        <f>D2</f>
        <v>0</v>
      </c>
      <c r="W32" s="165" t="s">
        <v>81</v>
      </c>
      <c r="X32" s="160">
        <f t="shared" si="3"/>
        <v>0</v>
      </c>
      <c r="Y32" s="342"/>
    </row>
    <row r="33" spans="1:25" s="23" customFormat="1" x14ac:dyDescent="0.25">
      <c r="A33" s="52"/>
      <c r="B33" s="53"/>
      <c r="C33" s="53"/>
      <c r="D33" s="53"/>
      <c r="E33" s="55"/>
      <c r="F33" s="55"/>
      <c r="G33" s="56"/>
      <c r="H33" s="60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1"/>
      <c r="T33" s="71">
        <f t="shared" ref="T33:T40" si="5">SUM(H33,J33,L33,N33,P33,S33)</f>
        <v>0</v>
      </c>
      <c r="U33" s="183" t="e">
        <f t="shared" si="4"/>
        <v>#DIV/0!</v>
      </c>
      <c r="V33" s="193">
        <f>D2</f>
        <v>0</v>
      </c>
      <c r="W33" s="164" t="s">
        <v>82</v>
      </c>
      <c r="X33" s="160">
        <f t="shared" si="3"/>
        <v>0</v>
      </c>
      <c r="Y33" s="342"/>
    </row>
    <row r="34" spans="1:25" s="23" customFormat="1" x14ac:dyDescent="0.25">
      <c r="A34" s="52"/>
      <c r="B34" s="53"/>
      <c r="C34" s="53"/>
      <c r="D34" s="53"/>
      <c r="E34" s="55"/>
      <c r="F34" s="55"/>
      <c r="G34" s="56"/>
      <c r="H34" s="60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1"/>
      <c r="T34" s="71">
        <f t="shared" si="5"/>
        <v>0</v>
      </c>
      <c r="U34" s="183" t="e">
        <f t="shared" si="4"/>
        <v>#DIV/0!</v>
      </c>
      <c r="V34" s="193"/>
      <c r="W34" s="164" t="s">
        <v>83</v>
      </c>
      <c r="X34" s="160"/>
      <c r="Y34" s="95"/>
    </row>
    <row r="35" spans="1:25" s="23" customFormat="1" x14ac:dyDescent="0.25">
      <c r="A35" s="52"/>
      <c r="B35" s="53"/>
      <c r="C35" s="53"/>
      <c r="D35" s="53"/>
      <c r="E35" s="55"/>
      <c r="F35" s="55"/>
      <c r="G35" s="56"/>
      <c r="H35" s="60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1"/>
      <c r="T35" s="71">
        <f t="shared" si="5"/>
        <v>0</v>
      </c>
      <c r="U35" s="183" t="e">
        <f t="shared" si="4"/>
        <v>#DIV/0!</v>
      </c>
      <c r="V35" s="193"/>
      <c r="W35" s="164" t="s">
        <v>36</v>
      </c>
      <c r="X35" s="160"/>
      <c r="Y35" s="126"/>
    </row>
    <row r="36" spans="1:25" s="23" customFormat="1" x14ac:dyDescent="0.25">
      <c r="A36" s="52"/>
      <c r="B36" s="53"/>
      <c r="C36" s="53"/>
      <c r="D36" s="53"/>
      <c r="E36" s="55"/>
      <c r="F36" s="55"/>
      <c r="G36" s="56"/>
      <c r="H36" s="60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1"/>
      <c r="T36" s="71">
        <f t="shared" si="5"/>
        <v>0</v>
      </c>
      <c r="U36" s="183" t="e">
        <f t="shared" si="4"/>
        <v>#DIV/0!</v>
      </c>
      <c r="V36" s="193"/>
      <c r="W36" s="164" t="s">
        <v>34</v>
      </c>
      <c r="X36" s="160"/>
      <c r="Y36" s="126"/>
    </row>
    <row r="37" spans="1:25" s="23" customFormat="1" ht="15.75" x14ac:dyDescent="0.25">
      <c r="A37" s="52"/>
      <c r="B37" s="53"/>
      <c r="C37" s="53"/>
      <c r="D37" s="53"/>
      <c r="E37" s="55"/>
      <c r="F37" s="55"/>
      <c r="G37" s="56"/>
      <c r="H37" s="60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1"/>
      <c r="T37" s="71">
        <f t="shared" si="5"/>
        <v>0</v>
      </c>
      <c r="U37" s="183" t="e">
        <f t="shared" si="4"/>
        <v>#DIV/0!</v>
      </c>
      <c r="V37" s="193">
        <f>D2</f>
        <v>0</v>
      </c>
      <c r="W37" s="203" t="s">
        <v>11</v>
      </c>
      <c r="X37" s="160">
        <f t="shared" ref="X37:X42" si="6">T37</f>
        <v>0</v>
      </c>
      <c r="Y37" s="342" t="s">
        <v>249</v>
      </c>
    </row>
    <row r="38" spans="1:25" s="23" customFormat="1" x14ac:dyDescent="0.25">
      <c r="A38" s="52"/>
      <c r="B38" s="53"/>
      <c r="C38" s="53"/>
      <c r="D38" s="53"/>
      <c r="E38" s="55"/>
      <c r="F38" s="55"/>
      <c r="G38" s="56"/>
      <c r="H38" s="60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1"/>
      <c r="T38" s="71">
        <f t="shared" si="5"/>
        <v>0</v>
      </c>
      <c r="U38" s="183" t="e">
        <f t="shared" si="4"/>
        <v>#DIV/0!</v>
      </c>
      <c r="V38" s="193">
        <f>D2</f>
        <v>0</v>
      </c>
      <c r="W38" s="164" t="s">
        <v>88</v>
      </c>
      <c r="X38" s="160">
        <f t="shared" si="6"/>
        <v>0</v>
      </c>
      <c r="Y38" s="259"/>
    </row>
    <row r="39" spans="1:25" s="23" customFormat="1" x14ac:dyDescent="0.25">
      <c r="A39" s="52"/>
      <c r="B39" s="53"/>
      <c r="C39" s="53"/>
      <c r="D39" s="53"/>
      <c r="E39" s="55"/>
      <c r="F39" s="55"/>
      <c r="G39" s="56"/>
      <c r="H39" s="60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1"/>
      <c r="T39" s="71">
        <f t="shared" si="5"/>
        <v>0</v>
      </c>
      <c r="U39" s="183" t="e">
        <f t="shared" si="4"/>
        <v>#DIV/0!</v>
      </c>
      <c r="V39" s="193">
        <f>D2</f>
        <v>0</v>
      </c>
      <c r="W39" s="164" t="s">
        <v>152</v>
      </c>
      <c r="X39" s="160">
        <f t="shared" si="6"/>
        <v>0</v>
      </c>
      <c r="Y39" s="126"/>
    </row>
    <row r="40" spans="1:25" s="23" customFormat="1" ht="15.75" x14ac:dyDescent="0.25">
      <c r="A40" s="52"/>
      <c r="B40" s="53"/>
      <c r="C40" s="53"/>
      <c r="D40" s="53"/>
      <c r="E40" s="55"/>
      <c r="F40" s="55"/>
      <c r="G40" s="56"/>
      <c r="H40" s="60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1"/>
      <c r="T40" s="71">
        <f t="shared" si="5"/>
        <v>0</v>
      </c>
      <c r="U40" s="183" t="e">
        <f t="shared" si="4"/>
        <v>#DIV/0!</v>
      </c>
      <c r="V40" s="193">
        <f>D2</f>
        <v>0</v>
      </c>
      <c r="W40" s="203" t="s">
        <v>145</v>
      </c>
      <c r="X40" s="160">
        <f t="shared" si="6"/>
        <v>0</v>
      </c>
      <c r="Y40" s="78"/>
    </row>
    <row r="41" spans="1:25" s="23" customFormat="1" ht="15.75" thickBot="1" x14ac:dyDescent="0.3">
      <c r="A41" s="155"/>
      <c r="B41" s="156"/>
      <c r="C41" s="156"/>
      <c r="D41" s="156"/>
      <c r="E41" s="157"/>
      <c r="F41" s="157"/>
      <c r="G41" s="163"/>
      <c r="H41" s="64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6"/>
      <c r="T41" s="71">
        <f>SUM(H41,J41,L41,N41,P41,S41)</f>
        <v>0</v>
      </c>
      <c r="U41" s="241" t="e">
        <f t="shared" si="4"/>
        <v>#DIV/0!</v>
      </c>
      <c r="V41" s="194">
        <f>D2</f>
        <v>0</v>
      </c>
      <c r="W41" s="234" t="s">
        <v>70</v>
      </c>
      <c r="X41" s="160">
        <f t="shared" si="6"/>
        <v>0</v>
      </c>
      <c r="Y41" s="162"/>
    </row>
    <row r="42" spans="1:25" s="23" customFormat="1" ht="15.75" thickBot="1" x14ac:dyDescent="0.3">
      <c r="A42" s="41"/>
      <c r="B42" s="41"/>
      <c r="C42" s="41"/>
      <c r="D42" s="41"/>
      <c r="E42" s="41"/>
      <c r="F42" s="41"/>
      <c r="G42" s="47" t="s">
        <v>4</v>
      </c>
      <c r="H42" s="57">
        <f t="shared" ref="H42:S42" si="7">SUM(H3:H41)</f>
        <v>0</v>
      </c>
      <c r="I42" s="57">
        <f t="shared" si="7"/>
        <v>0</v>
      </c>
      <c r="J42" s="57">
        <f t="shared" si="7"/>
        <v>0</v>
      </c>
      <c r="K42" s="57">
        <f t="shared" si="7"/>
        <v>0</v>
      </c>
      <c r="L42" s="57">
        <f t="shared" si="7"/>
        <v>0</v>
      </c>
      <c r="M42" s="57">
        <f t="shared" si="7"/>
        <v>0</v>
      </c>
      <c r="N42" s="57">
        <f t="shared" si="7"/>
        <v>0</v>
      </c>
      <c r="O42" s="57">
        <f t="shared" si="7"/>
        <v>0</v>
      </c>
      <c r="P42" s="57">
        <f t="shared" si="7"/>
        <v>0</v>
      </c>
      <c r="Q42" s="57">
        <f t="shared" si="7"/>
        <v>0</v>
      </c>
      <c r="R42" s="57">
        <f t="shared" si="7"/>
        <v>0</v>
      </c>
      <c r="S42" s="57">
        <f t="shared" si="7"/>
        <v>0</v>
      </c>
      <c r="T42" s="72">
        <f>SUM(H42,J42,L42,N42,P42,S42)</f>
        <v>0</v>
      </c>
      <c r="U42" s="183" t="e">
        <f t="shared" si="4"/>
        <v>#DIV/0!</v>
      </c>
      <c r="V42" s="304">
        <f>D2</f>
        <v>0</v>
      </c>
      <c r="W42" s="161"/>
      <c r="X42" s="160">
        <f t="shared" si="6"/>
        <v>0</v>
      </c>
      <c r="Y42" s="12" t="s">
        <v>98</v>
      </c>
    </row>
  </sheetData>
  <conditionalFormatting sqref="U3:U30 M43:M1048576">
    <cfRule type="cellIs" dxfId="91" priority="32" operator="greaterThan">
      <formula>0.2</formula>
    </cfRule>
  </conditionalFormatting>
  <conditionalFormatting sqref="U2:V2">
    <cfRule type="cellIs" dxfId="90" priority="17" operator="greaterThan">
      <formula>0.2</formula>
    </cfRule>
  </conditionalFormatting>
  <conditionalFormatting sqref="U1">
    <cfRule type="cellIs" dxfId="89" priority="16" operator="greaterThan">
      <formula>0.2</formula>
    </cfRule>
  </conditionalFormatting>
  <conditionalFormatting sqref="V1">
    <cfRule type="cellIs" dxfId="88" priority="15" operator="greaterThan">
      <formula>0.2</formula>
    </cfRule>
  </conditionalFormatting>
  <conditionalFormatting sqref="U42">
    <cfRule type="cellIs" dxfId="87" priority="12" operator="greaterThan">
      <formula>0.2</formula>
    </cfRule>
  </conditionalFormatting>
  <conditionalFormatting sqref="U32:U42">
    <cfRule type="cellIs" dxfId="86" priority="11" operator="greaterThan">
      <formula>0.2</formula>
    </cfRule>
  </conditionalFormatting>
  <conditionalFormatting sqref="U32:U42">
    <cfRule type="colorScale" priority="13">
      <colorScale>
        <cfvo type="min"/>
        <cfvo type="max"/>
        <color rgb="FFFCFCFF"/>
        <color rgb="FFF8696B"/>
      </colorScale>
    </cfRule>
  </conditionalFormatting>
  <conditionalFormatting sqref="U3:U30">
    <cfRule type="colorScale" priority="3304">
      <colorScale>
        <cfvo type="min"/>
        <cfvo type="max"/>
        <color rgb="FFFCFCFF"/>
        <color rgb="FFF8696B"/>
      </colorScale>
    </cfRule>
  </conditionalFormatting>
  <pageMargins left="0.25" right="0.25" top="0.75" bottom="0.75" header="0.3" footer="0.3"/>
  <pageSetup scale="3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10</vt:i4>
      </vt:variant>
    </vt:vector>
  </HeadingPairs>
  <TitlesOfParts>
    <vt:vector size="31" baseType="lpstr">
      <vt:lpstr>EB210</vt:lpstr>
      <vt:lpstr>EB210 Graph</vt:lpstr>
      <vt:lpstr>EB211</vt:lpstr>
      <vt:lpstr>EB211 Graph</vt:lpstr>
      <vt:lpstr>EB212</vt:lpstr>
      <vt:lpstr>EB212 Graphs</vt:lpstr>
      <vt:lpstr>EB213</vt:lpstr>
      <vt:lpstr>EB213 Graphs</vt:lpstr>
      <vt:lpstr>EB214</vt:lpstr>
      <vt:lpstr>EB214 Graphs</vt:lpstr>
      <vt:lpstr>EB215</vt:lpstr>
      <vt:lpstr>EB215 Graphs</vt:lpstr>
      <vt:lpstr>EB216</vt:lpstr>
      <vt:lpstr>EB216 Graphs</vt:lpstr>
      <vt:lpstr>EB217</vt:lpstr>
      <vt:lpstr>EB217 Graphs</vt:lpstr>
      <vt:lpstr>EB230</vt:lpstr>
      <vt:lpstr>EB230 Graphs</vt:lpstr>
      <vt:lpstr>EB240</vt:lpstr>
      <vt:lpstr>EB240 Graphs</vt:lpstr>
      <vt:lpstr>Sheet1</vt:lpstr>
      <vt:lpstr>'EB210 Graph'!Print_Area</vt:lpstr>
      <vt:lpstr>'EB211 Graph'!Print_Area</vt:lpstr>
      <vt:lpstr>'EB212 Graphs'!Print_Area</vt:lpstr>
      <vt:lpstr>'EB213 Graphs'!Print_Area</vt:lpstr>
      <vt:lpstr>'EB214 Graphs'!Print_Area</vt:lpstr>
      <vt:lpstr>'EB215 Graphs'!Print_Area</vt:lpstr>
      <vt:lpstr>'EB216 Graphs'!Print_Area</vt:lpstr>
      <vt:lpstr>'EB217 Graphs'!Print_Area</vt:lpstr>
      <vt:lpstr>'EB230 Graphs'!Print_Area</vt:lpstr>
      <vt:lpstr>'EB240 Graphs'!Print_Area</vt:lpstr>
    </vt:vector>
  </TitlesOfParts>
  <Company>Applied Medical Resources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Chris</dc:creator>
  <cp:lastModifiedBy>Ruiz, Patrick</cp:lastModifiedBy>
  <cp:lastPrinted>2024-08-01T15:39:04Z</cp:lastPrinted>
  <dcterms:created xsi:type="dcterms:W3CDTF">2015-02-11T19:14:46Z</dcterms:created>
  <dcterms:modified xsi:type="dcterms:W3CDTF">2024-08-02T11:21:40Z</dcterms:modified>
</cp:coreProperties>
</file>